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activeTab="1"/>
  </bookViews>
  <sheets>
    <sheet name="2022" sheetId="1" r:id="rId1"/>
    <sheet name="BORRADOR INFORME " sheetId="4" r:id="rId2"/>
    <sheet name="TIPO DE CAMBIO " sheetId="6" r:id="rId3"/>
    <sheet name="PLLA SARI " sheetId="2" r:id="rId4"/>
    <sheet name="BANCOS SSN " sheetId="7" r:id="rId5"/>
    <sheet name="SARI" sheetId="5" r:id="rId6"/>
    <sheet name="caja sabrina 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3" i="4" l="1"/>
  <c r="E330" i="4" l="1"/>
  <c r="E325" i="4"/>
  <c r="C324" i="4"/>
  <c r="M397" i="4"/>
  <c r="K397" i="4"/>
  <c r="J397" i="4"/>
  <c r="H397" i="4"/>
  <c r="E397" i="4"/>
  <c r="D397" i="4"/>
  <c r="C397" i="4"/>
  <c r="D381" i="4"/>
  <c r="F379" i="4"/>
  <c r="F374" i="4"/>
  <c r="I366" i="4"/>
  <c r="I365" i="4"/>
  <c r="I364" i="4"/>
  <c r="I397" i="4" s="1"/>
  <c r="I363" i="4"/>
  <c r="I362" i="4"/>
  <c r="I361" i="4"/>
  <c r="L286" i="4"/>
  <c r="L285" i="4"/>
  <c r="G1290" i="7" l="1"/>
  <c r="F1290" i="7"/>
  <c r="H1290" i="7" s="1"/>
  <c r="G1289" i="7"/>
  <c r="F1289" i="7"/>
  <c r="H1289" i="7" s="1"/>
  <c r="G1288" i="7"/>
  <c r="F1288" i="7"/>
  <c r="H1288" i="7" s="1"/>
  <c r="G1287" i="7"/>
  <c r="F1287" i="7"/>
  <c r="H1287" i="7" s="1"/>
  <c r="G1286" i="7"/>
  <c r="F1286" i="7"/>
  <c r="H1286" i="7" s="1"/>
  <c r="G1285" i="7"/>
  <c r="F1285" i="7"/>
  <c r="H1285" i="7" s="1"/>
  <c r="G1284" i="7"/>
  <c r="F1284" i="7"/>
  <c r="H1284" i="7" s="1"/>
  <c r="G1283" i="7"/>
  <c r="F1283" i="7"/>
  <c r="H1283" i="7" s="1"/>
  <c r="G1282" i="7"/>
  <c r="F1282" i="7"/>
  <c r="H1282" i="7" s="1"/>
  <c r="G1281" i="7"/>
  <c r="F1281" i="7"/>
  <c r="H1281" i="7" s="1"/>
  <c r="G1280" i="7"/>
  <c r="F1280" i="7"/>
  <c r="H1280" i="7" s="1"/>
  <c r="G1279" i="7"/>
  <c r="F1279" i="7"/>
  <c r="H1279" i="7" s="1"/>
  <c r="G1278" i="7"/>
  <c r="F1278" i="7"/>
  <c r="H1278" i="7" s="1"/>
  <c r="G1277" i="7"/>
  <c r="F1277" i="7"/>
  <c r="H1277" i="7" s="1"/>
  <c r="G1276" i="7"/>
  <c r="F1276" i="7"/>
  <c r="H1276" i="7" s="1"/>
  <c r="G1275" i="7"/>
  <c r="F1275" i="7"/>
  <c r="H1275" i="7" s="1"/>
  <c r="G1274" i="7"/>
  <c r="F1274" i="7"/>
  <c r="H1274" i="7" s="1"/>
  <c r="G1273" i="7"/>
  <c r="F1273" i="7"/>
  <c r="H1273" i="7" s="1"/>
  <c r="G1272" i="7"/>
  <c r="F1272" i="7"/>
  <c r="H1272" i="7" s="1"/>
  <c r="G1271" i="7"/>
  <c r="F1271" i="7"/>
  <c r="H1271" i="7" s="1"/>
  <c r="G1270" i="7"/>
  <c r="F1270" i="7"/>
  <c r="H1270" i="7" s="1"/>
  <c r="G1269" i="7"/>
  <c r="F1269" i="7"/>
  <c r="H1269" i="7" s="1"/>
  <c r="G1268" i="7"/>
  <c r="F1268" i="7"/>
  <c r="H1268" i="7" s="1"/>
  <c r="G1267" i="7"/>
  <c r="F1267" i="7"/>
  <c r="H1267" i="7" s="1"/>
  <c r="G1266" i="7"/>
  <c r="F1266" i="7"/>
  <c r="H1266" i="7" s="1"/>
  <c r="G1265" i="7"/>
  <c r="F1265" i="7"/>
  <c r="H1265" i="7" s="1"/>
  <c r="G1264" i="7"/>
  <c r="F1264" i="7"/>
  <c r="H1264" i="7" s="1"/>
  <c r="G1263" i="7"/>
  <c r="F1263" i="7"/>
  <c r="H1263" i="7" s="1"/>
  <c r="G1262" i="7"/>
  <c r="F1262" i="7"/>
  <c r="H1262" i="7" s="1"/>
  <c r="G1261" i="7"/>
  <c r="F1261" i="7"/>
  <c r="H1261" i="7" s="1"/>
  <c r="G1260" i="7"/>
  <c r="F1260" i="7"/>
  <c r="H1260" i="7" s="1"/>
  <c r="G1259" i="7"/>
  <c r="F1259" i="7"/>
  <c r="H1259" i="7" s="1"/>
  <c r="G1258" i="7"/>
  <c r="F1258" i="7"/>
  <c r="H1258" i="7" s="1"/>
  <c r="G1257" i="7"/>
  <c r="F1257" i="7"/>
  <c r="H1257" i="7" s="1"/>
  <c r="G1256" i="7"/>
  <c r="F1256" i="7"/>
  <c r="H1256" i="7" s="1"/>
  <c r="G1255" i="7"/>
  <c r="F1255" i="7"/>
  <c r="H1255" i="7" s="1"/>
  <c r="G1254" i="7"/>
  <c r="F1254" i="7"/>
  <c r="H1254" i="7" s="1"/>
  <c r="G1253" i="7"/>
  <c r="F1253" i="7"/>
  <c r="H1253" i="7" s="1"/>
  <c r="E1253" i="7"/>
  <c r="H1252" i="7"/>
  <c r="G1252" i="7"/>
  <c r="F1252" i="7"/>
  <c r="H1251" i="7"/>
  <c r="G1251" i="7"/>
  <c r="F1251" i="7"/>
  <c r="H1250" i="7"/>
  <c r="G1250" i="7"/>
  <c r="F1250" i="7"/>
  <c r="H1249" i="7"/>
  <c r="G1249" i="7"/>
  <c r="F1249" i="7"/>
  <c r="H1248" i="7"/>
  <c r="G1248" i="7"/>
  <c r="F1248" i="7"/>
  <c r="H1247" i="7"/>
  <c r="G1247" i="7"/>
  <c r="F1247" i="7"/>
  <c r="H1246" i="7"/>
  <c r="G1246" i="7"/>
  <c r="F1246" i="7"/>
  <c r="H1245" i="7"/>
  <c r="G1245" i="7"/>
  <c r="F1245" i="7"/>
  <c r="H1244" i="7"/>
  <c r="G1244" i="7"/>
  <c r="F1244" i="7"/>
  <c r="H1243" i="7"/>
  <c r="G1243" i="7"/>
  <c r="F1243" i="7"/>
  <c r="H1242" i="7"/>
  <c r="G1242" i="7"/>
  <c r="F1242" i="7"/>
  <c r="H1241" i="7"/>
  <c r="G1241" i="7"/>
  <c r="F1241" i="7"/>
  <c r="H1240" i="7"/>
  <c r="G1240" i="7"/>
  <c r="F1240" i="7"/>
  <c r="H1239" i="7"/>
  <c r="G1239" i="7"/>
  <c r="F1239" i="7"/>
  <c r="H1238" i="7"/>
  <c r="G1238" i="7"/>
  <c r="F1238" i="7"/>
  <c r="H1237" i="7"/>
  <c r="G1237" i="7"/>
  <c r="F1237" i="7"/>
  <c r="H1236" i="7"/>
  <c r="G1236" i="7"/>
  <c r="F1236" i="7"/>
  <c r="H1235" i="7"/>
  <c r="G1235" i="7"/>
  <c r="F1235" i="7"/>
  <c r="H1234" i="7"/>
  <c r="G1234" i="7"/>
  <c r="F1234" i="7"/>
  <c r="H1233" i="7"/>
  <c r="G1233" i="7"/>
  <c r="F1233" i="7"/>
  <c r="H1232" i="7"/>
  <c r="G1232" i="7"/>
  <c r="F1232" i="7"/>
  <c r="H1231" i="7"/>
  <c r="G1231" i="7"/>
  <c r="F1231" i="7"/>
  <c r="H1230" i="7"/>
  <c r="G1230" i="7"/>
  <c r="F1230" i="7"/>
  <c r="H1229" i="7"/>
  <c r="G1229" i="7"/>
  <c r="F1229" i="7"/>
  <c r="H1228" i="7"/>
  <c r="G1228" i="7"/>
  <c r="F1228" i="7"/>
  <c r="H1227" i="7"/>
  <c r="G1227" i="7"/>
  <c r="F1227" i="7"/>
  <c r="H1226" i="7"/>
  <c r="G1226" i="7"/>
  <c r="F1226" i="7"/>
  <c r="H1225" i="7"/>
  <c r="G1225" i="7"/>
  <c r="F1225" i="7"/>
  <c r="H1224" i="7"/>
  <c r="G1224" i="7"/>
  <c r="F1224" i="7"/>
  <c r="H1223" i="7"/>
  <c r="G1223" i="7"/>
  <c r="F1223" i="7"/>
  <c r="H1222" i="7"/>
  <c r="G1222" i="7"/>
  <c r="F1222" i="7"/>
  <c r="E1222" i="7"/>
  <c r="H1221" i="7"/>
  <c r="G1221" i="7"/>
  <c r="F1221" i="7"/>
  <c r="H1220" i="7"/>
  <c r="G1220" i="7"/>
  <c r="F1220" i="7"/>
  <c r="H1219" i="7"/>
  <c r="G1219" i="7"/>
  <c r="F1219" i="7"/>
  <c r="H1218" i="7"/>
  <c r="G1218" i="7"/>
  <c r="F1218" i="7"/>
  <c r="H1217" i="7"/>
  <c r="G1217" i="7"/>
  <c r="F1217" i="7"/>
  <c r="G1216" i="7"/>
  <c r="F1216" i="7"/>
  <c r="E1216" i="7"/>
  <c r="H1216" i="7" s="1"/>
  <c r="G1215" i="7"/>
  <c r="F1215" i="7"/>
  <c r="H1215" i="7" s="1"/>
  <c r="G1214" i="7"/>
  <c r="F1214" i="7"/>
  <c r="H1214" i="7" s="1"/>
  <c r="G1213" i="7"/>
  <c r="F1213" i="7"/>
  <c r="H1213" i="7" s="1"/>
  <c r="G1212" i="7"/>
  <c r="F1212" i="7"/>
  <c r="H1212" i="7" s="1"/>
  <c r="G1211" i="7"/>
  <c r="F1211" i="7"/>
  <c r="H1211" i="7" s="1"/>
  <c r="G1210" i="7"/>
  <c r="F1210" i="7"/>
  <c r="H1210" i="7" s="1"/>
  <c r="G1209" i="7"/>
  <c r="F1209" i="7"/>
  <c r="E1209" i="7"/>
  <c r="G1208" i="7"/>
  <c r="F1208" i="7"/>
  <c r="H1208" i="7" s="1"/>
  <c r="G1207" i="7"/>
  <c r="F1207" i="7"/>
  <c r="H1207" i="7" s="1"/>
  <c r="G1206" i="7"/>
  <c r="F1206" i="7"/>
  <c r="H1206" i="7" s="1"/>
  <c r="G1205" i="7"/>
  <c r="F1205" i="7"/>
  <c r="H1205" i="7" s="1"/>
  <c r="G1204" i="7"/>
  <c r="F1204" i="7"/>
  <c r="H1204" i="7" s="1"/>
  <c r="G1203" i="7"/>
  <c r="F1203" i="7"/>
  <c r="H1203" i="7" s="1"/>
  <c r="G1202" i="7"/>
  <c r="F1202" i="7"/>
  <c r="H1202" i="7" s="1"/>
  <c r="G1201" i="7"/>
  <c r="F1201" i="7"/>
  <c r="H1201" i="7" s="1"/>
  <c r="G1200" i="7"/>
  <c r="F1200" i="7"/>
  <c r="H1200" i="7" s="1"/>
  <c r="G1199" i="7"/>
  <c r="F1199" i="7"/>
  <c r="H1199" i="7" s="1"/>
  <c r="G1198" i="7"/>
  <c r="F1198" i="7"/>
  <c r="H1198" i="7" s="1"/>
  <c r="G1197" i="7"/>
  <c r="F1197" i="7"/>
  <c r="H1197" i="7" s="1"/>
  <c r="G1196" i="7"/>
  <c r="F1196" i="7"/>
  <c r="H1196" i="7" s="1"/>
  <c r="G1195" i="7"/>
  <c r="F1195" i="7"/>
  <c r="H1195" i="7" s="1"/>
  <c r="G1194" i="7"/>
  <c r="F1194" i="7"/>
  <c r="H1194" i="7" s="1"/>
  <c r="G1193" i="7"/>
  <c r="F1193" i="7"/>
  <c r="H1193" i="7" s="1"/>
  <c r="H1192" i="7"/>
  <c r="G1192" i="7"/>
  <c r="F1192" i="7"/>
  <c r="G1191" i="7"/>
  <c r="F1191" i="7"/>
  <c r="H1191" i="7" s="1"/>
  <c r="G1190" i="7"/>
  <c r="F1190" i="7"/>
  <c r="H1190" i="7" s="1"/>
  <c r="E1190" i="7"/>
  <c r="H1189" i="7"/>
  <c r="G1189" i="7"/>
  <c r="F1189" i="7"/>
  <c r="H1188" i="7"/>
  <c r="G1188" i="7"/>
  <c r="F1188" i="7"/>
  <c r="H1187" i="7"/>
  <c r="G1187" i="7"/>
  <c r="F1187" i="7"/>
  <c r="H1186" i="7"/>
  <c r="G1186" i="7"/>
  <c r="F1186" i="7"/>
  <c r="H1185" i="7"/>
  <c r="G1185" i="7"/>
  <c r="F1185" i="7"/>
  <c r="H1184" i="7"/>
  <c r="G1184" i="7"/>
  <c r="F1184" i="7"/>
  <c r="H1183" i="7"/>
  <c r="G1183" i="7"/>
  <c r="F1183" i="7"/>
  <c r="H1182" i="7"/>
  <c r="G1182" i="7"/>
  <c r="F1182" i="7"/>
  <c r="H1181" i="7"/>
  <c r="G1181" i="7"/>
  <c r="F1181" i="7"/>
  <c r="H1180" i="7"/>
  <c r="G1180" i="7"/>
  <c r="F1180" i="7"/>
  <c r="H1179" i="7"/>
  <c r="G1179" i="7"/>
  <c r="F1179" i="7"/>
  <c r="H1178" i="7"/>
  <c r="G1178" i="7"/>
  <c r="F1178" i="7"/>
  <c r="H1177" i="7"/>
  <c r="G1177" i="7"/>
  <c r="F1177" i="7"/>
  <c r="G1176" i="7"/>
  <c r="F1176" i="7"/>
  <c r="E1176" i="7"/>
  <c r="H1176" i="7" s="1"/>
  <c r="H1175" i="7"/>
  <c r="G1175" i="7"/>
  <c r="F1175" i="7"/>
  <c r="H1174" i="7"/>
  <c r="G1174" i="7"/>
  <c r="F1174" i="7"/>
  <c r="H1173" i="7"/>
  <c r="G1173" i="7"/>
  <c r="F1173" i="7"/>
  <c r="H1172" i="7"/>
  <c r="G1172" i="7"/>
  <c r="F1172" i="7"/>
  <c r="H1171" i="7"/>
  <c r="G1171" i="7"/>
  <c r="F1171" i="7"/>
  <c r="H1170" i="7"/>
  <c r="G1170" i="7"/>
  <c r="F1170" i="7"/>
  <c r="H1169" i="7"/>
  <c r="G1169" i="7"/>
  <c r="F1169" i="7"/>
  <c r="H1168" i="7"/>
  <c r="G1168" i="7"/>
  <c r="F1168" i="7"/>
  <c r="H1167" i="7"/>
  <c r="G1167" i="7"/>
  <c r="F1167" i="7"/>
  <c r="H1166" i="7"/>
  <c r="G1166" i="7"/>
  <c r="F1166" i="7"/>
  <c r="D1166" i="7"/>
  <c r="H1165" i="7"/>
  <c r="G1165" i="7"/>
  <c r="F1165" i="7"/>
  <c r="H1164" i="7"/>
  <c r="G1164" i="7"/>
  <c r="F1164" i="7"/>
  <c r="H1163" i="7"/>
  <c r="G1163" i="7"/>
  <c r="F1163" i="7"/>
  <c r="H1162" i="7"/>
  <c r="G1162" i="7"/>
  <c r="F1162" i="7"/>
  <c r="H1161" i="7"/>
  <c r="G1161" i="7"/>
  <c r="F1161" i="7"/>
  <c r="H1160" i="7"/>
  <c r="G1160" i="7"/>
  <c r="F1160" i="7"/>
  <c r="H1159" i="7"/>
  <c r="G1159" i="7"/>
  <c r="F1159" i="7"/>
  <c r="H1158" i="7"/>
  <c r="G1158" i="7"/>
  <c r="F1158" i="7"/>
  <c r="H1157" i="7"/>
  <c r="G1157" i="7"/>
  <c r="F1157" i="7"/>
  <c r="H1156" i="7"/>
  <c r="G1156" i="7"/>
  <c r="F1156" i="7"/>
  <c r="H1155" i="7"/>
  <c r="G1155" i="7"/>
  <c r="F1155" i="7"/>
  <c r="H1154" i="7"/>
  <c r="G1154" i="7"/>
  <c r="F1154" i="7"/>
  <c r="H1153" i="7"/>
  <c r="G1153" i="7"/>
  <c r="F1153" i="7"/>
  <c r="H1152" i="7"/>
  <c r="G1152" i="7"/>
  <c r="F1152" i="7"/>
  <c r="H1151" i="7"/>
  <c r="G1151" i="7"/>
  <c r="F1151" i="7"/>
  <c r="H1150" i="7"/>
  <c r="G1150" i="7"/>
  <c r="F1150" i="7"/>
  <c r="H1149" i="7"/>
  <c r="G1149" i="7"/>
  <c r="F1149" i="7"/>
  <c r="H1148" i="7"/>
  <c r="G1148" i="7"/>
  <c r="F1148" i="7"/>
  <c r="H1147" i="7"/>
  <c r="G1147" i="7"/>
  <c r="F1147" i="7"/>
  <c r="H1146" i="7"/>
  <c r="G1146" i="7"/>
  <c r="F1146" i="7"/>
  <c r="H1145" i="7"/>
  <c r="G1145" i="7"/>
  <c r="F1145" i="7"/>
  <c r="H1144" i="7"/>
  <c r="G1144" i="7"/>
  <c r="F1144" i="7"/>
  <c r="H1143" i="7"/>
  <c r="G1143" i="7"/>
  <c r="F1143" i="7"/>
  <c r="H1142" i="7"/>
  <c r="G1142" i="7"/>
  <c r="F1142" i="7"/>
  <c r="H1141" i="7"/>
  <c r="G1141" i="7"/>
  <c r="F1141" i="7"/>
  <c r="E1141" i="7"/>
  <c r="G1140" i="7"/>
  <c r="F1140" i="7"/>
  <c r="E1140" i="7"/>
  <c r="H1140" i="7" s="1"/>
  <c r="G1139" i="7"/>
  <c r="F1139" i="7"/>
  <c r="H1139" i="7" s="1"/>
  <c r="G1138" i="7"/>
  <c r="F1138" i="7"/>
  <c r="H1138" i="7" s="1"/>
  <c r="G1137" i="7"/>
  <c r="F1137" i="7"/>
  <c r="H1137" i="7" s="1"/>
  <c r="G1136" i="7"/>
  <c r="F1136" i="7"/>
  <c r="H1136" i="7" s="1"/>
  <c r="G1135" i="7"/>
  <c r="F1135" i="7"/>
  <c r="H1135" i="7" s="1"/>
  <c r="G1134" i="7"/>
  <c r="F1134" i="7"/>
  <c r="H1134" i="7" s="1"/>
  <c r="G1133" i="7"/>
  <c r="F1133" i="7"/>
  <c r="H1133" i="7" s="1"/>
  <c r="G1132" i="7"/>
  <c r="F1132" i="7"/>
  <c r="H1132" i="7" s="1"/>
  <c r="G1131" i="7"/>
  <c r="F1131" i="7"/>
  <c r="H1131" i="7" s="1"/>
  <c r="G1130" i="7"/>
  <c r="F1130" i="7"/>
  <c r="H1130" i="7" s="1"/>
  <c r="G1129" i="7"/>
  <c r="F1129" i="7"/>
  <c r="H1129" i="7" s="1"/>
  <c r="G1128" i="7"/>
  <c r="F1128" i="7"/>
  <c r="H1128" i="7" s="1"/>
  <c r="G1127" i="7"/>
  <c r="F1127" i="7"/>
  <c r="H1127" i="7" s="1"/>
  <c r="G1126" i="7"/>
  <c r="F1126" i="7"/>
  <c r="H1126" i="7" s="1"/>
  <c r="G1125" i="7"/>
  <c r="F1125" i="7"/>
  <c r="H1125" i="7" s="1"/>
  <c r="G1124" i="7"/>
  <c r="F1124" i="7"/>
  <c r="H1124" i="7" s="1"/>
  <c r="G1123" i="7"/>
  <c r="F1123" i="7"/>
  <c r="H1123" i="7" s="1"/>
  <c r="F1122" i="7"/>
  <c r="H1122" i="7" s="1"/>
  <c r="G1121" i="7"/>
  <c r="F1121" i="7"/>
  <c r="H1121" i="7" s="1"/>
  <c r="G1120" i="7"/>
  <c r="F1120" i="7"/>
  <c r="H1120" i="7" s="1"/>
  <c r="G1119" i="7"/>
  <c r="F1119" i="7"/>
  <c r="H1119" i="7" s="1"/>
  <c r="G1118" i="7"/>
  <c r="F1118" i="7"/>
  <c r="H1118" i="7" s="1"/>
  <c r="G1117" i="7"/>
  <c r="F1117" i="7"/>
  <c r="H1117" i="7" s="1"/>
  <c r="G1116" i="7"/>
  <c r="F1116" i="7"/>
  <c r="H1116" i="7" s="1"/>
  <c r="G1115" i="7"/>
  <c r="F1115" i="7"/>
  <c r="H1115" i="7" s="1"/>
  <c r="G1114" i="7"/>
  <c r="F1114" i="7"/>
  <c r="H1114" i="7" s="1"/>
  <c r="G1113" i="7"/>
  <c r="F1113" i="7"/>
  <c r="H1113" i="7" s="1"/>
  <c r="G1112" i="7"/>
  <c r="F1112" i="7"/>
  <c r="H1112" i="7" s="1"/>
  <c r="G1111" i="7"/>
  <c r="F1111" i="7"/>
  <c r="H1111" i="7" s="1"/>
  <c r="G1110" i="7"/>
  <c r="F1110" i="7"/>
  <c r="H1110" i="7" s="1"/>
  <c r="G1109" i="7"/>
  <c r="F1109" i="7"/>
  <c r="H1109" i="7" s="1"/>
  <c r="G1108" i="7"/>
  <c r="F1108" i="7"/>
  <c r="H1108" i="7" s="1"/>
  <c r="G1107" i="7"/>
  <c r="F1107" i="7"/>
  <c r="H1107" i="7" s="1"/>
  <c r="H1105" i="7"/>
  <c r="G1105" i="7"/>
  <c r="F1105" i="7"/>
  <c r="H1104" i="7"/>
  <c r="G1104" i="7"/>
  <c r="F1104" i="7"/>
  <c r="E1104" i="7"/>
  <c r="H1103" i="7"/>
  <c r="G1103" i="7"/>
  <c r="F1103" i="7"/>
  <c r="H1102" i="7"/>
  <c r="G1102" i="7"/>
  <c r="F1102" i="7"/>
  <c r="H1101" i="7"/>
  <c r="G1101" i="7"/>
  <c r="F1101" i="7"/>
  <c r="H1100" i="7"/>
  <c r="G1100" i="7"/>
  <c r="F1100" i="7"/>
  <c r="H1099" i="7"/>
  <c r="G1099" i="7"/>
  <c r="F1099" i="7"/>
  <c r="H1098" i="7"/>
  <c r="G1098" i="7"/>
  <c r="F1098" i="7"/>
  <c r="H1097" i="7"/>
  <c r="G1097" i="7"/>
  <c r="F1097" i="7"/>
  <c r="E1097" i="7"/>
  <c r="G1096" i="7"/>
  <c r="F1096" i="7"/>
  <c r="H1096" i="7" s="1"/>
  <c r="G1095" i="7"/>
  <c r="F1095" i="7"/>
  <c r="H1095" i="7" s="1"/>
  <c r="G1094" i="7"/>
  <c r="F1094" i="7"/>
  <c r="H1094" i="7" s="1"/>
  <c r="G1093" i="7"/>
  <c r="F1093" i="7"/>
  <c r="H1093" i="7" s="1"/>
  <c r="G1092" i="7"/>
  <c r="F1092" i="7"/>
  <c r="H1092" i="7" s="1"/>
  <c r="G1091" i="7"/>
  <c r="F1091" i="7"/>
  <c r="H1091" i="7" s="1"/>
  <c r="D1090" i="7"/>
  <c r="G1089" i="7"/>
  <c r="F1089" i="7"/>
  <c r="H1089" i="7" s="1"/>
  <c r="G1088" i="7"/>
  <c r="F1088" i="7"/>
  <c r="H1088" i="7" s="1"/>
  <c r="G1087" i="7"/>
  <c r="F1087" i="7"/>
  <c r="H1087" i="7" s="1"/>
  <c r="G1086" i="7"/>
  <c r="F1086" i="7"/>
  <c r="H1086" i="7" s="1"/>
  <c r="G1085" i="7"/>
  <c r="F1085" i="7"/>
  <c r="H1085" i="7" s="1"/>
  <c r="G1084" i="7"/>
  <c r="F1084" i="7"/>
  <c r="H1084" i="7" s="1"/>
  <c r="G1083" i="7"/>
  <c r="F1083" i="7"/>
  <c r="H1083" i="7" s="1"/>
  <c r="F1082" i="7"/>
  <c r="H1082" i="7" s="1"/>
  <c r="G1081" i="7"/>
  <c r="F1081" i="7"/>
  <c r="H1081" i="7" s="1"/>
  <c r="G1080" i="7"/>
  <c r="F1080" i="7"/>
  <c r="H1080" i="7" s="1"/>
  <c r="D1079" i="7"/>
  <c r="G1078" i="7"/>
  <c r="F1078" i="7"/>
  <c r="E1078" i="7"/>
  <c r="H1077" i="7"/>
  <c r="G1077" i="7"/>
  <c r="F1077" i="7"/>
  <c r="H1076" i="7"/>
  <c r="G1076" i="7"/>
  <c r="F1076" i="7"/>
  <c r="H1075" i="7"/>
  <c r="G1075" i="7"/>
  <c r="F1075" i="7"/>
  <c r="H1074" i="7"/>
  <c r="G1074" i="7"/>
  <c r="F1074" i="7"/>
  <c r="H1073" i="7"/>
  <c r="G1073" i="7"/>
  <c r="F1073" i="7"/>
  <c r="H1072" i="7"/>
  <c r="G1072" i="7"/>
  <c r="F1072" i="7"/>
  <c r="H1071" i="7"/>
  <c r="G1071" i="7"/>
  <c r="F1071" i="7"/>
  <c r="F1070" i="7"/>
  <c r="G1069" i="7"/>
  <c r="F1069" i="7"/>
  <c r="H1069" i="7" s="1"/>
  <c r="H1068" i="7"/>
  <c r="F1068" i="7"/>
  <c r="H1067" i="7"/>
  <c r="G1067" i="7"/>
  <c r="F1067" i="7"/>
  <c r="H1066" i="7"/>
  <c r="G1066" i="7"/>
  <c r="F1066" i="7"/>
  <c r="E1066" i="7"/>
  <c r="G1065" i="7"/>
  <c r="F1065" i="7"/>
  <c r="H1065" i="7" s="1"/>
  <c r="G1064" i="7"/>
  <c r="F1064" i="7"/>
  <c r="H1064" i="7" s="1"/>
  <c r="G1063" i="7"/>
  <c r="F1063" i="7"/>
  <c r="H1063" i="7" s="1"/>
  <c r="G1062" i="7"/>
  <c r="F1062" i="7"/>
  <c r="H1062" i="7" s="1"/>
  <c r="G1061" i="7"/>
  <c r="F1061" i="7"/>
  <c r="H1061" i="7" s="1"/>
  <c r="G1060" i="7"/>
  <c r="F1060" i="7"/>
  <c r="H1060" i="7" s="1"/>
  <c r="G1059" i="7"/>
  <c r="F1059" i="7"/>
  <c r="H1059" i="7" s="1"/>
  <c r="G1058" i="7"/>
  <c r="F1058" i="7"/>
  <c r="H1058" i="7" s="1"/>
  <c r="G1057" i="7"/>
  <c r="F1057" i="7"/>
  <c r="H1057" i="7" s="1"/>
  <c r="G1056" i="7"/>
  <c r="F1056" i="7"/>
  <c r="H1056" i="7" s="1"/>
  <c r="G1055" i="7"/>
  <c r="F1055" i="7"/>
  <c r="H1055" i="7" s="1"/>
  <c r="G1054" i="7"/>
  <c r="F1054" i="7"/>
  <c r="H1054" i="7" s="1"/>
  <c r="H1053" i="7"/>
  <c r="G1053" i="7"/>
  <c r="F1053" i="7"/>
  <c r="H1052" i="7"/>
  <c r="G1052" i="7"/>
  <c r="F1052" i="7"/>
  <c r="H1051" i="7"/>
  <c r="G1051" i="7"/>
  <c r="F1051" i="7"/>
  <c r="H1050" i="7"/>
  <c r="G1050" i="7"/>
  <c r="F1050" i="7"/>
  <c r="E1050" i="7"/>
  <c r="G1048" i="7"/>
  <c r="F1048" i="7"/>
  <c r="H1048" i="7" s="1"/>
  <c r="H1047" i="7"/>
  <c r="G1047" i="7"/>
  <c r="F1047" i="7"/>
  <c r="H1046" i="7"/>
  <c r="G1046" i="7"/>
  <c r="F1046" i="7"/>
  <c r="G1045" i="7"/>
  <c r="F1045" i="7"/>
  <c r="H1045" i="7" s="1"/>
  <c r="G1044" i="7"/>
  <c r="F1044" i="7"/>
  <c r="H1044" i="7" s="1"/>
  <c r="H1043" i="7"/>
  <c r="G1043" i="7"/>
  <c r="F1043" i="7"/>
  <c r="G1031" i="7"/>
  <c r="F1031" i="7"/>
  <c r="H1031" i="7" s="1"/>
  <c r="G1030" i="7"/>
  <c r="F1030" i="7"/>
  <c r="H1030" i="7" s="1"/>
  <c r="G1029" i="7"/>
  <c r="F1029" i="7"/>
  <c r="G1028" i="7"/>
  <c r="F1028" i="7"/>
  <c r="H1028" i="7" s="1"/>
  <c r="G1027" i="7"/>
  <c r="F1027" i="7"/>
  <c r="H1027" i="7" s="1"/>
  <c r="G1026" i="7"/>
  <c r="F1026" i="7"/>
  <c r="H1025" i="7"/>
  <c r="G1025" i="7"/>
  <c r="F1025" i="7"/>
  <c r="H1024" i="7"/>
  <c r="G1024" i="7"/>
  <c r="F1024" i="7"/>
  <c r="H1023" i="7"/>
  <c r="G1023" i="7"/>
  <c r="F1023" i="7"/>
  <c r="H1022" i="7"/>
  <c r="G1022" i="7"/>
  <c r="F1022" i="7"/>
  <c r="H1021" i="7"/>
  <c r="G1021" i="7"/>
  <c r="F1021" i="7"/>
  <c r="H1020" i="7"/>
  <c r="G1020" i="7"/>
  <c r="F1020" i="7"/>
  <c r="H1019" i="7"/>
  <c r="G1019" i="7"/>
  <c r="F1019" i="7"/>
  <c r="H1018" i="7"/>
  <c r="G1018" i="7"/>
  <c r="F1018" i="7"/>
  <c r="H1017" i="7"/>
  <c r="G1017" i="7"/>
  <c r="F1017" i="7"/>
  <c r="H1016" i="7"/>
  <c r="G1016" i="7"/>
  <c r="F1016" i="7"/>
  <c r="H1015" i="7"/>
  <c r="G1015" i="7"/>
  <c r="F1015" i="7"/>
  <c r="H1014" i="7"/>
  <c r="G1014" i="7"/>
  <c r="F1014" i="7"/>
  <c r="H1013" i="7"/>
  <c r="G1013" i="7"/>
  <c r="F1013" i="7"/>
  <c r="H1012" i="7"/>
  <c r="G1012" i="7"/>
  <c r="F1012" i="7"/>
  <c r="H1011" i="7"/>
  <c r="G1011" i="7"/>
  <c r="F1011" i="7"/>
  <c r="H1010" i="7"/>
  <c r="F1010" i="7"/>
  <c r="G1009" i="7"/>
  <c r="F1009" i="7"/>
  <c r="H1009" i="7" s="1"/>
  <c r="G1008" i="7"/>
  <c r="F1008" i="7"/>
  <c r="H1008" i="7" s="1"/>
  <c r="G1007" i="7"/>
  <c r="F1007" i="7"/>
  <c r="H1007" i="7" s="1"/>
  <c r="G1006" i="7"/>
  <c r="F1006" i="7"/>
  <c r="H1005" i="7"/>
  <c r="G1005" i="7"/>
  <c r="F1005" i="7"/>
  <c r="H1004" i="7"/>
  <c r="G1004" i="7"/>
  <c r="F1004" i="7"/>
  <c r="H1003" i="7"/>
  <c r="G1003" i="7"/>
  <c r="F1003" i="7"/>
  <c r="H1002" i="7"/>
  <c r="G1002" i="7"/>
  <c r="F1002" i="7"/>
  <c r="H1001" i="7"/>
  <c r="G1001" i="7"/>
  <c r="F1001" i="7"/>
  <c r="H1000" i="7"/>
  <c r="G1000" i="7"/>
  <c r="F1000" i="7"/>
  <c r="H999" i="7"/>
  <c r="G999" i="7"/>
  <c r="F999" i="7"/>
  <c r="H998" i="7"/>
  <c r="G998" i="7"/>
  <c r="F998" i="7"/>
  <c r="H997" i="7"/>
  <c r="G997" i="7"/>
  <c r="F997" i="7"/>
  <c r="H996" i="7"/>
  <c r="G996" i="7"/>
  <c r="F996" i="7"/>
  <c r="H995" i="7"/>
  <c r="G995" i="7"/>
  <c r="F995" i="7"/>
  <c r="H994" i="7"/>
  <c r="G994" i="7"/>
  <c r="F994" i="7"/>
  <c r="D993" i="7"/>
  <c r="G993" i="7" s="1"/>
  <c r="G992" i="7"/>
  <c r="F992" i="7"/>
  <c r="H992" i="7" s="1"/>
  <c r="G991" i="7"/>
  <c r="F991" i="7"/>
  <c r="H991" i="7" s="1"/>
  <c r="G990" i="7"/>
  <c r="F990" i="7"/>
  <c r="H990" i="7" s="1"/>
  <c r="G989" i="7"/>
  <c r="F989" i="7"/>
  <c r="H989" i="7" s="1"/>
  <c r="F988" i="7"/>
  <c r="H988" i="7" s="1"/>
  <c r="H987" i="7"/>
  <c r="G987" i="7"/>
  <c r="F987" i="7"/>
  <c r="H986" i="7"/>
  <c r="G986" i="7"/>
  <c r="F986" i="7"/>
  <c r="G985" i="7"/>
  <c r="F985" i="7"/>
  <c r="H984" i="7"/>
  <c r="G984" i="7"/>
  <c r="F984" i="7"/>
  <c r="H983" i="7"/>
  <c r="G983" i="7"/>
  <c r="F983" i="7"/>
  <c r="H982" i="7"/>
  <c r="G982" i="7"/>
  <c r="F982" i="7"/>
  <c r="H981" i="7"/>
  <c r="G981" i="7"/>
  <c r="F981" i="7"/>
  <c r="H980" i="7"/>
  <c r="G980" i="7"/>
  <c r="F980" i="7"/>
  <c r="H979" i="7"/>
  <c r="G979" i="7"/>
  <c r="F979" i="7"/>
  <c r="H978" i="7"/>
  <c r="G978" i="7"/>
  <c r="F978" i="7"/>
  <c r="H977" i="7"/>
  <c r="G977" i="7"/>
  <c r="F977" i="7"/>
  <c r="F976" i="7"/>
  <c r="F975" i="7"/>
  <c r="H974" i="7"/>
  <c r="G974" i="7"/>
  <c r="F974" i="7"/>
  <c r="H973" i="7"/>
  <c r="G973" i="7"/>
  <c r="F973" i="7"/>
  <c r="H972" i="7"/>
  <c r="G972" i="7"/>
  <c r="F972" i="7"/>
  <c r="H971" i="7"/>
  <c r="G971" i="7"/>
  <c r="F971" i="7"/>
  <c r="H970" i="7"/>
  <c r="G970" i="7"/>
  <c r="F970" i="7"/>
  <c r="H969" i="7"/>
  <c r="G969" i="7"/>
  <c r="F969" i="7"/>
  <c r="F968" i="7"/>
  <c r="H968" i="7" s="1"/>
  <c r="G967" i="7"/>
  <c r="F967" i="7"/>
  <c r="H967" i="7" s="1"/>
  <c r="G966" i="7"/>
  <c r="F966" i="7"/>
  <c r="H966" i="7" s="1"/>
  <c r="G965" i="7"/>
  <c r="F965" i="7"/>
  <c r="H965" i="7" s="1"/>
  <c r="G964" i="7"/>
  <c r="F964" i="7"/>
  <c r="H964" i="7" s="1"/>
  <c r="G963" i="7"/>
  <c r="F963" i="7"/>
  <c r="H963" i="7" s="1"/>
  <c r="G962" i="7"/>
  <c r="F962" i="7"/>
  <c r="H962" i="7" s="1"/>
  <c r="G961" i="7"/>
  <c r="F961" i="7"/>
  <c r="H961" i="7" s="1"/>
  <c r="G960" i="7"/>
  <c r="F960" i="7"/>
  <c r="H960" i="7" s="1"/>
  <c r="G959" i="7"/>
  <c r="F959" i="7"/>
  <c r="H959" i="7" s="1"/>
  <c r="G958" i="7"/>
  <c r="F958" i="7"/>
  <c r="H958" i="7" s="1"/>
  <c r="G957" i="7"/>
  <c r="F957" i="7"/>
  <c r="H957" i="7" s="1"/>
  <c r="G956" i="7"/>
  <c r="F956" i="7"/>
  <c r="H956" i="7" s="1"/>
  <c r="G955" i="7"/>
  <c r="F955" i="7"/>
  <c r="H955" i="7" s="1"/>
  <c r="G954" i="7"/>
  <c r="F954" i="7"/>
  <c r="H954" i="7" s="1"/>
  <c r="G953" i="7"/>
  <c r="F953" i="7"/>
  <c r="H953" i="7" s="1"/>
  <c r="G952" i="7"/>
  <c r="F952" i="7"/>
  <c r="H952" i="7" s="1"/>
  <c r="G951" i="7"/>
  <c r="F951" i="7"/>
  <c r="H951" i="7" s="1"/>
  <c r="G950" i="7"/>
  <c r="F950" i="7"/>
  <c r="H950" i="7" s="1"/>
  <c r="G949" i="7"/>
  <c r="F949" i="7"/>
  <c r="H949" i="7" s="1"/>
  <c r="G948" i="7"/>
  <c r="F948" i="7"/>
  <c r="H948" i="7" s="1"/>
  <c r="G947" i="7"/>
  <c r="F947" i="7"/>
  <c r="H947" i="7" s="1"/>
  <c r="G946" i="7"/>
  <c r="F946" i="7"/>
  <c r="H946" i="7" s="1"/>
  <c r="G945" i="7"/>
  <c r="F945" i="7"/>
  <c r="H945" i="7" s="1"/>
  <c r="G944" i="7"/>
  <c r="F944" i="7"/>
  <c r="H944" i="7" s="1"/>
  <c r="G943" i="7"/>
  <c r="F943" i="7"/>
  <c r="H943" i="7" s="1"/>
  <c r="G942" i="7"/>
  <c r="F942" i="7"/>
  <c r="H942" i="7" s="1"/>
  <c r="G941" i="7"/>
  <c r="F941" i="7"/>
  <c r="H941" i="7" s="1"/>
  <c r="G940" i="7"/>
  <c r="F940" i="7"/>
  <c r="H940" i="7" s="1"/>
  <c r="G939" i="7"/>
  <c r="F939" i="7"/>
  <c r="H939" i="7" s="1"/>
  <c r="F938" i="7"/>
  <c r="H938" i="7" s="1"/>
  <c r="G937" i="7"/>
  <c r="F937" i="7"/>
  <c r="H937" i="7" s="1"/>
  <c r="G936" i="7"/>
  <c r="F936" i="7"/>
  <c r="H936" i="7" s="1"/>
  <c r="G935" i="7"/>
  <c r="F935" i="7"/>
  <c r="H935" i="7" s="1"/>
  <c r="F934" i="7"/>
  <c r="H934" i="7" s="1"/>
  <c r="H933" i="7"/>
  <c r="G933" i="7"/>
  <c r="F933" i="7"/>
  <c r="H932" i="7"/>
  <c r="G932" i="7"/>
  <c r="F932" i="7"/>
  <c r="H931" i="7"/>
  <c r="G931" i="7"/>
  <c r="F931" i="7"/>
  <c r="H930" i="7"/>
  <c r="G930" i="7"/>
  <c r="F930" i="7"/>
  <c r="H929" i="7"/>
  <c r="G929" i="7"/>
  <c r="F929" i="7"/>
  <c r="H928" i="7"/>
  <c r="G928" i="7"/>
  <c r="F928" i="7"/>
  <c r="H927" i="7"/>
  <c r="G927" i="7"/>
  <c r="F927" i="7"/>
  <c r="H926" i="7"/>
  <c r="G926" i="7"/>
  <c r="F926" i="7"/>
  <c r="H925" i="7"/>
  <c r="G925" i="7"/>
  <c r="F925" i="7"/>
  <c r="H924" i="7"/>
  <c r="G924" i="7"/>
  <c r="F924" i="7"/>
  <c r="H923" i="7"/>
  <c r="G923" i="7"/>
  <c r="F923" i="7"/>
  <c r="H922" i="7"/>
  <c r="G922" i="7"/>
  <c r="F922" i="7"/>
  <c r="H921" i="7"/>
  <c r="G921" i="7"/>
  <c r="F921" i="7"/>
  <c r="H920" i="7"/>
  <c r="G920" i="7"/>
  <c r="F920" i="7"/>
  <c r="H919" i="7"/>
  <c r="G919" i="7"/>
  <c r="F919" i="7"/>
  <c r="H918" i="7"/>
  <c r="G918" i="7"/>
  <c r="F918" i="7"/>
  <c r="H917" i="7"/>
  <c r="G917" i="7"/>
  <c r="F917" i="7"/>
  <c r="H916" i="7"/>
  <c r="G916" i="7"/>
  <c r="F916" i="7"/>
  <c r="H915" i="7"/>
  <c r="G915" i="7"/>
  <c r="F915" i="7"/>
  <c r="H914" i="7"/>
  <c r="G914" i="7"/>
  <c r="F914" i="7"/>
  <c r="H913" i="7"/>
  <c r="G913" i="7"/>
  <c r="F913" i="7"/>
  <c r="H912" i="7"/>
  <c r="G912" i="7"/>
  <c r="F912" i="7"/>
  <c r="H911" i="7"/>
  <c r="G911" i="7"/>
  <c r="F911" i="7"/>
  <c r="H910" i="7"/>
  <c r="G910" i="7"/>
  <c r="F910" i="7"/>
  <c r="H909" i="7"/>
  <c r="G909" i="7"/>
  <c r="F909" i="7"/>
  <c r="H908" i="7"/>
  <c r="G908" i="7"/>
  <c r="F908" i="7"/>
  <c r="H907" i="7"/>
  <c r="G907" i="7"/>
  <c r="F907" i="7"/>
  <c r="H906" i="7"/>
  <c r="G906" i="7"/>
  <c r="F906" i="7"/>
  <c r="H905" i="7"/>
  <c r="G905" i="7"/>
  <c r="F905" i="7"/>
  <c r="H904" i="7"/>
  <c r="G904" i="7"/>
  <c r="F904" i="7"/>
  <c r="H903" i="7"/>
  <c r="G903" i="7"/>
  <c r="F903" i="7"/>
  <c r="H902" i="7"/>
  <c r="G902" i="7"/>
  <c r="F902" i="7"/>
  <c r="H901" i="7"/>
  <c r="G901" i="7"/>
  <c r="F901" i="7"/>
  <c r="H900" i="7"/>
  <c r="G900" i="7"/>
  <c r="F900" i="7"/>
  <c r="H899" i="7"/>
  <c r="G899" i="7"/>
  <c r="F899" i="7"/>
  <c r="H898" i="7"/>
  <c r="G898" i="7"/>
  <c r="F898" i="7"/>
  <c r="H897" i="7"/>
  <c r="G897" i="7"/>
  <c r="F897" i="7"/>
  <c r="H896" i="7"/>
  <c r="G896" i="7"/>
  <c r="F896" i="7"/>
  <c r="H895" i="7"/>
  <c r="G895" i="7"/>
  <c r="F895" i="7"/>
  <c r="H894" i="7"/>
  <c r="G894" i="7"/>
  <c r="F894" i="7"/>
  <c r="H893" i="7"/>
  <c r="G893" i="7"/>
  <c r="F893" i="7"/>
  <c r="H892" i="7"/>
  <c r="G892" i="7"/>
  <c r="F892" i="7"/>
  <c r="H891" i="7"/>
  <c r="G891" i="7"/>
  <c r="F891" i="7"/>
  <c r="H890" i="7"/>
  <c r="G890" i="7"/>
  <c r="F890" i="7"/>
  <c r="H889" i="7"/>
  <c r="G889" i="7"/>
  <c r="F889" i="7"/>
  <c r="H888" i="7"/>
  <c r="G888" i="7"/>
  <c r="F888" i="7"/>
  <c r="H887" i="7"/>
  <c r="G887" i="7"/>
  <c r="F887" i="7"/>
  <c r="H886" i="7"/>
  <c r="G886" i="7"/>
  <c r="F886" i="7"/>
  <c r="H885" i="7"/>
  <c r="G885" i="7"/>
  <c r="F885" i="7"/>
  <c r="H884" i="7"/>
  <c r="G884" i="7"/>
  <c r="F884" i="7"/>
  <c r="H883" i="7"/>
  <c r="G883" i="7"/>
  <c r="F883" i="7"/>
  <c r="H882" i="7"/>
  <c r="F882" i="7"/>
  <c r="H881" i="7"/>
  <c r="G881" i="7"/>
  <c r="F881" i="7"/>
  <c r="H880" i="7"/>
  <c r="G880" i="7"/>
  <c r="F880" i="7"/>
  <c r="H879" i="7"/>
  <c r="G879" i="7"/>
  <c r="F879" i="7"/>
  <c r="H878" i="7"/>
  <c r="G878" i="7"/>
  <c r="F878" i="7"/>
  <c r="H877" i="7"/>
  <c r="G877" i="7"/>
  <c r="F877" i="7"/>
  <c r="H876" i="7"/>
  <c r="G876" i="7"/>
  <c r="F876" i="7"/>
  <c r="H875" i="7"/>
  <c r="G875" i="7"/>
  <c r="F875" i="7"/>
  <c r="H874" i="7"/>
  <c r="G874" i="7"/>
  <c r="F874" i="7"/>
  <c r="H873" i="7"/>
  <c r="G873" i="7"/>
  <c r="F873" i="7"/>
  <c r="H872" i="7"/>
  <c r="G872" i="7"/>
  <c r="F872" i="7"/>
  <c r="H871" i="7"/>
  <c r="G871" i="7"/>
  <c r="F871" i="7"/>
  <c r="H870" i="7"/>
  <c r="G870" i="7"/>
  <c r="F870" i="7"/>
  <c r="H869" i="7"/>
  <c r="G869" i="7"/>
  <c r="F869" i="7"/>
  <c r="H868" i="7"/>
  <c r="G868" i="7"/>
  <c r="F868" i="7"/>
  <c r="F867" i="7"/>
  <c r="H867" i="7" s="1"/>
  <c r="G866" i="7"/>
  <c r="F866" i="7"/>
  <c r="H866" i="7" s="1"/>
  <c r="F865" i="7"/>
  <c r="H864" i="7"/>
  <c r="G864" i="7"/>
  <c r="F864" i="7"/>
  <c r="H863" i="7"/>
  <c r="G863" i="7"/>
  <c r="F863" i="7"/>
  <c r="H862" i="7"/>
  <c r="G862" i="7"/>
  <c r="F862" i="7"/>
  <c r="H861" i="7"/>
  <c r="G861" i="7"/>
  <c r="F861" i="7"/>
  <c r="H860" i="7"/>
  <c r="G860" i="7"/>
  <c r="F860" i="7"/>
  <c r="H859" i="7"/>
  <c r="G859" i="7"/>
  <c r="F859" i="7"/>
  <c r="H858" i="7"/>
  <c r="G858" i="7"/>
  <c r="F858" i="7"/>
  <c r="H857" i="7"/>
  <c r="G857" i="7"/>
  <c r="F857" i="7"/>
  <c r="H856" i="7"/>
  <c r="G856" i="7"/>
  <c r="F856" i="7"/>
  <c r="H855" i="7"/>
  <c r="G855" i="7"/>
  <c r="F855" i="7"/>
  <c r="H854" i="7"/>
  <c r="G854" i="7"/>
  <c r="F854" i="7"/>
  <c r="H853" i="7"/>
  <c r="G853" i="7"/>
  <c r="F853" i="7"/>
  <c r="H852" i="7"/>
  <c r="G852" i="7"/>
  <c r="F852" i="7"/>
  <c r="H851" i="7"/>
  <c r="G851" i="7"/>
  <c r="F851" i="7"/>
  <c r="H850" i="7"/>
  <c r="G850" i="7"/>
  <c r="F850" i="7"/>
  <c r="D849" i="7"/>
  <c r="G848" i="7"/>
  <c r="F848" i="7"/>
  <c r="H848" i="7" s="1"/>
  <c r="G847" i="7"/>
  <c r="F847" i="7"/>
  <c r="H847" i="7" s="1"/>
  <c r="G846" i="7"/>
  <c r="F846" i="7"/>
  <c r="H846" i="7" s="1"/>
  <c r="G845" i="7"/>
  <c r="F845" i="7"/>
  <c r="H845" i="7" s="1"/>
  <c r="F844" i="7"/>
  <c r="H844" i="7" s="1"/>
  <c r="H843" i="7"/>
  <c r="G843" i="7"/>
  <c r="F843" i="7"/>
  <c r="H842" i="7"/>
  <c r="G842" i="7"/>
  <c r="F842" i="7"/>
  <c r="H841" i="7"/>
  <c r="G841" i="7"/>
  <c r="F841" i="7"/>
  <c r="H840" i="7"/>
  <c r="G840" i="7"/>
  <c r="F840" i="7"/>
  <c r="D839" i="7"/>
  <c r="G838" i="7"/>
  <c r="F838" i="7"/>
  <c r="H838" i="7" s="1"/>
  <c r="G837" i="7"/>
  <c r="F837" i="7"/>
  <c r="H837" i="7" s="1"/>
  <c r="G836" i="7"/>
  <c r="F836" i="7"/>
  <c r="H836" i="7" s="1"/>
  <c r="G835" i="7"/>
  <c r="F835" i="7"/>
  <c r="H835" i="7" s="1"/>
  <c r="G834" i="7"/>
  <c r="F834" i="7"/>
  <c r="H834" i="7" s="1"/>
  <c r="G833" i="7"/>
  <c r="F833" i="7"/>
  <c r="H833" i="7" s="1"/>
  <c r="G832" i="7"/>
  <c r="F832" i="7"/>
  <c r="H832" i="7" s="1"/>
  <c r="G831" i="7"/>
  <c r="F831" i="7"/>
  <c r="H831" i="7" s="1"/>
  <c r="G830" i="7"/>
  <c r="F830" i="7"/>
  <c r="H830" i="7" s="1"/>
  <c r="G829" i="7"/>
  <c r="F829" i="7"/>
  <c r="H829" i="7" s="1"/>
  <c r="G828" i="7"/>
  <c r="F828" i="7"/>
  <c r="H828" i="7" s="1"/>
  <c r="G827" i="7"/>
  <c r="F827" i="7"/>
  <c r="H827" i="7" s="1"/>
  <c r="G826" i="7"/>
  <c r="F826" i="7"/>
  <c r="H826" i="7" s="1"/>
  <c r="G825" i="7"/>
  <c r="F825" i="7"/>
  <c r="H825" i="7" s="1"/>
  <c r="G824" i="7"/>
  <c r="F824" i="7"/>
  <c r="H824" i="7" s="1"/>
  <c r="G823" i="7"/>
  <c r="F823" i="7"/>
  <c r="H823" i="7" s="1"/>
  <c r="G822" i="7"/>
  <c r="F822" i="7"/>
  <c r="H822" i="7" s="1"/>
  <c r="F821" i="7"/>
  <c r="H821" i="7" s="1"/>
  <c r="H820" i="7"/>
  <c r="G820" i="7"/>
  <c r="F820" i="7"/>
  <c r="H819" i="7"/>
  <c r="G819" i="7"/>
  <c r="F819" i="7"/>
  <c r="H818" i="7"/>
  <c r="F818" i="7"/>
  <c r="H817" i="7"/>
  <c r="G817" i="7"/>
  <c r="F817" i="7"/>
  <c r="F816" i="7"/>
  <c r="H816" i="7" s="1"/>
  <c r="G815" i="7"/>
  <c r="F815" i="7"/>
  <c r="H815" i="7" s="1"/>
  <c r="F814" i="7"/>
  <c r="H814" i="7" s="1"/>
  <c r="G813" i="7"/>
  <c r="F813" i="7"/>
  <c r="H813" i="7" s="1"/>
  <c r="F812" i="7"/>
  <c r="H812" i="7" s="1"/>
  <c r="H811" i="7"/>
  <c r="G811" i="7"/>
  <c r="F811" i="7"/>
  <c r="H810" i="7"/>
  <c r="F810" i="7"/>
  <c r="H809" i="7"/>
  <c r="F809" i="7"/>
  <c r="G808" i="7"/>
  <c r="F808" i="7"/>
  <c r="H808" i="7" s="1"/>
  <c r="G807" i="7"/>
  <c r="F807" i="7"/>
  <c r="H807" i="7" s="1"/>
  <c r="G806" i="7"/>
  <c r="F806" i="7"/>
  <c r="H806" i="7" s="1"/>
  <c r="G805" i="7"/>
  <c r="F805" i="7"/>
  <c r="H805" i="7" s="1"/>
  <c r="G804" i="7"/>
  <c r="F804" i="7"/>
  <c r="H804" i="7" s="1"/>
  <c r="G803" i="7"/>
  <c r="F803" i="7"/>
  <c r="H803" i="7" s="1"/>
  <c r="G802" i="7"/>
  <c r="F802" i="7"/>
  <c r="H802" i="7" s="1"/>
  <c r="D802" i="7"/>
  <c r="H801" i="7"/>
  <c r="G801" i="7"/>
  <c r="F801" i="7"/>
  <c r="H800" i="7"/>
  <c r="F800" i="7"/>
  <c r="G799" i="7"/>
  <c r="F799" i="7"/>
  <c r="H799" i="7" s="1"/>
  <c r="G798" i="7"/>
  <c r="F798" i="7"/>
  <c r="H798" i="7" s="1"/>
  <c r="G797" i="7"/>
  <c r="F797" i="7"/>
  <c r="H797" i="7" s="1"/>
  <c r="G796" i="7"/>
  <c r="F796" i="7"/>
  <c r="H796" i="7" s="1"/>
  <c r="G795" i="7"/>
  <c r="F795" i="7"/>
  <c r="H795" i="7" s="1"/>
  <c r="G794" i="7"/>
  <c r="F794" i="7"/>
  <c r="H794" i="7" s="1"/>
  <c r="G793" i="7"/>
  <c r="F793" i="7"/>
  <c r="H793" i="7" s="1"/>
  <c r="H792" i="7"/>
  <c r="G792" i="7"/>
  <c r="F792" i="7"/>
  <c r="H791" i="7"/>
  <c r="G791" i="7"/>
  <c r="F791" i="7"/>
  <c r="H790" i="7"/>
  <c r="G790" i="7"/>
  <c r="F790" i="7"/>
  <c r="G789" i="7"/>
  <c r="F789" i="7"/>
  <c r="G788" i="7"/>
  <c r="F788" i="7"/>
  <c r="H788" i="7" s="1"/>
  <c r="G787" i="7"/>
  <c r="F787" i="7"/>
  <c r="H787" i="7" s="1"/>
  <c r="G786" i="7"/>
  <c r="F786" i="7"/>
  <c r="H786" i="7" s="1"/>
  <c r="G785" i="7"/>
  <c r="F785" i="7"/>
  <c r="H785" i="7" s="1"/>
  <c r="G784" i="7"/>
  <c r="F784" i="7"/>
  <c r="H784" i="7" s="1"/>
  <c r="E784" i="7"/>
  <c r="H783" i="7"/>
  <c r="G783" i="7"/>
  <c r="F783" i="7"/>
  <c r="H782" i="7"/>
  <c r="G782" i="7"/>
  <c r="F782" i="7"/>
  <c r="H781" i="7"/>
  <c r="G781" i="7"/>
  <c r="F781" i="7"/>
  <c r="H780" i="7"/>
  <c r="G780" i="7"/>
  <c r="F780" i="7"/>
  <c r="H779" i="7"/>
  <c r="G779" i="7"/>
  <c r="F779" i="7"/>
  <c r="H778" i="7"/>
  <c r="G778" i="7"/>
  <c r="F778" i="7"/>
  <c r="H777" i="7"/>
  <c r="G777" i="7"/>
  <c r="F777" i="7"/>
  <c r="H776" i="7"/>
  <c r="G776" i="7"/>
  <c r="F776" i="7"/>
  <c r="F775" i="7"/>
  <c r="H775" i="7" s="1"/>
  <c r="G774" i="7"/>
  <c r="F774" i="7"/>
  <c r="H774" i="7" s="1"/>
  <c r="G773" i="7"/>
  <c r="F773" i="7"/>
  <c r="H773" i="7" s="1"/>
  <c r="G772" i="7"/>
  <c r="F772" i="7"/>
  <c r="H772" i="7" s="1"/>
  <c r="G771" i="7"/>
  <c r="F771" i="7"/>
  <c r="H771" i="7" s="1"/>
  <c r="H769" i="7"/>
  <c r="G769" i="7"/>
  <c r="F769" i="7"/>
  <c r="H768" i="7"/>
  <c r="G768" i="7"/>
  <c r="F768" i="7"/>
  <c r="H767" i="7"/>
  <c r="G767" i="7"/>
  <c r="F767" i="7"/>
  <c r="H766" i="7"/>
  <c r="G766" i="7"/>
  <c r="F766" i="7"/>
  <c r="H765" i="7"/>
  <c r="G765" i="7"/>
  <c r="F765" i="7"/>
  <c r="H764" i="7"/>
  <c r="G764" i="7"/>
  <c r="F764" i="7"/>
  <c r="H763" i="7"/>
  <c r="G763" i="7"/>
  <c r="F763" i="7"/>
  <c r="H762" i="7"/>
  <c r="G762" i="7"/>
  <c r="F762" i="7"/>
  <c r="H761" i="7"/>
  <c r="G761" i="7"/>
  <c r="F761" i="7"/>
  <c r="H760" i="7"/>
  <c r="G760" i="7"/>
  <c r="F760" i="7"/>
  <c r="H759" i="7"/>
  <c r="G759" i="7"/>
  <c r="F759" i="7"/>
  <c r="H758" i="7"/>
  <c r="G758" i="7"/>
  <c r="F758" i="7"/>
  <c r="G757" i="7"/>
  <c r="F757" i="7"/>
  <c r="H756" i="7"/>
  <c r="G756" i="7"/>
  <c r="F756" i="7"/>
  <c r="F755" i="7"/>
  <c r="H755" i="7" s="1"/>
  <c r="G754" i="7"/>
  <c r="F754" i="7"/>
  <c r="H754" i="7" s="1"/>
  <c r="G753" i="7"/>
  <c r="F753" i="7"/>
  <c r="H753" i="7" s="1"/>
  <c r="G752" i="7"/>
  <c r="F752" i="7"/>
  <c r="H752" i="7" s="1"/>
  <c r="G751" i="7"/>
  <c r="F751" i="7"/>
  <c r="H751" i="7" s="1"/>
  <c r="G750" i="7"/>
  <c r="F750" i="7"/>
  <c r="H750" i="7" s="1"/>
  <c r="G749" i="7"/>
  <c r="F749" i="7"/>
  <c r="H749" i="7" s="1"/>
  <c r="E749" i="7"/>
  <c r="H748" i="7"/>
  <c r="G748" i="7"/>
  <c r="F748" i="7"/>
  <c r="H747" i="7"/>
  <c r="G747" i="7"/>
  <c r="F747" i="7"/>
  <c r="H746" i="7"/>
  <c r="G746" i="7"/>
  <c r="F746" i="7"/>
  <c r="H745" i="7"/>
  <c r="G745" i="7"/>
  <c r="F745" i="7"/>
  <c r="H744" i="7"/>
  <c r="G744" i="7"/>
  <c r="F744" i="7"/>
  <c r="H743" i="7"/>
  <c r="G743" i="7"/>
  <c r="F743" i="7"/>
  <c r="H742" i="7"/>
  <c r="F742" i="7"/>
  <c r="H741" i="7"/>
  <c r="G741" i="7"/>
  <c r="F741" i="7"/>
  <c r="H740" i="7"/>
  <c r="G740" i="7"/>
  <c r="F740" i="7"/>
  <c r="H739" i="7"/>
  <c r="G739" i="7"/>
  <c r="F739" i="7"/>
  <c r="H738" i="7"/>
  <c r="G738" i="7"/>
  <c r="F738" i="7"/>
  <c r="H737" i="7"/>
  <c r="G737" i="7"/>
  <c r="F737" i="7"/>
  <c r="H736" i="7"/>
  <c r="G736" i="7"/>
  <c r="F736" i="7"/>
  <c r="H735" i="7"/>
  <c r="G735" i="7"/>
  <c r="F735" i="7"/>
  <c r="H734" i="7"/>
  <c r="G734" i="7"/>
  <c r="F734" i="7"/>
  <c r="H733" i="7"/>
  <c r="G733" i="7"/>
  <c r="F733" i="7"/>
  <c r="H732" i="7"/>
  <c r="G732" i="7"/>
  <c r="F732" i="7"/>
  <c r="H731" i="7"/>
  <c r="G731" i="7"/>
  <c r="F731" i="7"/>
  <c r="H730" i="7"/>
  <c r="G730" i="7"/>
  <c r="F730" i="7"/>
  <c r="H729" i="7"/>
  <c r="G729" i="7"/>
  <c r="F729" i="7"/>
  <c r="H728" i="7"/>
  <c r="G728" i="7"/>
  <c r="F728" i="7"/>
  <c r="H727" i="7"/>
  <c r="G727" i="7"/>
  <c r="F727" i="7"/>
  <c r="H726" i="7"/>
  <c r="G726" i="7"/>
  <c r="F726" i="7"/>
  <c r="H725" i="7"/>
  <c r="G725" i="7"/>
  <c r="F725" i="7"/>
  <c r="H724" i="7"/>
  <c r="G724" i="7"/>
  <c r="F724" i="7"/>
  <c r="H723" i="7"/>
  <c r="G723" i="7"/>
  <c r="F723" i="7"/>
  <c r="H722" i="7"/>
  <c r="G722" i="7"/>
  <c r="F722" i="7"/>
  <c r="H721" i="7"/>
  <c r="G721" i="7"/>
  <c r="F721" i="7"/>
  <c r="H720" i="7"/>
  <c r="G720" i="7"/>
  <c r="F720" i="7"/>
  <c r="H719" i="7"/>
  <c r="G719" i="7"/>
  <c r="F719" i="7"/>
  <c r="H718" i="7"/>
  <c r="G718" i="7"/>
  <c r="F718" i="7"/>
  <c r="H717" i="7"/>
  <c r="G717" i="7"/>
  <c r="F717" i="7"/>
  <c r="H716" i="7"/>
  <c r="G716" i="7"/>
  <c r="F716" i="7"/>
  <c r="H715" i="7"/>
  <c r="G715" i="7"/>
  <c r="F715" i="7"/>
  <c r="H714" i="7"/>
  <c r="G714" i="7"/>
  <c r="F714" i="7"/>
  <c r="H713" i="7"/>
  <c r="G713" i="7"/>
  <c r="F713" i="7"/>
  <c r="H712" i="7"/>
  <c r="G712" i="7"/>
  <c r="F712" i="7"/>
  <c r="H711" i="7"/>
  <c r="G711" i="7"/>
  <c r="F711" i="7"/>
  <c r="H710" i="7"/>
  <c r="G710" i="7"/>
  <c r="F710" i="7"/>
  <c r="H709" i="7"/>
  <c r="G709" i="7"/>
  <c r="F709" i="7"/>
  <c r="H708" i="7"/>
  <c r="G708" i="7"/>
  <c r="F708" i="7"/>
  <c r="H707" i="7"/>
  <c r="G707" i="7"/>
  <c r="F707" i="7"/>
  <c r="H706" i="7"/>
  <c r="G706" i="7"/>
  <c r="F706" i="7"/>
  <c r="H705" i="7"/>
  <c r="G705" i="7"/>
  <c r="F705" i="7"/>
  <c r="H704" i="7"/>
  <c r="G704" i="7"/>
  <c r="F704" i="7"/>
  <c r="H703" i="7"/>
  <c r="G703" i="7"/>
  <c r="F703" i="7"/>
  <c r="H702" i="7"/>
  <c r="G702" i="7"/>
  <c r="F702" i="7"/>
  <c r="H701" i="7"/>
  <c r="G701" i="7"/>
  <c r="F701" i="7"/>
  <c r="G695" i="7"/>
  <c r="F695" i="7"/>
  <c r="H695" i="7" s="1"/>
  <c r="G694" i="7"/>
  <c r="F694" i="7"/>
  <c r="H694" i="7" s="1"/>
  <c r="G693" i="7"/>
  <c r="F693" i="7"/>
  <c r="H693" i="7" s="1"/>
  <c r="G692" i="7"/>
  <c r="F692" i="7"/>
  <c r="H692" i="7" s="1"/>
  <c r="G691" i="7"/>
  <c r="F691" i="7"/>
  <c r="H691" i="7" s="1"/>
  <c r="G690" i="7"/>
  <c r="F690" i="7"/>
  <c r="H690" i="7" s="1"/>
  <c r="G689" i="7"/>
  <c r="F689" i="7"/>
  <c r="H689" i="7" s="1"/>
  <c r="G688" i="7"/>
  <c r="F688" i="7"/>
  <c r="H688" i="7" s="1"/>
  <c r="G687" i="7"/>
  <c r="F687" i="7"/>
  <c r="E687" i="7"/>
  <c r="H687" i="7" s="1"/>
  <c r="G686" i="7"/>
  <c r="F686" i="7"/>
  <c r="H686" i="7" s="1"/>
  <c r="G685" i="7"/>
  <c r="F685" i="7"/>
  <c r="H685" i="7" s="1"/>
  <c r="G684" i="7"/>
  <c r="F684" i="7"/>
  <c r="H684" i="7" s="1"/>
  <c r="G683" i="7"/>
  <c r="F683" i="7"/>
  <c r="H683" i="7" s="1"/>
  <c r="G682" i="7"/>
  <c r="F682" i="7"/>
  <c r="H682" i="7" s="1"/>
  <c r="G681" i="7"/>
  <c r="F681" i="7"/>
  <c r="H681" i="7" s="1"/>
  <c r="G680" i="7"/>
  <c r="F680" i="7"/>
  <c r="H680" i="7" s="1"/>
  <c r="G679" i="7"/>
  <c r="F679" i="7"/>
  <c r="H679" i="7" s="1"/>
  <c r="G678" i="7"/>
  <c r="F678" i="7"/>
  <c r="H678" i="7" s="1"/>
  <c r="G677" i="7"/>
  <c r="F677" i="7"/>
  <c r="H677" i="7" s="1"/>
  <c r="G676" i="7"/>
  <c r="F676" i="7"/>
  <c r="H676" i="7" s="1"/>
  <c r="G675" i="7"/>
  <c r="F675" i="7"/>
  <c r="H675" i="7" s="1"/>
  <c r="G674" i="7"/>
  <c r="F674" i="7"/>
  <c r="H674" i="7" s="1"/>
  <c r="G673" i="7"/>
  <c r="F673" i="7"/>
  <c r="H673" i="7" s="1"/>
  <c r="G672" i="7"/>
  <c r="F672" i="7"/>
  <c r="H672" i="7" s="1"/>
  <c r="G671" i="7"/>
  <c r="F671" i="7"/>
  <c r="H671" i="7" s="1"/>
  <c r="G670" i="7"/>
  <c r="F670" i="7"/>
  <c r="H670" i="7" s="1"/>
  <c r="G669" i="7"/>
  <c r="F669" i="7"/>
  <c r="H669" i="7" s="1"/>
  <c r="G668" i="7"/>
  <c r="F668" i="7"/>
  <c r="H668" i="7" s="1"/>
  <c r="G667" i="7"/>
  <c r="F667" i="7"/>
  <c r="H667" i="7" s="1"/>
  <c r="G666" i="7"/>
  <c r="F666" i="7"/>
  <c r="H666" i="7" s="1"/>
  <c r="G665" i="7"/>
  <c r="F665" i="7"/>
  <c r="H665" i="7" s="1"/>
  <c r="G664" i="7"/>
  <c r="F664" i="7"/>
  <c r="H664" i="7" s="1"/>
  <c r="G663" i="7"/>
  <c r="F663" i="7"/>
  <c r="H663" i="7" s="1"/>
  <c r="D663" i="7"/>
  <c r="G662" i="7"/>
  <c r="F662" i="7"/>
  <c r="H662" i="7" s="1"/>
  <c r="D662" i="7"/>
  <c r="H661" i="7"/>
  <c r="G661" i="7"/>
  <c r="F661" i="7"/>
  <c r="H660" i="7"/>
  <c r="G660" i="7"/>
  <c r="F660" i="7"/>
  <c r="H659" i="7"/>
  <c r="G659" i="7"/>
  <c r="F659" i="7"/>
  <c r="H658" i="7"/>
  <c r="G658" i="7"/>
  <c r="F658" i="7"/>
  <c r="H657" i="7"/>
  <c r="G657" i="7"/>
  <c r="F657" i="7"/>
  <c r="H656" i="7"/>
  <c r="G656" i="7"/>
  <c r="F656" i="7"/>
  <c r="H655" i="7"/>
  <c r="G655" i="7"/>
  <c r="F655" i="7"/>
  <c r="G654" i="7"/>
  <c r="F654" i="7"/>
  <c r="G653" i="7"/>
  <c r="F653" i="7"/>
  <c r="G652" i="7"/>
  <c r="F652" i="7"/>
  <c r="H652" i="7" s="1"/>
  <c r="G651" i="7"/>
  <c r="F651" i="7"/>
  <c r="H651" i="7" s="1"/>
  <c r="G650" i="7"/>
  <c r="F650" i="7"/>
  <c r="H650" i="7" s="1"/>
  <c r="G649" i="7"/>
  <c r="F649" i="7"/>
  <c r="H649" i="7" s="1"/>
  <c r="G648" i="7"/>
  <c r="F648" i="7"/>
  <c r="H648" i="7" s="1"/>
  <c r="G647" i="7"/>
  <c r="F647" i="7"/>
  <c r="H647" i="7" s="1"/>
  <c r="G646" i="7"/>
  <c r="F646" i="7"/>
  <c r="H646" i="7" s="1"/>
  <c r="G645" i="7"/>
  <c r="F645" i="7"/>
  <c r="H645" i="7" s="1"/>
  <c r="G644" i="7"/>
  <c r="F644" i="7"/>
  <c r="H644" i="7" s="1"/>
  <c r="G643" i="7"/>
  <c r="F643" i="7"/>
  <c r="H643" i="7" s="1"/>
  <c r="G642" i="7"/>
  <c r="F642" i="7"/>
  <c r="H642" i="7" s="1"/>
  <c r="G641" i="7"/>
  <c r="F641" i="7"/>
  <c r="H641" i="7" s="1"/>
  <c r="G640" i="7"/>
  <c r="F640" i="7"/>
  <c r="H640" i="7" s="1"/>
  <c r="G639" i="7"/>
  <c r="F639" i="7"/>
  <c r="H639" i="7" s="1"/>
  <c r="G638" i="7"/>
  <c r="F638" i="7"/>
  <c r="H638" i="7" s="1"/>
  <c r="G637" i="7"/>
  <c r="F637" i="7"/>
  <c r="H637" i="7" s="1"/>
  <c r="G636" i="7"/>
  <c r="F636" i="7"/>
  <c r="H636" i="7" s="1"/>
  <c r="G635" i="7"/>
  <c r="F635" i="7"/>
  <c r="H635" i="7" s="1"/>
  <c r="G634" i="7"/>
  <c r="F634" i="7"/>
  <c r="H634" i="7" s="1"/>
  <c r="G633" i="7"/>
  <c r="F633" i="7"/>
  <c r="H633" i="7" s="1"/>
  <c r="G632" i="7"/>
  <c r="F632" i="7"/>
  <c r="H632" i="7" s="1"/>
  <c r="G631" i="7"/>
  <c r="F631" i="7"/>
  <c r="H631" i="7" s="1"/>
  <c r="G630" i="7"/>
  <c r="F630" i="7"/>
  <c r="H630" i="7" s="1"/>
  <c r="G629" i="7"/>
  <c r="F629" i="7"/>
  <c r="H629" i="7" s="1"/>
  <c r="G628" i="7"/>
  <c r="F628" i="7"/>
  <c r="H628" i="7" s="1"/>
  <c r="G627" i="7"/>
  <c r="F627" i="7"/>
  <c r="H627" i="7" s="1"/>
  <c r="G626" i="7"/>
  <c r="F626" i="7"/>
  <c r="H626" i="7" s="1"/>
  <c r="G625" i="7"/>
  <c r="F625" i="7"/>
  <c r="H625" i="7" s="1"/>
  <c r="G624" i="7"/>
  <c r="F624" i="7"/>
  <c r="H624" i="7" s="1"/>
  <c r="G623" i="7"/>
  <c r="F623" i="7"/>
  <c r="H623" i="7" s="1"/>
  <c r="G622" i="7"/>
  <c r="F622" i="7"/>
  <c r="H622" i="7" s="1"/>
  <c r="G621" i="7"/>
  <c r="F621" i="7"/>
  <c r="H621" i="7" s="1"/>
  <c r="G620" i="7"/>
  <c r="F620" i="7"/>
  <c r="H620" i="7" s="1"/>
  <c r="G619" i="7"/>
  <c r="F619" i="7"/>
  <c r="H619" i="7" s="1"/>
  <c r="G618" i="7"/>
  <c r="F618" i="7"/>
  <c r="H618" i="7" s="1"/>
  <c r="G617" i="7"/>
  <c r="F617" i="7"/>
  <c r="H617" i="7" s="1"/>
  <c r="G616" i="7"/>
  <c r="F616" i="7"/>
  <c r="H616" i="7" s="1"/>
  <c r="H615" i="7"/>
  <c r="F615" i="7"/>
  <c r="H614" i="7"/>
  <c r="G614" i="7"/>
  <c r="F614" i="7"/>
  <c r="H613" i="7"/>
  <c r="G613" i="7"/>
  <c r="F613" i="7"/>
  <c r="H612" i="7"/>
  <c r="G612" i="7"/>
  <c r="F612" i="7"/>
  <c r="H611" i="7"/>
  <c r="G611" i="7"/>
  <c r="F611" i="7"/>
  <c r="H610" i="7"/>
  <c r="G610" i="7"/>
  <c r="F610" i="7"/>
  <c r="D609" i="7"/>
  <c r="G609" i="7" s="1"/>
  <c r="D608" i="7"/>
  <c r="G607" i="7"/>
  <c r="F607" i="7"/>
  <c r="H607" i="7" s="1"/>
  <c r="G606" i="7"/>
  <c r="F606" i="7"/>
  <c r="H606" i="7" s="1"/>
  <c r="F605" i="7"/>
  <c r="H604" i="7"/>
  <c r="G604" i="7"/>
  <c r="F604" i="7"/>
  <c r="H603" i="7"/>
  <c r="G603" i="7"/>
  <c r="F603" i="7"/>
  <c r="H602" i="7"/>
  <c r="G602" i="7"/>
  <c r="F602" i="7"/>
  <c r="H601" i="7"/>
  <c r="G601" i="7"/>
  <c r="F601" i="7"/>
  <c r="H600" i="7"/>
  <c r="G600" i="7"/>
  <c r="F600" i="7"/>
  <c r="H599" i="7"/>
  <c r="G599" i="7"/>
  <c r="F599" i="7"/>
  <c r="H598" i="7"/>
  <c r="G598" i="7"/>
  <c r="F598" i="7"/>
  <c r="H597" i="7"/>
  <c r="G597" i="7"/>
  <c r="F597" i="7"/>
  <c r="H596" i="7"/>
  <c r="G596" i="7"/>
  <c r="F596" i="7"/>
  <c r="H595" i="7"/>
  <c r="G595" i="7"/>
  <c r="F595" i="7"/>
  <c r="H594" i="7"/>
  <c r="G594" i="7"/>
  <c r="F594" i="7"/>
  <c r="H593" i="7"/>
  <c r="G593" i="7"/>
  <c r="F593" i="7"/>
  <c r="H592" i="7"/>
  <c r="G592" i="7"/>
  <c r="F592" i="7"/>
  <c r="H591" i="7"/>
  <c r="G591" i="7"/>
  <c r="F591" i="7"/>
  <c r="H590" i="7"/>
  <c r="G590" i="7"/>
  <c r="F590" i="7"/>
  <c r="H589" i="7"/>
  <c r="G589" i="7"/>
  <c r="F589" i="7"/>
  <c r="H588" i="7"/>
  <c r="G588" i="7"/>
  <c r="F588" i="7"/>
  <c r="H587" i="7"/>
  <c r="G587" i="7"/>
  <c r="F587" i="7"/>
  <c r="H586" i="7"/>
  <c r="G586" i="7"/>
  <c r="F586" i="7"/>
  <c r="H585" i="7"/>
  <c r="G585" i="7"/>
  <c r="F585" i="7"/>
  <c r="H584" i="7"/>
  <c r="G584" i="7"/>
  <c r="F584" i="7"/>
  <c r="H583" i="7"/>
  <c r="G583" i="7"/>
  <c r="F583" i="7"/>
  <c r="H582" i="7"/>
  <c r="G582" i="7"/>
  <c r="F582" i="7"/>
  <c r="H581" i="7"/>
  <c r="G581" i="7"/>
  <c r="F581" i="7"/>
  <c r="H580" i="7"/>
  <c r="G580" i="7"/>
  <c r="F580" i="7"/>
  <c r="H579" i="7"/>
  <c r="G579" i="7"/>
  <c r="F579" i="7"/>
  <c r="H578" i="7"/>
  <c r="G578" i="7"/>
  <c r="F578" i="7"/>
  <c r="H577" i="7"/>
  <c r="G577" i="7"/>
  <c r="F577" i="7"/>
  <c r="H576" i="7"/>
  <c r="G576" i="7"/>
  <c r="F576" i="7"/>
  <c r="H575" i="7"/>
  <c r="G575" i="7"/>
  <c r="F575" i="7"/>
  <c r="H574" i="7"/>
  <c r="G574" i="7"/>
  <c r="F574" i="7"/>
  <c r="H573" i="7"/>
  <c r="G573" i="7"/>
  <c r="F573" i="7"/>
  <c r="H572" i="7"/>
  <c r="G572" i="7"/>
  <c r="F572" i="7"/>
  <c r="H571" i="7"/>
  <c r="G571" i="7"/>
  <c r="F571" i="7"/>
  <c r="H570" i="7"/>
  <c r="F570" i="7"/>
  <c r="H569" i="7"/>
  <c r="G569" i="7"/>
  <c r="F569" i="7"/>
  <c r="H568" i="7"/>
  <c r="G568" i="7"/>
  <c r="F568" i="7"/>
  <c r="H567" i="7"/>
  <c r="G567" i="7"/>
  <c r="F567" i="7"/>
  <c r="H566" i="7"/>
  <c r="G566" i="7"/>
  <c r="F566" i="7"/>
  <c r="H565" i="7"/>
  <c r="G565" i="7"/>
  <c r="F565" i="7"/>
  <c r="H564" i="7"/>
  <c r="G564" i="7"/>
  <c r="F564" i="7"/>
  <c r="H563" i="7"/>
  <c r="G563" i="7"/>
  <c r="F563" i="7"/>
  <c r="H562" i="7"/>
  <c r="G562" i="7"/>
  <c r="F562" i="7"/>
  <c r="H561" i="7"/>
  <c r="G561" i="7"/>
  <c r="F561" i="7"/>
  <c r="H560" i="7"/>
  <c r="G560" i="7"/>
  <c r="F560" i="7"/>
  <c r="H559" i="7"/>
  <c r="G559" i="7"/>
  <c r="F559" i="7"/>
  <c r="H558" i="7"/>
  <c r="G558" i="7"/>
  <c r="F558" i="7"/>
  <c r="H557" i="7"/>
  <c r="G557" i="7"/>
  <c r="F557" i="7"/>
  <c r="H556" i="7"/>
  <c r="G556" i="7"/>
  <c r="F556" i="7"/>
  <c r="H555" i="7"/>
  <c r="G555" i="7"/>
  <c r="F555" i="7"/>
  <c r="H554" i="7"/>
  <c r="G554" i="7"/>
  <c r="F554" i="7"/>
  <c r="H553" i="7"/>
  <c r="G553" i="7"/>
  <c r="F553" i="7"/>
  <c r="H552" i="7"/>
  <c r="G552" i="7"/>
  <c r="F552" i="7"/>
  <c r="H551" i="7"/>
  <c r="G551" i="7"/>
  <c r="F551" i="7"/>
  <c r="H550" i="7"/>
  <c r="G550" i="7"/>
  <c r="F550" i="7"/>
  <c r="H549" i="7"/>
  <c r="G549" i="7"/>
  <c r="F549" i="7"/>
  <c r="H548" i="7"/>
  <c r="G548" i="7"/>
  <c r="F548" i="7"/>
  <c r="H547" i="7"/>
  <c r="G547" i="7"/>
  <c r="F547" i="7"/>
  <c r="H546" i="7"/>
  <c r="G546" i="7"/>
  <c r="F546" i="7"/>
  <c r="H545" i="7"/>
  <c r="G545" i="7"/>
  <c r="F545" i="7"/>
  <c r="E545" i="7"/>
  <c r="H544" i="7"/>
  <c r="G544" i="7"/>
  <c r="F544" i="7"/>
  <c r="H543" i="7"/>
  <c r="G543" i="7"/>
  <c r="F543" i="7"/>
  <c r="H542" i="7"/>
  <c r="G542" i="7"/>
  <c r="F542" i="7"/>
  <c r="H541" i="7"/>
  <c r="G541" i="7"/>
  <c r="F541" i="7"/>
  <c r="H540" i="7"/>
  <c r="G540" i="7"/>
  <c r="F540" i="7"/>
  <c r="H539" i="7"/>
  <c r="G539" i="7"/>
  <c r="F539" i="7"/>
  <c r="H538" i="7"/>
  <c r="G538" i="7"/>
  <c r="F538" i="7"/>
  <c r="E538" i="7"/>
  <c r="G537" i="7"/>
  <c r="F537" i="7"/>
  <c r="H537" i="7" s="1"/>
  <c r="G536" i="7"/>
  <c r="F536" i="7"/>
  <c r="H536" i="7" s="1"/>
  <c r="G535" i="7"/>
  <c r="F535" i="7"/>
  <c r="H535" i="7" s="1"/>
  <c r="G534" i="7"/>
  <c r="F534" i="7"/>
  <c r="H534" i="7" s="1"/>
  <c r="G533" i="7"/>
  <c r="F533" i="7"/>
  <c r="H533" i="7" s="1"/>
  <c r="G532" i="7"/>
  <c r="F532" i="7"/>
  <c r="H532" i="7" s="1"/>
  <c r="G531" i="7"/>
  <c r="F531" i="7"/>
  <c r="H531" i="7" s="1"/>
  <c r="G530" i="7"/>
  <c r="F530" i="7"/>
  <c r="H530" i="7" s="1"/>
  <c r="G529" i="7"/>
  <c r="F529" i="7"/>
  <c r="H529" i="7" s="1"/>
  <c r="G528" i="7"/>
  <c r="F528" i="7"/>
  <c r="H528" i="7" s="1"/>
  <c r="G527" i="7"/>
  <c r="F527" i="7"/>
  <c r="H527" i="7" s="1"/>
  <c r="G526" i="7"/>
  <c r="F526" i="7"/>
  <c r="H526" i="7" s="1"/>
  <c r="G525" i="7"/>
  <c r="F525" i="7"/>
  <c r="H525" i="7" s="1"/>
  <c r="G524" i="7"/>
  <c r="F524" i="7"/>
  <c r="H524" i="7" s="1"/>
  <c r="G523" i="7"/>
  <c r="F523" i="7"/>
  <c r="H523" i="7" s="1"/>
  <c r="G522" i="7"/>
  <c r="F522" i="7"/>
  <c r="H522" i="7" s="1"/>
  <c r="G521" i="7"/>
  <c r="F521" i="7"/>
  <c r="H521" i="7" s="1"/>
  <c r="G520" i="7"/>
  <c r="F520" i="7"/>
  <c r="H520" i="7" s="1"/>
  <c r="G519" i="7"/>
  <c r="F519" i="7"/>
  <c r="H519" i="7" s="1"/>
  <c r="G518" i="7"/>
  <c r="F518" i="7"/>
  <c r="H518" i="7" s="1"/>
  <c r="G517" i="7"/>
  <c r="F517" i="7"/>
  <c r="H517" i="7" s="1"/>
  <c r="G516" i="7"/>
  <c r="F516" i="7"/>
  <c r="H516" i="7" s="1"/>
  <c r="G515" i="7"/>
  <c r="F515" i="7"/>
  <c r="H515" i="7" s="1"/>
  <c r="G514" i="7"/>
  <c r="F514" i="7"/>
  <c r="H514" i="7" s="1"/>
  <c r="G513" i="7"/>
  <c r="F513" i="7"/>
  <c r="H513" i="7" s="1"/>
  <c r="G512" i="7"/>
  <c r="F512" i="7"/>
  <c r="H512" i="7" s="1"/>
  <c r="G511" i="7"/>
  <c r="F511" i="7"/>
  <c r="H511" i="7" s="1"/>
  <c r="G510" i="7"/>
  <c r="F510" i="7"/>
  <c r="H510" i="7" s="1"/>
  <c r="G509" i="7"/>
  <c r="F509" i="7"/>
  <c r="H509" i="7" s="1"/>
  <c r="G508" i="7"/>
  <c r="F508" i="7"/>
  <c r="H508" i="7" s="1"/>
  <c r="G507" i="7"/>
  <c r="F507" i="7"/>
  <c r="H507" i="7" s="1"/>
  <c r="G506" i="7"/>
  <c r="F506" i="7"/>
  <c r="H506" i="7" s="1"/>
  <c r="G505" i="7"/>
  <c r="F505" i="7"/>
  <c r="H505" i="7" s="1"/>
  <c r="G504" i="7"/>
  <c r="F504" i="7"/>
  <c r="H504" i="7" s="1"/>
  <c r="G503" i="7"/>
  <c r="F503" i="7"/>
  <c r="H503" i="7" s="1"/>
  <c r="G502" i="7"/>
  <c r="F502" i="7"/>
  <c r="H502" i="7" s="1"/>
  <c r="G501" i="7"/>
  <c r="F501" i="7"/>
  <c r="H501" i="7" s="1"/>
  <c r="G500" i="7"/>
  <c r="F500" i="7"/>
  <c r="H500" i="7" s="1"/>
  <c r="G499" i="7"/>
  <c r="F499" i="7"/>
  <c r="H499" i="7" s="1"/>
  <c r="G498" i="7"/>
  <c r="F498" i="7"/>
  <c r="H498" i="7" s="1"/>
  <c r="G497" i="7"/>
  <c r="F497" i="7"/>
  <c r="H497" i="7" s="1"/>
  <c r="G496" i="7"/>
  <c r="F496" i="7"/>
  <c r="H496" i="7" s="1"/>
  <c r="G495" i="7"/>
  <c r="F495" i="7"/>
  <c r="H495" i="7" s="1"/>
  <c r="G494" i="7"/>
  <c r="F494" i="7"/>
  <c r="H494" i="7" s="1"/>
  <c r="G493" i="7"/>
  <c r="F493" i="7"/>
  <c r="H493" i="7" s="1"/>
  <c r="G492" i="7"/>
  <c r="F492" i="7"/>
  <c r="H492" i="7" s="1"/>
  <c r="G491" i="7"/>
  <c r="F491" i="7"/>
  <c r="H491" i="7" s="1"/>
  <c r="G490" i="7"/>
  <c r="F490" i="7"/>
  <c r="H490" i="7" s="1"/>
  <c r="G489" i="7"/>
  <c r="F489" i="7"/>
  <c r="H489" i="7" s="1"/>
  <c r="G488" i="7"/>
  <c r="F488" i="7"/>
  <c r="H488" i="7" s="1"/>
  <c r="G487" i="7"/>
  <c r="F487" i="7"/>
  <c r="H487" i="7" s="1"/>
  <c r="G486" i="7"/>
  <c r="F486" i="7"/>
  <c r="H486" i="7" s="1"/>
  <c r="G485" i="7"/>
  <c r="F485" i="7"/>
  <c r="H485" i="7" s="1"/>
  <c r="G484" i="7"/>
  <c r="F484" i="7"/>
  <c r="H484" i="7" s="1"/>
  <c r="G483" i="7"/>
  <c r="F483" i="7"/>
  <c r="H483" i="7" s="1"/>
  <c r="G482" i="7"/>
  <c r="F482" i="7"/>
  <c r="H482" i="7" s="1"/>
  <c r="G481" i="7"/>
  <c r="F481" i="7"/>
  <c r="E481" i="7"/>
  <c r="H481" i="7" s="1"/>
  <c r="H480" i="7"/>
  <c r="G480" i="7"/>
  <c r="F480" i="7"/>
  <c r="H479" i="7"/>
  <c r="G479" i="7"/>
  <c r="F479" i="7"/>
  <c r="H478" i="7"/>
  <c r="G478" i="7"/>
  <c r="F478" i="7"/>
  <c r="H477" i="7"/>
  <c r="G477" i="7"/>
  <c r="F477" i="7"/>
  <c r="H476" i="7"/>
  <c r="G476" i="7"/>
  <c r="F476" i="7"/>
  <c r="E476" i="7"/>
  <c r="H475" i="7"/>
  <c r="G475" i="7"/>
  <c r="F475" i="7"/>
  <c r="H474" i="7"/>
  <c r="G474" i="7"/>
  <c r="F474" i="7"/>
  <c r="H473" i="7"/>
  <c r="G473" i="7"/>
  <c r="F473" i="7"/>
  <c r="H472" i="7"/>
  <c r="G472" i="7"/>
  <c r="F472" i="7"/>
  <c r="H471" i="7"/>
  <c r="G471" i="7"/>
  <c r="F471" i="7"/>
  <c r="H470" i="7"/>
  <c r="G470" i="7"/>
  <c r="F470" i="7"/>
  <c r="H469" i="7"/>
  <c r="G469" i="7"/>
  <c r="F469" i="7"/>
  <c r="H468" i="7"/>
  <c r="G468" i="7"/>
  <c r="F468" i="7"/>
  <c r="H467" i="7"/>
  <c r="G467" i="7"/>
  <c r="F467" i="7"/>
  <c r="H466" i="7"/>
  <c r="G466" i="7"/>
  <c r="F466" i="7"/>
  <c r="H465" i="7"/>
  <c r="G465" i="7"/>
  <c r="F465" i="7"/>
  <c r="H464" i="7"/>
  <c r="G464" i="7"/>
  <c r="F464" i="7"/>
  <c r="H463" i="7"/>
  <c r="G463" i="7"/>
  <c r="F463" i="7"/>
  <c r="H462" i="7"/>
  <c r="G462" i="7"/>
  <c r="F462" i="7"/>
  <c r="H461" i="7"/>
  <c r="G461" i="7"/>
  <c r="F461" i="7"/>
  <c r="H460" i="7"/>
  <c r="G460" i="7"/>
  <c r="F460" i="7"/>
  <c r="H459" i="7"/>
  <c r="G459" i="7"/>
  <c r="F459" i="7"/>
  <c r="H458" i="7"/>
  <c r="G458" i="7"/>
  <c r="F458" i="7"/>
  <c r="H457" i="7"/>
  <c r="G457" i="7"/>
  <c r="F457" i="7"/>
  <c r="H456" i="7"/>
  <c r="G456" i="7"/>
  <c r="F456" i="7"/>
  <c r="H455" i="7"/>
  <c r="G455" i="7"/>
  <c r="F455" i="7"/>
  <c r="H454" i="7"/>
  <c r="G454" i="7"/>
  <c r="F454" i="7"/>
  <c r="H453" i="7"/>
  <c r="G453" i="7"/>
  <c r="F453" i="7"/>
  <c r="H452" i="7"/>
  <c r="G452" i="7"/>
  <c r="F452" i="7"/>
  <c r="H451" i="7"/>
  <c r="G451" i="7"/>
  <c r="F451" i="7"/>
  <c r="H450" i="7"/>
  <c r="G450" i="7"/>
  <c r="F450" i="7"/>
  <c r="H449" i="7"/>
  <c r="G449" i="7"/>
  <c r="F449" i="7"/>
  <c r="H448" i="7"/>
  <c r="G448" i="7"/>
  <c r="F448" i="7"/>
  <c r="H447" i="7"/>
  <c r="G447" i="7"/>
  <c r="F447" i="7"/>
  <c r="H446" i="7"/>
  <c r="G446" i="7"/>
  <c r="F446" i="7"/>
  <c r="H445" i="7"/>
  <c r="G445" i="7"/>
  <c r="F445" i="7"/>
  <c r="G444" i="7"/>
  <c r="F444" i="7"/>
  <c r="H444" i="7" s="1"/>
  <c r="G443" i="7"/>
  <c r="F443" i="7"/>
  <c r="H443" i="7" s="1"/>
  <c r="G442" i="7"/>
  <c r="F442" i="7"/>
  <c r="H442" i="7" s="1"/>
  <c r="G441" i="7"/>
  <c r="F441" i="7"/>
  <c r="H441" i="7" s="1"/>
  <c r="G440" i="7"/>
  <c r="F440" i="7"/>
  <c r="H440" i="7" s="1"/>
  <c r="H439" i="7"/>
  <c r="G439" i="7"/>
  <c r="F439" i="7"/>
  <c r="H438" i="7"/>
  <c r="G438" i="7"/>
  <c r="F438" i="7"/>
  <c r="H437" i="7"/>
  <c r="G437" i="7"/>
  <c r="F437" i="7"/>
  <c r="H436" i="7"/>
  <c r="G436" i="7"/>
  <c r="F436" i="7"/>
  <c r="H435" i="7"/>
  <c r="G435" i="7"/>
  <c r="F435" i="7"/>
  <c r="H434" i="7"/>
  <c r="G434" i="7"/>
  <c r="F434" i="7"/>
  <c r="H433" i="7"/>
  <c r="G433" i="7"/>
  <c r="F433" i="7"/>
  <c r="H432" i="7"/>
  <c r="G432" i="7"/>
  <c r="F432" i="7"/>
  <c r="E432" i="7"/>
  <c r="G431" i="7"/>
  <c r="F431" i="7"/>
  <c r="E431" i="7"/>
  <c r="H431" i="7" s="1"/>
  <c r="G430" i="7"/>
  <c r="F430" i="7"/>
  <c r="H430" i="7" s="1"/>
  <c r="G429" i="7"/>
  <c r="F429" i="7"/>
  <c r="H429" i="7" s="1"/>
  <c r="G428" i="7"/>
  <c r="F428" i="7"/>
  <c r="H428" i="7" s="1"/>
  <c r="G427" i="7"/>
  <c r="F427" i="7"/>
  <c r="H427" i="7" s="1"/>
  <c r="G426" i="7"/>
  <c r="F426" i="7"/>
  <c r="H426" i="7" s="1"/>
  <c r="G425" i="7"/>
  <c r="F425" i="7"/>
  <c r="H425" i="7" s="1"/>
  <c r="G424" i="7"/>
  <c r="F424" i="7"/>
  <c r="H424" i="7" s="1"/>
  <c r="G423" i="7"/>
  <c r="F423" i="7"/>
  <c r="H423" i="7" s="1"/>
  <c r="G422" i="7"/>
  <c r="F422" i="7"/>
  <c r="H422" i="7" s="1"/>
  <c r="G421" i="7"/>
  <c r="F421" i="7"/>
  <c r="H421" i="7" s="1"/>
  <c r="G420" i="7"/>
  <c r="F420" i="7"/>
  <c r="H420" i="7" s="1"/>
  <c r="G419" i="7"/>
  <c r="F419" i="7"/>
  <c r="H419" i="7" s="1"/>
  <c r="G418" i="7"/>
  <c r="F418" i="7"/>
  <c r="H418" i="7" s="1"/>
  <c r="G417" i="7"/>
  <c r="F417" i="7"/>
  <c r="H417" i="7" s="1"/>
  <c r="G416" i="7"/>
  <c r="F416" i="7"/>
  <c r="H416" i="7" s="1"/>
  <c r="G415" i="7"/>
  <c r="F415" i="7"/>
  <c r="H415" i="7" s="1"/>
  <c r="G414" i="7"/>
  <c r="F414" i="7"/>
  <c r="H414" i="7" s="1"/>
  <c r="G413" i="7"/>
  <c r="F413" i="7"/>
  <c r="H413" i="7" s="1"/>
  <c r="G412" i="7"/>
  <c r="F412" i="7"/>
  <c r="H412" i="7" s="1"/>
  <c r="G411" i="7"/>
  <c r="F411" i="7"/>
  <c r="H411" i="7" s="1"/>
  <c r="G410" i="7"/>
  <c r="F410" i="7"/>
  <c r="H410" i="7" s="1"/>
  <c r="G409" i="7"/>
  <c r="F409" i="7"/>
  <c r="H409" i="7" s="1"/>
  <c r="G408" i="7"/>
  <c r="F408" i="7"/>
  <c r="H408" i="7" s="1"/>
  <c r="G407" i="7"/>
  <c r="F407" i="7"/>
  <c r="H407" i="7" s="1"/>
  <c r="G406" i="7"/>
  <c r="F406" i="7"/>
  <c r="H406" i="7" s="1"/>
  <c r="G405" i="7"/>
  <c r="F405" i="7"/>
  <c r="H405" i="7" s="1"/>
  <c r="G404" i="7"/>
  <c r="F404" i="7"/>
  <c r="H404" i="7" s="1"/>
  <c r="G403" i="7"/>
  <c r="F403" i="7"/>
  <c r="H403" i="7" s="1"/>
  <c r="F402" i="7"/>
  <c r="H401" i="7"/>
  <c r="G401" i="7"/>
  <c r="F401" i="7"/>
  <c r="H400" i="7"/>
  <c r="G400" i="7"/>
  <c r="F400" i="7"/>
  <c r="H399" i="7"/>
  <c r="G399" i="7"/>
  <c r="F399" i="7"/>
  <c r="H398" i="7"/>
  <c r="G398" i="7"/>
  <c r="F398" i="7"/>
  <c r="H397" i="7"/>
  <c r="G397" i="7"/>
  <c r="F397" i="7"/>
  <c r="H396" i="7"/>
  <c r="G396" i="7"/>
  <c r="F396" i="7"/>
  <c r="H395" i="7"/>
  <c r="G395" i="7"/>
  <c r="F395" i="7"/>
  <c r="H394" i="7"/>
  <c r="G394" i="7"/>
  <c r="F394" i="7"/>
  <c r="H393" i="7"/>
  <c r="G393" i="7"/>
  <c r="F393" i="7"/>
  <c r="H392" i="7"/>
  <c r="G392" i="7"/>
  <c r="F392" i="7"/>
  <c r="H391" i="7"/>
  <c r="G391" i="7"/>
  <c r="F391" i="7"/>
  <c r="H390" i="7"/>
  <c r="G390" i="7"/>
  <c r="F390" i="7"/>
  <c r="H389" i="7"/>
  <c r="G389" i="7"/>
  <c r="F389" i="7"/>
  <c r="H388" i="7"/>
  <c r="G388" i="7"/>
  <c r="F388" i="7"/>
  <c r="H387" i="7"/>
  <c r="G387" i="7"/>
  <c r="F387" i="7"/>
  <c r="H386" i="7"/>
  <c r="G386" i="7"/>
  <c r="F386" i="7"/>
  <c r="F385" i="7"/>
  <c r="H385" i="7" s="1"/>
  <c r="G384" i="7"/>
  <c r="F384" i="7"/>
  <c r="H384" i="7" s="1"/>
  <c r="G383" i="7"/>
  <c r="F383" i="7"/>
  <c r="H383" i="7" s="1"/>
  <c r="G382" i="7"/>
  <c r="F382" i="7"/>
  <c r="H382" i="7" s="1"/>
  <c r="G381" i="7"/>
  <c r="F381" i="7"/>
  <c r="H381" i="7" s="1"/>
  <c r="G380" i="7"/>
  <c r="F380" i="7"/>
  <c r="H380" i="7" s="1"/>
  <c r="G379" i="7"/>
  <c r="F379" i="7"/>
  <c r="H379" i="7" s="1"/>
  <c r="G378" i="7"/>
  <c r="F378" i="7"/>
  <c r="H378" i="7" s="1"/>
  <c r="G377" i="7"/>
  <c r="F377" i="7"/>
  <c r="H377" i="7" s="1"/>
  <c r="G376" i="7"/>
  <c r="F376" i="7"/>
  <c r="H376" i="7" s="1"/>
  <c r="G375" i="7"/>
  <c r="F375" i="7"/>
  <c r="H375" i="7" s="1"/>
  <c r="G374" i="7"/>
  <c r="F374" i="7"/>
  <c r="H374" i="7" s="1"/>
  <c r="G373" i="7"/>
  <c r="F373" i="7"/>
  <c r="H373" i="7" s="1"/>
  <c r="G372" i="7"/>
  <c r="F372" i="7"/>
  <c r="H372" i="7" s="1"/>
  <c r="G371" i="7"/>
  <c r="F371" i="7"/>
  <c r="H371" i="7" s="1"/>
  <c r="G370" i="7"/>
  <c r="F370" i="7"/>
  <c r="H370" i="7" s="1"/>
  <c r="G369" i="7"/>
  <c r="F369" i="7"/>
  <c r="H369" i="7" s="1"/>
  <c r="G368" i="7"/>
  <c r="F368" i="7"/>
  <c r="H368" i="7" s="1"/>
  <c r="G367" i="7"/>
  <c r="F367" i="7"/>
  <c r="H367" i="7" s="1"/>
  <c r="G366" i="7"/>
  <c r="F366" i="7"/>
  <c r="H366" i="7" s="1"/>
  <c r="G365" i="7"/>
  <c r="F365" i="7"/>
  <c r="H365" i="7" s="1"/>
  <c r="H364" i="7"/>
  <c r="G364" i="7"/>
  <c r="F364" i="7"/>
  <c r="H363" i="7"/>
  <c r="G363" i="7"/>
  <c r="F363" i="7"/>
  <c r="G362" i="7"/>
  <c r="F362" i="7"/>
  <c r="H362" i="7" s="1"/>
  <c r="G361" i="7"/>
  <c r="F361" i="7"/>
  <c r="H361" i="7" s="1"/>
  <c r="G360" i="7"/>
  <c r="F360" i="7"/>
  <c r="H360" i="7" s="1"/>
  <c r="H359" i="7"/>
  <c r="G359" i="7"/>
  <c r="F359" i="7"/>
  <c r="H358" i="7"/>
  <c r="G358" i="7"/>
  <c r="F358" i="7"/>
  <c r="G357" i="7"/>
  <c r="F357" i="7"/>
  <c r="H357" i="7" s="1"/>
  <c r="G356" i="7"/>
  <c r="F356" i="7"/>
  <c r="H356" i="7" s="1"/>
  <c r="H355" i="7"/>
  <c r="G355" i="7"/>
  <c r="F355" i="7"/>
  <c r="H354" i="7"/>
  <c r="G354" i="7"/>
  <c r="F354" i="7"/>
  <c r="G353" i="7"/>
  <c r="F353" i="7"/>
  <c r="H353" i="7" s="1"/>
  <c r="H352" i="7"/>
  <c r="G352" i="7"/>
  <c r="F352" i="7"/>
  <c r="H351" i="7"/>
  <c r="G351" i="7"/>
  <c r="F351" i="7"/>
  <c r="H350" i="7"/>
  <c r="G350" i="7"/>
  <c r="F350" i="7"/>
  <c r="H349" i="7"/>
  <c r="G349" i="7"/>
  <c r="F349" i="7"/>
  <c r="H348" i="7"/>
  <c r="G348" i="7"/>
  <c r="F348" i="7"/>
  <c r="H347" i="7"/>
  <c r="G347" i="7"/>
  <c r="F347" i="7"/>
  <c r="G346" i="7"/>
  <c r="F346" i="7"/>
  <c r="E346" i="7"/>
  <c r="H346" i="7" s="1"/>
  <c r="G345" i="7"/>
  <c r="F345" i="7"/>
  <c r="H345" i="7" s="1"/>
  <c r="G344" i="7"/>
  <c r="F344" i="7"/>
  <c r="H344" i="7" s="1"/>
  <c r="H343" i="7"/>
  <c r="G343" i="7"/>
  <c r="F343" i="7"/>
  <c r="H342" i="7"/>
  <c r="G342" i="7"/>
  <c r="F342" i="7"/>
  <c r="G341" i="7"/>
  <c r="F341" i="7"/>
  <c r="H341" i="7" s="1"/>
  <c r="G340" i="7"/>
  <c r="F340" i="7"/>
  <c r="H340" i="7" s="1"/>
  <c r="G339" i="7"/>
  <c r="F339" i="7"/>
  <c r="H339" i="7" s="1"/>
  <c r="G338" i="7"/>
  <c r="F338" i="7"/>
  <c r="H338" i="7" s="1"/>
  <c r="G337" i="7"/>
  <c r="F337" i="7"/>
  <c r="H337" i="7" s="1"/>
  <c r="G336" i="7"/>
  <c r="F336" i="7"/>
  <c r="H336" i="7" s="1"/>
  <c r="H335" i="7"/>
  <c r="G335" i="7"/>
  <c r="F335" i="7"/>
  <c r="G334" i="7"/>
  <c r="F334" i="7"/>
  <c r="H334" i="7" s="1"/>
  <c r="H333" i="7"/>
  <c r="G333" i="7"/>
  <c r="F333" i="7"/>
  <c r="H332" i="7"/>
  <c r="G332" i="7"/>
  <c r="F332" i="7"/>
  <c r="H331" i="7"/>
  <c r="G331" i="7"/>
  <c r="F331" i="7"/>
  <c r="H330" i="7"/>
  <c r="G330" i="7"/>
  <c r="F330" i="7"/>
  <c r="H329" i="7"/>
  <c r="G329" i="7"/>
  <c r="F329" i="7"/>
  <c r="H328" i="7"/>
  <c r="G328" i="7"/>
  <c r="F328" i="7"/>
  <c r="H327" i="7"/>
  <c r="G327" i="7"/>
  <c r="F327" i="7"/>
  <c r="H326" i="7"/>
  <c r="G326" i="7"/>
  <c r="F326" i="7"/>
  <c r="H325" i="7"/>
  <c r="G325" i="7"/>
  <c r="F325" i="7"/>
  <c r="H324" i="7"/>
  <c r="G324" i="7"/>
  <c r="F324" i="7"/>
  <c r="H323" i="7"/>
  <c r="G323" i="7"/>
  <c r="F323" i="7"/>
  <c r="H322" i="7"/>
  <c r="G322" i="7"/>
  <c r="F322" i="7"/>
  <c r="H321" i="7"/>
  <c r="G321" i="7"/>
  <c r="F321" i="7"/>
  <c r="G320" i="7"/>
  <c r="F320" i="7"/>
  <c r="H320" i="7" s="1"/>
  <c r="G319" i="7"/>
  <c r="F319" i="7"/>
  <c r="H319" i="7" s="1"/>
  <c r="G318" i="7"/>
  <c r="F318" i="7"/>
  <c r="H318" i="7" s="1"/>
  <c r="G317" i="7"/>
  <c r="F317" i="7"/>
  <c r="H317" i="7" s="1"/>
  <c r="G316" i="7"/>
  <c r="F316" i="7"/>
  <c r="H316" i="7" s="1"/>
  <c r="H315" i="7"/>
  <c r="G315" i="7"/>
  <c r="F315" i="7"/>
  <c r="H314" i="7"/>
  <c r="G314" i="7"/>
  <c r="F314" i="7"/>
  <c r="G313" i="7"/>
  <c r="F313" i="7"/>
  <c r="H313" i="7" s="1"/>
  <c r="G312" i="7"/>
  <c r="F312" i="7"/>
  <c r="H312" i="7" s="1"/>
  <c r="G311" i="7"/>
  <c r="F311" i="7"/>
  <c r="H311" i="7" s="1"/>
  <c r="G310" i="7"/>
  <c r="F310" i="7"/>
  <c r="H310" i="7" s="1"/>
  <c r="G309" i="7"/>
  <c r="F309" i="7"/>
  <c r="G308" i="7"/>
  <c r="F308" i="7"/>
  <c r="E308" i="7"/>
  <c r="H308" i="7" s="1"/>
  <c r="G307" i="7"/>
  <c r="F307" i="7"/>
  <c r="H307" i="7" s="1"/>
  <c r="G306" i="7"/>
  <c r="F306" i="7"/>
  <c r="H306" i="7" s="1"/>
  <c r="G305" i="7"/>
  <c r="F305" i="7"/>
  <c r="H305" i="7" s="1"/>
  <c r="H304" i="7"/>
  <c r="G304" i="7"/>
  <c r="F304" i="7"/>
  <c r="H303" i="7"/>
  <c r="G303" i="7"/>
  <c r="F303" i="7"/>
  <c r="H302" i="7"/>
  <c r="G302" i="7"/>
  <c r="F302" i="7"/>
  <c r="H301" i="7"/>
  <c r="G301" i="7"/>
  <c r="F301" i="7"/>
  <c r="H300" i="7"/>
  <c r="G300" i="7"/>
  <c r="F300" i="7"/>
  <c r="H299" i="7"/>
  <c r="G299" i="7"/>
  <c r="F299" i="7"/>
  <c r="H298" i="7"/>
  <c r="G298" i="7"/>
  <c r="F298" i="7"/>
  <c r="H297" i="7"/>
  <c r="G297" i="7"/>
  <c r="F297" i="7"/>
  <c r="H296" i="7"/>
  <c r="G296" i="7"/>
  <c r="F296" i="7"/>
  <c r="H295" i="7"/>
  <c r="G295" i="7"/>
  <c r="F295" i="7"/>
  <c r="H294" i="7"/>
  <c r="G294" i="7"/>
  <c r="F294" i="7"/>
  <c r="H293" i="7"/>
  <c r="G293" i="7"/>
  <c r="F293" i="7"/>
  <c r="G292" i="7"/>
  <c r="F292" i="7"/>
  <c r="H292" i="7" s="1"/>
  <c r="G291" i="7"/>
  <c r="F291" i="7"/>
  <c r="H291" i="7" s="1"/>
  <c r="G290" i="7"/>
  <c r="F290" i="7"/>
  <c r="H290" i="7" s="1"/>
  <c r="G289" i="7"/>
  <c r="F289" i="7"/>
  <c r="H289" i="7" s="1"/>
  <c r="G288" i="7"/>
  <c r="F288" i="7"/>
  <c r="H288" i="7" s="1"/>
  <c r="G287" i="7"/>
  <c r="F287" i="7"/>
  <c r="H287" i="7" s="1"/>
  <c r="G286" i="7"/>
  <c r="F286" i="7"/>
  <c r="H286" i="7" s="1"/>
  <c r="H285" i="7"/>
  <c r="G285" i="7"/>
  <c r="F285" i="7"/>
  <c r="H284" i="7"/>
  <c r="G284" i="7"/>
  <c r="F284" i="7"/>
  <c r="H283" i="7"/>
  <c r="G283" i="7"/>
  <c r="F283" i="7"/>
  <c r="H282" i="7"/>
  <c r="G282" i="7"/>
  <c r="F282" i="7"/>
  <c r="H281" i="7"/>
  <c r="G281" i="7"/>
  <c r="F281" i="7"/>
  <c r="H280" i="7"/>
  <c r="G280" i="7"/>
  <c r="F280" i="7"/>
  <c r="H279" i="7"/>
  <c r="G279" i="7"/>
  <c r="F279" i="7"/>
  <c r="H278" i="7"/>
  <c r="G278" i="7"/>
  <c r="F278" i="7"/>
  <c r="G277" i="7"/>
  <c r="F277" i="7"/>
  <c r="H277" i="7" s="1"/>
  <c r="G276" i="7"/>
  <c r="F276" i="7"/>
  <c r="E276" i="7"/>
  <c r="H276" i="7" s="1"/>
  <c r="G275" i="7"/>
  <c r="F275" i="7"/>
  <c r="H275" i="7" s="1"/>
  <c r="H274" i="7"/>
  <c r="G274" i="7"/>
  <c r="F274" i="7"/>
  <c r="H273" i="7"/>
  <c r="G273" i="7"/>
  <c r="F273" i="7"/>
  <c r="H272" i="7"/>
  <c r="G272" i="7"/>
  <c r="F272" i="7"/>
  <c r="H271" i="7"/>
  <c r="G271" i="7"/>
  <c r="F271" i="7"/>
  <c r="H270" i="7"/>
  <c r="G270" i="7"/>
  <c r="F270" i="7"/>
  <c r="H269" i="7"/>
  <c r="G269" i="7"/>
  <c r="F269" i="7"/>
  <c r="H268" i="7"/>
  <c r="G268" i="7"/>
  <c r="F268" i="7"/>
  <c r="H267" i="7"/>
  <c r="G267" i="7"/>
  <c r="F267" i="7"/>
  <c r="E267" i="7"/>
  <c r="G266" i="7"/>
  <c r="F266" i="7"/>
  <c r="H266" i="7" s="1"/>
  <c r="G265" i="7"/>
  <c r="F265" i="7"/>
  <c r="H265" i="7" s="1"/>
  <c r="G264" i="7"/>
  <c r="F264" i="7"/>
  <c r="H264" i="7" s="1"/>
  <c r="G263" i="7"/>
  <c r="F263" i="7"/>
  <c r="H263" i="7" s="1"/>
  <c r="G262" i="7"/>
  <c r="F262" i="7"/>
  <c r="H262" i="7" s="1"/>
  <c r="H261" i="7"/>
  <c r="G261" i="7"/>
  <c r="F261" i="7"/>
  <c r="H260" i="7"/>
  <c r="G260" i="7"/>
  <c r="F260" i="7"/>
  <c r="H259" i="7"/>
  <c r="G259" i="7"/>
  <c r="F259" i="7"/>
  <c r="E259" i="7"/>
  <c r="H258" i="7"/>
  <c r="G258" i="7"/>
  <c r="F258" i="7"/>
  <c r="H257" i="7"/>
  <c r="G257" i="7"/>
  <c r="F257" i="7"/>
  <c r="H256" i="7"/>
  <c r="G256" i="7"/>
  <c r="F256" i="7"/>
  <c r="G255" i="7"/>
  <c r="F255" i="7"/>
  <c r="H255" i="7" s="1"/>
  <c r="G254" i="7"/>
  <c r="F254" i="7"/>
  <c r="H254" i="7" s="1"/>
  <c r="G253" i="7"/>
  <c r="F253" i="7"/>
  <c r="H253" i="7" s="1"/>
  <c r="G252" i="7"/>
  <c r="F252" i="7"/>
  <c r="H252" i="7" s="1"/>
  <c r="G251" i="7"/>
  <c r="F251" i="7"/>
  <c r="H251" i="7" s="1"/>
  <c r="H250" i="7"/>
  <c r="G250" i="7"/>
  <c r="F250" i="7"/>
  <c r="E250" i="7"/>
  <c r="H249" i="7"/>
  <c r="G249" i="7"/>
  <c r="F249" i="7"/>
  <c r="H248" i="7"/>
  <c r="G248" i="7"/>
  <c r="F248" i="7"/>
  <c r="H247" i="7"/>
  <c r="G247" i="7"/>
  <c r="F247" i="7"/>
  <c r="H246" i="7"/>
  <c r="G246" i="7"/>
  <c r="F246" i="7"/>
  <c r="G245" i="7"/>
  <c r="F245" i="7"/>
  <c r="H245" i="7" s="1"/>
  <c r="G244" i="7"/>
  <c r="F244" i="7"/>
  <c r="H244" i="7" s="1"/>
  <c r="G243" i="7"/>
  <c r="F243" i="7"/>
  <c r="H243" i="7" s="1"/>
  <c r="G242" i="7"/>
  <c r="F242" i="7"/>
  <c r="H242" i="7" s="1"/>
  <c r="G241" i="7"/>
  <c r="F241" i="7"/>
  <c r="H241" i="7" s="1"/>
  <c r="G240" i="7"/>
  <c r="F240" i="7"/>
  <c r="H240" i="7" s="1"/>
  <c r="G239" i="7"/>
  <c r="F239" i="7"/>
  <c r="H239" i="7" s="1"/>
  <c r="G238" i="7"/>
  <c r="F238" i="7"/>
  <c r="H238" i="7" s="1"/>
  <c r="G237" i="7"/>
  <c r="F237" i="7"/>
  <c r="H237" i="7" s="1"/>
  <c r="G236" i="7"/>
  <c r="F236" i="7"/>
  <c r="E236" i="7"/>
  <c r="H236" i="7" s="1"/>
  <c r="H235" i="7"/>
  <c r="G235" i="7"/>
  <c r="F235" i="7"/>
  <c r="H234" i="7"/>
  <c r="G234" i="7"/>
  <c r="F234" i="7"/>
  <c r="H233" i="7"/>
  <c r="G233" i="7"/>
  <c r="F233" i="7"/>
  <c r="E233" i="7"/>
  <c r="H232" i="7"/>
  <c r="G232" i="7"/>
  <c r="F232" i="7"/>
  <c r="G231" i="7"/>
  <c r="F231" i="7"/>
  <c r="E231" i="7"/>
  <c r="H231" i="7" s="1"/>
  <c r="G230" i="7"/>
  <c r="F230" i="7"/>
  <c r="H230" i="7" s="1"/>
  <c r="G229" i="7"/>
  <c r="F229" i="7"/>
  <c r="H229" i="7" s="1"/>
  <c r="G228" i="7"/>
  <c r="F228" i="7"/>
  <c r="H228" i="7" s="1"/>
  <c r="G227" i="7"/>
  <c r="F227" i="7"/>
  <c r="H227" i="7" s="1"/>
  <c r="E227" i="7"/>
  <c r="H226" i="7"/>
  <c r="G226" i="7"/>
  <c r="F226" i="7"/>
  <c r="E226" i="7"/>
  <c r="G225" i="7"/>
  <c r="F225" i="7"/>
  <c r="H225" i="7" s="1"/>
  <c r="G224" i="7"/>
  <c r="F224" i="7"/>
  <c r="H224" i="7" s="1"/>
  <c r="E224" i="7"/>
  <c r="H223" i="7"/>
  <c r="G223" i="7"/>
  <c r="F223" i="7"/>
  <c r="H222" i="7"/>
  <c r="G222" i="7"/>
  <c r="F222" i="7"/>
  <c r="H221" i="7"/>
  <c r="G221" i="7"/>
  <c r="F221" i="7"/>
  <c r="E221" i="7"/>
  <c r="G220" i="7"/>
  <c r="F220" i="7"/>
  <c r="H220" i="7" s="1"/>
  <c r="G219" i="7"/>
  <c r="F219" i="7"/>
  <c r="H219" i="7" s="1"/>
  <c r="G218" i="7"/>
  <c r="F218" i="7"/>
  <c r="H218" i="7" s="1"/>
  <c r="G217" i="7"/>
  <c r="F217" i="7"/>
  <c r="H217" i="7" s="1"/>
  <c r="G216" i="7"/>
  <c r="F216" i="7"/>
  <c r="H216" i="7" s="1"/>
  <c r="G215" i="7"/>
  <c r="F215" i="7"/>
  <c r="H215" i="7" s="1"/>
  <c r="H214" i="7"/>
  <c r="G214" i="7"/>
  <c r="F214" i="7"/>
  <c r="E214" i="7"/>
  <c r="H213" i="7"/>
  <c r="G213" i="7"/>
  <c r="F213" i="7"/>
  <c r="H212" i="7"/>
  <c r="G212" i="7"/>
  <c r="F212" i="7"/>
  <c r="H211" i="7"/>
  <c r="G211" i="7"/>
  <c r="F211" i="7"/>
  <c r="G210" i="7"/>
  <c r="F210" i="7"/>
  <c r="H210" i="7" s="1"/>
  <c r="G209" i="7"/>
  <c r="F209" i="7"/>
  <c r="H209" i="7" s="1"/>
  <c r="G208" i="7"/>
  <c r="F208" i="7"/>
  <c r="H208" i="7" s="1"/>
  <c r="G207" i="7"/>
  <c r="F207" i="7"/>
  <c r="H207" i="7" s="1"/>
  <c r="G206" i="7"/>
  <c r="F206" i="7"/>
  <c r="H206" i="7" s="1"/>
  <c r="G205" i="7"/>
  <c r="F205" i="7"/>
  <c r="H205" i="7" s="1"/>
  <c r="G204" i="7"/>
  <c r="F204" i="7"/>
  <c r="H204" i="7" s="1"/>
  <c r="H203" i="7"/>
  <c r="G203" i="7"/>
  <c r="F203" i="7"/>
  <c r="E203" i="7"/>
  <c r="H202" i="7"/>
  <c r="G202" i="7"/>
  <c r="F202" i="7"/>
  <c r="H201" i="7"/>
  <c r="G201" i="7"/>
  <c r="F201" i="7"/>
  <c r="H200" i="7"/>
  <c r="G200" i="7"/>
  <c r="F200" i="7"/>
  <c r="H199" i="7"/>
  <c r="G199" i="7"/>
  <c r="F199" i="7"/>
  <c r="H198" i="7"/>
  <c r="G198" i="7"/>
  <c r="F198" i="7"/>
  <c r="H197" i="7"/>
  <c r="G197" i="7"/>
  <c r="F197" i="7"/>
  <c r="H196" i="7"/>
  <c r="G196" i="7"/>
  <c r="F196" i="7"/>
  <c r="H195" i="7"/>
  <c r="G195" i="7"/>
  <c r="F195" i="7"/>
  <c r="F194" i="7"/>
  <c r="E194" i="7"/>
  <c r="H194" i="7" s="1"/>
  <c r="G193" i="7"/>
  <c r="F193" i="7"/>
  <c r="E193" i="7"/>
  <c r="H193" i="7" s="1"/>
  <c r="G192" i="7"/>
  <c r="F192" i="7"/>
  <c r="H192" i="7" s="1"/>
  <c r="G191" i="7"/>
  <c r="F191" i="7"/>
  <c r="G190" i="7"/>
  <c r="F190" i="7"/>
  <c r="H190" i="7" s="1"/>
  <c r="G189" i="7"/>
  <c r="F189" i="7"/>
  <c r="H189" i="7" s="1"/>
  <c r="G188" i="7"/>
  <c r="F188" i="7"/>
  <c r="H188" i="7" s="1"/>
  <c r="G187" i="7"/>
  <c r="F187" i="7"/>
  <c r="H187" i="7" s="1"/>
  <c r="G186" i="7"/>
  <c r="F186" i="7"/>
  <c r="H186" i="7" s="1"/>
  <c r="G185" i="7"/>
  <c r="F185" i="7"/>
  <c r="H185" i="7" s="1"/>
  <c r="G184" i="7"/>
  <c r="F184" i="7"/>
  <c r="H184" i="7" s="1"/>
  <c r="H183" i="7"/>
  <c r="G183" i="7"/>
  <c r="F183" i="7"/>
  <c r="H182" i="7"/>
  <c r="G182" i="7"/>
  <c r="F182" i="7"/>
  <c r="H181" i="7"/>
  <c r="G181" i="7"/>
  <c r="F181" i="7"/>
  <c r="E181" i="7"/>
  <c r="G180" i="7"/>
  <c r="F180" i="7"/>
  <c r="E180" i="7"/>
  <c r="H180" i="7" s="1"/>
  <c r="G179" i="7"/>
  <c r="F179" i="7"/>
  <c r="H179" i="7" s="1"/>
  <c r="G178" i="7"/>
  <c r="F178" i="7"/>
  <c r="H178" i="7" s="1"/>
  <c r="H177" i="7"/>
  <c r="G177" i="7"/>
  <c r="F177" i="7"/>
  <c r="H176" i="7"/>
  <c r="G176" i="7"/>
  <c r="F176" i="7"/>
  <c r="E176" i="7"/>
  <c r="H175" i="7"/>
  <c r="G175" i="7"/>
  <c r="F175" i="7"/>
  <c r="H174" i="7"/>
  <c r="G174" i="7"/>
  <c r="F174" i="7"/>
  <c r="H173" i="7"/>
  <c r="G173" i="7"/>
  <c r="F173" i="7"/>
  <c r="H172" i="7"/>
  <c r="G172" i="7"/>
  <c r="F172" i="7"/>
  <c r="H171" i="7"/>
  <c r="G171" i="7"/>
  <c r="F171" i="7"/>
  <c r="H170" i="7"/>
  <c r="G170" i="7"/>
  <c r="F170" i="7"/>
  <c r="H169" i="7"/>
  <c r="G169" i="7"/>
  <c r="F169" i="7"/>
  <c r="G168" i="7"/>
  <c r="F168" i="7"/>
  <c r="H168" i="7" s="1"/>
  <c r="G167" i="7"/>
  <c r="F167" i="7"/>
  <c r="H167" i="7" s="1"/>
  <c r="G166" i="7"/>
  <c r="F166" i="7"/>
  <c r="H165" i="7"/>
  <c r="G165" i="7"/>
  <c r="F165" i="7"/>
  <c r="G164" i="7"/>
  <c r="F164" i="7"/>
  <c r="H164" i="7" s="1"/>
  <c r="G163" i="7"/>
  <c r="F163" i="7"/>
  <c r="H163" i="7" s="1"/>
  <c r="G162" i="7"/>
  <c r="F162" i="7"/>
  <c r="E162" i="7"/>
  <c r="H162" i="7" s="1"/>
  <c r="G161" i="7"/>
  <c r="F161" i="7"/>
  <c r="H161" i="7" s="1"/>
  <c r="G160" i="7"/>
  <c r="F160" i="7"/>
  <c r="H160" i="7" s="1"/>
  <c r="G159" i="7"/>
  <c r="F159" i="7"/>
  <c r="H159" i="7" s="1"/>
  <c r="F158" i="7"/>
  <c r="H158" i="7" s="1"/>
  <c r="G157" i="7"/>
  <c r="F157" i="7"/>
  <c r="H157" i="7" s="1"/>
  <c r="E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G150" i="7"/>
  <c r="F150" i="7"/>
  <c r="E150" i="7"/>
  <c r="H150" i="7" s="1"/>
  <c r="G149" i="7"/>
  <c r="F149" i="7"/>
  <c r="H149" i="7" s="1"/>
  <c r="G148" i="7"/>
  <c r="F148" i="7"/>
  <c r="H148" i="7" s="1"/>
  <c r="G147" i="7"/>
  <c r="F147" i="7"/>
  <c r="H147" i="7" s="1"/>
  <c r="G146" i="7"/>
  <c r="F146" i="7"/>
  <c r="H146" i="7" s="1"/>
  <c r="G145" i="7"/>
  <c r="F145" i="7"/>
  <c r="H145" i="7" s="1"/>
  <c r="G144" i="7"/>
  <c r="F144" i="7"/>
  <c r="H144" i="7" s="1"/>
  <c r="G143" i="7"/>
  <c r="F143" i="7"/>
  <c r="H143" i="7" s="1"/>
  <c r="E143" i="7"/>
  <c r="H142" i="7"/>
  <c r="G142" i="7"/>
  <c r="F142" i="7"/>
  <c r="H141" i="7"/>
  <c r="G141" i="7"/>
  <c r="F141" i="7"/>
  <c r="H140" i="7"/>
  <c r="G140" i="7"/>
  <c r="F140" i="7"/>
  <c r="H139" i="7"/>
  <c r="G139" i="7"/>
  <c r="F139" i="7"/>
  <c r="E139" i="7"/>
  <c r="H138" i="7"/>
  <c r="G138" i="7"/>
  <c r="F138" i="7"/>
  <c r="H137" i="7"/>
  <c r="G137" i="7"/>
  <c r="F137" i="7"/>
  <c r="H136" i="7"/>
  <c r="G136" i="7"/>
  <c r="F136" i="7"/>
  <c r="G135" i="7"/>
  <c r="F135" i="7"/>
  <c r="H135" i="7" s="1"/>
  <c r="G134" i="7"/>
  <c r="F134" i="7"/>
  <c r="H134" i="7" s="1"/>
  <c r="G133" i="7"/>
  <c r="F133" i="7"/>
  <c r="H133" i="7" s="1"/>
  <c r="G132" i="7"/>
  <c r="F132" i="7"/>
  <c r="H132" i="7" s="1"/>
  <c r="G131" i="7"/>
  <c r="F131" i="7"/>
  <c r="H131" i="7" s="1"/>
  <c r="G130" i="7"/>
  <c r="F130" i="7"/>
  <c r="H130" i="7" s="1"/>
  <c r="H129" i="7"/>
  <c r="G129" i="7"/>
  <c r="F129" i="7"/>
  <c r="E129" i="7"/>
  <c r="H128" i="7"/>
  <c r="G128" i="7"/>
  <c r="F128" i="7"/>
  <c r="H127" i="7"/>
  <c r="G127" i="7"/>
  <c r="F127" i="7"/>
  <c r="H126" i="7"/>
  <c r="G126" i="7"/>
  <c r="F126" i="7"/>
  <c r="H125" i="7"/>
  <c r="G125" i="7"/>
  <c r="F125" i="7"/>
  <c r="H124" i="7"/>
  <c r="G124" i="7"/>
  <c r="F124" i="7"/>
  <c r="H123" i="7"/>
  <c r="G123" i="7"/>
  <c r="F123" i="7"/>
  <c r="H122" i="7"/>
  <c r="G122" i="7"/>
  <c r="F122" i="7"/>
  <c r="H121" i="7"/>
  <c r="G121" i="7"/>
  <c r="F121" i="7"/>
  <c r="H120" i="7"/>
  <c r="G120" i="7"/>
  <c r="F120" i="7"/>
  <c r="E120" i="7"/>
  <c r="G119" i="7"/>
  <c r="F119" i="7"/>
  <c r="H119" i="7" s="1"/>
  <c r="E119" i="7"/>
  <c r="H118" i="7"/>
  <c r="G118" i="7"/>
  <c r="F118" i="7"/>
  <c r="H117" i="7"/>
  <c r="G117" i="7"/>
  <c r="F117" i="7"/>
  <c r="H116" i="7"/>
  <c r="G116" i="7"/>
  <c r="F116" i="7"/>
  <c r="H115" i="7"/>
  <c r="G115" i="7"/>
  <c r="F115" i="7"/>
  <c r="E115" i="7"/>
  <c r="G114" i="7"/>
  <c r="F114" i="7"/>
  <c r="H114" i="7" s="1"/>
  <c r="G113" i="7"/>
  <c r="F113" i="7"/>
  <c r="H113" i="7" s="1"/>
  <c r="G112" i="7"/>
  <c r="F112" i="7"/>
  <c r="H112" i="7" s="1"/>
  <c r="G111" i="7"/>
  <c r="F111" i="7"/>
  <c r="H111" i="7" s="1"/>
  <c r="G110" i="7"/>
  <c r="F110" i="7"/>
  <c r="H110" i="7" s="1"/>
  <c r="E110" i="7"/>
  <c r="H109" i="7"/>
  <c r="G109" i="7"/>
  <c r="F109" i="7"/>
  <c r="H108" i="7"/>
  <c r="G108" i="7"/>
  <c r="F108" i="7"/>
  <c r="G107" i="7"/>
  <c r="F107" i="7"/>
  <c r="H107" i="7" s="1"/>
  <c r="G106" i="7"/>
  <c r="F106" i="7"/>
  <c r="H106" i="7" s="1"/>
  <c r="G105" i="7"/>
  <c r="F105" i="7"/>
  <c r="E105" i="7"/>
  <c r="H105" i="7" s="1"/>
  <c r="G104" i="7"/>
  <c r="F104" i="7"/>
  <c r="H104" i="7" s="1"/>
  <c r="G103" i="7"/>
  <c r="F103" i="7"/>
  <c r="H103" i="7" s="1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E98" i="7"/>
  <c r="H97" i="7"/>
  <c r="G97" i="7"/>
  <c r="F97" i="7"/>
  <c r="E97" i="7"/>
  <c r="G96" i="7"/>
  <c r="F96" i="7"/>
  <c r="E96" i="7"/>
  <c r="H96" i="7" s="1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E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E81" i="7"/>
  <c r="G80" i="7"/>
  <c r="F80" i="7"/>
  <c r="E80" i="7"/>
  <c r="H80" i="7" s="1"/>
  <c r="G79" i="7"/>
  <c r="F79" i="7"/>
  <c r="H79" i="7" s="1"/>
  <c r="G78" i="7"/>
  <c r="F78" i="7"/>
  <c r="H78" i="7" s="1"/>
  <c r="G77" i="7"/>
  <c r="F77" i="7"/>
  <c r="H77" i="7" s="1"/>
  <c r="G76" i="7"/>
  <c r="F76" i="7"/>
  <c r="H76" i="7" s="1"/>
  <c r="G75" i="7"/>
  <c r="F75" i="7"/>
  <c r="H75" i="7" s="1"/>
  <c r="G74" i="7"/>
  <c r="F74" i="7"/>
  <c r="H74" i="7" s="1"/>
  <c r="G73" i="7"/>
  <c r="F73" i="7"/>
  <c r="H73" i="7" s="1"/>
  <c r="G72" i="7"/>
  <c r="F72" i="7"/>
  <c r="H72" i="7" s="1"/>
  <c r="G71" i="7"/>
  <c r="F71" i="7"/>
  <c r="H71" i="7" s="1"/>
  <c r="G70" i="7"/>
  <c r="F70" i="7"/>
  <c r="H70" i="7" s="1"/>
  <c r="D70" i="7"/>
  <c r="G69" i="7"/>
  <c r="F69" i="7"/>
  <c r="G68" i="7"/>
  <c r="F68" i="7"/>
  <c r="H68" i="7" s="1"/>
  <c r="G67" i="7"/>
  <c r="F67" i="7"/>
  <c r="H67" i="7" s="1"/>
  <c r="G66" i="7"/>
  <c r="F66" i="7"/>
  <c r="H66" i="7" s="1"/>
  <c r="G65" i="7"/>
  <c r="F65" i="7"/>
  <c r="H65" i="7" s="1"/>
  <c r="G64" i="7"/>
  <c r="F64" i="7"/>
  <c r="H64" i="7" s="1"/>
  <c r="G63" i="7"/>
  <c r="F63" i="7"/>
  <c r="H63" i="7" s="1"/>
  <c r="G62" i="7"/>
  <c r="F62" i="7"/>
  <c r="H62" i="7" s="1"/>
  <c r="G61" i="7"/>
  <c r="F61" i="7"/>
  <c r="H61" i="7" s="1"/>
  <c r="E61" i="7"/>
  <c r="H60" i="7"/>
  <c r="G60" i="7"/>
  <c r="F60" i="7"/>
  <c r="G59" i="7"/>
  <c r="D59" i="7"/>
  <c r="F59" i="7" s="1"/>
  <c r="H59" i="7" s="1"/>
  <c r="H58" i="7"/>
  <c r="G58" i="7"/>
  <c r="F58" i="7"/>
  <c r="H57" i="7"/>
  <c r="G57" i="7"/>
  <c r="F57" i="7"/>
  <c r="H56" i="7"/>
  <c r="G56" i="7"/>
  <c r="F56" i="7"/>
  <c r="D55" i="7"/>
  <c r="G55" i="7" s="1"/>
  <c r="G54" i="7"/>
  <c r="F54" i="7"/>
  <c r="H54" i="7" s="1"/>
  <c r="G53" i="7"/>
  <c r="F53" i="7"/>
  <c r="H53" i="7" s="1"/>
  <c r="D52" i="7"/>
  <c r="G52" i="7" s="1"/>
  <c r="G51" i="7"/>
  <c r="F51" i="7"/>
  <c r="H51" i="7" s="1"/>
  <c r="G50" i="7"/>
  <c r="F50" i="7"/>
  <c r="H50" i="7" s="1"/>
  <c r="G49" i="7"/>
  <c r="F49" i="7"/>
  <c r="H49" i="7" s="1"/>
  <c r="G48" i="7"/>
  <c r="F48" i="7"/>
  <c r="H48" i="7" s="1"/>
  <c r="D48" i="7"/>
  <c r="H47" i="7"/>
  <c r="G47" i="7"/>
  <c r="F47" i="7"/>
  <c r="H46" i="7"/>
  <c r="G46" i="7"/>
  <c r="F46" i="7"/>
  <c r="G45" i="7"/>
  <c r="F45" i="7"/>
  <c r="E45" i="7"/>
  <c r="H45" i="7" s="1"/>
  <c r="H44" i="7"/>
  <c r="G44" i="7"/>
  <c r="F44" i="7"/>
  <c r="H43" i="7"/>
  <c r="G43" i="7"/>
  <c r="F43" i="7"/>
  <c r="D42" i="7"/>
  <c r="G42" i="7" s="1"/>
  <c r="G41" i="7"/>
  <c r="F41" i="7"/>
  <c r="H41" i="7" s="1"/>
  <c r="G40" i="7"/>
  <c r="F40" i="7"/>
  <c r="H40" i="7" s="1"/>
  <c r="G39" i="7"/>
  <c r="F39" i="7"/>
  <c r="H39" i="7" s="1"/>
  <c r="G38" i="7"/>
  <c r="F38" i="7"/>
  <c r="E38" i="7"/>
  <c r="H38" i="7" s="1"/>
  <c r="G37" i="7"/>
  <c r="F37" i="7"/>
  <c r="H37" i="7" s="1"/>
  <c r="G36" i="7"/>
  <c r="F36" i="7"/>
  <c r="H36" i="7" s="1"/>
  <c r="G35" i="7"/>
  <c r="F35" i="7"/>
  <c r="H35" i="7" s="1"/>
  <c r="G34" i="7"/>
  <c r="F34" i="7"/>
  <c r="H34" i="7" s="1"/>
  <c r="D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G11" i="7"/>
  <c r="D11" i="7"/>
  <c r="F11" i="7" s="1"/>
  <c r="H11" i="7" s="1"/>
  <c r="H10" i="7"/>
  <c r="G10" i="7"/>
  <c r="F10" i="7"/>
  <c r="H9" i="7"/>
  <c r="G9" i="7"/>
  <c r="F9" i="7"/>
  <c r="E9" i="7"/>
  <c r="G8" i="7"/>
  <c r="F8" i="7"/>
  <c r="H8" i="7" s="1"/>
  <c r="I8" i="7" s="1"/>
  <c r="I9" i="7" s="1"/>
  <c r="I10" i="7" s="1"/>
  <c r="E308" i="2"/>
  <c r="E440" i="2"/>
  <c r="D435" i="2"/>
  <c r="E441" i="2"/>
  <c r="D382" i="2"/>
  <c r="E396" i="2"/>
  <c r="E394" i="2"/>
  <c r="D385" i="2"/>
  <c r="E369" i="2"/>
  <c r="D357" i="2"/>
  <c r="E341" i="2"/>
  <c r="D323" i="2"/>
  <c r="E319" i="2"/>
  <c r="D305" i="2"/>
  <c r="E290" i="2"/>
  <c r="D284" i="2"/>
  <c r="E428" i="2"/>
  <c r="E420" i="2"/>
  <c r="E395" i="2"/>
  <c r="E275" i="2"/>
  <c r="D252" i="2"/>
  <c r="D256" i="2"/>
  <c r="U481" i="4"/>
  <c r="T499" i="4"/>
  <c r="T454" i="4"/>
  <c r="U448" i="4"/>
  <c r="U446" i="4"/>
  <c r="T445" i="4"/>
  <c r="U437" i="4"/>
  <c r="T413" i="4"/>
  <c r="U410" i="4"/>
  <c r="T403" i="4"/>
  <c r="T432" i="4"/>
  <c r="U384" i="4"/>
  <c r="T360" i="4"/>
  <c r="T356" i="4"/>
  <c r="I11" i="7" l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F52" i="7"/>
  <c r="H52" i="7" s="1"/>
  <c r="F42" i="7"/>
  <c r="H42" i="7" s="1"/>
  <c r="F55" i="7"/>
  <c r="H55" i="7" s="1"/>
  <c r="G608" i="7"/>
  <c r="F608" i="7"/>
  <c r="H608" i="7" s="1"/>
  <c r="G839" i="7"/>
  <c r="F839" i="7"/>
  <c r="H839" i="7" s="1"/>
  <c r="F609" i="7"/>
  <c r="H609" i="7" s="1"/>
  <c r="G849" i="7"/>
  <c r="F849" i="7"/>
  <c r="H849" i="7" s="1"/>
  <c r="G1090" i="7"/>
  <c r="F1090" i="7"/>
  <c r="H1090" i="7" s="1"/>
  <c r="F993" i="7"/>
  <c r="H993" i="7" s="1"/>
  <c r="G1079" i="7"/>
  <c r="F1079" i="7"/>
  <c r="H1079" i="7" s="1"/>
  <c r="H1078" i="7"/>
  <c r="H1209" i="7"/>
  <c r="W621" i="4"/>
  <c r="V621" i="4"/>
  <c r="X621" i="4" s="1"/>
  <c r="W620" i="4"/>
  <c r="V620" i="4"/>
  <c r="X620" i="4" s="1"/>
  <c r="U620" i="4"/>
  <c r="W619" i="4"/>
  <c r="V619" i="4"/>
  <c r="X619" i="4" s="1"/>
  <c r="W618" i="4"/>
  <c r="V618" i="4"/>
  <c r="X618" i="4" s="1"/>
  <c r="W617" i="4"/>
  <c r="V617" i="4"/>
  <c r="U617" i="4"/>
  <c r="X617" i="4" s="1"/>
  <c r="V615" i="4"/>
  <c r="X615" i="4" s="1"/>
  <c r="V614" i="4"/>
  <c r="X614" i="4" s="1"/>
  <c r="W613" i="4"/>
  <c r="V613" i="4"/>
  <c r="X613" i="4" s="1"/>
  <c r="W612" i="4"/>
  <c r="V612" i="4"/>
  <c r="X612" i="4" s="1"/>
  <c r="W611" i="4"/>
  <c r="V611" i="4"/>
  <c r="X611" i="4" s="1"/>
  <c r="W610" i="4"/>
  <c r="V610" i="4"/>
  <c r="X610" i="4" s="1"/>
  <c r="W609" i="4"/>
  <c r="V609" i="4"/>
  <c r="X609" i="4" s="1"/>
  <c r="W608" i="4"/>
  <c r="V608" i="4"/>
  <c r="X608" i="4" s="1"/>
  <c r="W607" i="4"/>
  <c r="V607" i="4"/>
  <c r="X607" i="4" s="1"/>
  <c r="W606" i="4"/>
  <c r="V606" i="4"/>
  <c r="X606" i="4" s="1"/>
  <c r="V605" i="4"/>
  <c r="X605" i="4" s="1"/>
  <c r="W603" i="4"/>
  <c r="V603" i="4"/>
  <c r="X603" i="4" s="1"/>
  <c r="W602" i="4"/>
  <c r="V602" i="4"/>
  <c r="X602" i="4" s="1"/>
  <c r="W601" i="4"/>
  <c r="V601" i="4"/>
  <c r="X601" i="4" s="1"/>
  <c r="W587" i="4"/>
  <c r="V587" i="4"/>
  <c r="U587" i="4"/>
  <c r="W585" i="4"/>
  <c r="V585" i="4"/>
  <c r="X585" i="4" s="1"/>
  <c r="W584" i="4"/>
  <c r="V584" i="4"/>
  <c r="X584" i="4" s="1"/>
  <c r="W583" i="4"/>
  <c r="V583" i="4"/>
  <c r="X583" i="4" s="1"/>
  <c r="W582" i="4"/>
  <c r="V582" i="4"/>
  <c r="X582" i="4" s="1"/>
  <c r="W581" i="4"/>
  <c r="V581" i="4"/>
  <c r="X581" i="4" s="1"/>
  <c r="W580" i="4"/>
  <c r="V580" i="4"/>
  <c r="X580" i="4" s="1"/>
  <c r="W568" i="4"/>
  <c r="V568" i="4"/>
  <c r="X568" i="4" s="1"/>
  <c r="W567" i="4"/>
  <c r="V567" i="4"/>
  <c r="X567" i="4" s="1"/>
  <c r="W566" i="4"/>
  <c r="V566" i="4"/>
  <c r="W565" i="4"/>
  <c r="V565" i="4"/>
  <c r="X565" i="4" s="1"/>
  <c r="W564" i="4"/>
  <c r="V564" i="4"/>
  <c r="X564" i="4" s="1"/>
  <c r="W563" i="4"/>
  <c r="V563" i="4"/>
  <c r="W562" i="4"/>
  <c r="V562" i="4"/>
  <c r="X562" i="4" s="1"/>
  <c r="W561" i="4"/>
  <c r="V561" i="4"/>
  <c r="X561" i="4" s="1"/>
  <c r="W560" i="4"/>
  <c r="V560" i="4"/>
  <c r="X560" i="4" s="1"/>
  <c r="W559" i="4"/>
  <c r="V559" i="4"/>
  <c r="X559" i="4" s="1"/>
  <c r="W558" i="4"/>
  <c r="V558" i="4"/>
  <c r="X558" i="4" s="1"/>
  <c r="W557" i="4"/>
  <c r="V557" i="4"/>
  <c r="X557" i="4" s="1"/>
  <c r="W556" i="4"/>
  <c r="V556" i="4"/>
  <c r="X556" i="4" s="1"/>
  <c r="W555" i="4"/>
  <c r="V555" i="4"/>
  <c r="X555" i="4" s="1"/>
  <c r="W554" i="4"/>
  <c r="V554" i="4"/>
  <c r="X554" i="4" s="1"/>
  <c r="W553" i="4"/>
  <c r="V553" i="4"/>
  <c r="X553" i="4" s="1"/>
  <c r="W552" i="4"/>
  <c r="V552" i="4"/>
  <c r="X552" i="4" s="1"/>
  <c r="W551" i="4"/>
  <c r="V551" i="4"/>
  <c r="X551" i="4" s="1"/>
  <c r="W550" i="4"/>
  <c r="V550" i="4"/>
  <c r="X550" i="4" s="1"/>
  <c r="W549" i="4"/>
  <c r="V549" i="4"/>
  <c r="X549" i="4" s="1"/>
  <c r="W548" i="4"/>
  <c r="V548" i="4"/>
  <c r="X548" i="4" s="1"/>
  <c r="V547" i="4"/>
  <c r="X547" i="4" s="1"/>
  <c r="W546" i="4"/>
  <c r="V546" i="4"/>
  <c r="X546" i="4" s="1"/>
  <c r="W545" i="4"/>
  <c r="V545" i="4"/>
  <c r="X545" i="4" s="1"/>
  <c r="W544" i="4"/>
  <c r="V544" i="4"/>
  <c r="X544" i="4" s="1"/>
  <c r="W543" i="4"/>
  <c r="V543" i="4"/>
  <c r="W542" i="4"/>
  <c r="V542" i="4"/>
  <c r="X542" i="4" s="1"/>
  <c r="W541" i="4"/>
  <c r="V541" i="4"/>
  <c r="X541" i="4" s="1"/>
  <c r="W540" i="4"/>
  <c r="V540" i="4"/>
  <c r="X540" i="4" s="1"/>
  <c r="W539" i="4"/>
  <c r="V539" i="4"/>
  <c r="X539" i="4" s="1"/>
  <c r="W538" i="4"/>
  <c r="V538" i="4"/>
  <c r="X538" i="4" s="1"/>
  <c r="T516" i="4"/>
  <c r="K95" i="7" l="1"/>
  <c r="I96" i="7"/>
  <c r="I97" i="7" s="1"/>
  <c r="I98" i="7" s="1"/>
  <c r="I99" i="7" s="1"/>
  <c r="I100" i="7" s="1"/>
  <c r="I101" i="7" s="1"/>
  <c r="I102" i="7" s="1"/>
  <c r="X587" i="4"/>
  <c r="I103" i="7" l="1"/>
  <c r="I104" i="7" s="1"/>
  <c r="I105" i="7" s="1"/>
  <c r="I106" i="7" s="1"/>
  <c r="I107" i="7" s="1"/>
  <c r="K102" i="7"/>
  <c r="T376" i="4"/>
  <c r="T365" i="4"/>
  <c r="I108" i="7" l="1"/>
  <c r="I109" i="7" s="1"/>
  <c r="I110" i="7" s="1"/>
  <c r="K107" i="7"/>
  <c r="L332" i="4"/>
  <c r="I316" i="4"/>
  <c r="I315" i="4"/>
  <c r="I314" i="4"/>
  <c r="I313" i="4"/>
  <c r="I312" i="4"/>
  <c r="I311" i="4"/>
  <c r="F331" i="4"/>
  <c r="F332" i="4"/>
  <c r="U340" i="4"/>
  <c r="U330" i="4"/>
  <c r="I111" i="7" l="1"/>
  <c r="I112" i="7" s="1"/>
  <c r="I113" i="7" s="1"/>
  <c r="I114" i="7" s="1"/>
  <c r="K109" i="7"/>
  <c r="L331" i="4"/>
  <c r="E283" i="4"/>
  <c r="F286" i="4" s="1"/>
  <c r="D277" i="4"/>
  <c r="C266" i="4"/>
  <c r="C248" i="4"/>
  <c r="E249" i="4"/>
  <c r="F251" i="4"/>
  <c r="L251" i="4"/>
  <c r="L252" i="4"/>
  <c r="E242" i="4"/>
  <c r="E241" i="4"/>
  <c r="F216" i="4"/>
  <c r="L217" i="4"/>
  <c r="C211" i="4"/>
  <c r="I199" i="4"/>
  <c r="I198" i="4"/>
  <c r="C207" i="4"/>
  <c r="E214" i="4"/>
  <c r="F217" i="4" s="1"/>
  <c r="L174" i="4"/>
  <c r="D169" i="4"/>
  <c r="F173" i="4" s="1"/>
  <c r="C166" i="4"/>
  <c r="C163" i="4"/>
  <c r="E164" i="4"/>
  <c r="C161" i="4"/>
  <c r="I159" i="4"/>
  <c r="I158" i="4"/>
  <c r="I156" i="4"/>
  <c r="I155" i="4"/>
  <c r="C149" i="4"/>
  <c r="E148" i="4"/>
  <c r="E147" i="4"/>
  <c r="E146" i="4"/>
  <c r="C145" i="4"/>
  <c r="E171" i="4"/>
  <c r="C72" i="4"/>
  <c r="I115" i="7" l="1"/>
  <c r="I116" i="7" s="1"/>
  <c r="K114" i="7"/>
  <c r="F174" i="4"/>
  <c r="L173" i="4"/>
  <c r="L216" i="4"/>
  <c r="F285" i="4"/>
  <c r="F252" i="4"/>
  <c r="I117" i="7" l="1"/>
  <c r="I118" i="7" s="1"/>
  <c r="I119" i="7" s="1"/>
  <c r="K116" i="7"/>
  <c r="M347" i="4"/>
  <c r="L347" i="4"/>
  <c r="K347" i="4"/>
  <c r="L383" i="4" s="1"/>
  <c r="J347" i="4"/>
  <c r="H347" i="4"/>
  <c r="E347" i="4"/>
  <c r="C347" i="4"/>
  <c r="D347" i="4"/>
  <c r="F382" i="4" s="1"/>
  <c r="K119" i="7" l="1"/>
  <c r="I120" i="7"/>
  <c r="I121" i="7" s="1"/>
  <c r="I122" i="7" s="1"/>
  <c r="I123" i="7" s="1"/>
  <c r="I124" i="7" s="1"/>
  <c r="I125" i="7" s="1"/>
  <c r="I126" i="7" s="1"/>
  <c r="I127" i="7" s="1"/>
  <c r="I128" i="7" s="1"/>
  <c r="I129" i="7" s="1"/>
  <c r="I347" i="4"/>
  <c r="L382" i="4" s="1"/>
  <c r="L397" i="4" s="1"/>
  <c r="F347" i="4"/>
  <c r="F383" i="4" s="1"/>
  <c r="F397" i="4" s="1"/>
  <c r="I130" i="7" l="1"/>
  <c r="I131" i="7" s="1"/>
  <c r="K129" i="7"/>
  <c r="R175" i="4"/>
  <c r="R176" i="4"/>
  <c r="R177" i="4" s="1"/>
  <c r="I132" i="7" l="1"/>
  <c r="I133" i="7" s="1"/>
  <c r="I134" i="7" s="1"/>
  <c r="I135" i="7" s="1"/>
  <c r="K131" i="7"/>
  <c r="D128" i="4"/>
  <c r="E130" i="4"/>
  <c r="D132" i="4"/>
  <c r="D133" i="4"/>
  <c r="U274" i="4"/>
  <c r="F42" i="3"/>
  <c r="F41" i="3"/>
  <c r="I136" i="7" l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K135" i="7"/>
  <c r="U197" i="4"/>
  <c r="U165" i="4"/>
  <c r="U155" i="4"/>
  <c r="L293" i="4"/>
  <c r="K293" i="4"/>
  <c r="J293" i="4"/>
  <c r="H293" i="4"/>
  <c r="F293" i="4"/>
  <c r="E293" i="4"/>
  <c r="D293" i="4"/>
  <c r="C293" i="4"/>
  <c r="I293" i="4"/>
  <c r="M293" i="4"/>
  <c r="L259" i="4"/>
  <c r="K259" i="4"/>
  <c r="J259" i="4"/>
  <c r="H259" i="4"/>
  <c r="F259" i="4"/>
  <c r="E259" i="4"/>
  <c r="D259" i="4"/>
  <c r="C259" i="4"/>
  <c r="M259" i="4"/>
  <c r="L226" i="4"/>
  <c r="K226" i="4"/>
  <c r="J226" i="4"/>
  <c r="H226" i="4"/>
  <c r="F226" i="4"/>
  <c r="E226" i="4"/>
  <c r="D226" i="4"/>
  <c r="C226" i="4"/>
  <c r="M226" i="4"/>
  <c r="A144" i="4"/>
  <c r="L183" i="4"/>
  <c r="K183" i="4"/>
  <c r="J183" i="4"/>
  <c r="H183" i="4"/>
  <c r="M183" i="4"/>
  <c r="C183" i="4"/>
  <c r="T268" i="4"/>
  <c r="U226" i="4"/>
  <c r="U232" i="4"/>
  <c r="U225" i="4"/>
  <c r="U153" i="4"/>
  <c r="U147" i="4"/>
  <c r="T146" i="4"/>
  <c r="U145" i="4"/>
  <c r="T144" i="4"/>
  <c r="U108" i="4"/>
  <c r="U109" i="4"/>
  <c r="U101" i="4"/>
  <c r="E207" i="2"/>
  <c r="E135" i="2"/>
  <c r="E130" i="2"/>
  <c r="E127" i="2"/>
  <c r="D126" i="2"/>
  <c r="E125" i="2"/>
  <c r="D124" i="2"/>
  <c r="E106" i="2"/>
  <c r="E102" i="2"/>
  <c r="I151" i="7" l="1"/>
  <c r="I152" i="7" s="1"/>
  <c r="I153" i="7" s="1"/>
  <c r="I154" i="7" s="1"/>
  <c r="I155" i="7" s="1"/>
  <c r="K150" i="7"/>
  <c r="E183" i="4"/>
  <c r="D183" i="4"/>
  <c r="I259" i="4"/>
  <c r="I226" i="4"/>
  <c r="I183" i="4"/>
  <c r="I156" i="7" l="1"/>
  <c r="I157" i="7" s="1"/>
  <c r="K155" i="7"/>
  <c r="F183" i="4"/>
  <c r="I158" i="7" l="1"/>
  <c r="I159" i="7" s="1"/>
  <c r="I160" i="7" s="1"/>
  <c r="I161" i="7" s="1"/>
  <c r="I162" i="7" s="1"/>
  <c r="I163" i="7" s="1"/>
  <c r="I164" i="7" s="1"/>
  <c r="K157" i="7"/>
  <c r="U70" i="4"/>
  <c r="T69" i="4"/>
  <c r="U67" i="4"/>
  <c r="U50" i="4"/>
  <c r="U33" i="4"/>
  <c r="T32" i="4"/>
  <c r="T28" i="4"/>
  <c r="U27" i="4"/>
  <c r="U22" i="4"/>
  <c r="T16" i="4"/>
  <c r="U13" i="4"/>
  <c r="D26" i="2"/>
  <c r="E25" i="2"/>
  <c r="E20" i="2"/>
  <c r="D14" i="2"/>
  <c r="K123" i="4"/>
  <c r="J123" i="4"/>
  <c r="H123" i="4"/>
  <c r="D123" i="4"/>
  <c r="L119" i="4"/>
  <c r="F118" i="4"/>
  <c r="E116" i="4"/>
  <c r="M112" i="4"/>
  <c r="C112" i="4"/>
  <c r="M110" i="4"/>
  <c r="M109" i="4"/>
  <c r="E107" i="4"/>
  <c r="E105" i="4"/>
  <c r="M104" i="4"/>
  <c r="C104" i="4"/>
  <c r="I96" i="4"/>
  <c r="I95" i="4"/>
  <c r="E94" i="4"/>
  <c r="M90" i="4"/>
  <c r="C90" i="4"/>
  <c r="N85" i="4"/>
  <c r="N86" i="4" s="1"/>
  <c r="N87" i="4" s="1"/>
  <c r="N88" i="4" s="1"/>
  <c r="N89" i="4" s="1"/>
  <c r="G85" i="4"/>
  <c r="G86" i="4" s="1"/>
  <c r="G87" i="4" s="1"/>
  <c r="G88" i="4" s="1"/>
  <c r="G89" i="4" s="1"/>
  <c r="M77" i="4"/>
  <c r="K77" i="4"/>
  <c r="J77" i="4"/>
  <c r="H77" i="4"/>
  <c r="D77" i="4"/>
  <c r="L71" i="4"/>
  <c r="F70" i="4"/>
  <c r="E67" i="4"/>
  <c r="C66" i="4"/>
  <c r="E65" i="4"/>
  <c r="I60" i="4"/>
  <c r="I59" i="4"/>
  <c r="E57" i="4"/>
  <c r="E56" i="4"/>
  <c r="E54" i="4"/>
  <c r="E53" i="4"/>
  <c r="C51" i="4"/>
  <c r="C77" i="4" s="1"/>
  <c r="E50" i="4"/>
  <c r="M37" i="4"/>
  <c r="K37" i="4"/>
  <c r="J37" i="4"/>
  <c r="H37" i="4"/>
  <c r="C33" i="4"/>
  <c r="L32" i="4"/>
  <c r="E29" i="4"/>
  <c r="D28" i="4"/>
  <c r="C27" i="4"/>
  <c r="E26" i="4"/>
  <c r="E24" i="4"/>
  <c r="E23" i="4"/>
  <c r="D22" i="4"/>
  <c r="D21" i="4"/>
  <c r="I19" i="4"/>
  <c r="I18" i="4"/>
  <c r="C17" i="4"/>
  <c r="C37" i="4" s="1"/>
  <c r="E16" i="4"/>
  <c r="E15" i="4"/>
  <c r="E14" i="4"/>
  <c r="E12" i="4"/>
  <c r="E10" i="4"/>
  <c r="N8" i="4"/>
  <c r="N9" i="4" s="1"/>
  <c r="N10" i="4" s="1"/>
  <c r="N11" i="4" s="1"/>
  <c r="N12" i="4" s="1"/>
  <c r="N13" i="4" s="1"/>
  <c r="N14" i="4" s="1"/>
  <c r="N15" i="4" s="1"/>
  <c r="N16" i="4" s="1"/>
  <c r="N17" i="4" s="1"/>
  <c r="G8" i="4"/>
  <c r="G9" i="4" s="1"/>
  <c r="I165" i="7" l="1"/>
  <c r="I166" i="7" s="1"/>
  <c r="I167" i="7" s="1"/>
  <c r="I168" i="7" s="1"/>
  <c r="K164" i="7"/>
  <c r="G10" i="4"/>
  <c r="G11" i="4" s="1"/>
  <c r="I123" i="4"/>
  <c r="F32" i="4"/>
  <c r="F31" i="4"/>
  <c r="D37" i="4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N18" i="4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90" i="4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L70" i="4"/>
  <c r="L77" i="4" s="1"/>
  <c r="F71" i="4"/>
  <c r="F77" i="4" s="1"/>
  <c r="E77" i="4"/>
  <c r="M123" i="4"/>
  <c r="C123" i="4"/>
  <c r="I77" i="4"/>
  <c r="G90" i="4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E123" i="4"/>
  <c r="I37" i="4"/>
  <c r="L31" i="4"/>
  <c r="L37" i="4" s="1"/>
  <c r="F119" i="4"/>
  <c r="F123" i="4" s="1"/>
  <c r="E37" i="4"/>
  <c r="L118" i="4"/>
  <c r="L123" i="4" s="1"/>
  <c r="E67" i="2"/>
  <c r="E70" i="2"/>
  <c r="D69" i="2"/>
  <c r="E50" i="2"/>
  <c r="I169" i="7" l="1"/>
  <c r="I170" i="7" s="1"/>
  <c r="I171" i="7" s="1"/>
  <c r="I172" i="7" s="1"/>
  <c r="I173" i="7" s="1"/>
  <c r="I174" i="7" s="1"/>
  <c r="I175" i="7" s="1"/>
  <c r="I176" i="7" s="1"/>
  <c r="I177" i="7" s="1"/>
  <c r="K168" i="7"/>
  <c r="G31" i="4"/>
  <c r="G32" i="4" s="1"/>
  <c r="G33" i="4" s="1"/>
  <c r="G34" i="4" s="1"/>
  <c r="G35" i="4" s="1"/>
  <c r="G36" i="4" s="1"/>
  <c r="N31" i="4"/>
  <c r="N32" i="4" s="1"/>
  <c r="N33" i="4" s="1"/>
  <c r="N34" i="4" s="1"/>
  <c r="N35" i="4" s="1"/>
  <c r="N36" i="4" s="1"/>
  <c r="G119" i="4"/>
  <c r="G120" i="4" s="1"/>
  <c r="G121" i="4" s="1"/>
  <c r="G122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F37" i="4"/>
  <c r="N118" i="4"/>
  <c r="N119" i="4" s="1"/>
  <c r="N120" i="4" s="1"/>
  <c r="N121" i="4" s="1"/>
  <c r="N122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I178" i="7" l="1"/>
  <c r="I179" i="7" s="1"/>
  <c r="I180" i="7" s="1"/>
  <c r="K177" i="7"/>
  <c r="N154" i="4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47" i="4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9" i="4" s="1"/>
  <c r="G39" i="4"/>
  <c r="G47" i="4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9" i="4" s="1"/>
  <c r="N39" i="4"/>
  <c r="I181" i="7" l="1"/>
  <c r="I182" i="7" s="1"/>
  <c r="I183" i="7" s="1"/>
  <c r="K180" i="7"/>
  <c r="N165" i="4"/>
  <c r="N166" i="4" s="1"/>
  <c r="N167" i="4" s="1"/>
  <c r="N168" i="4" s="1"/>
  <c r="N169" i="4" s="1"/>
  <c r="N170" i="4" s="1"/>
  <c r="N171" i="4" s="1"/>
  <c r="N172" i="4" s="1"/>
  <c r="N173" i="4" s="1"/>
  <c r="I184" i="7" l="1"/>
  <c r="I185" i="7" s="1"/>
  <c r="I186" i="7" s="1"/>
  <c r="I187" i="7" s="1"/>
  <c r="I188" i="7" s="1"/>
  <c r="I189" i="7" s="1"/>
  <c r="I190" i="7" s="1"/>
  <c r="I191" i="7" s="1"/>
  <c r="K183" i="7"/>
  <c r="N174" i="4"/>
  <c r="N175" i="4" s="1"/>
  <c r="N176" i="4" s="1"/>
  <c r="N177" i="4" s="1"/>
  <c r="N178" i="4" s="1"/>
  <c r="N179" i="4" s="1"/>
  <c r="N180" i="4" s="1"/>
  <c r="N181" i="4" s="1"/>
  <c r="N182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E31" i="2"/>
  <c r="D30" i="2"/>
  <c r="E11" i="2"/>
  <c r="F33" i="5"/>
  <c r="G33" i="5" s="1"/>
  <c r="H33" i="5" s="1"/>
  <c r="E33" i="5"/>
  <c r="F32" i="5"/>
  <c r="G32" i="5" s="1"/>
  <c r="H32" i="5" s="1"/>
  <c r="E32" i="5"/>
  <c r="F31" i="5"/>
  <c r="G31" i="5" s="1"/>
  <c r="H31" i="5" s="1"/>
  <c r="E31" i="5"/>
  <c r="F30" i="5"/>
  <c r="G30" i="5" s="1"/>
  <c r="H30" i="5" s="1"/>
  <c r="E30" i="5"/>
  <c r="F29" i="5"/>
  <c r="G29" i="5" s="1"/>
  <c r="H29" i="5" s="1"/>
  <c r="E29" i="5"/>
  <c r="F28" i="5"/>
  <c r="G28" i="5" s="1"/>
  <c r="H28" i="5" s="1"/>
  <c r="E28" i="5"/>
  <c r="F27" i="5"/>
  <c r="G27" i="5" s="1"/>
  <c r="H27" i="5" s="1"/>
  <c r="E27" i="5"/>
  <c r="F26" i="5"/>
  <c r="G26" i="5" s="1"/>
  <c r="H26" i="5" s="1"/>
  <c r="E26" i="5"/>
  <c r="F25" i="5"/>
  <c r="G25" i="5" s="1"/>
  <c r="H25" i="5" s="1"/>
  <c r="E25" i="5"/>
  <c r="F24" i="5"/>
  <c r="G24" i="5" s="1"/>
  <c r="H24" i="5" s="1"/>
  <c r="E24" i="5"/>
  <c r="F23" i="5"/>
  <c r="G23" i="5" s="1"/>
  <c r="H23" i="5" s="1"/>
  <c r="E23" i="5"/>
  <c r="F22" i="5"/>
  <c r="G22" i="5" s="1"/>
  <c r="H22" i="5" s="1"/>
  <c r="E22" i="5"/>
  <c r="F21" i="5"/>
  <c r="G21" i="5" s="1"/>
  <c r="H21" i="5" s="1"/>
  <c r="E21" i="5"/>
  <c r="F20" i="5"/>
  <c r="G20" i="5" s="1"/>
  <c r="H20" i="5" s="1"/>
  <c r="E20" i="5"/>
  <c r="F19" i="5"/>
  <c r="G19" i="5" s="1"/>
  <c r="H19" i="5" s="1"/>
  <c r="E19" i="5"/>
  <c r="F18" i="5"/>
  <c r="G18" i="5" s="1"/>
  <c r="H18" i="5" s="1"/>
  <c r="E18" i="5"/>
  <c r="F17" i="5"/>
  <c r="G17" i="5" s="1"/>
  <c r="H17" i="5" s="1"/>
  <c r="E17" i="5"/>
  <c r="F16" i="5"/>
  <c r="G16" i="5" s="1"/>
  <c r="H16" i="5" s="1"/>
  <c r="E16" i="5"/>
  <c r="F15" i="5"/>
  <c r="G15" i="5" s="1"/>
  <c r="H15" i="5" s="1"/>
  <c r="E15" i="5"/>
  <c r="F14" i="5"/>
  <c r="G14" i="5" s="1"/>
  <c r="H14" i="5" s="1"/>
  <c r="E14" i="5"/>
  <c r="F13" i="5"/>
  <c r="G13" i="5" s="1"/>
  <c r="H13" i="5" s="1"/>
  <c r="E13" i="5"/>
  <c r="F12" i="5"/>
  <c r="G12" i="5" s="1"/>
  <c r="H12" i="5" s="1"/>
  <c r="E12" i="5"/>
  <c r="F11" i="5"/>
  <c r="G11" i="5" s="1"/>
  <c r="H11" i="5" s="1"/>
  <c r="E11" i="5"/>
  <c r="F10" i="5"/>
  <c r="G10" i="5" s="1"/>
  <c r="H10" i="5" s="1"/>
  <c r="E10" i="5"/>
  <c r="I192" i="7" l="1"/>
  <c r="I193" i="7" s="1"/>
  <c r="I194" i="7" s="1"/>
  <c r="K191" i="7"/>
  <c r="N231" i="4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24" i="4"/>
  <c r="N225" i="4" s="1"/>
  <c r="E182" i="2"/>
  <c r="E235" i="2"/>
  <c r="D223" i="2"/>
  <c r="E202" i="2"/>
  <c r="I195" i="7" l="1"/>
  <c r="I196" i="7" s="1"/>
  <c r="I197" i="7" s="1"/>
  <c r="I198" i="7" s="1"/>
  <c r="I199" i="7" s="1"/>
  <c r="I200" i="7" s="1"/>
  <c r="I201" i="7" s="1"/>
  <c r="I202" i="7" s="1"/>
  <c r="I203" i="7" s="1"/>
  <c r="K194" i="7"/>
  <c r="N265" i="4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302" i="4" s="1"/>
  <c r="E143" i="2"/>
  <c r="E98" i="2"/>
  <c r="I204" i="7" l="1"/>
  <c r="I205" i="7" s="1"/>
  <c r="K203" i="7"/>
  <c r="E194" i="2"/>
  <c r="E149" i="2"/>
  <c r="G83" i="2"/>
  <c r="F83" i="2"/>
  <c r="H83" i="2" s="1"/>
  <c r="I206" i="7" l="1"/>
  <c r="I207" i="7" s="1"/>
  <c r="I208" i="7" s="1"/>
  <c r="I209" i="7" s="1"/>
  <c r="I210" i="7" s="1"/>
  <c r="K205" i="7"/>
  <c r="K127" i="1"/>
  <c r="J127" i="1"/>
  <c r="H127" i="1"/>
  <c r="D127" i="1"/>
  <c r="L123" i="1"/>
  <c r="F122" i="1"/>
  <c r="E120" i="1"/>
  <c r="M116" i="1"/>
  <c r="C116" i="1"/>
  <c r="M114" i="1"/>
  <c r="M113" i="1"/>
  <c r="E111" i="1"/>
  <c r="E109" i="1"/>
  <c r="M108" i="1"/>
  <c r="C108" i="1"/>
  <c r="I100" i="1"/>
  <c r="I99" i="1"/>
  <c r="E98" i="1"/>
  <c r="M94" i="1"/>
  <c r="C94" i="1"/>
  <c r="N89" i="1"/>
  <c r="N90" i="1" s="1"/>
  <c r="N91" i="1" s="1"/>
  <c r="N92" i="1" s="1"/>
  <c r="N93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M81" i="1"/>
  <c r="K81" i="1"/>
  <c r="J81" i="1"/>
  <c r="H81" i="1"/>
  <c r="D81" i="1"/>
  <c r="C76" i="1"/>
  <c r="L75" i="1"/>
  <c r="F74" i="1"/>
  <c r="E71" i="1"/>
  <c r="C70" i="1"/>
  <c r="E69" i="1"/>
  <c r="I64" i="1"/>
  <c r="I63" i="1"/>
  <c r="E61" i="1"/>
  <c r="E60" i="1"/>
  <c r="E58" i="1"/>
  <c r="E57" i="1"/>
  <c r="C55" i="1"/>
  <c r="E54" i="1"/>
  <c r="M37" i="1"/>
  <c r="K37" i="1"/>
  <c r="J37" i="1"/>
  <c r="H37" i="1"/>
  <c r="C33" i="1"/>
  <c r="L32" i="1"/>
  <c r="E29" i="1"/>
  <c r="D28" i="1"/>
  <c r="C27" i="1"/>
  <c r="E26" i="1"/>
  <c r="E24" i="1"/>
  <c r="E23" i="1"/>
  <c r="D22" i="1"/>
  <c r="D21" i="1"/>
  <c r="I19" i="1"/>
  <c r="I18" i="1"/>
  <c r="C17" i="1"/>
  <c r="E16" i="1"/>
  <c r="E15" i="1"/>
  <c r="E14" i="1"/>
  <c r="E12" i="1"/>
  <c r="E10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G8" i="1"/>
  <c r="G9" i="1" s="1"/>
  <c r="I211" i="7" l="1"/>
  <c r="I212" i="7" s="1"/>
  <c r="I213" i="7" s="1"/>
  <c r="I214" i="7" s="1"/>
  <c r="K210" i="7"/>
  <c r="G108" i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0" i="1"/>
  <c r="G11" i="1" s="1"/>
  <c r="I127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N94" i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E127" i="1"/>
  <c r="M127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L122" i="1"/>
  <c r="L127" i="1" s="1"/>
  <c r="F75" i="1"/>
  <c r="C127" i="1"/>
  <c r="E37" i="1"/>
  <c r="I37" i="1"/>
  <c r="D37" i="1"/>
  <c r="L74" i="1"/>
  <c r="L81" i="1" s="1"/>
  <c r="F31" i="1"/>
  <c r="F32" i="1"/>
  <c r="C37" i="1"/>
  <c r="F81" i="1"/>
  <c r="E81" i="1"/>
  <c r="L31" i="1"/>
  <c r="L37" i="1" s="1"/>
  <c r="C81" i="1"/>
  <c r="I81" i="1"/>
  <c r="F123" i="1"/>
  <c r="F127" i="1" s="1"/>
  <c r="I215" i="7" l="1"/>
  <c r="I216" i="7" s="1"/>
  <c r="K214" i="7"/>
  <c r="G31" i="1"/>
  <c r="N122" i="1"/>
  <c r="N123" i="1" s="1"/>
  <c r="N124" i="1" s="1"/>
  <c r="N125" i="1" s="1"/>
  <c r="N126" i="1" s="1"/>
  <c r="F37" i="1"/>
  <c r="G32" i="1"/>
  <c r="G33" i="1" s="1"/>
  <c r="G34" i="1" s="1"/>
  <c r="G35" i="1" s="1"/>
  <c r="G36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3" i="1" s="1"/>
  <c r="G123" i="1"/>
  <c r="G124" i="1" s="1"/>
  <c r="G125" i="1" s="1"/>
  <c r="G126" i="1" s="1"/>
  <c r="N31" i="1"/>
  <c r="N32" i="1" s="1"/>
  <c r="N33" i="1" s="1"/>
  <c r="N34" i="1" s="1"/>
  <c r="N35" i="1" s="1"/>
  <c r="N36" i="1" s="1"/>
  <c r="I217" i="7" l="1"/>
  <c r="I218" i="7" s="1"/>
  <c r="I219" i="7" s="1"/>
  <c r="I220" i="7" s="1"/>
  <c r="I221" i="7" s="1"/>
  <c r="K216" i="7"/>
  <c r="G39" i="1"/>
  <c r="N51" i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3" i="1" s="1"/>
  <c r="N39" i="1"/>
  <c r="I222" i="7" l="1"/>
  <c r="I223" i="7" s="1"/>
  <c r="I224" i="7" s="1"/>
  <c r="K221" i="7"/>
  <c r="G160" i="4"/>
  <c r="G161" i="4" s="1"/>
  <c r="G162" i="4" s="1"/>
  <c r="G163" i="4" s="1"/>
  <c r="G164" i="4" s="1"/>
  <c r="I225" i="7" l="1"/>
  <c r="I226" i="7" s="1"/>
  <c r="K224" i="7"/>
  <c r="G165" i="4"/>
  <c r="G166" i="4" s="1"/>
  <c r="G167" i="4" s="1"/>
  <c r="G168" i="4" s="1"/>
  <c r="G169" i="4" s="1"/>
  <c r="G170" i="4" s="1"/>
  <c r="G171" i="4" s="1"/>
  <c r="G172" i="4" s="1"/>
  <c r="G173" i="4" s="1"/>
  <c r="G174" i="4" s="1"/>
  <c r="I227" i="7" l="1"/>
  <c r="I228" i="7" s="1"/>
  <c r="I229" i="7" s="1"/>
  <c r="I230" i="7" s="1"/>
  <c r="I231" i="7" s="1"/>
  <c r="K226" i="7"/>
  <c r="G175" i="4"/>
  <c r="G176" i="4" s="1"/>
  <c r="G177" i="4" s="1"/>
  <c r="G178" i="4" s="1"/>
  <c r="G179" i="4" s="1"/>
  <c r="G180" i="4" s="1"/>
  <c r="G181" i="4" s="1"/>
  <c r="G182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I232" i="7" l="1"/>
  <c r="I233" i="7" s="1"/>
  <c r="I234" i="7" s="1"/>
  <c r="I235" i="7" s="1"/>
  <c r="K231" i="7"/>
  <c r="G224" i="4"/>
  <c r="G225" i="4" s="1"/>
  <c r="G231" i="4"/>
  <c r="G232" i="4" s="1"/>
  <c r="G233" i="4" s="1"/>
  <c r="G234" i="4" s="1"/>
  <c r="G235" i="4" s="1"/>
  <c r="G236" i="4" s="1"/>
  <c r="G237" i="4" s="1"/>
  <c r="G238" i="4" s="1"/>
  <c r="K235" i="7" l="1"/>
  <c r="I236" i="7"/>
  <c r="I237" i="7" s="1"/>
  <c r="I238" i="7" s="1"/>
  <c r="I239" i="7" s="1"/>
  <c r="I240" i="7" s="1"/>
  <c r="I241" i="7" s="1"/>
  <c r="I242" i="7" s="1"/>
  <c r="I243" i="7" s="1"/>
  <c r="I244" i="7" s="1"/>
  <c r="I245" i="7" s="1"/>
  <c r="G239" i="4"/>
  <c r="G240" i="4" s="1"/>
  <c r="G241" i="4" s="1"/>
  <c r="G242" i="4" s="1"/>
  <c r="G243" i="4" s="1"/>
  <c r="G244" i="4" s="1"/>
  <c r="G245" i="4" s="1"/>
  <c r="G246" i="4" s="1"/>
  <c r="G247" i="4" s="1"/>
  <c r="G248" i="4" s="1"/>
  <c r="I246" i="7" l="1"/>
  <c r="I247" i="7" s="1"/>
  <c r="I248" i="7" s="1"/>
  <c r="I249" i="7" s="1"/>
  <c r="I250" i="7" s="1"/>
  <c r="K245" i="7"/>
  <c r="G249" i="4"/>
  <c r="G250" i="4" s="1"/>
  <c r="G251" i="4" s="1"/>
  <c r="G252" i="4" s="1"/>
  <c r="G253" i="4" s="1"/>
  <c r="G254" i="4" s="1"/>
  <c r="G255" i="4" s="1"/>
  <c r="G256" i="4" s="1"/>
  <c r="G257" i="4" s="1"/>
  <c r="I251" i="7" l="1"/>
  <c r="I252" i="7" s="1"/>
  <c r="I253" i="7" s="1"/>
  <c r="K250" i="7"/>
  <c r="G258" i="4"/>
  <c r="G265" i="4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302" i="4" s="1"/>
  <c r="I254" i="7" l="1"/>
  <c r="I255" i="7" s="1"/>
  <c r="K253" i="7"/>
  <c r="I256" i="7" l="1"/>
  <c r="I257" i="7" s="1"/>
  <c r="I258" i="7" s="1"/>
  <c r="I259" i="7" s="1"/>
  <c r="I260" i="7" s="1"/>
  <c r="I261" i="7" s="1"/>
  <c r="K255" i="7"/>
  <c r="I262" i="7" l="1"/>
  <c r="I263" i="7" s="1"/>
  <c r="I264" i="7" s="1"/>
  <c r="K261" i="7"/>
  <c r="I265" i="7" l="1"/>
  <c r="I266" i="7" s="1"/>
  <c r="I267" i="7" s="1"/>
  <c r="I268" i="7" s="1"/>
  <c r="I269" i="7" s="1"/>
  <c r="I270" i="7" s="1"/>
  <c r="K264" i="7"/>
  <c r="I271" i="7" l="1"/>
  <c r="I272" i="7" s="1"/>
  <c r="I273" i="7" s="1"/>
  <c r="I274" i="7" s="1"/>
  <c r="K270" i="7"/>
  <c r="I275" i="7" l="1"/>
  <c r="I276" i="7" s="1"/>
  <c r="I277" i="7" s="1"/>
  <c r="K274" i="7"/>
  <c r="I278" i="7" l="1"/>
  <c r="I279" i="7" s="1"/>
  <c r="I280" i="7" s="1"/>
  <c r="K277" i="7"/>
  <c r="I281" i="7" l="1"/>
  <c r="I282" i="7" s="1"/>
  <c r="I283" i="7" s="1"/>
  <c r="I284" i="7" s="1"/>
  <c r="I285" i="7" s="1"/>
  <c r="K280" i="7"/>
  <c r="I286" i="7" l="1"/>
  <c r="I287" i="7" s="1"/>
  <c r="K285" i="7"/>
  <c r="I288" i="7" l="1"/>
  <c r="I289" i="7" s="1"/>
  <c r="I290" i="7" s="1"/>
  <c r="I291" i="7" s="1"/>
  <c r="I292" i="7" s="1"/>
  <c r="K287" i="7"/>
  <c r="I293" i="7" l="1"/>
  <c r="I294" i="7" s="1"/>
  <c r="I295" i="7" s="1"/>
  <c r="I296" i="7" s="1"/>
  <c r="I297" i="7" s="1"/>
  <c r="I298" i="7" s="1"/>
  <c r="I299" i="7" s="1"/>
  <c r="K292" i="7"/>
  <c r="I300" i="7" l="1"/>
  <c r="I301" i="7" s="1"/>
  <c r="I302" i="7" s="1"/>
  <c r="I303" i="7" s="1"/>
  <c r="I304" i="7" s="1"/>
  <c r="K299" i="7"/>
  <c r="I305" i="7" l="1"/>
  <c r="I306" i="7" s="1"/>
  <c r="I307" i="7" s="1"/>
  <c r="I308" i="7" s="1"/>
  <c r="I309" i="7" s="1"/>
  <c r="I310" i="7" s="1"/>
  <c r="K304" i="7"/>
  <c r="I311" i="7" l="1"/>
  <c r="I312" i="7" s="1"/>
  <c r="I313" i="7" s="1"/>
  <c r="K310" i="7"/>
  <c r="I314" i="7" l="1"/>
  <c r="I315" i="7" s="1"/>
  <c r="I316" i="7" s="1"/>
  <c r="I317" i="7" s="1"/>
  <c r="I318" i="7" s="1"/>
  <c r="I319" i="7" s="1"/>
  <c r="I320" i="7" s="1"/>
  <c r="K313" i="7"/>
  <c r="I321" i="7" l="1"/>
  <c r="I322" i="7" s="1"/>
  <c r="I323" i="7" s="1"/>
  <c r="I324" i="7" s="1"/>
  <c r="I325" i="7" s="1"/>
  <c r="I326" i="7" s="1"/>
  <c r="I327" i="7" s="1"/>
  <c r="I328" i="7" s="1"/>
  <c r="I329" i="7" s="1"/>
  <c r="K320" i="7"/>
  <c r="I330" i="7" l="1"/>
  <c r="I331" i="7" s="1"/>
  <c r="K329" i="7"/>
  <c r="I332" i="7" l="1"/>
  <c r="I333" i="7" s="1"/>
  <c r="I334" i="7" s="1"/>
  <c r="I335" i="7" s="1"/>
  <c r="K331" i="7"/>
  <c r="K335" i="7" l="1"/>
  <c r="I336" i="7"/>
  <c r="I337" i="7" s="1"/>
  <c r="I338" i="7" s="1"/>
  <c r="I339" i="7" l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K338" i="7"/>
  <c r="I351" i="7" l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K350" i="7"/>
  <c r="I366" i="7" l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K365" i="7"/>
  <c r="I440" i="7" l="1"/>
  <c r="K439" i="7"/>
  <c r="I441" i="7" l="1"/>
  <c r="I442" i="7" s="1"/>
  <c r="I443" i="7" s="1"/>
  <c r="I444" i="7" s="1"/>
  <c r="K440" i="7"/>
  <c r="I445" i="7" l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K444" i="7"/>
  <c r="K488" i="7" l="1"/>
  <c r="I489" i="7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521" i="7" s="1"/>
  <c r="I522" i="7" s="1"/>
  <c r="I523" i="7" s="1"/>
  <c r="I524" i="7" s="1"/>
  <c r="I525" i="7" s="1"/>
  <c r="I526" i="7" s="1"/>
  <c r="I527" i="7" s="1"/>
  <c r="I528" i="7" s="1"/>
  <c r="I529" i="7" s="1"/>
  <c r="I530" i="7" s="1"/>
  <c r="I531" i="7" s="1"/>
  <c r="I532" i="7" s="1"/>
  <c r="I533" i="7" s="1"/>
  <c r="I534" i="7" s="1"/>
  <c r="I535" i="7" s="1"/>
  <c r="I536" i="7" s="1"/>
  <c r="I537" i="7" s="1"/>
  <c r="I538" i="7" s="1"/>
  <c r="I539" i="7" s="1"/>
  <c r="I540" i="7" s="1"/>
  <c r="I541" i="7" s="1"/>
  <c r="I542" i="7" s="1"/>
  <c r="I543" i="7" s="1"/>
  <c r="I544" i="7" s="1"/>
  <c r="I545" i="7" s="1"/>
  <c r="I546" i="7" s="1"/>
  <c r="I547" i="7" s="1"/>
  <c r="I548" i="7" s="1"/>
  <c r="I549" i="7" s="1"/>
  <c r="I550" i="7" s="1"/>
  <c r="I551" i="7" s="1"/>
  <c r="I552" i="7" s="1"/>
  <c r="I553" i="7" s="1"/>
  <c r="I554" i="7" s="1"/>
  <c r="I555" i="7" s="1"/>
  <c r="I556" i="7" s="1"/>
  <c r="I557" i="7" s="1"/>
  <c r="I558" i="7" s="1"/>
  <c r="I559" i="7" s="1"/>
  <c r="I560" i="7" s="1"/>
  <c r="I561" i="7" s="1"/>
  <c r="I562" i="7" s="1"/>
  <c r="I563" i="7" s="1"/>
  <c r="I564" i="7" s="1"/>
  <c r="I565" i="7" s="1"/>
  <c r="I566" i="7" s="1"/>
  <c r="I567" i="7" s="1"/>
  <c r="I568" i="7" s="1"/>
  <c r="I569" i="7" s="1"/>
  <c r="I570" i="7" s="1"/>
  <c r="I571" i="7" s="1"/>
  <c r="I572" i="7" s="1"/>
  <c r="I573" i="7" s="1"/>
  <c r="I574" i="7" s="1"/>
  <c r="I575" i="7" s="1"/>
  <c r="I576" i="7" s="1"/>
  <c r="I577" i="7" s="1"/>
  <c r="I578" i="7" s="1"/>
  <c r="I579" i="7" s="1"/>
  <c r="I580" i="7" s="1"/>
  <c r="I581" i="7" s="1"/>
  <c r="I582" i="7" s="1"/>
  <c r="I583" i="7" s="1"/>
  <c r="I584" i="7" s="1"/>
  <c r="I585" i="7" s="1"/>
  <c r="I586" i="7" s="1"/>
  <c r="I587" i="7" s="1"/>
  <c r="I588" i="7" s="1"/>
  <c r="I589" i="7" s="1"/>
  <c r="I590" i="7" s="1"/>
  <c r="I591" i="7" s="1"/>
  <c r="I592" i="7" s="1"/>
  <c r="I593" i="7" s="1"/>
  <c r="I594" i="7" s="1"/>
  <c r="I595" i="7" s="1"/>
  <c r="I596" i="7" s="1"/>
  <c r="I597" i="7" s="1"/>
  <c r="I598" i="7" s="1"/>
  <c r="I599" i="7" s="1"/>
  <c r="I600" i="7" s="1"/>
  <c r="I601" i="7" s="1"/>
  <c r="I602" i="7" s="1"/>
  <c r="I603" i="7" s="1"/>
  <c r="I604" i="7" s="1"/>
  <c r="I605" i="7" s="1"/>
  <c r="I606" i="7" s="1"/>
  <c r="I607" i="7" s="1"/>
  <c r="I608" i="7" s="1"/>
  <c r="I609" i="7" s="1"/>
  <c r="I610" i="7" s="1"/>
  <c r="I611" i="7" s="1"/>
  <c r="I612" i="7" s="1"/>
  <c r="I613" i="7" s="1"/>
  <c r="I614" i="7" s="1"/>
  <c r="I615" i="7" s="1"/>
  <c r="I616" i="7" s="1"/>
  <c r="I617" i="7" s="1"/>
  <c r="I618" i="7" s="1"/>
  <c r="I619" i="7" s="1"/>
  <c r="I620" i="7" s="1"/>
  <c r="I621" i="7" s="1"/>
  <c r="I622" i="7" s="1"/>
  <c r="I623" i="7" s="1"/>
  <c r="I624" i="7" s="1"/>
  <c r="I625" i="7" s="1"/>
  <c r="I626" i="7" s="1"/>
  <c r="I627" i="7" s="1"/>
  <c r="I628" i="7" s="1"/>
  <c r="I629" i="7" s="1"/>
  <c r="I630" i="7" s="1"/>
  <c r="I631" i="7" s="1"/>
  <c r="I632" i="7" s="1"/>
  <c r="I633" i="7" s="1"/>
  <c r="I634" i="7" s="1"/>
  <c r="I635" i="7" s="1"/>
  <c r="I636" i="7" s="1"/>
  <c r="I637" i="7" s="1"/>
  <c r="I638" i="7" s="1"/>
  <c r="I639" i="7" s="1"/>
  <c r="I640" i="7" s="1"/>
  <c r="I641" i="7" s="1"/>
  <c r="I642" i="7" s="1"/>
  <c r="I643" i="7" s="1"/>
  <c r="I644" i="7" s="1"/>
  <c r="I645" i="7" s="1"/>
  <c r="I646" i="7" s="1"/>
  <c r="I647" i="7" s="1"/>
  <c r="I648" i="7" s="1"/>
  <c r="I649" i="7" s="1"/>
  <c r="I650" i="7" s="1"/>
  <c r="I651" i="7" s="1"/>
  <c r="I652" i="7" s="1"/>
  <c r="I653" i="7" s="1"/>
  <c r="I654" i="7" s="1"/>
  <c r="I655" i="7" s="1"/>
  <c r="I656" i="7" s="1"/>
  <c r="I657" i="7" s="1"/>
  <c r="I658" i="7" s="1"/>
  <c r="I659" i="7" s="1"/>
  <c r="I660" i="7" s="1"/>
  <c r="I661" i="7" s="1"/>
  <c r="I662" i="7" s="1"/>
  <c r="I663" i="7" s="1"/>
  <c r="I664" i="7" s="1"/>
  <c r="I665" i="7" s="1"/>
  <c r="I666" i="7" s="1"/>
  <c r="I667" i="7" s="1"/>
  <c r="I668" i="7" s="1"/>
  <c r="I669" i="7" s="1"/>
  <c r="I670" i="7" s="1"/>
  <c r="I671" i="7" s="1"/>
  <c r="I672" i="7" s="1"/>
  <c r="I673" i="7" s="1"/>
  <c r="I674" i="7" s="1"/>
  <c r="I675" i="7" s="1"/>
  <c r="I676" i="7" s="1"/>
  <c r="I677" i="7" s="1"/>
  <c r="I678" i="7" s="1"/>
  <c r="I679" i="7" s="1"/>
  <c r="I680" i="7" s="1"/>
  <c r="I681" i="7" s="1"/>
  <c r="I682" i="7" s="1"/>
  <c r="I683" i="7" s="1"/>
  <c r="I684" i="7" s="1"/>
  <c r="I685" i="7" s="1"/>
  <c r="I686" i="7" s="1"/>
  <c r="I687" i="7" s="1"/>
  <c r="I688" i="7" s="1"/>
  <c r="I689" i="7" s="1"/>
  <c r="I690" i="7" s="1"/>
  <c r="I691" i="7" s="1"/>
  <c r="I692" i="7" s="1"/>
  <c r="I693" i="7" s="1"/>
  <c r="I694" i="7" s="1"/>
  <c r="I695" i="7" s="1"/>
  <c r="I696" i="7" s="1"/>
  <c r="I697" i="7" s="1"/>
  <c r="I698" i="7" s="1"/>
  <c r="I699" i="7" s="1"/>
  <c r="I700" i="7" s="1"/>
  <c r="I701" i="7" s="1"/>
  <c r="I702" i="7" s="1"/>
  <c r="I703" i="7" s="1"/>
  <c r="I704" i="7" s="1"/>
  <c r="I705" i="7" s="1"/>
  <c r="I706" i="7" s="1"/>
  <c r="I707" i="7" s="1"/>
  <c r="I708" i="7" s="1"/>
  <c r="I709" i="7" s="1"/>
  <c r="I710" i="7" s="1"/>
  <c r="I711" i="7" s="1"/>
  <c r="I712" i="7" s="1"/>
  <c r="I713" i="7" s="1"/>
  <c r="I714" i="7" s="1"/>
  <c r="I715" i="7" s="1"/>
  <c r="I716" i="7" s="1"/>
  <c r="I717" i="7" s="1"/>
  <c r="I718" i="7" s="1"/>
  <c r="I719" i="7" s="1"/>
  <c r="I720" i="7" s="1"/>
  <c r="I721" i="7" s="1"/>
  <c r="I722" i="7" s="1"/>
  <c r="I723" i="7" s="1"/>
  <c r="I724" i="7" s="1"/>
  <c r="I725" i="7" s="1"/>
  <c r="I726" i="7" s="1"/>
  <c r="I727" i="7" s="1"/>
  <c r="I728" i="7" s="1"/>
  <c r="I729" i="7" s="1"/>
  <c r="I730" i="7" s="1"/>
  <c r="I731" i="7" s="1"/>
  <c r="I732" i="7" s="1"/>
  <c r="I733" i="7" s="1"/>
  <c r="I734" i="7" s="1"/>
  <c r="I735" i="7" s="1"/>
  <c r="I736" i="7" s="1"/>
  <c r="I737" i="7" s="1"/>
  <c r="I738" i="7" s="1"/>
  <c r="I739" i="7" s="1"/>
  <c r="I740" i="7" s="1"/>
  <c r="I741" i="7" s="1"/>
  <c r="I742" i="7" s="1"/>
  <c r="I743" i="7" s="1"/>
  <c r="I744" i="7" s="1"/>
  <c r="I745" i="7" s="1"/>
  <c r="I746" i="7" s="1"/>
  <c r="I747" i="7" s="1"/>
  <c r="I748" i="7" l="1"/>
  <c r="I749" i="7" s="1"/>
  <c r="I750" i="7" s="1"/>
  <c r="I751" i="7" s="1"/>
  <c r="I752" i="7" s="1"/>
  <c r="I753" i="7" s="1"/>
  <c r="I754" i="7" s="1"/>
  <c r="I755" i="7" s="1"/>
  <c r="I756" i="7" s="1"/>
  <c r="I757" i="7" s="1"/>
  <c r="I758" i="7" s="1"/>
  <c r="I759" i="7" s="1"/>
  <c r="I760" i="7" s="1"/>
  <c r="I761" i="7" s="1"/>
  <c r="I762" i="7" s="1"/>
  <c r="I763" i="7" s="1"/>
  <c r="I764" i="7" s="1"/>
  <c r="I765" i="7" s="1"/>
  <c r="I766" i="7" s="1"/>
  <c r="I767" i="7" s="1"/>
  <c r="I768" i="7" s="1"/>
  <c r="J747" i="7"/>
  <c r="I769" i="7" l="1"/>
  <c r="I770" i="7" s="1"/>
  <c r="I771" i="7" s="1"/>
  <c r="I772" i="7" s="1"/>
  <c r="I773" i="7" s="1"/>
  <c r="I774" i="7" s="1"/>
  <c r="I775" i="7" s="1"/>
  <c r="I776" i="7" s="1"/>
  <c r="I777" i="7" s="1"/>
  <c r="I778" i="7" s="1"/>
  <c r="I779" i="7" s="1"/>
  <c r="I780" i="7" s="1"/>
  <c r="I781" i="7" s="1"/>
  <c r="I782" i="7" s="1"/>
  <c r="I783" i="7" s="1"/>
  <c r="I784" i="7" s="1"/>
  <c r="I785" i="7" s="1"/>
  <c r="I786" i="7" s="1"/>
  <c r="I787" i="7" s="1"/>
  <c r="I788" i="7" s="1"/>
  <c r="J768" i="7"/>
  <c r="I789" i="7" l="1"/>
  <c r="I790" i="7" s="1"/>
  <c r="I791" i="7" s="1"/>
  <c r="I792" i="7" s="1"/>
  <c r="I793" i="7" s="1"/>
  <c r="I794" i="7" s="1"/>
  <c r="I795" i="7" s="1"/>
  <c r="I796" i="7" s="1"/>
  <c r="I797" i="7" s="1"/>
  <c r="I798" i="7" s="1"/>
  <c r="I799" i="7" s="1"/>
  <c r="I800" i="7" s="1"/>
  <c r="I801" i="7" s="1"/>
  <c r="I802" i="7" s="1"/>
  <c r="I803" i="7" s="1"/>
  <c r="I804" i="7" s="1"/>
  <c r="I805" i="7" s="1"/>
  <c r="I806" i="7" s="1"/>
  <c r="I807" i="7" s="1"/>
  <c r="I808" i="7" s="1"/>
  <c r="I809" i="7" s="1"/>
  <c r="I810" i="7" s="1"/>
  <c r="I811" i="7" s="1"/>
  <c r="I812" i="7" s="1"/>
  <c r="I813" i="7" s="1"/>
  <c r="I814" i="7" s="1"/>
  <c r="I815" i="7" s="1"/>
  <c r="I816" i="7" s="1"/>
  <c r="I817" i="7" s="1"/>
  <c r="I818" i="7" s="1"/>
  <c r="I819" i="7" s="1"/>
  <c r="I820" i="7" s="1"/>
  <c r="I821" i="7" s="1"/>
  <c r="I822" i="7" s="1"/>
  <c r="I823" i="7" s="1"/>
  <c r="I824" i="7" s="1"/>
  <c r="I825" i="7" s="1"/>
  <c r="I826" i="7" s="1"/>
  <c r="I827" i="7" s="1"/>
  <c r="I828" i="7" s="1"/>
  <c r="I829" i="7" s="1"/>
  <c r="I830" i="7" s="1"/>
  <c r="I831" i="7" s="1"/>
  <c r="I832" i="7" s="1"/>
  <c r="I833" i="7" s="1"/>
  <c r="I834" i="7" s="1"/>
  <c r="I835" i="7" s="1"/>
  <c r="I836" i="7" s="1"/>
  <c r="I837" i="7" s="1"/>
  <c r="I838" i="7" s="1"/>
  <c r="I839" i="7" s="1"/>
  <c r="I840" i="7" s="1"/>
  <c r="I841" i="7" s="1"/>
  <c r="I842" i="7" s="1"/>
  <c r="I843" i="7" s="1"/>
  <c r="I844" i="7" s="1"/>
  <c r="I845" i="7" s="1"/>
  <c r="I846" i="7" s="1"/>
  <c r="I847" i="7" s="1"/>
  <c r="I848" i="7" s="1"/>
  <c r="I849" i="7" s="1"/>
  <c r="I850" i="7" s="1"/>
  <c r="I851" i="7" s="1"/>
  <c r="I852" i="7" s="1"/>
  <c r="I853" i="7" s="1"/>
  <c r="I854" i="7" s="1"/>
  <c r="I855" i="7" s="1"/>
  <c r="I856" i="7" s="1"/>
  <c r="I857" i="7" s="1"/>
  <c r="I858" i="7" s="1"/>
  <c r="I859" i="7" s="1"/>
  <c r="I860" i="7" s="1"/>
  <c r="I861" i="7" s="1"/>
  <c r="I862" i="7" s="1"/>
  <c r="I863" i="7" s="1"/>
  <c r="I864" i="7" s="1"/>
  <c r="I865" i="7" s="1"/>
  <c r="I866" i="7" s="1"/>
  <c r="I867" i="7" s="1"/>
  <c r="I868" i="7" s="1"/>
  <c r="I869" i="7" s="1"/>
  <c r="I870" i="7" s="1"/>
  <c r="I871" i="7" s="1"/>
  <c r="I872" i="7" s="1"/>
  <c r="I873" i="7" s="1"/>
  <c r="I874" i="7" s="1"/>
  <c r="I875" i="7" s="1"/>
  <c r="I876" i="7" s="1"/>
  <c r="I877" i="7" s="1"/>
  <c r="I878" i="7" s="1"/>
  <c r="I879" i="7" s="1"/>
  <c r="I880" i="7" s="1"/>
  <c r="I881" i="7" s="1"/>
  <c r="I882" i="7" s="1"/>
  <c r="I883" i="7" s="1"/>
  <c r="I884" i="7" s="1"/>
  <c r="I885" i="7" s="1"/>
  <c r="I886" i="7" s="1"/>
  <c r="I887" i="7" s="1"/>
  <c r="I888" i="7" s="1"/>
  <c r="I889" i="7" s="1"/>
  <c r="I890" i="7" s="1"/>
  <c r="I891" i="7" s="1"/>
  <c r="I892" i="7" s="1"/>
  <c r="I893" i="7" s="1"/>
  <c r="I894" i="7" s="1"/>
  <c r="I895" i="7" s="1"/>
  <c r="I896" i="7" s="1"/>
  <c r="I897" i="7" s="1"/>
  <c r="I898" i="7" s="1"/>
  <c r="I899" i="7" s="1"/>
  <c r="I900" i="7" s="1"/>
  <c r="I901" i="7" s="1"/>
  <c r="I902" i="7" s="1"/>
  <c r="I903" i="7" s="1"/>
  <c r="I904" i="7" s="1"/>
  <c r="I905" i="7" s="1"/>
  <c r="I906" i="7" s="1"/>
  <c r="I907" i="7" s="1"/>
  <c r="I908" i="7" s="1"/>
  <c r="I909" i="7" s="1"/>
  <c r="I910" i="7" s="1"/>
  <c r="I911" i="7" s="1"/>
  <c r="I912" i="7" s="1"/>
  <c r="I913" i="7" s="1"/>
  <c r="I914" i="7" s="1"/>
  <c r="I915" i="7" s="1"/>
  <c r="I916" i="7" s="1"/>
  <c r="I917" i="7" s="1"/>
  <c r="I918" i="7" s="1"/>
  <c r="I919" i="7" s="1"/>
  <c r="I920" i="7" s="1"/>
  <c r="I921" i="7" s="1"/>
  <c r="I922" i="7" s="1"/>
  <c r="I923" i="7" s="1"/>
  <c r="I924" i="7" s="1"/>
  <c r="I925" i="7" s="1"/>
  <c r="I926" i="7" s="1"/>
  <c r="I927" i="7" s="1"/>
  <c r="I928" i="7" s="1"/>
  <c r="I929" i="7" s="1"/>
  <c r="I930" i="7" s="1"/>
  <c r="I931" i="7" s="1"/>
  <c r="I932" i="7" s="1"/>
  <c r="I933" i="7" s="1"/>
  <c r="I934" i="7" s="1"/>
  <c r="I935" i="7" s="1"/>
  <c r="I936" i="7" s="1"/>
  <c r="I937" i="7" s="1"/>
  <c r="I938" i="7" s="1"/>
  <c r="I939" i="7" s="1"/>
  <c r="I940" i="7" s="1"/>
  <c r="I941" i="7" s="1"/>
  <c r="I942" i="7" s="1"/>
  <c r="I943" i="7" s="1"/>
  <c r="I944" i="7" s="1"/>
  <c r="I945" i="7" s="1"/>
  <c r="I946" i="7" s="1"/>
  <c r="I947" i="7" s="1"/>
  <c r="I948" i="7" s="1"/>
  <c r="I949" i="7" s="1"/>
  <c r="I950" i="7" s="1"/>
  <c r="I951" i="7" s="1"/>
  <c r="I952" i="7" s="1"/>
  <c r="I953" i="7" s="1"/>
  <c r="I954" i="7" s="1"/>
  <c r="I955" i="7" s="1"/>
  <c r="I956" i="7" s="1"/>
  <c r="I957" i="7" s="1"/>
  <c r="I958" i="7" s="1"/>
  <c r="I959" i="7" s="1"/>
  <c r="I960" i="7" s="1"/>
  <c r="I961" i="7" s="1"/>
  <c r="I962" i="7" s="1"/>
  <c r="I963" i="7" s="1"/>
  <c r="I964" i="7" s="1"/>
  <c r="I965" i="7" s="1"/>
  <c r="I966" i="7" s="1"/>
  <c r="I967" i="7" s="1"/>
  <c r="I968" i="7" s="1"/>
  <c r="I969" i="7" s="1"/>
  <c r="I970" i="7" s="1"/>
  <c r="I971" i="7" s="1"/>
  <c r="I972" i="7" s="1"/>
  <c r="I973" i="7" s="1"/>
  <c r="I974" i="7" s="1"/>
  <c r="I975" i="7" s="1"/>
  <c r="I976" i="7" s="1"/>
  <c r="I977" i="7" s="1"/>
  <c r="I978" i="7" s="1"/>
  <c r="I979" i="7" s="1"/>
  <c r="I980" i="7" s="1"/>
  <c r="I981" i="7" s="1"/>
  <c r="I982" i="7" s="1"/>
  <c r="I983" i="7" s="1"/>
  <c r="I984" i="7" s="1"/>
  <c r="I985" i="7" s="1"/>
  <c r="I986" i="7" s="1"/>
  <c r="I987" i="7" s="1"/>
  <c r="I988" i="7" s="1"/>
  <c r="I989" i="7" s="1"/>
  <c r="I990" i="7" s="1"/>
  <c r="I991" i="7" s="1"/>
  <c r="I992" i="7" s="1"/>
  <c r="I993" i="7" s="1"/>
  <c r="I994" i="7" s="1"/>
  <c r="I995" i="7" s="1"/>
  <c r="I996" i="7" s="1"/>
  <c r="I997" i="7" s="1"/>
  <c r="I998" i="7" s="1"/>
  <c r="I999" i="7" s="1"/>
  <c r="I1000" i="7" s="1"/>
  <c r="I1001" i="7" s="1"/>
  <c r="I1002" i="7" s="1"/>
  <c r="I1003" i="7" s="1"/>
  <c r="I1004" i="7" s="1"/>
  <c r="I1005" i="7" s="1"/>
  <c r="I1006" i="7" s="1"/>
  <c r="I1007" i="7" s="1"/>
  <c r="I1008" i="7" s="1"/>
  <c r="I1009" i="7" s="1"/>
  <c r="I1010" i="7" s="1"/>
  <c r="I1011" i="7" s="1"/>
  <c r="I1012" i="7" s="1"/>
  <c r="I1013" i="7" s="1"/>
  <c r="I1014" i="7" s="1"/>
  <c r="I1015" i="7" s="1"/>
  <c r="I1016" i="7" s="1"/>
  <c r="I1017" i="7" s="1"/>
  <c r="I1018" i="7" s="1"/>
  <c r="I1019" i="7" s="1"/>
  <c r="I1020" i="7" s="1"/>
  <c r="I1021" i="7" s="1"/>
  <c r="I1022" i="7" s="1"/>
  <c r="I1023" i="7" s="1"/>
  <c r="I1024" i="7" s="1"/>
  <c r="I1025" i="7" s="1"/>
  <c r="I1026" i="7" s="1"/>
  <c r="I1027" i="7" s="1"/>
  <c r="I1028" i="7" s="1"/>
  <c r="I1029" i="7" s="1"/>
  <c r="I1030" i="7" s="1"/>
  <c r="I1031" i="7" s="1"/>
  <c r="I1032" i="7" s="1"/>
  <c r="I1033" i="7" s="1"/>
  <c r="I1034" i="7" s="1"/>
  <c r="I1035" i="7" s="1"/>
  <c r="I1036" i="7" s="1"/>
  <c r="I1037" i="7" s="1"/>
  <c r="I1038" i="7" s="1"/>
  <c r="I1039" i="7" s="1"/>
  <c r="I1040" i="7" s="1"/>
  <c r="I1041" i="7" s="1"/>
  <c r="I1042" i="7" s="1"/>
  <c r="I1043" i="7" s="1"/>
  <c r="I1044" i="7" s="1"/>
  <c r="I1045" i="7" s="1"/>
  <c r="I1046" i="7" s="1"/>
  <c r="I1047" i="7" s="1"/>
  <c r="I1048" i="7" s="1"/>
  <c r="I1049" i="7" s="1"/>
  <c r="I1050" i="7" s="1"/>
  <c r="I1051" i="7" s="1"/>
  <c r="I1052" i="7" s="1"/>
  <c r="I1053" i="7" s="1"/>
  <c r="I1054" i="7" s="1"/>
  <c r="I1055" i="7" s="1"/>
  <c r="I1056" i="7" s="1"/>
  <c r="I1057" i="7" s="1"/>
  <c r="I1058" i="7" s="1"/>
  <c r="I1059" i="7" s="1"/>
  <c r="I1060" i="7" s="1"/>
  <c r="I1061" i="7" s="1"/>
  <c r="I1062" i="7" s="1"/>
  <c r="I1063" i="7" s="1"/>
  <c r="I1064" i="7" s="1"/>
  <c r="I1065" i="7" s="1"/>
  <c r="I1066" i="7" s="1"/>
  <c r="I1067" i="7" s="1"/>
  <c r="I1068" i="7" s="1"/>
  <c r="I1069" i="7" s="1"/>
  <c r="I1070" i="7" s="1"/>
  <c r="I1071" i="7" s="1"/>
  <c r="I1072" i="7" s="1"/>
  <c r="I1073" i="7" s="1"/>
  <c r="I1074" i="7" s="1"/>
  <c r="I1075" i="7" s="1"/>
  <c r="I1076" i="7" s="1"/>
  <c r="I1077" i="7" s="1"/>
  <c r="I1078" i="7" s="1"/>
  <c r="I1079" i="7" s="1"/>
  <c r="I1080" i="7" s="1"/>
  <c r="I1081" i="7" s="1"/>
  <c r="I1082" i="7" s="1"/>
  <c r="I1083" i="7" s="1"/>
  <c r="I1084" i="7" s="1"/>
  <c r="I1085" i="7" s="1"/>
  <c r="I1086" i="7" s="1"/>
  <c r="I1087" i="7" s="1"/>
  <c r="I1088" i="7" s="1"/>
  <c r="I1089" i="7" s="1"/>
  <c r="I1090" i="7" s="1"/>
  <c r="I1091" i="7" s="1"/>
  <c r="I1092" i="7" s="1"/>
  <c r="I1093" i="7" s="1"/>
  <c r="I1094" i="7" s="1"/>
  <c r="I1095" i="7" s="1"/>
  <c r="I1096" i="7" s="1"/>
  <c r="I1097" i="7" s="1"/>
  <c r="I1098" i="7" s="1"/>
  <c r="I1099" i="7" s="1"/>
  <c r="I1100" i="7" s="1"/>
  <c r="I1101" i="7" s="1"/>
  <c r="I1102" i="7" s="1"/>
  <c r="I1103" i="7" s="1"/>
  <c r="I1104" i="7" s="1"/>
  <c r="I1105" i="7" s="1"/>
  <c r="I1106" i="7" s="1"/>
  <c r="J788" i="7"/>
  <c r="J1106" i="7" l="1"/>
  <c r="I1107" i="7"/>
  <c r="I1108" i="7" s="1"/>
  <c r="I1109" i="7" s="1"/>
  <c r="I1110" i="7" s="1"/>
  <c r="I1111" i="7" s="1"/>
  <c r="I1112" i="7" s="1"/>
  <c r="I1113" i="7" s="1"/>
  <c r="I1114" i="7" s="1"/>
  <c r="I1115" i="7" s="1"/>
  <c r="I1116" i="7" s="1"/>
  <c r="I1117" i="7" s="1"/>
  <c r="I1118" i="7" s="1"/>
  <c r="I1119" i="7" s="1"/>
  <c r="I1120" i="7" s="1"/>
  <c r="I1121" i="7" s="1"/>
  <c r="I1122" i="7" s="1"/>
  <c r="I1123" i="7" s="1"/>
  <c r="I1124" i="7" s="1"/>
  <c r="I1125" i="7" s="1"/>
  <c r="I1126" i="7" s="1"/>
  <c r="I1127" i="7" s="1"/>
  <c r="I1128" i="7" s="1"/>
  <c r="I1129" i="7" s="1"/>
  <c r="I1130" i="7" s="1"/>
  <c r="I1131" i="7" s="1"/>
  <c r="I1132" i="7" s="1"/>
  <c r="I1133" i="7" s="1"/>
  <c r="I1134" i="7" s="1"/>
  <c r="I1135" i="7" s="1"/>
  <c r="I1136" i="7" s="1"/>
  <c r="I1137" i="7" s="1"/>
  <c r="I1138" i="7" s="1"/>
  <c r="I1139" i="7" s="1"/>
  <c r="I1140" i="7" s="1"/>
  <c r="I1141" i="7" s="1"/>
  <c r="I1142" i="7" s="1"/>
  <c r="I1143" i="7" s="1"/>
  <c r="I1144" i="7" s="1"/>
  <c r="I1145" i="7" s="1"/>
  <c r="I1146" i="7" s="1"/>
  <c r="I1147" i="7" s="1"/>
  <c r="I1148" i="7" s="1"/>
  <c r="I1149" i="7" s="1"/>
  <c r="I1150" i="7" s="1"/>
  <c r="I1151" i="7" s="1"/>
  <c r="I1152" i="7" s="1"/>
  <c r="I1153" i="7" s="1"/>
  <c r="I1154" i="7" s="1"/>
  <c r="I1155" i="7" s="1"/>
  <c r="I1156" i="7" s="1"/>
  <c r="I1157" i="7" s="1"/>
  <c r="I1158" i="7" s="1"/>
  <c r="I1159" i="7" s="1"/>
  <c r="I1160" i="7" s="1"/>
  <c r="I1161" i="7" s="1"/>
  <c r="I1162" i="7" s="1"/>
  <c r="I1163" i="7" s="1"/>
  <c r="I1164" i="7" s="1"/>
  <c r="I1165" i="7" s="1"/>
  <c r="I1166" i="7" s="1"/>
  <c r="I1167" i="7" s="1"/>
  <c r="I1168" i="7" s="1"/>
  <c r="I1169" i="7" s="1"/>
  <c r="I1170" i="7" s="1"/>
  <c r="I1171" i="7" s="1"/>
  <c r="I1172" i="7" s="1"/>
  <c r="I1173" i="7" s="1"/>
  <c r="I1174" i="7" s="1"/>
  <c r="I1175" i="7" s="1"/>
  <c r="I1176" i="7" s="1"/>
  <c r="I1177" i="7" s="1"/>
  <c r="I1178" i="7" s="1"/>
  <c r="I1179" i="7" s="1"/>
  <c r="I1180" i="7" s="1"/>
  <c r="I1181" i="7" s="1"/>
  <c r="I1182" i="7" s="1"/>
  <c r="I1183" i="7" s="1"/>
  <c r="I1184" i="7" s="1"/>
  <c r="I1185" i="7" s="1"/>
  <c r="I1186" i="7" s="1"/>
  <c r="I1187" i="7" s="1"/>
  <c r="I1188" i="7" s="1"/>
  <c r="I1189" i="7" s="1"/>
  <c r="I1190" i="7" s="1"/>
  <c r="I1191" i="7" s="1"/>
  <c r="I1192" i="7" s="1"/>
  <c r="I1193" i="7" s="1"/>
  <c r="I1194" i="7" s="1"/>
  <c r="I1195" i="7" s="1"/>
  <c r="I1196" i="7" s="1"/>
  <c r="I1197" i="7" s="1"/>
  <c r="I1198" i="7" s="1"/>
  <c r="I1199" i="7" s="1"/>
  <c r="I1200" i="7" s="1"/>
  <c r="I1201" i="7" s="1"/>
  <c r="I1202" i="7" s="1"/>
  <c r="I1203" i="7" s="1"/>
  <c r="I1204" i="7" s="1"/>
  <c r="I1205" i="7" s="1"/>
  <c r="I1206" i="7" s="1"/>
  <c r="I1207" i="7" s="1"/>
  <c r="I1208" i="7" s="1"/>
  <c r="I1209" i="7" s="1"/>
  <c r="I1210" i="7" s="1"/>
  <c r="I1211" i="7" s="1"/>
  <c r="I1212" i="7" s="1"/>
  <c r="I1213" i="7" s="1"/>
  <c r="I1214" i="7" s="1"/>
  <c r="I1215" i="7" s="1"/>
  <c r="I1216" i="7" s="1"/>
  <c r="I1217" i="7" s="1"/>
  <c r="I1218" i="7" s="1"/>
  <c r="I1219" i="7" s="1"/>
  <c r="I1228" i="7" s="1"/>
  <c r="I1229" i="7" s="1"/>
  <c r="I1230" i="7" s="1"/>
  <c r="I1231" i="7" s="1"/>
  <c r="I1232" i="7" s="1"/>
  <c r="I1220" i="7" s="1"/>
  <c r="I1221" i="7" s="1"/>
  <c r="I1222" i="7" s="1"/>
  <c r="I1223" i="7" s="1"/>
  <c r="I1224" i="7" s="1"/>
  <c r="I1225" i="7" s="1"/>
  <c r="I1226" i="7" s="1"/>
  <c r="I1227" i="7" s="1"/>
  <c r="I1233" i="7" s="1"/>
  <c r="I1234" i="7" s="1"/>
  <c r="I1235" i="7" s="1"/>
  <c r="I1236" i="7" s="1"/>
  <c r="I1237" i="7" s="1"/>
  <c r="I1238" i="7" s="1"/>
  <c r="I1239" i="7" s="1"/>
  <c r="I1240" i="7" s="1"/>
  <c r="I1241" i="7" s="1"/>
  <c r="I1242" i="7" s="1"/>
  <c r="I1243" i="7" s="1"/>
  <c r="I1244" i="7" s="1"/>
  <c r="I1245" i="7" s="1"/>
  <c r="I1246" i="7" s="1"/>
  <c r="I1247" i="7" s="1"/>
  <c r="I1248" i="7" s="1"/>
  <c r="I1249" i="7" s="1"/>
  <c r="I1250" i="7" s="1"/>
  <c r="I1251" i="7" s="1"/>
  <c r="I1252" i="7" s="1"/>
  <c r="I1253" i="7" s="1"/>
  <c r="I1254" i="7" s="1"/>
  <c r="I1255" i="7" s="1"/>
  <c r="I1256" i="7" s="1"/>
  <c r="I1257" i="7" s="1"/>
  <c r="I1258" i="7" s="1"/>
  <c r="I1259" i="7" s="1"/>
  <c r="I1260" i="7" s="1"/>
  <c r="I1261" i="7" s="1"/>
  <c r="I1262" i="7" s="1"/>
  <c r="I1263" i="7" s="1"/>
  <c r="I1264" i="7" s="1"/>
  <c r="I1265" i="7" s="1"/>
  <c r="I1266" i="7" s="1"/>
  <c r="I1267" i="7" s="1"/>
  <c r="I1268" i="7" s="1"/>
  <c r="I1269" i="7" s="1"/>
  <c r="I1270" i="7" s="1"/>
  <c r="I1271" i="7" s="1"/>
  <c r="I1272" i="7" s="1"/>
  <c r="I1273" i="7" s="1"/>
  <c r="I1274" i="7" s="1"/>
  <c r="I1275" i="7" s="1"/>
  <c r="I1276" i="7" s="1"/>
  <c r="I1277" i="7" s="1"/>
  <c r="I1278" i="7" s="1"/>
  <c r="I1279" i="7" s="1"/>
  <c r="I1280" i="7" s="1"/>
  <c r="I1281" i="7" s="1"/>
  <c r="I1282" i="7" s="1"/>
  <c r="I1283" i="7" s="1"/>
  <c r="I1284" i="7" s="1"/>
  <c r="I1285" i="7" s="1"/>
  <c r="I1286" i="7" s="1"/>
  <c r="I1287" i="7" s="1"/>
  <c r="I1288" i="7" s="1"/>
  <c r="I1289" i="7" s="1"/>
  <c r="I1290" i="7" s="1"/>
  <c r="G303" i="4"/>
  <c r="G304" i="4"/>
  <c r="G305" i="4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52" i="4" l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43" i="4"/>
  <c r="N344" i="4" s="1"/>
  <c r="N345" i="4" s="1"/>
  <c r="N346" i="4" s="1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</calcChain>
</file>

<file path=xl/comments1.xml><?xml version="1.0" encoding="utf-8"?>
<comments xmlns="http://schemas.openxmlformats.org/spreadsheetml/2006/main">
  <authors>
    <author>user</author>
  </authors>
  <commentList>
    <comment ref="C109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 dia 23-2-23 se debiata y el mismo dia se rechaza por el paro bancario. 
Se vuelven a debitar el 27-2
</t>
        </r>
      </text>
    </comment>
    <comment ref="C109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 dia 23-2-23 se debiata y el mismo dia se rechaza por el paro bancario. 
Se vuelven a debitar el 27-2</t>
        </r>
      </text>
    </comment>
  </commentList>
</comments>
</file>

<file path=xl/sharedStrings.xml><?xml version="1.0" encoding="utf-8"?>
<sst xmlns="http://schemas.openxmlformats.org/spreadsheetml/2006/main" count="2850" uniqueCount="976">
  <si>
    <t>INFORME BAUMO SA</t>
  </si>
  <si>
    <r>
      <rPr>
        <b/>
        <u/>
        <sz val="10"/>
        <color theme="1"/>
        <rFont val="Ebrima"/>
      </rPr>
      <t>PERIODO:</t>
    </r>
    <r>
      <rPr>
        <sz val="10"/>
        <color theme="1"/>
        <rFont val="Ebrima"/>
      </rPr>
      <t xml:space="preserve"> ENERO-2022 - FEBRERO-2022</t>
    </r>
  </si>
  <si>
    <t>ENERO DE 22</t>
  </si>
  <si>
    <t>INGRESO PESOS</t>
  </si>
  <si>
    <t>EGRESOS PESOS</t>
  </si>
  <si>
    <t>INGRESO U$</t>
  </si>
  <si>
    <t>EGRESOS U$</t>
  </si>
  <si>
    <t>FECHA</t>
  </si>
  <si>
    <t>DETALLE</t>
  </si>
  <si>
    <t>CAMBIOS</t>
  </si>
  <si>
    <t>VTAS</t>
  </si>
  <si>
    <t>COMPRAS</t>
  </si>
  <si>
    <t>HON</t>
  </si>
  <si>
    <t>TOTAL $</t>
  </si>
  <si>
    <t>APORTES</t>
  </si>
  <si>
    <t>TERRENO</t>
  </si>
  <si>
    <t>HONORARIO</t>
  </si>
  <si>
    <t>CAMBIO</t>
  </si>
  <si>
    <t>SALDO U$D</t>
  </si>
  <si>
    <t>SALDO ANTERIOR</t>
  </si>
  <si>
    <t>UFD-201 // 3C/60 - BCV - PCHT</t>
  </si>
  <si>
    <t>UFD-501 // 3C/60 - BCV - MLCHT</t>
  </si>
  <si>
    <t xml:space="preserve">POLIZA RESPONSABILIDAD CIVIL </t>
  </si>
  <si>
    <t xml:space="preserve">RENTA - </t>
  </si>
  <si>
    <t xml:space="preserve">ABL -  351948 - 07   DICIEMBRE -ENERO </t>
  </si>
  <si>
    <t xml:space="preserve">AYSA -ENERO </t>
  </si>
  <si>
    <t xml:space="preserve">AG INSTALACIONES - </t>
  </si>
  <si>
    <t xml:space="preserve">CARPINTERIA de ALUMINIO -  CLASE A </t>
  </si>
  <si>
    <t>DEMOLICION y HORMIGON - S/PTTO</t>
  </si>
  <si>
    <t>VENTA DOLARES U$D 24510 * TC 204</t>
  </si>
  <si>
    <t>UFD 601 -  CHT GABRIEL Y OTRO 5/9 (45%)</t>
  </si>
  <si>
    <t>UFD 701 - CHT NATALI Y OTRO 5/9 (45%)</t>
  </si>
  <si>
    <t>UF 1 Y 2 LOCALES  (EN 60 CUOTAS) RESERVA 2C 60</t>
  </si>
  <si>
    <t>UFD-406 Cuota 07/60 // PABLO SUKMAN</t>
  </si>
  <si>
    <t>UFD-401 Cuota 05/60 // LIBERMAN y DINERSTEIN</t>
  </si>
  <si>
    <t>INSTALACIONES  SANITARIAS - TYM - FC</t>
  </si>
  <si>
    <t>IIBB 12/2021</t>
  </si>
  <si>
    <t>UFD-305 Cuota 07/60 // NICOLAS BLEI</t>
  </si>
  <si>
    <t>INSTALACIONES  SANITARIAS - TYM - CHS 3C/04</t>
  </si>
  <si>
    <t>VENTA DOLARES U$D 7500 * TC 205,4</t>
  </si>
  <si>
    <t>UFD-303 Cuota 08/60 // MARTIN BOERO</t>
  </si>
  <si>
    <t xml:space="preserve">GASTOS BANCARIOS </t>
  </si>
  <si>
    <t>ALQUILER SEDE</t>
  </si>
  <si>
    <t xml:space="preserve">HON ADM 5% SOBRE INGRESO - </t>
  </si>
  <si>
    <t>HON ADM 5% SOBRE EGRESO -</t>
  </si>
  <si>
    <t>VENTA DOLARES U$D 1400 * TC 209</t>
  </si>
  <si>
    <t>TOTAL EGRESOS/INGRESOS</t>
  </si>
  <si>
    <t xml:space="preserve">SALDO AL 31/01/2022 </t>
  </si>
  <si>
    <t>FEBRERO DE 22</t>
  </si>
  <si>
    <t>UFD-201 // 4C/60 - BCV - PCHT</t>
  </si>
  <si>
    <t>UFD-501 // 4C/60 - BCV - MLCHT</t>
  </si>
  <si>
    <t>MATERIALES ELECTRICOS - CASA CASTELAO</t>
  </si>
  <si>
    <t>VENTA DOLARES U$D 20000 * TC 210</t>
  </si>
  <si>
    <t>UFD-401 Cuota 06/60 // LIBERMAN y DINERSTEIN</t>
  </si>
  <si>
    <t>ABL -  351948 - 07   FEBRERO</t>
  </si>
  <si>
    <t>AYSA - DICIEMBRE y FEBRERO</t>
  </si>
  <si>
    <t>IIBB 01/2022</t>
  </si>
  <si>
    <t>UFD 601 -  CHT GABRIEL Y OTRO 6/9 (45%)</t>
  </si>
  <si>
    <t>UFD 701 - CHT NATALI Y OTRO 6/9 (45%)</t>
  </si>
  <si>
    <t>UF 1 Y 2 LOCALES  (EN 60 CUOTAS) RESERVA 3C 60</t>
  </si>
  <si>
    <t>UF 206 -CUOTA 02y03/44 //  MYV COMERCIAL SRL</t>
  </si>
  <si>
    <t>UFD-406 Cuota 08/60 // PABLO SUKMAN</t>
  </si>
  <si>
    <t>UFD-305 Cuota 08/60 // NICOLAS BLEI</t>
  </si>
  <si>
    <t>INSTALACIONES  SANITARIAS - TYM - CHS 4C/04</t>
  </si>
  <si>
    <t>VENTA DOLARES U$D 7000 * TC 207</t>
  </si>
  <si>
    <t>VENTA DOLARES U$D 2000 * TC 207</t>
  </si>
  <si>
    <t xml:space="preserve">SALDO AL 28/02/2022 </t>
  </si>
  <si>
    <t>MARZO DE 22</t>
  </si>
  <si>
    <t>BANCO</t>
  </si>
  <si>
    <t>HON-GS</t>
  </si>
  <si>
    <t>DEBITOS BANCARIOS</t>
  </si>
  <si>
    <t>UFD-201 // 5C/60 - BCV - PCHT</t>
  </si>
  <si>
    <t>UFD-501 // 5C/60 - BCV - MLCHT</t>
  </si>
  <si>
    <t>SOCMER -  CHS</t>
  </si>
  <si>
    <t>YMK TRANSFERENCIA Y 8/3/22</t>
  </si>
  <si>
    <t>ABL -  PERIODO MARZO</t>
  </si>
  <si>
    <t>UFD-303 Cuota 09/60 // MARTIN BOERO</t>
  </si>
  <si>
    <t>UFD-401 Cuota 07/60 // LIBERMAN y DINERSTEIN</t>
  </si>
  <si>
    <t>AYSA - MARZO</t>
  </si>
  <si>
    <t>UFD 601 -  CHT GABRIEL Y OTRO 7/9 (45%)</t>
  </si>
  <si>
    <t>UFD 701 - CHT NATALI Y OTRO 7/9 (45%)</t>
  </si>
  <si>
    <t>UF 1 Y 2 LOCALES  (EN 60 CUOTAS) RESERVA 4C 60</t>
  </si>
  <si>
    <t>UF 206 -CUOTA 04 y 05/44 //  MYV COMERCIAL SRL</t>
  </si>
  <si>
    <t>SICORE - PROVEEDORES</t>
  </si>
  <si>
    <t>MTV COMERCIAL - SELLADOS</t>
  </si>
  <si>
    <t>SELLADOS - UFD 206</t>
  </si>
  <si>
    <t>UFD-406 Cuota 09/60 // PABLO SUKMAN</t>
  </si>
  <si>
    <t>YMK TRANSFERENCIA Y  16/3/22</t>
  </si>
  <si>
    <t>SOCMER CHS</t>
  </si>
  <si>
    <t xml:space="preserve">TYM - 2 - CHS </t>
  </si>
  <si>
    <t>IIBB 02/2022</t>
  </si>
  <si>
    <t>YMK TRANSFERENCIA</t>
  </si>
  <si>
    <t>YMK - TRANSFERENCIA</t>
  </si>
  <si>
    <t>YMK TRANSFERENCIAS</t>
  </si>
  <si>
    <t xml:space="preserve">ABL   BAUMO -  351948 - 07   ENERO </t>
  </si>
  <si>
    <t xml:space="preserve">BAUMO AYSA  PAGO ENERO </t>
  </si>
  <si>
    <t>PAGO CLASE A CARPINTERIA de ALUMINIO -  CUOTA 05</t>
  </si>
  <si>
    <t>PAGO SCM A CUENTA - CUOTA 04</t>
  </si>
  <si>
    <t xml:space="preserve">SUKMAN  cuota dto </t>
  </si>
  <si>
    <t>SICORE - BAUMO 12/21</t>
  </si>
  <si>
    <t>PAGO SCM A CUENTA - CUOTA 05</t>
  </si>
  <si>
    <t>BAUMO IIBB 12/2021</t>
  </si>
  <si>
    <t xml:space="preserve">TYM - INTERESES POR CHEQUES </t>
  </si>
  <si>
    <t>BAUMO TYM . SEGÚN PRESUPUESTO  - NOV 2021</t>
  </si>
  <si>
    <t>PAGO SCM A CUENTA - CUOTA 06</t>
  </si>
  <si>
    <t>PAGO CLASE A CARPINTERIA de ALUMINIO -  CUOTA 06</t>
  </si>
  <si>
    <t>CLASE A IVA FC CERTIF  5 y 6</t>
  </si>
  <si>
    <t xml:space="preserve">PERCEP IIBB CABA </t>
  </si>
  <si>
    <t>ABL  - 12/2021 0351948 - dv 07</t>
  </si>
  <si>
    <t xml:space="preserve">* FEBRERO </t>
  </si>
  <si>
    <t>IVA 21%</t>
  </si>
  <si>
    <t>UFD-401 Cuota 06  LIBERMAN, Manuel y DINERSTEIN, Paloma</t>
  </si>
  <si>
    <t xml:space="preserve">ABL   BAUMO -  351948 - 07   FEBRERO </t>
  </si>
  <si>
    <t xml:space="preserve">BAUMO AYSA . FC 43400  - FEBRERO </t>
  </si>
  <si>
    <t xml:space="preserve">BAUMO AYSA . FC 52845 -  DICIEMBRE  </t>
  </si>
  <si>
    <t>BAUMO SICORE -  PER 01-2022</t>
  </si>
  <si>
    <t>BAUMO -. IIBB PER 01/2022</t>
  </si>
  <si>
    <t xml:space="preserve">CHEQUE VALDEZ UF 206 CUOTA 2 Y 3 A CUENTA </t>
  </si>
  <si>
    <t xml:space="preserve">COMISION CHEQUE PLAZA </t>
  </si>
  <si>
    <t xml:space="preserve">SUKMANN PABLO  cuota 8 </t>
  </si>
  <si>
    <t>PAGO CLASE A CARPINTERIA de ALUMINIO -  CUOTA 07</t>
  </si>
  <si>
    <t>SOCIEDAD CONSTRUCTORA DEL MERCOSUR  POR IVA  FC 70 CTA 2</t>
  </si>
  <si>
    <t>PAGO SCM A CUENTA - CUOTA 07</t>
  </si>
  <si>
    <t>BAUMO ABL  - PERIODO 03/2022</t>
  </si>
  <si>
    <t xml:space="preserve"> cuota 7</t>
  </si>
  <si>
    <t>UFD-401 Cuota     LIBERMAN, Manuel y DINERSTEIN, Paloma</t>
  </si>
  <si>
    <t>BAUMO AYSA  - PER 03-22 FC 37810 Cta 90876</t>
  </si>
  <si>
    <t>BAUMO SICORE -  per 02-2022</t>
  </si>
  <si>
    <t>SUKMANN PABLO  cuota 9</t>
  </si>
  <si>
    <t xml:space="preserve">VALDEZ . PAGO SELLADO UF </t>
  </si>
  <si>
    <t>VALDEZ . PAGO SELLADO UF  206</t>
  </si>
  <si>
    <t>BAUMO IIBB  PER 02/2022</t>
  </si>
  <si>
    <t xml:space="preserve">SOCMER FC 071-072  SALDO  cuota 3 y 4 </t>
  </si>
  <si>
    <t xml:space="preserve">tra </t>
  </si>
  <si>
    <t>Pago GRAVAMENES AMBIENTALES - Impuesto a la Generación de Residuos Áridos y Afines no Reutilizables Nº comp 34457</t>
  </si>
  <si>
    <t xml:space="preserve">ABRIL </t>
  </si>
  <si>
    <t>AG INSTALACIONES SRL IVA  fc 2-097 y 072 cuota 5 y 6</t>
  </si>
  <si>
    <t>CASA CASTELAO SA IVA  fc 9-11985 y 9-11986 cuota 5 y 6</t>
  </si>
  <si>
    <t>ABL - 351948-07 -  04/2022</t>
  </si>
  <si>
    <t>LIBERMAN .- DINERSTEIN CUOTA DTO 8</t>
  </si>
  <si>
    <t>CUOTA SUKMAN</t>
  </si>
  <si>
    <t>PAGO CLASE A CARPINTERIA de ALUMINIO -  CUOTA 09</t>
  </si>
  <si>
    <t>BAUMO  - SCHINDLER DIFERENCIA FC 42060 AGO 2021</t>
  </si>
  <si>
    <t>PAGO VALDEZ UF 206</t>
  </si>
  <si>
    <t xml:space="preserve">COMISIONES CHEQUES  + PERCEP IIBB +IVA 21% </t>
  </si>
  <si>
    <t xml:space="preserve">BAUMO IIBB </t>
  </si>
  <si>
    <t xml:space="preserve">tra a ymk hsbc </t>
  </si>
  <si>
    <t>PAGO VALDEZ UF 206    - venta de ch a pyme aval 28/4</t>
  </si>
  <si>
    <t>CLASE A IVA FC CERTIF 9   fc 561-560</t>
  </si>
  <si>
    <t xml:space="preserve">BAUMO -. AYSA  MAYO </t>
  </si>
  <si>
    <t>BAUMO - ABL  MAYO</t>
  </si>
  <si>
    <t>UFD-406 Cuota XXX  SUKMAN, Pablo</t>
  </si>
  <si>
    <t xml:space="preserve">BAUMO - GCBA OBRAS Y CATASTRO  FC 3470 modificacion de permiso de obra </t>
  </si>
  <si>
    <t>BAUMO IIBB .- PERIODO ABRIL 2022</t>
  </si>
  <si>
    <t xml:space="preserve">BAUMO - GCBA OBRAS Y CATASTRO  FC 3442 derechos de alineacion y construccion </t>
  </si>
  <si>
    <t xml:space="preserve">COMISION CH CERTIFICADO </t>
  </si>
  <si>
    <t>IVA 21 %</t>
  </si>
  <si>
    <t>PAGO CLASE A CARPINTERIA de ALUMINIO -  CUOTA 10</t>
  </si>
  <si>
    <t xml:space="preserve">CH CHELSEA PARA PAGO GCBA </t>
  </si>
  <si>
    <t>gcba  SALDO A TRANSFERIR  - chelsea sa</t>
  </si>
  <si>
    <t xml:space="preserve">gcba   derechos </t>
  </si>
  <si>
    <t xml:space="preserve">JUNIO </t>
  </si>
  <si>
    <t>BAUMO - ABL - 06-2022</t>
  </si>
  <si>
    <t xml:space="preserve">BAUMO .- AYSA SA fc </t>
  </si>
  <si>
    <t>SUKMANN CUOTA 12</t>
  </si>
  <si>
    <t>*1/8</t>
  </si>
  <si>
    <t>BAUMO - POLIZA BERKLEY RC - 78776 cuota 1/8</t>
  </si>
  <si>
    <t xml:space="preserve">baumo </t>
  </si>
  <si>
    <t xml:space="preserve">FONDOS DISPONIBLES  tra a ingotar  HSBC  - retiro PCHT </t>
  </si>
  <si>
    <t>BAUMO - ABL JULIO 2022</t>
  </si>
  <si>
    <t>BAUMO AYSA . FC 576452 - JULIO 22</t>
  </si>
  <si>
    <t xml:space="preserve">YMK SA. </t>
  </si>
  <si>
    <t xml:space="preserve">GC BSAS -- habilitaciones - inspecciones  y permisos  -- pago efvo en banco </t>
  </si>
  <si>
    <t>DEPOSITO -. LIBERMAN cuota 11</t>
  </si>
  <si>
    <t xml:space="preserve"> BAUMO - BERKLEY  CAR seguro tecnico    10/7/22 $122.743,96</t>
  </si>
  <si>
    <t xml:space="preserve">debito </t>
  </si>
  <si>
    <t>BAUMO - POLIZA BERKLEY RC - 78776 cuota 2/8</t>
  </si>
  <si>
    <t xml:space="preserve">VALDEZ -  AJUSTE DE CUOTAS </t>
  </si>
  <si>
    <t>FAIA BAUMO</t>
  </si>
  <si>
    <t>BAUMO AYSA</t>
  </si>
  <si>
    <t>BAUMO BLEI CUOTA DIC 21</t>
  </si>
  <si>
    <t>FAIA - BAUMO</t>
  </si>
  <si>
    <t> $                         -  </t>
  </si>
  <si>
    <t> $       37.600,00</t>
  </si>
  <si>
    <t>BAUMO BOERO</t>
  </si>
  <si>
    <t>BAUMO BLEI UF 305</t>
  </si>
  <si>
    <t>LA EQUITATIVA POL YMK/MENASCE, ECA/FERNANDEZ, BAUMO/BLEI</t>
  </si>
  <si>
    <t>FAIA - BAUMO MAYO mayo y junio Y JULIO aumenta 60%</t>
  </si>
  <si>
    <t>BAUMO BOLETA GOB CIUDAD ACTA INICIACION</t>
  </si>
  <si>
    <t>GASTOS BANCARIOS ENERO 2022</t>
  </si>
  <si>
    <t>BAUMO SA poliza. 772258 ENDOSO 5</t>
  </si>
  <si>
    <t xml:space="preserve">HONORARIOS 5 % INGRESO </t>
  </si>
  <si>
    <t xml:space="preserve">HONORARIOS 5 % EGRESO </t>
  </si>
  <si>
    <t xml:space="preserve">BLEI - POR HON A CUENTA DTO </t>
  </si>
  <si>
    <t>USD 400</t>
  </si>
  <si>
    <t xml:space="preserve">DEPOSITO EN EFECTIVO - LIBERMAN dto </t>
  </si>
  <si>
    <t xml:space="preserve">BOERO PAGO CUOTA  dto </t>
  </si>
  <si>
    <t>GASTOS BANCARIOS FEB 22</t>
  </si>
  <si>
    <t xml:space="preserve">BAUMO .- - VALDEZ CUOTA </t>
  </si>
  <si>
    <t xml:space="preserve">BOERO PAGO CUOTA 10  </t>
  </si>
  <si>
    <t xml:space="preserve">BOERO  cuota dto </t>
  </si>
  <si>
    <t xml:space="preserve">BOERO - PAGO A CUENTA DTO </t>
  </si>
  <si>
    <t xml:space="preserve">BLEI CUOTA DTO </t>
  </si>
  <si>
    <t xml:space="preserve">BOERO . CUOTA DTO </t>
  </si>
  <si>
    <t xml:space="preserve">UFD-303 Cuota 0 9 BOERO, Martin - </t>
  </si>
  <si>
    <t>DEPOSITO -. LIBERMAN</t>
  </si>
  <si>
    <t xml:space="preserve">ALQUILER  ENERO </t>
  </si>
  <si>
    <t xml:space="preserve">ALQUILER FEBRERO </t>
  </si>
  <si>
    <t xml:space="preserve">ALQUILER MARZO </t>
  </si>
  <si>
    <t xml:space="preserve">ALQUILER ABRIL </t>
  </si>
  <si>
    <t xml:space="preserve">ALQUILER MAYO </t>
  </si>
  <si>
    <t xml:space="preserve">ALQUILER JUNIO </t>
  </si>
  <si>
    <t xml:space="preserve">ALQUILER JULIO </t>
  </si>
  <si>
    <t xml:space="preserve">ALQUILER AGOSTO </t>
  </si>
  <si>
    <t xml:space="preserve">ALQUILER    SEDE  JULIO </t>
  </si>
  <si>
    <t xml:space="preserve">ALQUILER    SEDE FEBRERO </t>
  </si>
  <si>
    <t xml:space="preserve">ALQUILER  SEDE  MARZO </t>
  </si>
  <si>
    <t xml:space="preserve">ALQUILER   SEDE ABRIL </t>
  </si>
  <si>
    <t xml:space="preserve">ALQUILER  SEDE  MAYO </t>
  </si>
  <si>
    <t xml:space="preserve">ALQUILER  SEDE  JUNIO </t>
  </si>
  <si>
    <r>
      <rPr>
        <b/>
        <u/>
        <sz val="10"/>
        <color theme="1"/>
        <rFont val="Ebrima"/>
      </rPr>
      <t>PERIODO:</t>
    </r>
    <r>
      <rPr>
        <sz val="10"/>
        <color theme="1"/>
        <rFont val="Ebrima"/>
      </rPr>
      <t xml:space="preserve"> ENERO-2022 - JULIO -2022</t>
    </r>
  </si>
  <si>
    <t xml:space="preserve"> alquier sede </t>
  </si>
  <si>
    <t xml:space="preserve">VALOR DE INICIO </t>
  </si>
  <si>
    <t>INDICE  CAC</t>
  </si>
  <si>
    <t xml:space="preserve">INDICE MENSUAL </t>
  </si>
  <si>
    <t xml:space="preserve">  % MENSUAL </t>
  </si>
  <si>
    <t xml:space="preserve">VALOR DE AJUSTE EN $ </t>
  </si>
  <si>
    <t>TOTAL A ABONAR</t>
  </si>
  <si>
    <t>Indice base  FEB  2021</t>
  </si>
  <si>
    <t xml:space="preserve">sin reten ni iva </t>
  </si>
  <si>
    <t>sicore</t>
  </si>
  <si>
    <t xml:space="preserve">retencion </t>
  </si>
  <si>
    <t xml:space="preserve">BAUMO - AG  INSTALACIONES    FC IVA  + sicore </t>
  </si>
  <si>
    <t xml:space="preserve">PAGO AG INSTALACIONES A CUENTA // COBRO - Cuota 01/02 DPTO 202 // PAGO fc </t>
  </si>
  <si>
    <t>BAUMO -  CASA CASTELAO por Dto cuota 3 y 4</t>
  </si>
  <si>
    <t xml:space="preserve">BAUMO -  CASA CASTELAO FC  11985   IVA   ENERO </t>
  </si>
  <si>
    <t>AG - PAGO CUOTA DTO 3 Y 4</t>
  </si>
  <si>
    <t xml:space="preserve">PAGO AG INSTALACIONES A CUENTA </t>
  </si>
  <si>
    <t xml:space="preserve">DIFERENCIA PAGOS SOCMER VER CON HIK </t>
  </si>
  <si>
    <t>sicore??</t>
  </si>
  <si>
    <t>CARPINTERIA de ALUMINIO -CLASE A</t>
  </si>
  <si>
    <t>HACER EN AGOSTO 22</t>
  </si>
  <si>
    <t>PAGO CLASE A CARPINTERIA de ALUMINIO -  CUOTA 07 Y  08</t>
  </si>
  <si>
    <t xml:space="preserve">PAGO AG INSTALACIONES - Cuota 05 / 06  DPTO 202 </t>
  </si>
  <si>
    <t>PAGO CASA CASTELAO  - Cuota 05 / 06  DPTO</t>
  </si>
  <si>
    <t xml:space="preserve">SOC CONS MERC   cuota 5-6-7 - </t>
  </si>
  <si>
    <t>BAUMO - CASTELAO  FC IVA   cuota 7 fc 13640</t>
  </si>
  <si>
    <t>* ABRIL 2022</t>
  </si>
  <si>
    <t>* MAYO  2022</t>
  </si>
  <si>
    <t>* JUNIO  2022</t>
  </si>
  <si>
    <t>* JULIO  2022</t>
  </si>
  <si>
    <t>SOC CONS MERC  A CUENTA - CUOTA 07</t>
  </si>
  <si>
    <t xml:space="preserve">400 USD </t>
  </si>
  <si>
    <t>tra a ymk hsbc  - COMO REGISTRO?</t>
  </si>
  <si>
    <t>UFD-406   SUKMAN, Pablo</t>
  </si>
  <si>
    <t xml:space="preserve">CORRIENTES PALACE POR PAGO GCBA </t>
  </si>
  <si>
    <t xml:space="preserve">FAIA - BAUMO MAYO mayo y junio + AUMENTO </t>
  </si>
  <si>
    <t>UFD-406 Cuota   SUKMAN, Pablo</t>
  </si>
  <si>
    <t>Fecha</t>
  </si>
  <si>
    <t>Compra</t>
  </si>
  <si>
    <t>Venta</t>
  </si>
  <si>
    <t>UF 1 Y 2 LOCALES  (EN 60 CUOTAS) RESERVA 5C 60</t>
  </si>
  <si>
    <t>UF 1 Y 2 LOCALES  (EN 60 CUOTAS) RESERVA 6C 60</t>
  </si>
  <si>
    <t>UF 1 Y 2 LOCALES  (EN 60 CUOTAS) RESERVA 7C 60</t>
  </si>
  <si>
    <t>UF 1 Y 2 LOCALES  (EN 60 CUOTAS) RESERVA 8C 60</t>
  </si>
  <si>
    <t>UFD-201  -  6 /60 - BCV - PCHT</t>
  </si>
  <si>
    <t>UFD-501  - 6/ 60 - BCV - MLCHT</t>
  </si>
  <si>
    <t>UFD-201  -  7 /60 - BCV - PCHT</t>
  </si>
  <si>
    <t>UFD-501  - 7/ 60 - BCV - MLCHT</t>
  </si>
  <si>
    <t>UFD-201  -  8 /60 - BCV - PCHT</t>
  </si>
  <si>
    <t>UFD-501  - 8/ 60 - BCV - MLCHT</t>
  </si>
  <si>
    <t>UFD-201  -  9/60 - BCV - PCHT</t>
  </si>
  <si>
    <t>UFD-501  - 9/ 60 - BCV - MLCHT</t>
  </si>
  <si>
    <t xml:space="preserve">ver diferencia </t>
  </si>
  <si>
    <t xml:space="preserve">ver diferencias - </t>
  </si>
  <si>
    <t>entregado según hik hasta 03/2022</t>
  </si>
  <si>
    <t>* AGOSTO  2022</t>
  </si>
  <si>
    <t>UFD 601 -  CHT  NATALIE  8/9 (45%)</t>
  </si>
  <si>
    <t>UFD 701 - CHT ANABELLA  8/9 (45%)</t>
  </si>
  <si>
    <t>UFD 601 -  CHT  NATALIE  9/9 (45%)</t>
  </si>
  <si>
    <t>UFD 601 -  CHT  NATALIE   cuota ajuste  n 10</t>
  </si>
  <si>
    <t>UFD 601 -  CHT  NATALIE  BCV C 1 A 7 /57</t>
  </si>
  <si>
    <t>UFD 701 - CHT ANABELLA  9/9 (45%)</t>
  </si>
  <si>
    <t>UFD 701 - CHT ANABELLA - cuota ajuste n 10</t>
  </si>
  <si>
    <t>UFD 701 - CHT ANABELLA  BCV C 1 A 7/57</t>
  </si>
  <si>
    <t>UFD 901  -  CHT MELANIE  C 3/6</t>
  </si>
  <si>
    <t>UFD 801  -  CHT GABRIEL    C 3/6</t>
  </si>
  <si>
    <t>UFD 801  -  CHT GABRIEL    C 1 Y 2/6</t>
  </si>
  <si>
    <t>UFD 901  -  CHT MELANIE  C 1 Y 2 /6</t>
  </si>
  <si>
    <t>UFD 801  -  CHT GABRIEL    C 4/6</t>
  </si>
  <si>
    <t>UFD 901  -  CHT MELANIE  C 4/6</t>
  </si>
  <si>
    <t>UFD 801  -  CHT GABRIEL    C 5/6</t>
  </si>
  <si>
    <t>UFD 901  -  CHT MELANIE  C 5/6</t>
  </si>
  <si>
    <t xml:space="preserve">UFD 801  -  CHT GABRIEL    C 6/6 + AJUSTE </t>
  </si>
  <si>
    <t xml:space="preserve">UFD 901  -  CHT MELANIE  C 6/6/+ AJUSTE </t>
  </si>
  <si>
    <t>UFD 801  -  CHT GABRIEL    BCV  C 1 A 6/59</t>
  </si>
  <si>
    <t>UFD 901  -  CHT MELANIE  BCV  C 1 A 6/59</t>
  </si>
  <si>
    <t>VENTA DOLARES    U$D 3100 * TC 196</t>
  </si>
  <si>
    <t>VENTA DOLARES    U$D 300 * TC 195</t>
  </si>
  <si>
    <t>CUOTA  UF  SUKMAN</t>
  </si>
  <si>
    <t>VENTA DOLARES    U$D 3200 * TC 191</t>
  </si>
  <si>
    <t>VENTA DOLARES    U$D 5800 * TC 191</t>
  </si>
  <si>
    <t>VENTA DOLARES    U$D 1500 * TC 195,5</t>
  </si>
  <si>
    <t>LIBERMAN .- DINERSTEIN UF  401</t>
  </si>
  <si>
    <t xml:space="preserve">BOERO  DTO CUOTA ABRIL </t>
  </si>
  <si>
    <t xml:space="preserve">BOERO . CUOTA MAYO DTO  </t>
  </si>
  <si>
    <t xml:space="preserve">BAUMO - GCBA OBRAS Y CATASTRO derechos alineacion y construccion </t>
  </si>
  <si>
    <t xml:space="preserve">BAUMO - GCBA OBRAS Y CATASTRO - modif, permiso de obra </t>
  </si>
  <si>
    <t>VENTA DOLARES    U$D 14500 * TC 201</t>
  </si>
  <si>
    <t>VENTA DOLARES    U$D 55,300 * TC 202,5</t>
  </si>
  <si>
    <t xml:space="preserve">DERECHOS GCBA </t>
  </si>
  <si>
    <t>VENTA DOLARES    U$D 200 * TC 234</t>
  </si>
  <si>
    <t>VENTA DOLARES    U$D 2000 * TC 250</t>
  </si>
  <si>
    <t xml:space="preserve"> BAUMO - BERKLEY  CAR seguro tecnico   </t>
  </si>
  <si>
    <t xml:space="preserve">BAUMO - BLEI  DTO </t>
  </si>
  <si>
    <t>FAIA - BAUMO MAYO JULIO aumenta 60%</t>
  </si>
  <si>
    <t>BAUMO CONSTRUCTORA DEL MERCOSUR  A CUENTA</t>
  </si>
  <si>
    <t>RETIRO A CAJA BAUMO</t>
  </si>
  <si>
    <t xml:space="preserve">LIBERMANN - CUOTA DTO </t>
  </si>
  <si>
    <t>AYSA  FC94720 - 08-22</t>
  </si>
  <si>
    <t>ABL - 351948-07 -  08/2022</t>
  </si>
  <si>
    <t>CLASE A IVA FC CERTIF      mayo</t>
  </si>
  <si>
    <t xml:space="preserve">AG INSTALACIONES -  IVA FC 182 / 233   - </t>
  </si>
  <si>
    <t>*2/8</t>
  </si>
  <si>
    <t xml:space="preserve">SUKMANN CUOTA  dto </t>
  </si>
  <si>
    <t>BAUMO - SCHINDLER - FC 45781</t>
  </si>
  <si>
    <t>BAUMO - POLIZA BERKLEY RC - 78776 cuota 3/8</t>
  </si>
  <si>
    <t>SOC CONST DEL MERCOSUR  - PAGO A CUENTA 05-8-2022</t>
  </si>
  <si>
    <t>Carlos Adolfo Zlotnitzky POR SELLADO UF 404</t>
  </si>
  <si>
    <t>Carlos Adolfo Zlotnitzky por cuota 1 uf 404</t>
  </si>
  <si>
    <t xml:space="preserve">GANANCIAS 08/2022 . Sicore </t>
  </si>
  <si>
    <t xml:space="preserve">RETIRO CH A CAJA  _ HIK </t>
  </si>
  <si>
    <t xml:space="preserve"> BAUMO - BERKLEY  CAR seguro tecnico  </t>
  </si>
  <si>
    <t>BAUMO - IIBB 05/ 06 / 07 /2022</t>
  </si>
  <si>
    <t xml:space="preserve">RETIRO A CAJA BAUMO  RETIRO CH A CAJA  _ HIK </t>
  </si>
  <si>
    <t>ABL BAUMO - 08/2022</t>
  </si>
  <si>
    <t xml:space="preserve">CHEQUE BOERO CUOTA DTO </t>
  </si>
  <si>
    <t xml:space="preserve">BAUMO </t>
  </si>
  <si>
    <t xml:space="preserve">Carlos Adolfo Zlotnitzky POR SELLADO UF 404 BAUMO </t>
  </si>
  <si>
    <t xml:space="preserve">CANJE CH 249 -    cuota 5-6-7 soc const merc </t>
  </si>
  <si>
    <t xml:space="preserve">AYSA </t>
  </si>
  <si>
    <t>SELLADO - LOCAL - BAUMO .  ERNST  50%</t>
  </si>
  <si>
    <t xml:space="preserve">ALALU DINERSTEIN - CUOTA DTO </t>
  </si>
  <si>
    <t>*3/8</t>
  </si>
  <si>
    <t xml:space="preserve"> BAUMO - BERKLEY  CAR seguro tecnico    </t>
  </si>
  <si>
    <t xml:space="preserve">TRA YMK </t>
  </si>
  <si>
    <t>BAUMO SOCMER -  CUOTA 5 AGOSTO 22</t>
  </si>
  <si>
    <t>SELLADOS - BAUMO UF 601/701/801/901</t>
  </si>
  <si>
    <t>BAUMO - POLIZA BERKLEY RC - 78776 cuota 4/8</t>
  </si>
  <si>
    <t>BAUMO - POLIZA BERKLEY RC - 78776 -02</t>
  </si>
  <si>
    <t xml:space="preserve">BAUMO SOCMER -  CUOTA 6 - </t>
  </si>
  <si>
    <t>IIBB - 08/2022</t>
  </si>
  <si>
    <t xml:space="preserve">YMK SA </t>
  </si>
  <si>
    <t xml:space="preserve">falta caja b de sabrina </t>
  </si>
  <si>
    <t xml:space="preserve">BOERO PAGO A CUENTA EN  CAJA CBA- RETIRA PCHT Y APORTA EN YMK  </t>
  </si>
  <si>
    <t>Carlos Adolfo Zlotnitzky  UF 404</t>
  </si>
  <si>
    <t xml:space="preserve">SICORE . 09-2022   VEP </t>
  </si>
  <si>
    <t xml:space="preserve">TRA A CURA POR  CERTIFICACION BALANCES </t>
  </si>
  <si>
    <t>BAUMO SOCMER -  CUOTA 7 -  TRA POR DIFERENCIA</t>
  </si>
  <si>
    <t>BAUMO ABL -   10 -2022</t>
  </si>
  <si>
    <t>BAUMO -. AYSA  fc 98795</t>
  </si>
  <si>
    <t>YMK - SA</t>
  </si>
  <si>
    <t xml:space="preserve">BAUMO -  AG    FC IVA  2-278  cuota 11 Y 12 iva </t>
  </si>
  <si>
    <t xml:space="preserve">SUKMANN - CUOTA DTO </t>
  </si>
  <si>
    <t> PCHT RCP DE YMK * ACP EN  BAUMO</t>
  </si>
  <si>
    <t xml:space="preserve"> BAUMO - BERKLEY   </t>
  </si>
  <si>
    <t>PCHT RCP DE YMK * ACP EN  BAUMO</t>
  </si>
  <si>
    <t>BOERO PAGO CUOTA DTO</t>
  </si>
  <si>
    <t xml:space="preserve">YMK - SA </t>
  </si>
  <si>
    <t xml:space="preserve">EDENOR - FC MAYO/JUNIO DEUDA </t>
  </si>
  <si>
    <t xml:space="preserve">BAUMO SOCMER -  CUOTA 7 - </t>
  </si>
  <si>
    <t xml:space="preserve">SOCIEDAD CONSTRUCTORA DEL MERCOSUR  A CUENTA …. </t>
  </si>
  <si>
    <t xml:space="preserve">AYSA - BAUMO </t>
  </si>
  <si>
    <t>BAUMO -. EDENOR N CTA 1910081293 - 11/2022</t>
  </si>
  <si>
    <t>BAUMO - ABL 11/22</t>
  </si>
  <si>
    <t xml:space="preserve">BAUMO - SOCMER -. VER CON MECHI </t>
  </si>
  <si>
    <t xml:space="preserve">LIBERMAN UF 401 - GROSSO ELADIA MERCEDES </t>
  </si>
  <si>
    <t xml:space="preserve">YMK -  AYSA </t>
  </si>
  <si>
    <t>LIBERMAN UF 401</t>
  </si>
  <si>
    <t xml:space="preserve">YMK -  SA </t>
  </si>
  <si>
    <t xml:space="preserve">SUKMANN CUOTA DTO </t>
  </si>
  <si>
    <t>BAUMO - AG FC 345</t>
  </si>
  <si>
    <t>BAUMO - POLIZA BERKLEY RC - 78776 cuota 6/8</t>
  </si>
  <si>
    <t>BAUMO - POLIZA BERKLEY</t>
  </si>
  <si>
    <t xml:space="preserve">BAUMO - CASA CASTELAO FC 14381-15140-15902-16732 IVA    </t>
  </si>
  <si>
    <t>BAUMO - SOC CONS MER  CUOTA 8</t>
  </si>
  <si>
    <t xml:space="preserve">BAUMO -. AYSA </t>
  </si>
  <si>
    <t>BAUMO ABL - 12-2022</t>
  </si>
  <si>
    <t xml:space="preserve">BAUMO -. EDENOR </t>
  </si>
  <si>
    <t>ZLOTNITZKY UF   404</t>
  </si>
  <si>
    <t xml:space="preserve">BAUMO -  AG    FC IVA  2-278  cuota 11 Y 12  rechazo falta firma </t>
  </si>
  <si>
    <t>AG INSTALACIONES - CUOTA DTO 7 Y 8    -PAGO A SOC CONST MERCOSUR</t>
  </si>
  <si>
    <t>AG INSTALACIONES - CUOTA DTO 9 Y 10 - PAGO A SOC CONST MERCOSUR</t>
  </si>
  <si>
    <t xml:space="preserve">BAUMO SICORE 11/2022 VEP </t>
  </si>
  <si>
    <t xml:space="preserve">SUKMANN . CUOTA DTO </t>
  </si>
  <si>
    <t xml:space="preserve">CORRIENTES PALACE - BOULEVARD </t>
  </si>
  <si>
    <t>RETIRO YMK (PCHEB )</t>
  </si>
  <si>
    <t>Debito Automatico - Berkley Int Seg -121-15-00059221-000</t>
  </si>
  <si>
    <t>Debito Automatico - Berkley Int Seg -121-03-00078776-002</t>
  </si>
  <si>
    <t>Debito Automatico - Berkley Int Seg -121-03-00078776-000</t>
  </si>
  <si>
    <t>*2023</t>
  </si>
  <si>
    <t xml:space="preserve">SUKMANN </t>
  </si>
  <si>
    <t xml:space="preserve">BAUMO -  DUJOVNE      anulado </t>
  </si>
  <si>
    <t xml:space="preserve">CHEQUES BOERO . DTO </t>
  </si>
  <si>
    <t xml:space="preserve">TRA A BAUMO BBVA </t>
  </si>
  <si>
    <t xml:space="preserve">BAUMO - SCHINDLER  FC 47661 Y 47790    </t>
  </si>
  <si>
    <t>BAUMO - POLIZA BERKLEY RC - 78776 cuota 8/8</t>
  </si>
  <si>
    <t xml:space="preserve">YMK SA  PARA BBVA </t>
  </si>
  <si>
    <t xml:space="preserve">SOC CONST DEL MERCOSUR  - CUOTA 9 diciembre </t>
  </si>
  <si>
    <t xml:space="preserve">TRA A BBVA BAUMO </t>
  </si>
  <si>
    <t>VALDEZ UF 206 (PAGA MES DE OCT/NOV) CON ECHEQ</t>
  </si>
  <si>
    <t>VALDEZ UF 206 (PAGA MES DE DIC/ENE) CON ECHEQ</t>
  </si>
  <si>
    <t>VALDEZ UF 206 (PAGA MES DE FEB/MARZ) CON ECHEQ</t>
  </si>
  <si>
    <t>20/01/2023</t>
  </si>
  <si>
    <t xml:space="preserve">ILMOBILE S.A.S. CANJE CH VALDEZ  - VENTA YMK / CP   $ 644000,00 - SE REEMPLAZO </t>
  </si>
  <si>
    <t xml:space="preserve">ILMOBILE S.A.S. CANJE CH VALDEZ  - VENTA YMK / CP  $644700,64 - SE REEMPLAZO </t>
  </si>
  <si>
    <t>20/02/2023</t>
  </si>
  <si>
    <t xml:space="preserve">ILMOBILE S.A.S. CANJE CH VALDEZ  - VENTA YMK / CP </t>
  </si>
  <si>
    <t>28/02/2023</t>
  </si>
  <si>
    <t>28/03/2023</t>
  </si>
  <si>
    <t>10/04/2023</t>
  </si>
  <si>
    <t xml:space="preserve">ILMOBILE S.A.S. CANJE CH VALDEZ  - VENTA YMK / CP    REEMPLAZO  CH ENERO </t>
  </si>
  <si>
    <t xml:space="preserve">ILMOBILE S.A.S. CANJE CH VALDEZ  - VENTA YMK / CP REEMPLAZO CH ENERO </t>
  </si>
  <si>
    <t>BAUMO IIBB 12/2022</t>
  </si>
  <si>
    <t>BAUMO IIBB 11/2022</t>
  </si>
  <si>
    <t>BAUMO IIBB 10/2022</t>
  </si>
  <si>
    <t>BAUMO IIBB 19/2022</t>
  </si>
  <si>
    <t xml:space="preserve">YMK SA -. </t>
  </si>
  <si>
    <t xml:space="preserve">CHEQUES BOERO . DTO       entrega a AG  instalaciones </t>
  </si>
  <si>
    <t>BAUMO - AG  INSTALACIONES   FC405    ch boero 823 $ 64500</t>
  </si>
  <si>
    <t xml:space="preserve">IVA TASA GRAL </t>
  </si>
  <si>
    <t xml:space="preserve">IVA R. I . </t>
  </si>
  <si>
    <t xml:space="preserve">IMPUESTO DE SELLOS </t>
  </si>
  <si>
    <t xml:space="preserve">INTERES SALDO DEUDOR </t>
  </si>
  <si>
    <t xml:space="preserve">TRA ENTRE CUENTAS - BBVA </t>
  </si>
  <si>
    <t xml:space="preserve">BAUMO RIO </t>
  </si>
  <si>
    <t>BAUMO - EDENOR - 1/23</t>
  </si>
  <si>
    <t>BAUMO - ABL  1-23</t>
  </si>
  <si>
    <t>BAUMO AYSA . 1-23</t>
  </si>
  <si>
    <t xml:space="preserve">COMIS DE GESTION DE CHEQUES </t>
  </si>
  <si>
    <t xml:space="preserve">CHEQUES BOERO . DTO  depositar en bbva baumo </t>
  </si>
  <si>
    <t xml:space="preserve">BAUMO - FONDOS  BBVA  </t>
  </si>
  <si>
    <t>TRA A VALDEZ POR CH FECHA ENERO - QUE NO HABIA QUE DEPO</t>
  </si>
  <si>
    <t xml:space="preserve">COMIS TRANSFERENCIA + IVA </t>
  </si>
  <si>
    <t xml:space="preserve">BANCO FRANCES BBVA </t>
  </si>
  <si>
    <t xml:space="preserve">gastos bancarios </t>
  </si>
  <si>
    <t xml:space="preserve">cuotas dtos primos cheb </t>
  </si>
  <si>
    <t xml:space="preserve">SEPTIEMBRE </t>
  </si>
  <si>
    <t xml:space="preserve">COMIS CH Y PLAZAS </t>
  </si>
  <si>
    <t xml:space="preserve">PERCEP IIBB </t>
  </si>
  <si>
    <t xml:space="preserve"> BAUMO - BERKLEY  CAR seguro tecnico    10/7/22 $122.743,96 </t>
  </si>
  <si>
    <t>*1/4</t>
  </si>
  <si>
    <t xml:space="preserve">COMISION POR SERVICIO DE CUENTA </t>
  </si>
  <si>
    <t xml:space="preserve">IVA PERCEP </t>
  </si>
  <si>
    <t xml:space="preserve">octubre </t>
  </si>
  <si>
    <t>*4/8</t>
  </si>
  <si>
    <t>BAUMO ABL -   10 -2022 ajuste, ver que es</t>
  </si>
  <si>
    <t>*2/4</t>
  </si>
  <si>
    <t xml:space="preserve">IVA PERCEPCION </t>
  </si>
  <si>
    <t>COMISION CH PLAZA</t>
  </si>
  <si>
    <t xml:space="preserve">COMIS MOVS MENSUALES CLEARING </t>
  </si>
  <si>
    <t>5*8</t>
  </si>
  <si>
    <t>*3/4</t>
  </si>
  <si>
    <t xml:space="preserve">COMIS POR SERVICIO DE CUENTA </t>
  </si>
  <si>
    <t xml:space="preserve">TRA A BBVA BAUMO - </t>
  </si>
  <si>
    <t>*4/4</t>
  </si>
  <si>
    <t>*7/8</t>
  </si>
  <si>
    <r>
      <t>BAUMO SA - BANCO SANTANDER RIO *     </t>
    </r>
    <r>
      <rPr>
        <b/>
        <i/>
        <sz val="8"/>
        <rFont val="Times New Roman"/>
        <family val="1"/>
      </rPr>
      <t>PCHT RCP DE YMK * ACP EN  BAUMO</t>
    </r>
  </si>
  <si>
    <t xml:space="preserve">REEMPLAZO ARIAS - YMK - BAUMO - SOCMER  - Q3 - </t>
  </si>
  <si>
    <t>BAUMO -  SUSS - 01/2023</t>
  </si>
  <si>
    <t xml:space="preserve">TRA DE BAUMO BBVA </t>
  </si>
  <si>
    <t>??</t>
  </si>
  <si>
    <t xml:space="preserve">baumo cheb </t>
  </si>
  <si>
    <t>BAUMO .- ABL -02/2023</t>
  </si>
  <si>
    <t>BAUMO .- AYSA .- 90876 2/2023</t>
  </si>
  <si>
    <t>BAUMO -. EDENOR 02/2023</t>
  </si>
  <si>
    <t xml:space="preserve">COMIS POR CH RECHAZADO + IVA </t>
  </si>
  <si>
    <t xml:space="preserve">FONDOS  pedido </t>
  </si>
  <si>
    <t xml:space="preserve">DINERSTEIN </t>
  </si>
  <si>
    <t>BAUMO - SICORE 01/2023</t>
  </si>
  <si>
    <t xml:space="preserve">INGOTAR SA </t>
  </si>
  <si>
    <t>BAUMO - IIBB 01/2023</t>
  </si>
  <si>
    <t>*8/8</t>
  </si>
  <si>
    <t xml:space="preserve"> BAUMO - BERKLEY  CAR seguro tecnico    10/7/22 $122.743,96 + IVA</t>
  </si>
  <si>
    <t xml:space="preserve">FONDOS </t>
  </si>
  <si>
    <t xml:space="preserve">TRA  De Pablo Sukmann dto </t>
  </si>
  <si>
    <t>SOC CONST DEL MERCOSUR  - CUOTA 9 diciembre 14-2</t>
  </si>
  <si>
    <t>SOC CONST DEL MERCOSUR  - CUOTA 9 diciembre 26-1</t>
  </si>
  <si>
    <t>SOC CONST DEL MERCOSUR  - CUOTA 10 ENERO 23</t>
  </si>
  <si>
    <t>BAUMO - PARRAJON PRESENTACION DE PLANOS 50 %  fc 1131</t>
  </si>
  <si>
    <t xml:space="preserve">COMISION MOVIMIENTOS MENSUALES </t>
  </si>
  <si>
    <t>IVA  21%</t>
  </si>
  <si>
    <t xml:space="preserve">dif de planilla </t>
  </si>
  <si>
    <t xml:space="preserve">OCTUBRE </t>
  </si>
  <si>
    <t xml:space="preserve">NOVIEMBRE </t>
  </si>
  <si>
    <t>BAUMO IIBB 09- 10 -11 - 12/2022</t>
  </si>
  <si>
    <t xml:space="preserve">CHEQUES BOERO . DTO  </t>
  </si>
  <si>
    <t xml:space="preserve">DICIEMBRE </t>
  </si>
  <si>
    <t>BAUMO SA</t>
  </si>
  <si>
    <t>BANCO SANTANDER</t>
  </si>
  <si>
    <t>SUC 413</t>
  </si>
  <si>
    <t>CUIT 30-71660827-8</t>
  </si>
  <si>
    <t>CTA CTA $ 001065/0</t>
  </si>
  <si>
    <t>Nº CH</t>
  </si>
  <si>
    <t>CREDITO</t>
  </si>
  <si>
    <t>DEBITO</t>
  </si>
  <si>
    <t>SIRCREB</t>
  </si>
  <si>
    <t>6XMIL</t>
  </si>
  <si>
    <t>SALDO</t>
  </si>
  <si>
    <t>SALDO INICIO</t>
  </si>
  <si>
    <t>COBRO ALQUILER 10/19 YAGMOUR FC 0003 + ND 0003</t>
  </si>
  <si>
    <t>PAGO ABL 10/2019</t>
  </si>
  <si>
    <t>PAGO AYSA</t>
  </si>
  <si>
    <t>DEPOSITO CAJA A BANCO</t>
  </si>
  <si>
    <t>COBRO CHEQUE A CAJA</t>
  </si>
  <si>
    <t>VIVANCO MARIA JOSE FC 24</t>
  </si>
  <si>
    <t>PAGO ABL 11/2019</t>
  </si>
  <si>
    <t xml:space="preserve">PAGO LYP FC 456 - ANTICIPO </t>
  </si>
  <si>
    <t>COBRO ALQUILER 11/19 YAGMOUR FC 0005 (Debe $ 56,00)</t>
  </si>
  <si>
    <t>PAGO SAA AVELLANEDA FC 317 y FC 311 - Certificacion Firmas</t>
  </si>
  <si>
    <t>PAGO SAA AVELLANEDA FC 324 y FC 320 - Cerficacion Firmas</t>
  </si>
  <si>
    <t>PAGO LYP FC 456 - ANTICIPO - IVA</t>
  </si>
  <si>
    <t>PAGO IIBB 10/2019</t>
  </si>
  <si>
    <t>PAGO IVA 10/2019</t>
  </si>
  <si>
    <t xml:space="preserve">PAGO CARBALLO JORGE FC 982 - ANTICIPO </t>
  </si>
  <si>
    <t>AUTORETEN  +   INTS</t>
  </si>
  <si>
    <t>PAGO A CTA AUTORETRET + INT $ 158,15</t>
  </si>
  <si>
    <t>PAGO A CTA AUTORETRET + INT $ 193,34</t>
  </si>
  <si>
    <t>PAGO ABL 12/2019</t>
  </si>
  <si>
    <t>COBRO ALQUILER YAGMOUR 11/19 FC 0005 SALDO + ND 0005 // 12/19 FC 0007 + ND 0007</t>
  </si>
  <si>
    <t>PAGO IIBB 11/2019</t>
  </si>
  <si>
    <t>PAGO IVA 11/2019</t>
  </si>
  <si>
    <t>AUTORETEN 12/2019</t>
  </si>
  <si>
    <t>TRANSF</t>
  </si>
  <si>
    <t xml:space="preserve">DEVOLUCION ADMENEX POR COBRO ALQUILER YAGMOUR 09/19 FC 0001 + ND 0001 </t>
  </si>
  <si>
    <t>Ver Fecha</t>
  </si>
  <si>
    <t>PAGO LYP FC 472 - CUOTA 01 - IVA</t>
  </si>
  <si>
    <t>COBRO ALQUILER YAGMOUR 01/20 FC 0009 + NC 0001</t>
  </si>
  <si>
    <t>PAGO IIBB 12/2019</t>
  </si>
  <si>
    <t>PAGO RENDERIZAR FC 157 - ANTICIPO ARQUITECTURA</t>
  </si>
  <si>
    <t>PAGO AUTORETEN 01/2020</t>
  </si>
  <si>
    <t xml:space="preserve">PAGO SICORE 1ra. Quincena ENE-19 </t>
  </si>
  <si>
    <t>IVA 12/2019</t>
  </si>
  <si>
    <t>PAGO BMA - DIRECCION TECNIA CUOTA 01</t>
  </si>
  <si>
    <t>PAGO ABL 01/2020</t>
  </si>
  <si>
    <t>MANTENIMIENTO DE CTA</t>
  </si>
  <si>
    <t>PAGO AYSA FC 108-33367642</t>
  </si>
  <si>
    <t>PAGO ABL 02/2020</t>
  </si>
  <si>
    <t xml:space="preserve">COBRO ALQUILER YAGMOUR 02/20 FC 0011 + ND 0011 </t>
  </si>
  <si>
    <t>VEP</t>
  </si>
  <si>
    <t xml:space="preserve">PAGO IIBB 01/2020 </t>
  </si>
  <si>
    <t>PAGO ING MENDIGUREN FC 2001 - ANTICIPO (Estudio del Suelo)</t>
  </si>
  <si>
    <t xml:space="preserve">PAGO LYP FC 476 - CUOTA 02 </t>
  </si>
  <si>
    <t xml:space="preserve">PAGO AUTORETEN 02/2020 </t>
  </si>
  <si>
    <t>PAGO AYSA FC 108-36872913</t>
  </si>
  <si>
    <t>TRA</t>
  </si>
  <si>
    <t>PAGO ABL 03/2020</t>
  </si>
  <si>
    <t>COBRO ALQUILER YAGMOUR 03/20 FC 0013 + ND 0013</t>
  </si>
  <si>
    <t>VER FECHA</t>
  </si>
  <si>
    <t>PAGO BMA FC - DIRECCION TECNICA CUOTA 02</t>
  </si>
  <si>
    <t>PAGO BMA FC - DIRECCION TECNICA CUOTA 02 - IVA</t>
  </si>
  <si>
    <t>RETIRO APORTE PCT (BAUMO)</t>
  </si>
  <si>
    <t xml:space="preserve">PAGO IIBB 02/2020 </t>
  </si>
  <si>
    <t>PAGO BMA FC 2324 - DIRECCION TECNICA CUOTA 03 // CANJE CH NRO. 22</t>
  </si>
  <si>
    <t>PAGO BMA FC 2324 - DIRECCION TECNICA CUOTA 03 - IVA // CANJE CH NRO. 21</t>
  </si>
  <si>
    <t xml:space="preserve">COBRO ALQUILER 4K 04/20 FC 0015 + NC 0002 </t>
  </si>
  <si>
    <t xml:space="preserve">PAGO AUTORETEN 03/2020 </t>
  </si>
  <si>
    <t>PAGO SICORE 1ra. Quincena MAR-20 + INTERESES</t>
  </si>
  <si>
    <t>PAGO IIBB 03/2020 + INTERESES</t>
  </si>
  <si>
    <r>
      <rPr>
        <b/>
        <sz val="9"/>
        <rFont val="Ebrima"/>
      </rPr>
      <t>RETIRO</t>
    </r>
    <r>
      <rPr>
        <sz val="9"/>
        <rFont val="Ebrima"/>
      </rPr>
      <t xml:space="preserve"> PCHT - transferencia a BCO CIUDAD RAWSON PARK SA</t>
    </r>
  </si>
  <si>
    <t>COBRO ALQUILER 4K 05/20 FC 0017 + NC 0003</t>
  </si>
  <si>
    <t>PAGO ADMENEX FC 336 - Honorarios periodo Ago-19 hasta Ene-20 - IVA // CANJE CH Nro. 23</t>
  </si>
  <si>
    <t>PAGO ADMENEX FC 343 - Honorarios FEB-2020</t>
  </si>
  <si>
    <t>COBRO ALQUILER 4K 04/20 ND 0015</t>
  </si>
  <si>
    <t>PAGO CASTRO MARCELO FC 444 - Cerficacion de Dominio</t>
  </si>
  <si>
    <t>COBRO ALQUILER 4K 06/20 FC 0019 + NC 0004</t>
  </si>
  <si>
    <t>PAGO MELAMED FC 25 - ANTICIPO PLANOS de ELECTRICIDAD</t>
  </si>
  <si>
    <t>COBRO ALQUILER 4K 07/20 FC 0020 + NC 0005</t>
  </si>
  <si>
    <t>COBRO ALQUILER 4K 08/20 FC 0022 + NC 0006</t>
  </si>
  <si>
    <t>Saldo al 14/08</t>
  </si>
  <si>
    <t>COBRO ALQUILER 4K 08/20 FC 0023 - Recupero de Gastos</t>
  </si>
  <si>
    <t>Diferencia</t>
  </si>
  <si>
    <t>PAGO IIBB 04/2020 + INTERESES</t>
  </si>
  <si>
    <t>PAGO IIBB 05/2020 + INTERESES</t>
  </si>
  <si>
    <t>PAGO IIBB 06/2020 + INTERESES</t>
  </si>
  <si>
    <t>PAGO LYP FC 510 - Cuota 03/04 + MC 03/04</t>
  </si>
  <si>
    <t>PAGO RENDERIZAR FC 210 - SALDO ARQUITECTURA + ADICIONAL</t>
  </si>
  <si>
    <t>COBRO ALQUILER 4K 05/20 ND 0017 // COBRO ALQUILER 4K 06/20 ND 0019 // COBRO ALQUILER 4K 07/20 ND 0019</t>
  </si>
  <si>
    <t>Saldo al 28/08</t>
  </si>
  <si>
    <t>PAGO AUTORETEN 04/2020</t>
  </si>
  <si>
    <t xml:space="preserve">PAGO AUTORETEN 05/06 2020 </t>
  </si>
  <si>
    <t>PAGO IIBB 07/2020</t>
  </si>
  <si>
    <t>COBRO ALQUILER 4K 09/20 FC 0024 + NC 0007</t>
  </si>
  <si>
    <t>Saldo al 10/09</t>
  </si>
  <si>
    <t>COBRO ALQUILER 4K 09/20 FC 0025 - Recupero de Gastos</t>
  </si>
  <si>
    <t>PAGO LYP FC 518 - Cuota 04/05 + MC 04/05</t>
  </si>
  <si>
    <t>Saldo al 29/09</t>
  </si>
  <si>
    <t>PAGO IIBB 08/2020</t>
  </si>
  <si>
    <t>PAGO ING MENDIGUREN FC 2243 - SALDO (Estudio del Suelo)</t>
  </si>
  <si>
    <t>COBRO ALQUILER 4K 10/20 FC 0026 + NC 0008</t>
  </si>
  <si>
    <t>COBRO ALQUILER 4K 10/20 FC 0027 - Recupero de Gastos</t>
  </si>
  <si>
    <t>Saldo al 13/10</t>
  </si>
  <si>
    <t>PAGO SAA AVELLANEDA FC  - Certificacion de firma</t>
  </si>
  <si>
    <t>GASTOS BANCARIOS</t>
  </si>
  <si>
    <t>Saldo al 30/10</t>
  </si>
  <si>
    <t>PAGO MELAMED FC 39 - SALDO PLANOS de ELECTRICIDAD</t>
  </si>
  <si>
    <t>DEPOSITO CH Nro. 20309375 y CH Nro. 20330397</t>
  </si>
  <si>
    <t>Saldo al 05/11</t>
  </si>
  <si>
    <t>PAGO ABL 04/2020 + INTERESES</t>
  </si>
  <si>
    <t>PAGO ABL 05/2020 + INTERESES</t>
  </si>
  <si>
    <t>PAGO ABL 06/2020 + INTERESES</t>
  </si>
  <si>
    <t>PAGO ABL 07/2020 + INTERESES</t>
  </si>
  <si>
    <t>PAGO ABL 08/2020 + INTERESES</t>
  </si>
  <si>
    <t>PAGO ABL 09/2020 + INTERESES</t>
  </si>
  <si>
    <t>PAGO ABL 10/2020 + INTERESES</t>
  </si>
  <si>
    <t>DEPOSITO CH Nro. 20310655</t>
  </si>
  <si>
    <t>Saldo al 10/11</t>
  </si>
  <si>
    <t>COBRO ALQUILER 4K 11/20 FC 0033 + NC 0009</t>
  </si>
  <si>
    <t>Saldo al 13/11</t>
  </si>
  <si>
    <t>PAGO DAVALOS GABRIEL - ENCOMIENDA</t>
  </si>
  <si>
    <t>PAGO EDENOR 11.2020 FC 22-92691381 - MONROE 5185</t>
  </si>
  <si>
    <t>PAGO EDENOR 11.2020 FC 14-09490498 - MONROE 5193</t>
  </si>
  <si>
    <t>Saldo al 26/11</t>
  </si>
  <si>
    <t>PAGO CONSJ PROF ARQ Y URB - REGISTRO N° 307379647</t>
  </si>
  <si>
    <t>TRANSFERENCIA MALENA</t>
  </si>
  <si>
    <t>PAGO IVA 10/2020</t>
  </si>
  <si>
    <t>AUTORETENCIONES 07/08/09/10 2020</t>
  </si>
  <si>
    <t>PAGO IIBB 09/2020</t>
  </si>
  <si>
    <t>PAGO IIBB 10/2020</t>
  </si>
  <si>
    <t>DEPOSITO CH Nro. 20336027</t>
  </si>
  <si>
    <t>PAGO GCBA - PERMISO INICIO DE OBRA 30%</t>
  </si>
  <si>
    <t xml:space="preserve">PAGO GCBA - PROYECTO DE INSTALACION PREVENCION DE INCENDIO </t>
  </si>
  <si>
    <t>Saldo al 04/12</t>
  </si>
  <si>
    <t>Pago De Servicios - Gcba Inm/abl: 0070003519488</t>
  </si>
  <si>
    <t>COBRO ALQUILER 4K 12/20 FC 0037 + NC 0010</t>
  </si>
  <si>
    <t>PAGO CPAU - PAGO ENCOMIENDA CARBALLO MATIAS</t>
  </si>
  <si>
    <t>Saldo al 19/12</t>
  </si>
  <si>
    <r>
      <rPr>
        <b/>
        <sz val="9"/>
        <rFont val="Ebrima"/>
      </rPr>
      <t>APORTE</t>
    </r>
    <r>
      <rPr>
        <sz val="9"/>
        <rFont val="Ebrima"/>
      </rPr>
      <t xml:space="preserve"> - ALVAREZ MORALES (Equivalentes U$D 100,00 a TC $ 142,00)</t>
    </r>
  </si>
  <si>
    <t xml:space="preserve">PAGO CARBALLO MATIAS FC 3-1118 PRESENTACIO DE PROYECTO </t>
  </si>
  <si>
    <t>Saldo al 30/12</t>
  </si>
  <si>
    <t>PAGO ICC VIAL FC 3-1491 - HONORARIOS + GTOS GCBA por demolicion</t>
  </si>
  <si>
    <t>PAGO AUTORETENCIONES 11/12 2020</t>
  </si>
  <si>
    <t>PAGO IIBB 11/2020</t>
  </si>
  <si>
    <t xml:space="preserve">DEPOSITO CH Nro. </t>
  </si>
  <si>
    <t xml:space="preserve">PAGO AYSA FC 108-70641462 </t>
  </si>
  <si>
    <t>Saldo al 08/01</t>
  </si>
  <si>
    <t>PAGO ABL 01/2021</t>
  </si>
  <si>
    <t>COBRO ALQUILER 4K 01/21 FC 0041 + NC 0011</t>
  </si>
  <si>
    <t>COBRO ALQUILER 4K 01/21 FC 0042 (RECUPERO de GASTOS)</t>
  </si>
  <si>
    <t>PAGO DE BENEDETTI FC 97 - CERTIFICADO DE DOMINIO</t>
  </si>
  <si>
    <t>Saldo al 19/01</t>
  </si>
  <si>
    <t>PAGO SICORE 2da QUINCENA DIC'19</t>
  </si>
  <si>
    <r>
      <rPr>
        <b/>
        <sz val="9"/>
        <rFont val="Ebrima"/>
      </rPr>
      <t>APORTE</t>
    </r>
    <r>
      <rPr>
        <sz val="9"/>
        <rFont val="Ebrima"/>
      </rPr>
      <t xml:space="preserve"> PCHT - Transferencia desde BCO HSBC YMK SA</t>
    </r>
  </si>
  <si>
    <t>PAGO GREENSTAY SOLUTIONS FC 2287 - AIRES ACONDINADOS</t>
  </si>
  <si>
    <t>DEVOLUCION FONDO DE GARANTIA ANDRADE MALENA (YAGMOUR)</t>
  </si>
  <si>
    <t>Saldo al 22/01</t>
  </si>
  <si>
    <r>
      <rPr>
        <b/>
        <sz val="9"/>
        <rFont val="Ebrima"/>
      </rPr>
      <t>APORTE</t>
    </r>
    <r>
      <rPr>
        <sz val="9"/>
        <rFont val="Ebrima"/>
      </rPr>
      <t xml:space="preserve"> PCHT - Transferencia desde BCO HSBC INGOTAR SA</t>
    </r>
  </si>
  <si>
    <t>Saldo al 25/01</t>
  </si>
  <si>
    <t>PAGO IIBB 12/2020</t>
  </si>
  <si>
    <t>Saldo al 10/02</t>
  </si>
  <si>
    <t>COBRO ALQUILER 4K 02/21 FC 0045 + NC 0012</t>
  </si>
  <si>
    <t>PAGO ABL 02/2021</t>
  </si>
  <si>
    <t>PAGO ABL 01/2021 AJUSTE</t>
  </si>
  <si>
    <t xml:space="preserve">PAGO AYSA FC 108-74170903 </t>
  </si>
  <si>
    <r>
      <rPr>
        <b/>
        <sz val="9"/>
        <color rgb="FFFF0000"/>
        <rFont val="Ebrima"/>
      </rPr>
      <t>RECHAZO</t>
    </r>
    <r>
      <rPr>
        <sz val="9"/>
        <color theme="1"/>
        <rFont val="Ebrima"/>
      </rPr>
      <t xml:space="preserve"> PAGO GREENSTAY SOLUTIONS FC 2287 - AIRES ACONDINADOS</t>
    </r>
  </si>
  <si>
    <t>MULTA CH RECHAZADO S/FDOS</t>
  </si>
  <si>
    <t>Saldo al 23/02</t>
  </si>
  <si>
    <t>DEVOLUCION IMP LEY DEBITO 0,6%</t>
  </si>
  <si>
    <t xml:space="preserve">PAGO IIBB 01/2021 </t>
  </si>
  <si>
    <t>Saldo al 25/02</t>
  </si>
  <si>
    <t>COBRO ALQUILER 4K 02/21 FC 0047 + NC 0013 + FC 0048 (RECUPERDO de GASTOS)</t>
  </si>
  <si>
    <t>PAGO IVA</t>
  </si>
  <si>
    <t>PAGO BIENES PERSONALES</t>
  </si>
  <si>
    <t xml:space="preserve">PAGO IIBB 02/2021 </t>
  </si>
  <si>
    <t>Saldo al 30/03</t>
  </si>
  <si>
    <t>COBRO ALQUILER 4K 04/21 FC 0049 + NC 0014</t>
  </si>
  <si>
    <t>Saldo al 13/04</t>
  </si>
  <si>
    <t>COBRO ALQUILER 4K 04/21 FC 0050 (RECUPERO de GASTOS)</t>
  </si>
  <si>
    <t>PAGO AUTORETENCIONES 1ra Quincena de MARZO - INTERESES</t>
  </si>
  <si>
    <t>PAGO AUTORETENCIONES 1ra Quincena de MARZO</t>
  </si>
  <si>
    <t xml:space="preserve">PAGO IIBB 03/2021 </t>
  </si>
  <si>
    <t>Saldo al 20/04</t>
  </si>
  <si>
    <t>PAGO AYSA FC 108-81012390</t>
  </si>
  <si>
    <t>PAGO CASTRO MARCELO FC 790 - Cerficacion de Dominio ACTUALIZACION</t>
  </si>
  <si>
    <t>PAGO AUTORETENCIONES 1ra Quincena de ABRIL</t>
  </si>
  <si>
    <t>PAGO AUTORETENCIONES 1ra Quincena de ABRIL - INTERESES</t>
  </si>
  <si>
    <t>Saldo al 30/04</t>
  </si>
  <si>
    <r>
      <rPr>
        <b/>
        <sz val="9"/>
        <color theme="1"/>
        <rFont val="Ebrima"/>
      </rPr>
      <t>APORTE</t>
    </r>
    <r>
      <rPr>
        <sz val="9"/>
        <color theme="1"/>
        <rFont val="Ebrima"/>
      </rPr>
      <t xml:space="preserve"> SUEZ, Mariano Natal </t>
    </r>
  </si>
  <si>
    <t>Saldo al 12/05</t>
  </si>
  <si>
    <t>PAGO AYSA FC 108-84665248</t>
  </si>
  <si>
    <t>PAGO ABL 04/2021</t>
  </si>
  <si>
    <t>PAGO ABL 05/2021</t>
  </si>
  <si>
    <t xml:space="preserve">PAGO IIBB 04/2021 </t>
  </si>
  <si>
    <t>PAGO BOLETA GCBA - GRAVAMENES AMBIENTALES</t>
  </si>
  <si>
    <t>Saldo al 28/05</t>
  </si>
  <si>
    <t>PAGO SANCHEZ MAXIMILIANO FC 29 - DESARROLLO de Imagen, diseño y comunicación</t>
  </si>
  <si>
    <t xml:space="preserve">REINTEGRO FONDO de GARANTIA 4K SA </t>
  </si>
  <si>
    <t>Saldo al 07/06</t>
  </si>
  <si>
    <t>ACREDITACION PESOS BENEDIT COMPRA DOLARES 30.000,00 a TC 160,55</t>
  </si>
  <si>
    <t>Saldo al 24/06</t>
  </si>
  <si>
    <t>PAGO ADMENEX FC 1201-0002 - HONORARIOS</t>
  </si>
  <si>
    <t>PAGO ABL 06/2021</t>
  </si>
  <si>
    <t>PAGO AYSA FC 108-88027875 Tramo 01 de 02</t>
  </si>
  <si>
    <t>Saldo al 29/06</t>
  </si>
  <si>
    <t>Saldo al 07/07</t>
  </si>
  <si>
    <t>PAGO ABL 07/2021 - 2do VTO 31/07 $ 10.385,84</t>
  </si>
  <si>
    <t>PAGO AYSA FC 108-91609115 Tramo 02 de 02</t>
  </si>
  <si>
    <t>PAGO SICORE 2da Quincena de JUNIO</t>
  </si>
  <si>
    <t>UFD-406 Cuota 01 SUKMAN, Pablo</t>
  </si>
  <si>
    <t xml:space="preserve">PAGO FUMIGACIONES LOMAR de Ana Lamberti FC 604 - DESRATIZACION </t>
  </si>
  <si>
    <t>PAGO SELLADO 1% UFD-406 SUKMAN, Pablo</t>
  </si>
  <si>
    <t>Saldo al 15/07</t>
  </si>
  <si>
    <t>PAGO SELLADO DIFERENCIA 1% UFD-406 SUKMAN, Pablo</t>
  </si>
  <si>
    <t>PAGO CARBALLO MATIAS FC 1180 - SALDO OBRA</t>
  </si>
  <si>
    <t>COBRO SELLADO 1% UFD-303 BOERO, Martin</t>
  </si>
  <si>
    <t>UFD-303 Cuota 01 BOERO, Martin</t>
  </si>
  <si>
    <t>PAGO SELLADO 1% UFD-303 BOERO, Martin</t>
  </si>
  <si>
    <t>Saldo al 29/07</t>
  </si>
  <si>
    <t>DEB AUT</t>
  </si>
  <si>
    <t>PAGO POLIZA ALLIANZ NRO 772258</t>
  </si>
  <si>
    <t>Saldo al 11/08</t>
  </si>
  <si>
    <t>COBRO SELLADO 1% UFD-405 CLASE A CARPINTERIA de ALUMINIO</t>
  </si>
  <si>
    <t>PAGO SELLADO 1% UFD-405 CLASE A CARPINTERIA de ALUMINIO</t>
  </si>
  <si>
    <t>Saldo al 17/08</t>
  </si>
  <si>
    <t>UFD-406 Cuota 02 SUKMAN, Pablo</t>
  </si>
  <si>
    <t>PAGO ESTUDIO LEVI SALDO FC 3078 - ESTUDIO de MEDIANERAS</t>
  </si>
  <si>
    <t>PAGO CLASE A CARPINTERIA de ALUMINIO -  CUOTA 01</t>
  </si>
  <si>
    <t>PAGO IIBB 07/2021</t>
  </si>
  <si>
    <t>PAGO AYSA FC 108-95118050 Tramo 02 de 02</t>
  </si>
  <si>
    <t>Saldo al 23/08</t>
  </si>
  <si>
    <t xml:space="preserve">PAGO ABL 08/2021 </t>
  </si>
  <si>
    <r>
      <rPr>
        <b/>
        <sz val="9"/>
        <rFont val="Ebrima"/>
      </rPr>
      <t>APORTE</t>
    </r>
    <r>
      <rPr>
        <sz val="9"/>
        <rFont val="Ebrima"/>
      </rPr>
      <t xml:space="preserve"> PCHT - Transferencia desde BCO SUPERVIELLE YMK SA </t>
    </r>
  </si>
  <si>
    <t>Saldo al 25/08</t>
  </si>
  <si>
    <t>Deposito Cheque 48 Hs Otra Suc *s - Tarj Nro. 0002</t>
  </si>
  <si>
    <t>PAGO SCM A CUENTA - CUOTA 01 DEMOLICION</t>
  </si>
  <si>
    <t>COBRO SELLADO 1% UFD-1101 FAIA</t>
  </si>
  <si>
    <t>Saldo al 26/08</t>
  </si>
  <si>
    <r>
      <rPr>
        <b/>
        <sz val="9"/>
        <rFont val="Ebrima"/>
      </rPr>
      <t>APORTE</t>
    </r>
    <r>
      <rPr>
        <sz val="9"/>
        <rFont val="Ebrima"/>
      </rPr>
      <t xml:space="preserve"> PCHT - Transferencia desde BCO MACRO YMK SA</t>
    </r>
  </si>
  <si>
    <t>Saldo al 27/08</t>
  </si>
  <si>
    <t>PAGO SELLADO 1% UFD-1101 FAIA</t>
  </si>
  <si>
    <t>Saldo al 30/08</t>
  </si>
  <si>
    <t>PAGO ASCENSORES SCHINDLER - ANTICIPO 10% FC 42060</t>
  </si>
  <si>
    <t>Saldo al 31/08</t>
  </si>
  <si>
    <t>DEPOSITO CH Nro 30312990</t>
  </si>
  <si>
    <t>UFD-406 Cuota 03 SUKMAN, Pablo</t>
  </si>
  <si>
    <t>Saldo al 13/09</t>
  </si>
  <si>
    <t xml:space="preserve">PAGO ASCENSORES SCHINDLER - ANTICIPO 10% FC 42060 IVA </t>
  </si>
  <si>
    <t>Saldo al 14/09</t>
  </si>
  <si>
    <t>PAGO SICORE 2da Quincena de AGOSTO</t>
  </si>
  <si>
    <t xml:space="preserve">PAGO ABL 09/2021 </t>
  </si>
  <si>
    <t>PAGO AYSA FC 109-01788656 Tramo 02 de 02</t>
  </si>
  <si>
    <t>Saldo al 20/09</t>
  </si>
  <si>
    <t>Transferencia Recibida - De Alalu,fabiana Emilia / Sellosuf401 - Var / 27170681547</t>
  </si>
  <si>
    <t>PAGO CLASE A CARPINTERIA de ALUMINIO IVA FC  CERT 1</t>
  </si>
  <si>
    <t>PAGO CLASE A CARPINTERIA de ALUMINIO -  CUOTA 02</t>
  </si>
  <si>
    <t>UFD-303 Cuota 04 BOERO, Martin</t>
  </si>
  <si>
    <t>PAGO SCM A CUENTA - CUOTA 02 DEMOLICION</t>
  </si>
  <si>
    <t>Saldo al 22/09</t>
  </si>
  <si>
    <t>PAGO SELLADO 1% UFD-401 Liberman, Emanuel y DINERSTEIN, Paloma</t>
  </si>
  <si>
    <t>DEPOSITO CH Nro. 30312991</t>
  </si>
  <si>
    <t>Saldo al 30/09</t>
  </si>
  <si>
    <t>PAGO CLASE A CARPINTERIA de ALUMINIO // COBRO - Cuota 02 DPTO 405 // PAGO ADMENEX FC 429</t>
  </si>
  <si>
    <t>PAGO POLIZA RESPONSABILIDAD CIVIL - AUMENTO ALLIANZ NRO 772258</t>
  </si>
  <si>
    <t>Saldo al 06/10</t>
  </si>
  <si>
    <t>UFD-401 Cuota 02 LIBERMAN, Manuel y DINERSTEIN, Paloma</t>
  </si>
  <si>
    <r>
      <rPr>
        <b/>
        <sz val="9"/>
        <color rgb="FFFF0000"/>
        <rFont val="Ebrima"/>
      </rPr>
      <t>APORTE</t>
    </r>
    <r>
      <rPr>
        <sz val="9"/>
        <color rgb="FFFF0000"/>
        <rFont val="Ebrima"/>
      </rPr>
      <t xml:space="preserve"> PCHT - Transferencia desde BCO SUPERVIELLE YMK SA </t>
    </r>
  </si>
  <si>
    <t>PAGO SICORE 2da Quincena de SEPTIEMBRE</t>
  </si>
  <si>
    <t>PAGO SUSS 2da Quincena de SEPTIEMBRE</t>
  </si>
  <si>
    <t xml:space="preserve">PAGO ABL 10/2021 </t>
  </si>
  <si>
    <t>PAGO ABL 10/2021 - ADICIONAL por MEJORAS</t>
  </si>
  <si>
    <t>Saldo al 12/10</t>
  </si>
  <si>
    <t>PAGO AYSA FC 109-05379703 Tramo 01 de 02</t>
  </si>
  <si>
    <t>DEPOSITO CH Nro. 30312992</t>
  </si>
  <si>
    <t>Pago A Proveedores Recibido - Ymk S.a. 33708103409 03 8809202</t>
  </si>
  <si>
    <t>Pago A Proveedores Recibido - Ymk S.a. 33708103409 03 9073327</t>
  </si>
  <si>
    <t>UFD-406 Cuota 04 SUKMAN, Pablo</t>
  </si>
  <si>
    <t>Saldo al 18/10</t>
  </si>
  <si>
    <t xml:space="preserve">PAGO AG INSTALACIONES A CUENTA // COBRO - Cuota 01/02 DPTO 202 // PAGO </t>
  </si>
  <si>
    <t>Pago A Proveedores Recibido - Ymk S.a. 33708103409 03 9452150</t>
  </si>
  <si>
    <t>Saldo al 19/10</t>
  </si>
  <si>
    <t xml:space="preserve">PAGO CASA CASTELAO A CUENTA // COBRO - Cuota 01/02 DPTO 302 // PAGO </t>
  </si>
  <si>
    <t>PAGO CLASE A CARPINTERIA CERT Nro. 02 FC 482 IVA</t>
  </si>
  <si>
    <t>PAGO CLASE A CARPINTERIA de ALUMINIO -  CUOTA 03</t>
  </si>
  <si>
    <t>Saldo al 21/10</t>
  </si>
  <si>
    <t>Transferencia Recibida - De Ymk S.a. / H1tranfer - Var / 33708103409</t>
  </si>
  <si>
    <t xml:space="preserve">PAGO IIBB 09/2021 </t>
  </si>
  <si>
    <t>PAGO BIENES PERSONALES 2020</t>
  </si>
  <si>
    <t>Saldo al 22/10</t>
  </si>
  <si>
    <t>PAGO BIENES PERSONALES 2020 INTERESES</t>
  </si>
  <si>
    <t>BAUMO SA - BANCO SANTANDER RIO *    PCHT RCP DE YMK * ACP EN  BAUMO*</t>
  </si>
  <si>
    <t>PAGO CLASE A CARPINTERIA CERT Nro. 02 FC 483 IVA</t>
  </si>
  <si>
    <t>BAUMO SA - BANCO SANTANDER RIO *        PCHT RCP DE YMK * ACP EN  BAUMO</t>
  </si>
  <si>
    <t>BAUMO SA - BANCO SANTANDER RIO *               PCHT RCP DE YMK * ACP EN  BAUMO </t>
  </si>
  <si>
    <t>PAGO SICORE 1ra Quincena de OCTUBRE</t>
  </si>
  <si>
    <t>COBRO SELLADO 1% UFD-202 AG INSTALACIONES SRL</t>
  </si>
  <si>
    <t>Saldo al 28/10</t>
  </si>
  <si>
    <t>COBRO SELLADO 1% UFD-302 CASA CASTELAO SA</t>
  </si>
  <si>
    <t>TRA ADMENEX</t>
  </si>
  <si>
    <t xml:space="preserve">TRA INGOTAR </t>
  </si>
  <si>
    <t>PAGO SELLADO 1% UFD-202 AG INSTALACIONES SRL + INTERESES</t>
  </si>
  <si>
    <t>PAGO SELLADO 1% UFD-302 CASA CASTELAO SA + INTERESES</t>
  </si>
  <si>
    <t>PAGO POLIZA RESPONSABILIDAD CIVIL - PRORROGA ALLIANZ 772258 CUOTA 01 de 02</t>
  </si>
  <si>
    <t>UFD-401 Cuota 03 LIBERMAN, Manuel y DINERSTEIN, Paloma</t>
  </si>
  <si>
    <t>PAGO SCM A CUENTA - CUOTA 03</t>
  </si>
  <si>
    <r>
      <t>BAUMO SA - BANCO SANTANDER RIO *      </t>
    </r>
    <r>
      <rPr>
        <b/>
        <sz val="8"/>
        <rFont val="Times New Roman"/>
        <family val="1"/>
      </rPr>
      <t>PCHT RCP DE YMK * ACP EN  BAUMO*</t>
    </r>
  </si>
  <si>
    <r>
      <t>BAUMO SA - BANCO SANTANDER RIO *    </t>
    </r>
    <r>
      <rPr>
        <b/>
        <sz val="8"/>
        <color rgb="FF000000"/>
        <rFont val="Times New Roman"/>
        <family val="1"/>
      </rPr>
      <t>PCHT RCP DE YMK * ACP EN  BAUMO</t>
    </r>
  </si>
  <si>
    <t>COMISION COBERTURA DE CHEQUES</t>
  </si>
  <si>
    <t>IVA  21 %</t>
  </si>
  <si>
    <r>
      <t>BAUMO SA - BANCO SANTANDER RIO *       </t>
    </r>
    <r>
      <rPr>
        <b/>
        <sz val="8"/>
        <color rgb="FF000000"/>
        <rFont val="Times New Roman"/>
        <family val="1"/>
      </rPr>
      <t>PCHT RCP DE YMK * ACP EN  BAUMO</t>
    </r>
  </si>
  <si>
    <t>UFD-406 Cuota 05 SUKMAN, Pablo</t>
  </si>
  <si>
    <t>PAGO SCM A CUENTA FC 069 IVA - CUOTA 01 DEMOLICION</t>
  </si>
  <si>
    <t>BAUMO SA - BANCO SANTANDER RIO *  PCHT RCP DE YMK * ACP EN  BAUMO*</t>
  </si>
  <si>
    <t>UFD-303 Cuota 06 BOERO, Martin</t>
  </si>
  <si>
    <t>BAUMO SA - BANCO SANTANDER RIO *       PCHT RCP DE YMK * ACP EN  BAUMO</t>
  </si>
  <si>
    <t xml:space="preserve">COMISION CH PLAZA </t>
  </si>
  <si>
    <t>PAGO SCM A CUENTA - CUOTA 03 e cheq</t>
  </si>
  <si>
    <t xml:space="preserve">COMIS COBERTURA DE CHEQUE </t>
  </si>
  <si>
    <t xml:space="preserve">MULTA CHEQUE RECHAZADO SIN FONDOS </t>
  </si>
  <si>
    <t>PAGO IIBB 10/2021</t>
  </si>
  <si>
    <t>BAUMO SA - BANCO SANTANDER RIO *  PCHT RCP DE YMK * ACP EN  BAUMO</t>
  </si>
  <si>
    <t xml:space="preserve">PAGO SCM A CUENTA - CUOTA 03 e cheq ch rechazado  canje </t>
  </si>
  <si>
    <t xml:space="preserve">DEV DE MULTA CH RECHAZADO </t>
  </si>
  <si>
    <t>BAUMO SA - BANCO SANTANDER RIO * PCHT RCP DE YMK * ACP EN  BAUMO</t>
  </si>
  <si>
    <t>PAGO CLASE A CARPINTERIA de ALUMINIO -  CUOTA 04</t>
  </si>
  <si>
    <t>PAGO ABL 11/2021 - 2do VTO 30/11 $ 11.998,68</t>
  </si>
  <si>
    <t>BAUMO - AG FC IVA  … retencion !!</t>
  </si>
  <si>
    <t>BAUMO - CASTELAO FC IVA  .- retencion !</t>
  </si>
  <si>
    <r>
      <t>(Eduardo Diner) $28.000 </t>
    </r>
    <r>
      <rPr>
        <sz val="10"/>
        <color rgb="FF222222"/>
        <rFont val="Arial"/>
        <family val="2"/>
      </rPr>
      <t>en concepto de REINT DE GASTOS por encomienda</t>
    </r>
  </si>
  <si>
    <t>DICIEMBRE</t>
  </si>
  <si>
    <t xml:space="preserve">Pago De Servicios - Aysa: 0000090876 fc noviembre </t>
  </si>
  <si>
    <t>PAGO POLIZA RESPONSABILIDAD CIVIL - PRORROGA ALLIANZ 772258 CUOTA 02 de 02</t>
  </si>
  <si>
    <t xml:space="preserve"> cuota 4</t>
  </si>
  <si>
    <r>
      <t>BAUMO SA - BANCO SANTANDER RIO *  </t>
    </r>
    <r>
      <rPr>
        <b/>
        <sz val="8"/>
        <color rgb="FF000000"/>
        <rFont val="Times New Roman"/>
        <family val="1"/>
      </rPr>
      <t>PCHT RCP DE YMK * ACP EN  BAUMO</t>
    </r>
  </si>
  <si>
    <r>
      <t>BAUMO SA - BANCO SANTANDER RIO *              </t>
    </r>
    <r>
      <rPr>
        <b/>
        <sz val="8"/>
        <color rgb="FF000000"/>
        <rFont val="Times New Roman"/>
        <family val="1"/>
      </rPr>
      <t>PCHT RCP DE YMK * ACP EN  BAUMO*</t>
    </r>
  </si>
  <si>
    <t>LUBRANDAN . SELLADO BAUMO UF 301</t>
  </si>
  <si>
    <r>
      <t>BAUMO SA - BANCO SANTANDER RIO *      </t>
    </r>
    <r>
      <rPr>
        <b/>
        <sz val="8"/>
        <rFont val="Times New Roman"/>
        <family val="1"/>
      </rPr>
      <t>PCHT RCP DE YMK * ACP EN  BAUMO</t>
    </r>
  </si>
  <si>
    <t>UFD-406 Cuota  SUKMAN, Pablo</t>
  </si>
  <si>
    <t>BAUMO SICORE - 11/2021</t>
  </si>
  <si>
    <t>BAUMO IIBB 11/2021</t>
  </si>
  <si>
    <t>BCV - VALDEZ CUOTA 1 Y 2 A CUENTA  UF 206</t>
  </si>
  <si>
    <r>
      <t>BAUMO SA - BANCO SANTANDER RIO *              </t>
    </r>
    <r>
      <rPr>
        <b/>
        <sz val="8"/>
        <rFont val="Times New Roman"/>
        <family val="1"/>
      </rPr>
      <t>PCHT RCP DE YMK * ACP EN  BAUMO</t>
    </r>
  </si>
  <si>
    <t xml:space="preserve">BAUMO - CASTELAO FC 11661  --- IVA </t>
  </si>
  <si>
    <t xml:space="preserve">pedido de fondos </t>
  </si>
  <si>
    <t>CLASE A IVA FC CERTIF 3 Y CERTIF 4</t>
  </si>
  <si>
    <t>Loholaberry, Cintia / - Var / 23329795284     boero cuota</t>
  </si>
  <si>
    <t>Comision Por Servicio De Cuenta</t>
  </si>
  <si>
    <t>Percepcion Ingresos Brutos Caba</t>
  </si>
  <si>
    <t>iva 21 %</t>
  </si>
  <si>
    <t>Iva Percepcion Rg 2408</t>
  </si>
  <si>
    <t>Comision Movs Mensuales Clearing</t>
  </si>
  <si>
    <t>ENERO</t>
  </si>
  <si>
    <t xml:space="preserve">deb aut </t>
  </si>
  <si>
    <t>BAUMO SA pza. 772258 ENDOSO 5</t>
  </si>
  <si>
    <t>DEPOSITO EN EFECTIVO - LIBERMAN?</t>
  </si>
  <si>
    <t xml:space="preserve">ENE </t>
  </si>
  <si>
    <t xml:space="preserve">BAUMO - AG  INSTALACIONES    FC IVA </t>
  </si>
  <si>
    <t xml:space="preserve">BOERO PAGO CUOTA </t>
  </si>
  <si>
    <t xml:space="preserve">COMIS CHEQUES PLAZA </t>
  </si>
  <si>
    <t xml:space="preserve">BAUMO -  CASA CASTELAO FC IVA   ENERO </t>
  </si>
  <si>
    <t xml:space="preserve">IVA 21% </t>
  </si>
  <si>
    <t>SOCMER IVA FC 70   CUOTA 2</t>
  </si>
  <si>
    <t xml:space="preserve">Tra socmer x error de tranferencia </t>
  </si>
  <si>
    <t>IVA RG</t>
  </si>
  <si>
    <t xml:space="preserve">CH N° 28413850 para el 26/02/2022 x $ 355.625,17.- VALDEZ CUOTA  REEMPLAZO CH </t>
  </si>
  <si>
    <t xml:space="preserve">UFD-303 Cuota 0 9 BOERO, Martin - efvo </t>
  </si>
  <si>
    <t xml:space="preserve">UFD-303 Cuota 09 BOERO, Martin - cheques </t>
  </si>
  <si>
    <t xml:space="preserve">YMK SA     fondos de febrero no solicitados </t>
  </si>
  <si>
    <t>ok</t>
  </si>
  <si>
    <t xml:space="preserve">COMIS CHEQUE DE PLAZA </t>
  </si>
  <si>
    <t xml:space="preserve"> VALDEZ CUOTA  reemplazo cheque rechazado </t>
  </si>
  <si>
    <t>AG INSTALACIONES // COBRO - Cuota 03/04 DPTO 202     SOC  CONST MER IVA FC 70   CUOTA 2</t>
  </si>
  <si>
    <t>CASA CASTELAO  // COBRO - Cuota 03/04 DPTO 302    soc cons mer cuota3 y 4</t>
  </si>
  <si>
    <t xml:space="preserve">BAUMO TYM . SEGÚN PRESUPUESTO  - NOV 2021 - ANULADO </t>
  </si>
  <si>
    <t>CLASE A SALDO FC 536 - 537 certi 7</t>
  </si>
  <si>
    <t>PAGO CLASE A CARPINTERIA de ALUMINIO -  CUOTA 08</t>
  </si>
  <si>
    <t>YMK SA</t>
  </si>
  <si>
    <t xml:space="preserve">CLASE A .- CERTIFICADO 8 MARZO </t>
  </si>
  <si>
    <t>YMK SA (por pago permiso aridos )</t>
  </si>
  <si>
    <t>Com Transf A Otros Bancos Canales - Comision Transferencias</t>
  </si>
  <si>
    <t xml:space="preserve">BOERO PAGO CUOTA 10  efectivo Deposito </t>
  </si>
  <si>
    <t xml:space="preserve">BOERO PAGO CUOTA 10  ch 00875256/ 24201043  </t>
  </si>
  <si>
    <t>BOERO PAGO CUOTA 10  ch 00875256</t>
  </si>
  <si>
    <t>Comision Ch O Plazas Y Ca Fed Uni</t>
  </si>
  <si>
    <t xml:space="preserve">YMK </t>
  </si>
  <si>
    <t xml:space="preserve">BAUMO -. AYSA 90876     - ABRIL SALDO A FAVOR </t>
  </si>
  <si>
    <t>BAUMO SICORE 03/2022</t>
  </si>
  <si>
    <t>CASA CASTELAO  // COBRO - Cuota 03/04 DPTO 302     soc cons mer cuota3 y 4</t>
  </si>
  <si>
    <t xml:space="preserve">PAGO AG INSTALACIONES A CUENTA // COBRO - Cuota 03/04 DPTO 202 </t>
  </si>
  <si>
    <t>PAGO VALDEZ UF 206    - en cuenta 05/2022</t>
  </si>
  <si>
    <t xml:space="preserve">BOERO </t>
  </si>
  <si>
    <t>BAUMO SICORE . 4-2022</t>
  </si>
  <si>
    <t xml:space="preserve">COMISION MOVS MENSUALES CLEARING </t>
  </si>
  <si>
    <t xml:space="preserve">boero deposito de cordoba </t>
  </si>
  <si>
    <t xml:space="preserve">diferencia de planilla </t>
  </si>
  <si>
    <t>PERCEP IIBB</t>
  </si>
  <si>
    <t>DEPOSITO -. LIBERMAN?</t>
  </si>
  <si>
    <t xml:space="preserve">AG INSTALACIONES // COBRO - Cuota 05/06 DPTO 202     cuota 5-6-7 soc const merc </t>
  </si>
  <si>
    <t>PAGO CASA CASTELAO A CUENTA // COBRO - Cuota 03/04 DPTO 302  soc cons mer cuota 5</t>
  </si>
  <si>
    <t xml:space="preserve">AG INSTALACIONES // COBRO - Cuota 05/06 DPTO 202    cuota 5-6-7 soc const merc </t>
  </si>
  <si>
    <t xml:space="preserve">TRA A PRUEBA A INGOTAR MACRO </t>
  </si>
  <si>
    <t>Transferencia Recibida - De Dinerstein/paloma / 401 - Var / 27359714640</t>
  </si>
  <si>
    <t>Deposito en Efectivo   boero??</t>
  </si>
  <si>
    <t>Deposito ch 32168527  boero??</t>
  </si>
  <si>
    <t xml:space="preserve">IVA </t>
  </si>
  <si>
    <t>SICORE - 06/2022</t>
  </si>
  <si>
    <t xml:space="preserve">IVA + PERCEP IIBB </t>
  </si>
  <si>
    <t xml:space="preserve">DIF PLANILLA </t>
  </si>
  <si>
    <t xml:space="preserve">AGOSTO </t>
  </si>
  <si>
    <t xml:space="preserve">TRA </t>
  </si>
  <si>
    <t xml:space="preserve">BAUMO SA .  - PEDIDO EXTRA DE FONDOS </t>
  </si>
  <si>
    <t xml:space="preserve">YMK -SA </t>
  </si>
  <si>
    <t>BAUMO - IIBB 07 /2022</t>
  </si>
  <si>
    <t>BAUMO - IIBB 06/2022</t>
  </si>
  <si>
    <t>BAUMO - IIBB 05/2022</t>
  </si>
  <si>
    <t xml:space="preserve">COMIS CHEQUE RETIRO </t>
  </si>
  <si>
    <t xml:space="preserve">MARZO </t>
  </si>
  <si>
    <t> Bunker Second Hand Srl    ?????</t>
  </si>
  <si>
    <t xml:space="preserve">BODAS MIANI - ENCOMIENDAS </t>
  </si>
  <si>
    <t xml:space="preserve">Deposito efectivo </t>
  </si>
  <si>
    <t>Berkley Int Seg -121-03-00078776-003</t>
  </si>
  <si>
    <t>SOC CONST DEL MERCOSUR  - CUOTA 11    feb  23 (fecha de cobro 14-3)</t>
  </si>
  <si>
    <t>BAUMO - AG CUOTAS 13 -14 -15- 16 .   IVA FC 409</t>
  </si>
  <si>
    <t xml:space="preserve">YMK . SA </t>
  </si>
  <si>
    <t>SOC CONST DEL MERCOSUR  - CUOTA 11    feb  23</t>
  </si>
  <si>
    <t>SOC CONST DEL MERCOSUR  - CUOTA 12</t>
  </si>
  <si>
    <t xml:space="preserve">hacer </t>
  </si>
  <si>
    <t xml:space="preserve">BAUMO - PARRAJON PRESENTACION DE PLANOS 25  % </t>
  </si>
  <si>
    <t xml:space="preserve">BAUMO - PARRAJON ENTREGA -  DE PLANOS 50 % </t>
  </si>
  <si>
    <t xml:space="preserve">BAUMO * </t>
  </si>
  <si>
    <t>* MARZO  2023</t>
  </si>
  <si>
    <t xml:space="preserve">PEDIDO DE FONDOS </t>
  </si>
  <si>
    <t xml:space="preserve">PEDIDO DE FONDOS  A CONFIRMAR FECHA </t>
  </si>
  <si>
    <t>JULIO   2022</t>
  </si>
  <si>
    <t>UFD-601 Cuota 03 CHEB TERRAB, Gabriel y CHEB TERRAB, Melanie</t>
  </si>
  <si>
    <t>UFD-701 Cuota 03 CHEB TERRAB, Natalie y CHEB TERRAB, Anabella</t>
  </si>
  <si>
    <t xml:space="preserve">VALDEZ - </t>
  </si>
  <si>
    <t>BLEI .    NO COBRAR</t>
  </si>
  <si>
    <t>BAUMO ADICIONAL SCHINDLER -  factura por el 10% de U$S  9.313,74. * usd oficial = 1,400,000 APROX</t>
  </si>
  <si>
    <t>abr</t>
  </si>
  <si>
    <t>SOC CONST DEL MERCOSUR  - CUOTA 13</t>
  </si>
  <si>
    <t xml:space="preserve">jun </t>
  </si>
  <si>
    <t>SOC CONST DEL MERCOSUR  - CUOTA 15 - ultima ?</t>
  </si>
  <si>
    <t>mar</t>
  </si>
  <si>
    <t>may</t>
  </si>
  <si>
    <t>SOC CONST DEL MERCOSUR  - CUOTA 14</t>
  </si>
  <si>
    <t xml:space="preserve">presupuestos </t>
  </si>
  <si>
    <t>PENDIENTES  2023</t>
  </si>
  <si>
    <t xml:space="preserve"> BAUMO AG CERTIFICADO 3 $330.777,86    </t>
  </si>
  <si>
    <t xml:space="preserve"> BAUMO AG CERTIFICADO 3 $330.777,86     iva </t>
  </si>
  <si>
    <t>SOC CONS MERCOSUR . PAGO DEUDA 3-2023</t>
  </si>
  <si>
    <t>AG INSTALACIONES.- CUOTA 17/18 - PAGO SOC MER</t>
  </si>
  <si>
    <t>BAUMO - AG CUOTAS 13 -14 -15- 16 .    FC 409</t>
  </si>
  <si>
    <t xml:space="preserve">hacer+mechi </t>
  </si>
  <si>
    <t xml:space="preserve">BAUMO - AG FC IVA  </t>
  </si>
  <si>
    <t xml:space="preserve">MENSUAL </t>
  </si>
  <si>
    <t xml:space="preserve">BAUMO   -- SOCMER IVA CERTIFICADO XX FC </t>
  </si>
  <si>
    <t>BAUMO - CASTELAO FC IVA   cuota 8</t>
  </si>
  <si>
    <t>SICORE -</t>
  </si>
  <si>
    <t xml:space="preserve">SUSS - </t>
  </si>
  <si>
    <t>BAUMO ABL - 06-2022</t>
  </si>
  <si>
    <t>CLASE A IVA FC CERTIF 10</t>
  </si>
  <si>
    <t xml:space="preserve">CLASE A MAYORES COSTOS  A CONFIRMAR </t>
  </si>
  <si>
    <t xml:space="preserve">BAUMO - AG FC IVA   cuota 11  - SEPTIEMBRE </t>
  </si>
  <si>
    <t>CHEQUES EN CARTERA</t>
  </si>
  <si>
    <t xml:space="preserve">VER CON HIK PARA DAR VUELTAS </t>
  </si>
  <si>
    <t>PAGO CLASE A CARPINTERIA de ALUMINIO // COBRO - Cuota 01 DPTO 405</t>
  </si>
  <si>
    <t>SIN FECHA</t>
  </si>
  <si>
    <t>PAGO CLASE A CARPINTERIA de ALUMINIO // COBRO - Cuota 05 DPTO 405</t>
  </si>
  <si>
    <t>PAGO CLASE A CARPINTERIA de ALUMINIO // COBRO - Cuota 06 DPTO 405</t>
  </si>
  <si>
    <t>PAGO CLASE A CARPINTERIA de ALUMINIO // COBRO - Cuota 07 DPTO 405</t>
  </si>
  <si>
    <t>PAGO CLASE A CARPINTERIA de ALUMINIO // COBRO - Cuota 08 DPTO 405</t>
  </si>
  <si>
    <t>PAGO CLASE A CARPINTERIA de ALUMINIO // COBRO - Cuota 09 DPTO 405</t>
  </si>
  <si>
    <t>PAGO CLASE A CARPINTERIA de ALUMINIO // COBRO - Cuota 10 DPTO 405</t>
  </si>
  <si>
    <t xml:space="preserve">PAGO CASA CASTELAO  // COBRO - Cuota 05/06 DPTO 302 </t>
  </si>
  <si>
    <t>BAUMO -  CASTELAO  FC IVA   cuota 7 fc 13640</t>
  </si>
  <si>
    <t>BAUMO - CASA CASTELAO FC 14381/15140/15902/16732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</si>
</sst>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dd/mm/yyyy;@"/>
    <numFmt numFmtId="168" formatCode="_-[$$-2C0A]\ * #,##0.00_-;\-[$$-2C0A]\ * #,##0.00_-;_-[$$-2C0A]\ * &quot;-&quot;??_-;_-@_-"/>
    <numFmt numFmtId="169" formatCode="_-[$USD]\ * #,##0.00_-;\-[$USD]\ * #,##0.00_-;_-[$USD]\ * &quot;-&quot;??_-;_-@_-"/>
    <numFmt numFmtId="170" formatCode="#,##0.00_ ;\-#,##0.00\ "/>
    <numFmt numFmtId="171" formatCode="&quot;$&quot;\ #,##0.00"/>
    <numFmt numFmtId="172" formatCode="[$USD]\ #,##0.00"/>
    <numFmt numFmtId="173" formatCode="#,##0.000"/>
    <numFmt numFmtId="174" formatCode="_ &quot;$&quot;\ * #,##0.00_ ;_ &quot;$&quot;\ * \-#,##0.00_ ;_ &quot;$&quot;\ * &quot;-&quot;??_ ;_ @_ 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Ebrima"/>
    </font>
    <font>
      <b/>
      <sz val="18"/>
      <name val="Ebrima"/>
    </font>
    <font>
      <sz val="10"/>
      <color theme="1"/>
      <name val="Ebrima"/>
    </font>
    <font>
      <b/>
      <u/>
      <sz val="10"/>
      <color theme="1"/>
      <name val="Ebrima"/>
    </font>
    <font>
      <sz val="11"/>
      <name val="Calibri"/>
      <family val="2"/>
      <scheme val="minor"/>
    </font>
    <font>
      <sz val="10"/>
      <name val="Ebrima"/>
    </font>
    <font>
      <sz val="11"/>
      <color rgb="FF000000"/>
      <name val="Calibri"/>
      <family val="2"/>
      <scheme val="minor"/>
    </font>
    <font>
      <b/>
      <sz val="10"/>
      <color theme="1"/>
      <name val="Ebrima"/>
    </font>
    <font>
      <b/>
      <sz val="10"/>
      <color rgb="FF00B050"/>
      <name val="Ebrima"/>
    </font>
    <font>
      <b/>
      <sz val="10"/>
      <name val="Ebrima"/>
    </font>
    <font>
      <b/>
      <sz val="10"/>
      <color rgb="FFFF0000"/>
      <name val="Ebrima"/>
    </font>
    <font>
      <b/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Ebrima"/>
    </font>
    <font>
      <sz val="10"/>
      <color rgb="FFFF0000"/>
      <name val="Ebrima"/>
    </font>
    <font>
      <sz val="9"/>
      <name val="Ebrima"/>
    </font>
    <font>
      <sz val="9"/>
      <color rgb="FF000000"/>
      <name val="Ebrima"/>
    </font>
    <font>
      <sz val="9"/>
      <color rgb="FF000000"/>
      <name val="Open Sans"/>
      <family val="2"/>
    </font>
    <font>
      <sz val="9"/>
      <color rgb="FF000000"/>
      <name val="Inherit"/>
    </font>
    <font>
      <b/>
      <sz val="9"/>
      <color theme="1"/>
      <name val="Ebrima"/>
    </font>
    <font>
      <sz val="11"/>
      <color theme="1"/>
      <name val="Euphemia"/>
      <family val="2"/>
    </font>
    <font>
      <b/>
      <sz val="9"/>
      <color rgb="FFFF0000"/>
      <name val="Ebrima"/>
    </font>
    <font>
      <sz val="9"/>
      <name val="Euphemia"/>
      <family val="2"/>
    </font>
    <font>
      <sz val="9"/>
      <color rgb="FF000000"/>
      <name val="Arial"/>
      <family val="2"/>
    </font>
    <font>
      <sz val="12"/>
      <color rgb="FF222222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666666"/>
      <name val="Inherit"/>
    </font>
    <font>
      <sz val="10"/>
      <color rgb="FF00B050"/>
      <name val="Ebrima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Arial "/>
    </font>
    <font>
      <b/>
      <sz val="9"/>
      <color rgb="FF000000"/>
      <name val="Ebrima"/>
    </font>
    <font>
      <b/>
      <sz val="9"/>
      <name val="Ebrima"/>
    </font>
    <font>
      <sz val="9"/>
      <name val="Calibri Light"/>
      <family val="2"/>
      <scheme val="major"/>
    </font>
    <font>
      <sz val="9"/>
      <name val="Calibri"/>
      <family val="2"/>
      <scheme val="minor"/>
    </font>
    <font>
      <sz val="8"/>
      <name val="Euphemia"/>
      <family val="2"/>
    </font>
    <font>
      <sz val="8"/>
      <color rgb="FF000000"/>
      <name val="Times New Roman"/>
      <family val="1"/>
    </font>
    <font>
      <b/>
      <i/>
      <sz val="8"/>
      <name val="Times New Roman"/>
      <family val="1"/>
    </font>
    <font>
      <sz val="10"/>
      <color rgb="FF222222"/>
      <name val="Ebri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Inherit"/>
    </font>
    <font>
      <sz val="11"/>
      <color rgb="FF000000"/>
      <name val="Inherit"/>
    </font>
    <font>
      <u/>
      <sz val="11"/>
      <color theme="10"/>
      <name val="Calibri"/>
      <family val="2"/>
      <scheme val="minor"/>
    </font>
    <font>
      <b/>
      <sz val="24"/>
      <name val="Ebrima"/>
    </font>
    <font>
      <b/>
      <sz val="24"/>
      <color rgb="FF7030A0"/>
      <name val="Ebrima"/>
    </font>
    <font>
      <sz val="9"/>
      <color rgb="FFFF0000"/>
      <name val="Ebrima"/>
    </font>
    <font>
      <b/>
      <i/>
      <sz val="9"/>
      <name val="Ebrima"/>
    </font>
    <font>
      <b/>
      <sz val="9"/>
      <color rgb="FF7030A0"/>
      <name val="Ebrima"/>
    </font>
    <font>
      <sz val="9"/>
      <color rgb="FF7030A0"/>
      <name val="Ebrima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 Light"/>
      <family val="2"/>
      <scheme val="major"/>
    </font>
    <font>
      <sz val="7"/>
      <color rgb="FF000000"/>
      <name val="Open Sans"/>
      <family val="2"/>
    </font>
    <font>
      <b/>
      <sz val="9"/>
      <color rgb="FF414042"/>
      <name val="Open Sans"/>
      <family val="2"/>
    </font>
    <font>
      <b/>
      <sz val="8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FF0000"/>
      <name val="Ebrima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26282A"/>
      <name val="Tahoma"/>
      <family val="2"/>
    </font>
    <font>
      <sz val="10"/>
      <color rgb="FF26282A"/>
      <name val="Arial"/>
      <family val="2"/>
    </font>
    <font>
      <b/>
      <sz val="11"/>
      <name val="Calibri"/>
      <family val="2"/>
      <scheme val="minor"/>
    </font>
    <font>
      <sz val="12"/>
      <color theme="1"/>
      <name val="Arial "/>
    </font>
    <font>
      <b/>
      <sz val="12"/>
      <name val="Arial "/>
    </font>
    <font>
      <sz val="12"/>
      <name val="Arial "/>
    </font>
    <font>
      <sz val="12"/>
      <name val="Ebrima"/>
    </font>
    <font>
      <b/>
      <sz val="9"/>
      <color theme="9" tint="-0.249977111117893"/>
      <name val="Ebrima"/>
    </font>
    <font>
      <sz val="9"/>
      <color rgb="FF000000"/>
      <name val="Calibri "/>
    </font>
    <font>
      <sz val="12"/>
      <name val="Calibri"/>
      <family val="2"/>
      <scheme val="minor"/>
    </font>
    <font>
      <sz val="8"/>
      <color rgb="FFFF0000"/>
      <name val="Euphemia"/>
      <family val="2"/>
    </font>
    <font>
      <sz val="11"/>
      <color rgb="FFFF0000"/>
      <name val="Euphemia"/>
      <family val="2"/>
    </font>
    <font>
      <sz val="12"/>
      <color rgb="FFFF0000"/>
      <name val="Calibri"/>
      <family val="2"/>
      <scheme val="minor"/>
    </font>
    <font>
      <sz val="14"/>
      <color rgb="FF9C000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003E7D"/>
        <bgColor indexed="64"/>
      </patternFill>
    </fill>
    <fill>
      <patternFill patternType="solid">
        <fgColor rgb="FF0289C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DA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6E7E8"/>
      </left>
      <right style="medium">
        <color rgb="FFE6E7E8"/>
      </right>
      <top/>
      <bottom style="medium">
        <color rgb="FFE6E7E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E6E7E8"/>
      </left>
      <right style="medium">
        <color rgb="FFE6E7E8"/>
      </right>
      <top style="medium">
        <color rgb="FFE6E7E8"/>
      </top>
      <bottom style="medium">
        <color rgb="FFE6E7E8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35" fillId="17" borderId="0" applyNumberFormat="0" applyBorder="0" applyAlignment="0" applyProtection="0"/>
    <xf numFmtId="0" fontId="40" fillId="23" borderId="0" applyNumberFormat="0" applyBorder="0" applyAlignment="0" applyProtection="0"/>
    <xf numFmtId="0" fontId="1" fillId="24" borderId="0" applyNumberFormat="0" applyBorder="0" applyAlignment="0" applyProtection="0"/>
    <xf numFmtId="0" fontId="55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927">
    <xf numFmtId="0" fontId="0" fillId="0" borderId="0" xfId="0"/>
    <xf numFmtId="167" fontId="6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0" borderId="10" xfId="0" applyBorder="1"/>
    <xf numFmtId="168" fontId="0" fillId="0" borderId="0" xfId="0" applyNumberFormat="1" applyAlignment="1">
      <alignment horizontal="center" vertical="center"/>
    </xf>
    <xf numFmtId="167" fontId="10" fillId="0" borderId="0" xfId="5" applyFont="1" applyFill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7" fontId="12" fillId="0" borderId="16" xfId="5" applyFont="1" applyFill="1" applyBorder="1" applyAlignment="1">
      <alignment horizontal="center" vertical="center"/>
    </xf>
    <xf numFmtId="169" fontId="12" fillId="0" borderId="16" xfId="5" applyNumberFormat="1" applyFont="1" applyFill="1" applyBorder="1" applyAlignment="1">
      <alignment horizontal="center" vertical="center"/>
    </xf>
    <xf numFmtId="169" fontId="0" fillId="0" borderId="16" xfId="5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" fontId="11" fillId="0" borderId="17" xfId="0" applyNumberFormat="1" applyFont="1" applyBorder="1" applyAlignment="1">
      <alignment horizontal="right" vertical="center"/>
    </xf>
    <xf numFmtId="4" fontId="11" fillId="0" borderId="18" xfId="0" applyNumberFormat="1" applyFont="1" applyBorder="1" applyAlignment="1">
      <alignment horizontal="right" vertical="center"/>
    </xf>
    <xf numFmtId="4" fontId="8" fillId="0" borderId="19" xfId="1" applyNumberFormat="1" applyFont="1" applyBorder="1" applyAlignment="1">
      <alignment horizontal="right" vertical="center"/>
    </xf>
    <xf numFmtId="4" fontId="8" fillId="0" borderId="20" xfId="1" applyNumberFormat="1" applyFont="1" applyBorder="1" applyAlignment="1">
      <alignment horizontal="right" vertical="center"/>
    </xf>
    <xf numFmtId="4" fontId="8" fillId="0" borderId="18" xfId="1" applyNumberFormat="1" applyFont="1" applyBorder="1" applyAlignment="1">
      <alignment horizontal="right" vertical="center"/>
    </xf>
    <xf numFmtId="0" fontId="0" fillId="0" borderId="18" xfId="0" applyBorder="1"/>
    <xf numFmtId="4" fontId="11" fillId="0" borderId="19" xfId="0" applyNumberFormat="1" applyFont="1" applyBorder="1" applyAlignment="1">
      <alignment horizontal="right" vertical="center"/>
    </xf>
    <xf numFmtId="4" fontId="0" fillId="0" borderId="21" xfId="0" applyNumberFormat="1" applyBorder="1"/>
    <xf numFmtId="16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" fontId="11" fillId="0" borderId="22" xfId="6" applyNumberFormat="1" applyFont="1" applyFill="1" applyBorder="1" applyAlignment="1">
      <alignment horizontal="right" vertical="center"/>
    </xf>
    <xf numFmtId="4" fontId="11" fillId="0" borderId="15" xfId="6" applyNumberFormat="1" applyFont="1" applyFill="1" applyBorder="1" applyAlignment="1">
      <alignment horizontal="right" vertical="center"/>
    </xf>
    <xf numFmtId="4" fontId="11" fillId="0" borderId="23" xfId="6" applyNumberFormat="1" applyFont="1" applyFill="1" applyBorder="1" applyAlignment="1">
      <alignment horizontal="right" vertical="center"/>
    </xf>
    <xf numFmtId="4" fontId="8" fillId="0" borderId="8" xfId="0" applyNumberFormat="1" applyFont="1" applyBorder="1" applyAlignment="1">
      <alignment horizontal="right" vertical="center"/>
    </xf>
    <xf numFmtId="4" fontId="14" fillId="0" borderId="22" xfId="0" applyNumberFormat="1" applyFont="1" applyBorder="1" applyAlignment="1">
      <alignment horizontal="right" vertical="center"/>
    </xf>
    <xf numFmtId="4" fontId="14" fillId="0" borderId="15" xfId="0" applyNumberFormat="1" applyFont="1" applyBorder="1" applyAlignment="1">
      <alignment horizontal="right" vertical="center"/>
    </xf>
    <xf numFmtId="4" fontId="8" fillId="0" borderId="15" xfId="0" applyNumberFormat="1" applyFont="1" applyBorder="1" applyAlignment="1">
      <alignment horizontal="right" vertical="center"/>
    </xf>
    <xf numFmtId="4" fontId="8" fillId="0" borderId="15" xfId="1" applyNumberFormat="1" applyFont="1" applyBorder="1" applyAlignment="1">
      <alignment horizontal="right" vertical="center"/>
    </xf>
    <xf numFmtId="0" fontId="0" fillId="0" borderId="15" xfId="0" applyBorder="1"/>
    <xf numFmtId="4" fontId="8" fillId="0" borderId="23" xfId="0" applyNumberFormat="1" applyFont="1" applyBorder="1" applyAlignment="1">
      <alignment horizontal="right" vertical="center"/>
    </xf>
    <xf numFmtId="4" fontId="8" fillId="0" borderId="24" xfId="1" applyNumberFormat="1" applyFont="1" applyBorder="1" applyAlignment="1">
      <alignment horizontal="right" vertical="center"/>
    </xf>
    <xf numFmtId="4" fontId="8" fillId="0" borderId="22" xfId="6" applyNumberFormat="1" applyFont="1" applyFill="1" applyBorder="1" applyAlignment="1">
      <alignment horizontal="right" vertical="center"/>
    </xf>
    <xf numFmtId="4" fontId="8" fillId="0" borderId="15" xfId="6" applyNumberFormat="1" applyFont="1" applyFill="1" applyBorder="1" applyAlignment="1">
      <alignment horizontal="right" vertical="center"/>
    </xf>
    <xf numFmtId="4" fontId="8" fillId="0" borderId="23" xfId="6" applyNumberFormat="1" applyFont="1" applyFill="1" applyBorder="1" applyAlignment="1">
      <alignment horizontal="right" vertical="center"/>
    </xf>
    <xf numFmtId="167" fontId="11" fillId="0" borderId="0" xfId="0" applyNumberFormat="1" applyFont="1" applyAlignment="1">
      <alignment horizontal="center" vertical="center"/>
    </xf>
    <xf numFmtId="0" fontId="11" fillId="0" borderId="0" xfId="0" applyFont="1"/>
    <xf numFmtId="4" fontId="8" fillId="0" borderId="22" xfId="1" applyNumberFormat="1" applyFont="1" applyBorder="1" applyAlignment="1">
      <alignment horizontal="right" vertical="center"/>
    </xf>
    <xf numFmtId="4" fontId="8" fillId="0" borderId="23" xfId="1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" fontId="15" fillId="0" borderId="22" xfId="6" applyNumberFormat="1" applyFont="1" applyFill="1" applyBorder="1" applyAlignment="1">
      <alignment horizontal="right" vertical="center"/>
    </xf>
    <xf numFmtId="4" fontId="0" fillId="0" borderId="22" xfId="0" applyNumberFormat="1" applyBorder="1" applyAlignment="1">
      <alignment horizontal="right"/>
    </xf>
    <xf numFmtId="4" fontId="0" fillId="0" borderId="15" xfId="0" applyNumberFormat="1" applyBorder="1" applyAlignment="1">
      <alignment horizontal="right"/>
    </xf>
    <xf numFmtId="4" fontId="0" fillId="0" borderId="23" xfId="0" applyNumberFormat="1" applyBorder="1" applyAlignment="1">
      <alignment horizontal="right"/>
    </xf>
    <xf numFmtId="166" fontId="8" fillId="0" borderId="22" xfId="7" applyFont="1" applyFill="1" applyBorder="1"/>
    <xf numFmtId="165" fontId="8" fillId="0" borderId="15" xfId="6" applyFont="1" applyFill="1" applyBorder="1"/>
    <xf numFmtId="170" fontId="8" fillId="0" borderId="15" xfId="6" applyNumberFormat="1" applyFont="1" applyFill="1" applyBorder="1"/>
    <xf numFmtId="165" fontId="8" fillId="0" borderId="22" xfId="6" applyFont="1" applyFill="1" applyBorder="1" applyAlignment="1">
      <alignment vertical="center"/>
    </xf>
    <xf numFmtId="170" fontId="8" fillId="0" borderId="15" xfId="6" applyNumberFormat="1" applyFont="1" applyFill="1" applyBorder="1" applyAlignment="1">
      <alignment vertical="center"/>
    </xf>
    <xf numFmtId="4" fontId="8" fillId="0" borderId="22" xfId="0" applyNumberFormat="1" applyFont="1" applyBorder="1" applyAlignment="1">
      <alignment horizontal="right" vertical="center"/>
    </xf>
    <xf numFmtId="4" fontId="14" fillId="0" borderId="15" xfId="1" applyNumberFormat="1" applyFont="1" applyBorder="1" applyAlignment="1">
      <alignment horizontal="right" vertical="center"/>
    </xf>
    <xf numFmtId="4" fontId="16" fillId="0" borderId="22" xfId="6" applyNumberFormat="1" applyFont="1" applyFill="1" applyBorder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17" fillId="0" borderId="22" xfId="0" applyNumberFormat="1" applyFont="1" applyBorder="1" applyAlignment="1">
      <alignment horizontal="right"/>
    </xf>
    <xf numFmtId="4" fontId="13" fillId="0" borderId="22" xfId="6" applyNumberFormat="1" applyFont="1" applyFill="1" applyBorder="1" applyAlignment="1">
      <alignment horizontal="right" vertical="center"/>
    </xf>
    <xf numFmtId="4" fontId="18" fillId="0" borderId="15" xfId="3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4" fontId="11" fillId="0" borderId="23" xfId="0" applyNumberFormat="1" applyFont="1" applyBorder="1" applyAlignment="1">
      <alignment horizontal="right" vertical="center"/>
    </xf>
    <xf numFmtId="4" fontId="19" fillId="0" borderId="15" xfId="2" applyNumberFormat="1" applyFont="1" applyBorder="1" applyAlignment="1">
      <alignment horizontal="right"/>
    </xf>
    <xf numFmtId="165" fontId="20" fillId="0" borderId="22" xfId="6" applyFont="1" applyFill="1" applyBorder="1" applyAlignment="1">
      <alignment vertical="center"/>
    </xf>
    <xf numFmtId="165" fontId="20" fillId="0" borderId="15" xfId="6" applyFont="1" applyFill="1" applyBorder="1" applyAlignment="1">
      <alignment vertical="center"/>
    </xf>
    <xf numFmtId="4" fontId="21" fillId="0" borderId="22" xfId="6" applyNumberFormat="1" applyFont="1" applyFill="1" applyBorder="1" applyAlignment="1">
      <alignment horizontal="right" vertical="center"/>
    </xf>
    <xf numFmtId="4" fontId="8" fillId="0" borderId="25" xfId="6" applyNumberFormat="1" applyFont="1" applyFill="1" applyBorder="1" applyAlignment="1">
      <alignment horizontal="right" vertical="center"/>
    </xf>
    <xf numFmtId="4" fontId="11" fillId="0" borderId="26" xfId="0" applyNumberFormat="1" applyFont="1" applyBorder="1" applyAlignment="1">
      <alignment horizontal="right" vertical="center"/>
    </xf>
    <xf numFmtId="4" fontId="8" fillId="0" borderId="27" xfId="0" applyNumberFormat="1" applyFont="1" applyBorder="1" applyAlignment="1">
      <alignment horizontal="right" vertical="center"/>
    </xf>
    <xf numFmtId="4" fontId="8" fillId="0" borderId="25" xfId="0" applyNumberFormat="1" applyFont="1" applyBorder="1" applyAlignment="1">
      <alignment horizontal="right" vertical="center"/>
    </xf>
    <xf numFmtId="4" fontId="14" fillId="0" borderId="26" xfId="1" applyNumberFormat="1" applyFont="1" applyBorder="1" applyAlignment="1">
      <alignment horizontal="right" vertical="center"/>
    </xf>
    <xf numFmtId="4" fontId="8" fillId="0" borderId="26" xfId="0" applyNumberFormat="1" applyFont="1" applyBorder="1" applyAlignment="1">
      <alignment horizontal="right" vertical="center"/>
    </xf>
    <xf numFmtId="4" fontId="8" fillId="0" borderId="26" xfId="1" applyNumberFormat="1" applyFont="1" applyBorder="1" applyAlignment="1">
      <alignment horizontal="right" vertical="center"/>
    </xf>
    <xf numFmtId="0" fontId="0" fillId="0" borderId="26" xfId="0" applyBorder="1"/>
    <xf numFmtId="0" fontId="11" fillId="0" borderId="7" xfId="0" applyFont="1" applyBorder="1" applyAlignment="1">
      <alignment horizontal="left" vertical="center"/>
    </xf>
    <xf numFmtId="4" fontId="11" fillId="0" borderId="28" xfId="1" applyNumberFormat="1" applyFont="1" applyFill="1" applyBorder="1" applyAlignment="1">
      <alignment horizontal="right" vertical="center"/>
    </xf>
    <xf numFmtId="4" fontId="11" fillId="0" borderId="29" xfId="1" applyNumberFormat="1" applyFont="1" applyFill="1" applyBorder="1" applyAlignment="1">
      <alignment horizontal="right" vertical="center"/>
    </xf>
    <xf numFmtId="4" fontId="11" fillId="0" borderId="30" xfId="1" applyNumberFormat="1" applyFont="1" applyFill="1" applyBorder="1" applyAlignment="1">
      <alignment horizontal="right" vertical="center"/>
    </xf>
    <xf numFmtId="0" fontId="0" fillId="0" borderId="31" xfId="0" applyBorder="1"/>
    <xf numFmtId="4" fontId="0" fillId="0" borderId="0" xfId="0" applyNumberFormat="1"/>
    <xf numFmtId="0" fontId="13" fillId="0" borderId="0" xfId="0" applyFont="1" applyAlignment="1">
      <alignment horizontal="left" vertical="center"/>
    </xf>
    <xf numFmtId="4" fontId="5" fillId="0" borderId="0" xfId="0" applyNumberFormat="1" applyFont="1"/>
    <xf numFmtId="0" fontId="5" fillId="0" borderId="0" xfId="0" applyFont="1"/>
    <xf numFmtId="0" fontId="5" fillId="0" borderId="10" xfId="0" applyFont="1" applyBorder="1"/>
    <xf numFmtId="4" fontId="8" fillId="0" borderId="19" xfId="7" applyNumberFormat="1" applyFont="1" applyBorder="1" applyAlignment="1">
      <alignment horizontal="right" vertical="center"/>
    </xf>
    <xf numFmtId="4" fontId="8" fillId="0" borderId="20" xfId="7" applyNumberFormat="1" applyFont="1" applyBorder="1" applyAlignment="1">
      <alignment horizontal="right" vertical="center"/>
    </xf>
    <xf numFmtId="4" fontId="8" fillId="0" borderId="18" xfId="7" applyNumberFormat="1" applyFont="1" applyBorder="1" applyAlignment="1">
      <alignment horizontal="right" vertical="center"/>
    </xf>
    <xf numFmtId="4" fontId="8" fillId="0" borderId="22" xfId="7" applyNumberFormat="1" applyFont="1" applyBorder="1" applyAlignment="1">
      <alignment horizontal="right" vertical="center"/>
    </xf>
    <xf numFmtId="4" fontId="8" fillId="0" borderId="15" xfId="7" applyNumberFormat="1" applyFont="1" applyBorder="1" applyAlignment="1">
      <alignment horizontal="right" vertical="center"/>
    </xf>
    <xf numFmtId="4" fontId="8" fillId="0" borderId="23" xfId="7" applyNumberFormat="1" applyFont="1" applyBorder="1" applyAlignment="1">
      <alignment horizontal="right" vertical="center"/>
    </xf>
    <xf numFmtId="4" fontId="8" fillId="0" borderId="24" xfId="7" applyNumberFormat="1" applyFont="1" applyBorder="1" applyAlignment="1">
      <alignment horizontal="right" vertical="center"/>
    </xf>
    <xf numFmtId="4" fontId="11" fillId="6" borderId="15" xfId="6" applyNumberFormat="1" applyFont="1" applyFill="1" applyBorder="1" applyAlignment="1">
      <alignment horizontal="right" vertical="center"/>
    </xf>
    <xf numFmtId="4" fontId="14" fillId="0" borderId="15" xfId="7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4" fontId="8" fillId="6" borderId="15" xfId="6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4" fontId="15" fillId="0" borderId="32" xfId="6" applyNumberFormat="1" applyFont="1" applyFill="1" applyBorder="1" applyAlignment="1">
      <alignment horizontal="right" vertical="center"/>
    </xf>
    <xf numFmtId="4" fontId="11" fillId="0" borderId="16" xfId="6" applyNumberFormat="1" applyFont="1" applyFill="1" applyBorder="1" applyAlignment="1">
      <alignment horizontal="right" vertical="center"/>
    </xf>
    <xf numFmtId="4" fontId="8" fillId="0" borderId="16" xfId="6" applyNumberFormat="1" applyFont="1" applyFill="1" applyBorder="1" applyAlignment="1">
      <alignment horizontal="right" vertical="center"/>
    </xf>
    <xf numFmtId="167" fontId="11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4" fontId="8" fillId="0" borderId="33" xfId="0" applyNumberFormat="1" applyFont="1" applyBorder="1" applyAlignment="1">
      <alignment horizontal="right" vertical="center"/>
    </xf>
    <xf numFmtId="4" fontId="8" fillId="0" borderId="32" xfId="0" applyNumberFormat="1" applyFont="1" applyBorder="1" applyAlignment="1">
      <alignment horizontal="right" vertical="center"/>
    </xf>
    <xf numFmtId="4" fontId="14" fillId="0" borderId="16" xfId="0" applyNumberFormat="1" applyFont="1" applyBorder="1" applyAlignment="1">
      <alignment horizontal="right" vertical="center"/>
    </xf>
    <xf numFmtId="4" fontId="8" fillId="0" borderId="16" xfId="7" applyNumberFormat="1" applyFont="1" applyBorder="1" applyAlignment="1">
      <alignment horizontal="right" vertical="center"/>
    </xf>
    <xf numFmtId="0" fontId="0" fillId="0" borderId="16" xfId="0" applyBorder="1"/>
    <xf numFmtId="4" fontId="8" fillId="0" borderId="33" xfId="7" applyNumberFormat="1" applyFont="1" applyBorder="1" applyAlignment="1">
      <alignment horizontal="right" vertical="center"/>
    </xf>
    <xf numFmtId="4" fontId="11" fillId="0" borderId="33" xfId="0" applyNumberFormat="1" applyFont="1" applyBorder="1" applyAlignment="1">
      <alignment horizontal="right" vertical="center"/>
    </xf>
    <xf numFmtId="4" fontId="14" fillId="0" borderId="16" xfId="7" applyNumberFormat="1" applyFont="1" applyBorder="1" applyAlignment="1">
      <alignment horizontal="right" vertical="center"/>
    </xf>
    <xf numFmtId="4" fontId="8" fillId="0" borderId="16" xfId="0" applyNumberFormat="1" applyFont="1" applyBorder="1" applyAlignment="1">
      <alignment horizontal="right" vertical="center"/>
    </xf>
    <xf numFmtId="4" fontId="14" fillId="0" borderId="26" xfId="7" applyNumberFormat="1" applyFont="1" applyBorder="1" applyAlignment="1">
      <alignment horizontal="right" vertical="center"/>
    </xf>
    <xf numFmtId="4" fontId="8" fillId="0" borderId="26" xfId="7" applyNumberFormat="1" applyFont="1" applyBorder="1" applyAlignment="1">
      <alignment horizontal="right" vertical="center"/>
    </xf>
    <xf numFmtId="4" fontId="11" fillId="0" borderId="28" xfId="7" applyNumberFormat="1" applyFont="1" applyFill="1" applyBorder="1" applyAlignment="1">
      <alignment horizontal="right" vertical="center"/>
    </xf>
    <xf numFmtId="4" fontId="11" fillId="0" borderId="29" xfId="7" applyNumberFormat="1" applyFont="1" applyFill="1" applyBorder="1" applyAlignment="1">
      <alignment horizontal="right" vertical="center"/>
    </xf>
    <xf numFmtId="4" fontId="11" fillId="0" borderId="30" xfId="7" applyNumberFormat="1" applyFont="1" applyFill="1" applyBorder="1" applyAlignment="1">
      <alignment horizontal="right" vertical="center"/>
    </xf>
    <xf numFmtId="165" fontId="8" fillId="0" borderId="0" xfId="6" applyFont="1" applyAlignment="1">
      <alignment vertical="center"/>
    </xf>
    <xf numFmtId="165" fontId="22" fillId="0" borderId="0" xfId="6" applyFont="1" applyBorder="1" applyAlignment="1">
      <alignment vertical="center"/>
    </xf>
    <xf numFmtId="165" fontId="22" fillId="0" borderId="0" xfId="6" applyFont="1" applyFill="1" applyBorder="1" applyAlignment="1">
      <alignment vertical="center"/>
    </xf>
    <xf numFmtId="165" fontId="23" fillId="0" borderId="0" xfId="6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166" fontId="20" fillId="0" borderId="0" xfId="7" applyFont="1" applyFill="1"/>
    <xf numFmtId="1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6" applyFont="1" applyFill="1" applyAlignment="1">
      <alignment vertical="center"/>
    </xf>
    <xf numFmtId="165" fontId="20" fillId="8" borderId="0" xfId="6" applyFont="1" applyFill="1" applyAlignment="1">
      <alignment vertical="center"/>
    </xf>
    <xf numFmtId="167" fontId="22" fillId="8" borderId="0" xfId="0" applyNumberFormat="1" applyFont="1" applyFill="1" applyAlignment="1">
      <alignment horizontal="center" vertical="center"/>
    </xf>
    <xf numFmtId="1" fontId="10" fillId="8" borderId="0" xfId="4" applyNumberFormat="1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166" fontId="20" fillId="8" borderId="0" xfId="7" applyFont="1" applyFill="1"/>
    <xf numFmtId="0" fontId="26" fillId="0" borderId="0" xfId="0" applyFont="1"/>
    <xf numFmtId="0" fontId="27" fillId="0" borderId="0" xfId="0" applyFont="1" applyAlignment="1">
      <alignment vertical="center"/>
    </xf>
    <xf numFmtId="0" fontId="1" fillId="0" borderId="0" xfId="8"/>
    <xf numFmtId="0" fontId="20" fillId="0" borderId="0" xfId="0" applyFont="1"/>
    <xf numFmtId="166" fontId="20" fillId="0" borderId="0" xfId="7" applyFont="1"/>
    <xf numFmtId="165" fontId="1" fillId="0" borderId="0" xfId="6" applyFill="1"/>
    <xf numFmtId="165" fontId="28" fillId="0" borderId="0" xfId="6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6" fontId="22" fillId="0" borderId="0" xfId="7" applyFont="1" applyFill="1" applyBorder="1"/>
    <xf numFmtId="165" fontId="4" fillId="0" borderId="0" xfId="6" applyFont="1" applyFill="1"/>
    <xf numFmtId="167" fontId="22" fillId="10" borderId="0" xfId="0" applyNumberFormat="1" applyFont="1" applyFill="1" applyAlignment="1">
      <alignment horizontal="center" vertical="center"/>
    </xf>
    <xf numFmtId="0" fontId="1" fillId="10" borderId="0" xfId="8" applyFill="1"/>
    <xf numFmtId="165" fontId="1" fillId="10" borderId="0" xfId="6" applyFill="1"/>
    <xf numFmtId="165" fontId="22" fillId="10" borderId="0" xfId="6" applyFont="1" applyFill="1" applyBorder="1" applyAlignment="1">
      <alignment vertical="center"/>
    </xf>
    <xf numFmtId="0" fontId="24" fillId="0" borderId="0" xfId="0" applyFont="1"/>
    <xf numFmtId="165" fontId="29" fillId="0" borderId="0" xfId="6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6" fontId="20" fillId="0" borderId="0" xfId="7" applyFont="1" applyFill="1" applyBorder="1"/>
    <xf numFmtId="1" fontId="20" fillId="0" borderId="0" xfId="0" applyNumberFormat="1" applyFont="1"/>
    <xf numFmtId="0" fontId="30" fillId="0" borderId="0" xfId="0" applyFont="1"/>
    <xf numFmtId="165" fontId="28" fillId="0" borderId="0" xfId="6" applyFont="1" applyFill="1" applyAlignment="1">
      <alignment vertical="center"/>
    </xf>
    <xf numFmtId="1" fontId="20" fillId="10" borderId="0" xfId="0" applyNumberFormat="1" applyFont="1" applyFill="1" applyAlignment="1">
      <alignment horizontal="center" vertical="center"/>
    </xf>
    <xf numFmtId="0" fontId="30" fillId="10" borderId="0" xfId="0" applyFont="1" applyFill="1"/>
    <xf numFmtId="166" fontId="20" fillId="10" borderId="0" xfId="7" applyFont="1" applyFill="1" applyBorder="1"/>
    <xf numFmtId="165" fontId="20" fillId="10" borderId="0" xfId="6" applyFont="1" applyFill="1" applyAlignment="1">
      <alignment vertical="center"/>
    </xf>
    <xf numFmtId="165" fontId="23" fillId="0" borderId="0" xfId="6" applyFont="1" applyFill="1" applyAlignment="1">
      <alignment horizontal="center" vertical="center"/>
    </xf>
    <xf numFmtId="165" fontId="20" fillId="0" borderId="0" xfId="6" applyFont="1" applyAlignment="1">
      <alignment vertical="center"/>
    </xf>
    <xf numFmtId="16" fontId="20" fillId="0" borderId="0" xfId="0" applyNumberFormat="1" applyFont="1"/>
    <xf numFmtId="166" fontId="20" fillId="11" borderId="0" xfId="7" applyFont="1" applyFill="1"/>
    <xf numFmtId="16" fontId="20" fillId="12" borderId="0" xfId="0" applyNumberFormat="1" applyFont="1" applyFill="1"/>
    <xf numFmtId="1" fontId="20" fillId="12" borderId="0" xfId="0" applyNumberFormat="1" applyFont="1" applyFill="1" applyAlignment="1">
      <alignment vertical="center"/>
    </xf>
    <xf numFmtId="0" fontId="11" fillId="12" borderId="0" xfId="0" applyFont="1" applyFill="1" applyAlignment="1">
      <alignment horizontal="left" vertical="center"/>
    </xf>
    <xf numFmtId="166" fontId="20" fillId="12" borderId="0" xfId="7" applyFont="1" applyFill="1" applyBorder="1"/>
    <xf numFmtId="165" fontId="28" fillId="12" borderId="0" xfId="6" applyFont="1" applyFill="1" applyBorder="1" applyAlignment="1">
      <alignment vertical="center"/>
    </xf>
    <xf numFmtId="167" fontId="22" fillId="13" borderId="0" xfId="0" applyNumberFormat="1" applyFont="1" applyFill="1" applyAlignment="1">
      <alignment horizontal="center" vertical="center"/>
    </xf>
    <xf numFmtId="1" fontId="20" fillId="13" borderId="0" xfId="0" applyNumberFormat="1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5" fontId="20" fillId="13" borderId="0" xfId="6" applyFont="1" applyFill="1" applyAlignment="1">
      <alignment vertical="center"/>
    </xf>
    <xf numFmtId="0" fontId="31" fillId="0" borderId="0" xfId="0" applyFont="1"/>
    <xf numFmtId="14" fontId="32" fillId="0" borderId="34" xfId="0" applyNumberFormat="1" applyFont="1" applyBorder="1" applyAlignment="1">
      <alignment horizontal="center"/>
    </xf>
    <xf numFmtId="0" fontId="32" fillId="0" borderId="35" xfId="0" applyFont="1" applyBorder="1"/>
    <xf numFmtId="0" fontId="32" fillId="0" borderId="24" xfId="0" applyFont="1" applyBorder="1"/>
    <xf numFmtId="4" fontId="32" fillId="14" borderId="24" xfId="0" applyNumberFormat="1" applyFont="1" applyFill="1" applyBorder="1" applyAlignment="1">
      <alignment horizontal="right"/>
    </xf>
    <xf numFmtId="0" fontId="32" fillId="15" borderId="24" xfId="0" applyFont="1" applyFill="1" applyBorder="1" applyAlignment="1">
      <alignment horizontal="right"/>
    </xf>
    <xf numFmtId="4" fontId="32" fillId="15" borderId="9" xfId="0" applyNumberFormat="1" applyFont="1" applyFill="1" applyBorder="1" applyAlignment="1">
      <alignment horizontal="right"/>
    </xf>
    <xf numFmtId="14" fontId="33" fillId="0" borderId="35" xfId="0" applyNumberFormat="1" applyFont="1" applyBorder="1" applyAlignment="1">
      <alignment horizontal="center"/>
    </xf>
    <xf numFmtId="0" fontId="34" fillId="0" borderId="24" xfId="0" applyFont="1" applyBorder="1"/>
    <xf numFmtId="14" fontId="32" fillId="0" borderId="35" xfId="0" applyNumberFormat="1" applyFont="1" applyBorder="1" applyAlignment="1">
      <alignment horizontal="center"/>
    </xf>
    <xf numFmtId="0" fontId="32" fillId="0" borderId="8" xfId="0" applyFont="1" applyBorder="1"/>
    <xf numFmtId="0" fontId="32" fillId="0" borderId="35" xfId="0" applyFont="1" applyBorder="1" applyAlignment="1">
      <alignment horizontal="right"/>
    </xf>
    <xf numFmtId="0" fontId="32" fillId="0" borderId="0" xfId="0" applyFont="1" applyFill="1" applyBorder="1"/>
    <xf numFmtId="17" fontId="8" fillId="0" borderId="0" xfId="0" applyNumberFormat="1" applyFont="1" applyAlignment="1">
      <alignment vertical="center"/>
    </xf>
    <xf numFmtId="168" fontId="32" fillId="0" borderId="24" xfId="0" applyNumberFormat="1" applyFont="1" applyBorder="1"/>
    <xf numFmtId="168" fontId="32" fillId="15" borderId="24" xfId="2" applyNumberFormat="1" applyFont="1" applyFill="1" applyBorder="1" applyAlignment="1">
      <alignment horizontal="right"/>
    </xf>
    <xf numFmtId="168" fontId="0" fillId="0" borderId="0" xfId="0" applyNumberFormat="1"/>
    <xf numFmtId="168" fontId="34" fillId="0" borderId="24" xfId="2" applyNumberFormat="1" applyFont="1" applyBorder="1" applyAlignment="1">
      <alignment horizontal="center"/>
    </xf>
    <xf numFmtId="168" fontId="34" fillId="0" borderId="23" xfId="2" applyNumberFormat="1" applyFont="1" applyBorder="1" applyAlignment="1">
      <alignment horizontal="center"/>
    </xf>
    <xf numFmtId="168" fontId="0" fillId="0" borderId="0" xfId="2" applyNumberFormat="1" applyFont="1"/>
    <xf numFmtId="168" fontId="32" fillId="0" borderId="24" xfId="0" applyNumberFormat="1" applyFont="1" applyBorder="1" applyAlignment="1">
      <alignment horizontal="right"/>
    </xf>
    <xf numFmtId="168" fontId="32" fillId="15" borderId="24" xfId="0" applyNumberFormat="1" applyFont="1" applyFill="1" applyBorder="1" applyAlignment="1">
      <alignment horizontal="right"/>
    </xf>
    <xf numFmtId="168" fontId="32" fillId="14" borderId="24" xfId="0" applyNumberFormat="1" applyFont="1" applyFill="1" applyBorder="1" applyAlignment="1">
      <alignment horizontal="right"/>
    </xf>
    <xf numFmtId="165" fontId="8" fillId="0" borderId="0" xfId="6" applyFont="1" applyFill="1" applyAlignment="1">
      <alignment vertical="center"/>
    </xf>
    <xf numFmtId="0" fontId="0" fillId="0" borderId="0" xfId="0" applyFill="1"/>
    <xf numFmtId="0" fontId="1" fillId="0" borderId="0" xfId="8" applyFill="1"/>
    <xf numFmtId="43" fontId="0" fillId="0" borderId="0" xfId="1" applyFont="1"/>
    <xf numFmtId="166" fontId="0" fillId="0" borderId="0" xfId="0" applyNumberFormat="1"/>
    <xf numFmtId="4" fontId="24" fillId="0" borderId="0" xfId="0" applyNumberFormat="1" applyFont="1" applyFill="1"/>
    <xf numFmtId="165" fontId="26" fillId="0" borderId="0" xfId="6" applyFont="1" applyFill="1" applyAlignment="1">
      <alignment vertical="center"/>
    </xf>
    <xf numFmtId="0" fontId="0" fillId="0" borderId="0" xfId="0" applyFont="1" applyFill="1"/>
    <xf numFmtId="167" fontId="22" fillId="0" borderId="0" xfId="0" applyNumberFormat="1" applyFont="1" applyBorder="1" applyAlignment="1">
      <alignment horizontal="center" vertical="center"/>
    </xf>
    <xf numFmtId="0" fontId="20" fillId="0" borderId="0" xfId="0" applyFont="1" applyBorder="1"/>
    <xf numFmtId="0" fontId="21" fillId="0" borderId="0" xfId="0" applyFont="1" applyBorder="1" applyAlignment="1">
      <alignment horizontal="left" vertical="center"/>
    </xf>
    <xf numFmtId="165" fontId="4" fillId="0" borderId="0" xfId="6" applyFont="1" applyFill="1" applyBorder="1"/>
    <xf numFmtId="165" fontId="1" fillId="0" borderId="0" xfId="6" applyFill="1" applyBorder="1"/>
    <xf numFmtId="0" fontId="0" fillId="0" borderId="0" xfId="0" applyBorder="1"/>
    <xf numFmtId="14" fontId="32" fillId="0" borderId="0" xfId="0" applyNumberFormat="1" applyFont="1" applyBorder="1" applyAlignment="1">
      <alignment horizontal="center"/>
    </xf>
    <xf numFmtId="0" fontId="32" fillId="0" borderId="0" xfId="0" applyFont="1" applyBorder="1"/>
    <xf numFmtId="168" fontId="0" fillId="0" borderId="0" xfId="2" applyNumberFormat="1" applyFont="1" applyBorder="1"/>
    <xf numFmtId="0" fontId="24" fillId="0" borderId="0" xfId="0" applyFont="1" applyFill="1"/>
    <xf numFmtId="1" fontId="20" fillId="0" borderId="0" xfId="0" applyNumberFormat="1" applyFont="1" applyBorder="1" applyAlignment="1">
      <alignment horizontal="center" vertical="center"/>
    </xf>
    <xf numFmtId="0" fontId="30" fillId="0" borderId="0" xfId="0" applyFont="1" applyBorder="1"/>
    <xf numFmtId="165" fontId="20" fillId="0" borderId="0" xfId="6" applyFont="1" applyFill="1" applyBorder="1" applyAlignment="1">
      <alignment vertical="center"/>
    </xf>
    <xf numFmtId="168" fontId="32" fillId="0" borderId="0" xfId="0" applyNumberFormat="1" applyFont="1" applyFill="1" applyBorder="1" applyAlignment="1">
      <alignment horizontal="right"/>
    </xf>
    <xf numFmtId="168" fontId="0" fillId="0" borderId="0" xfId="0" applyNumberFormat="1" applyFill="1" applyBorder="1"/>
    <xf numFmtId="0" fontId="11" fillId="0" borderId="0" xfId="0" applyFont="1" applyFill="1" applyAlignment="1">
      <alignment horizontal="left" vertical="center"/>
    </xf>
    <xf numFmtId="16" fontId="20" fillId="0" borderId="0" xfId="0" applyNumberFormat="1" applyFont="1" applyFill="1" applyBorder="1"/>
    <xf numFmtId="1" fontId="20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14" fontId="3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" fontId="0" fillId="0" borderId="0" xfId="0" applyNumberFormat="1"/>
    <xf numFmtId="165" fontId="8" fillId="0" borderId="0" xfId="6" applyFont="1" applyFill="1"/>
    <xf numFmtId="166" fontId="26" fillId="0" borderId="0" xfId="7" applyFont="1" applyFill="1"/>
    <xf numFmtId="168" fontId="20" fillId="0" borderId="0" xfId="7" applyNumberFormat="1" applyFont="1" applyFill="1"/>
    <xf numFmtId="166" fontId="8" fillId="0" borderId="0" xfId="7" applyFont="1" applyFill="1"/>
    <xf numFmtId="165" fontId="8" fillId="0" borderId="15" xfId="6" applyFont="1" applyFill="1" applyBorder="1" applyAlignment="1">
      <alignment vertical="center"/>
    </xf>
    <xf numFmtId="165" fontId="1" fillId="0" borderId="15" xfId="6" applyFont="1" applyFill="1" applyBorder="1"/>
    <xf numFmtId="167" fontId="22" fillId="0" borderId="15" xfId="0" applyNumberFormat="1" applyFont="1" applyBorder="1" applyAlignment="1">
      <alignment horizontal="center" vertical="center"/>
    </xf>
    <xf numFmtId="0" fontId="8" fillId="0" borderId="15" xfId="0" applyFont="1" applyBorder="1"/>
    <xf numFmtId="0" fontId="8" fillId="0" borderId="15" xfId="0" applyFont="1" applyBorder="1" applyAlignment="1">
      <alignment vertical="center"/>
    </xf>
    <xf numFmtId="166" fontId="20" fillId="0" borderId="15" xfId="7" applyFont="1" applyFill="1" applyBorder="1"/>
    <xf numFmtId="1" fontId="3" fillId="0" borderId="15" xfId="4" applyNumberFormat="1" applyFill="1" applyBorder="1" applyAlignment="1">
      <alignment vertical="center"/>
    </xf>
    <xf numFmtId="0" fontId="11" fillId="0" borderId="15" xfId="0" applyFont="1" applyBorder="1" applyAlignment="1">
      <alignment horizontal="left" vertical="center"/>
    </xf>
    <xf numFmtId="166" fontId="26" fillId="0" borderId="0" xfId="7" applyFont="1" applyFill="1" applyBorder="1"/>
    <xf numFmtId="165" fontId="26" fillId="0" borderId="0" xfId="6" applyFont="1" applyFill="1" applyBorder="1" applyAlignment="1">
      <alignment vertical="center"/>
    </xf>
    <xf numFmtId="1" fontId="20" fillId="0" borderId="15" xfId="0" applyNumberFormat="1" applyFont="1" applyBorder="1" applyAlignment="1">
      <alignment vertical="center"/>
    </xf>
    <xf numFmtId="0" fontId="1" fillId="0" borderId="15" xfId="8" applyBorder="1"/>
    <xf numFmtId="0" fontId="1" fillId="0" borderId="15" xfId="8" applyFill="1" applyBorder="1"/>
    <xf numFmtId="0" fontId="20" fillId="0" borderId="0" xfId="0" applyFont="1" applyFill="1" applyAlignment="1">
      <alignment vertical="center"/>
    </xf>
    <xf numFmtId="0" fontId="0" fillId="0" borderId="7" xfId="0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171" fontId="0" fillId="0" borderId="14" xfId="0" applyNumberFormat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4" xfId="0" applyBorder="1"/>
    <xf numFmtId="17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71" fontId="0" fillId="0" borderId="15" xfId="0" applyNumberFormat="1" applyBorder="1" applyAlignment="1">
      <alignment horizontal="center"/>
    </xf>
    <xf numFmtId="171" fontId="0" fillId="16" borderId="15" xfId="0" applyNumberFormat="1" applyFill="1" applyBorder="1" applyAlignment="1">
      <alignment horizontal="center"/>
    </xf>
    <xf numFmtId="171" fontId="3" fillId="3" borderId="15" xfId="4" applyNumberFormat="1" applyBorder="1" applyAlignment="1">
      <alignment horizontal="center"/>
    </xf>
    <xf numFmtId="171" fontId="3" fillId="3" borderId="36" xfId="4" applyNumberFormat="1" applyBorder="1" applyAlignment="1">
      <alignment horizontal="center"/>
    </xf>
    <xf numFmtId="165" fontId="8" fillId="6" borderId="0" xfId="6" applyFont="1" applyFill="1" applyAlignment="1">
      <alignment vertical="center"/>
    </xf>
    <xf numFmtId="165" fontId="20" fillId="6" borderId="0" xfId="6" applyFont="1" applyFill="1" applyAlignment="1">
      <alignment vertical="center"/>
    </xf>
    <xf numFmtId="1" fontId="3" fillId="0" borderId="0" xfId="4" applyNumberForma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65" fontId="8" fillId="0" borderId="0" xfId="6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165" fontId="8" fillId="0" borderId="0" xfId="6" applyFont="1" applyBorder="1" applyAlignment="1">
      <alignment vertical="center"/>
    </xf>
    <xf numFmtId="167" fontId="11" fillId="0" borderId="15" xfId="0" applyNumberFormat="1" applyFont="1" applyBorder="1" applyAlignment="1">
      <alignment horizontal="center" vertical="center"/>
    </xf>
    <xf numFmtId="165" fontId="22" fillId="0" borderId="15" xfId="6" applyFont="1" applyBorder="1" applyAlignment="1">
      <alignment vertical="center"/>
    </xf>
    <xf numFmtId="165" fontId="8" fillId="0" borderId="15" xfId="6" applyFont="1" applyBorder="1" applyAlignment="1">
      <alignment vertical="center"/>
    </xf>
    <xf numFmtId="165" fontId="1" fillId="0" borderId="0" xfId="6" applyFont="1" applyFill="1" applyBorder="1"/>
    <xf numFmtId="0" fontId="1" fillId="0" borderId="0" xfId="8" applyFill="1" applyBorder="1"/>
    <xf numFmtId="0" fontId="1" fillId="0" borderId="0" xfId="8" applyBorder="1"/>
    <xf numFmtId="168" fontId="0" fillId="0" borderId="0" xfId="0" applyNumberFormat="1" applyFill="1"/>
    <xf numFmtId="0" fontId="25" fillId="9" borderId="40" xfId="0" applyFont="1" applyFill="1" applyBorder="1" applyAlignment="1">
      <alignment horizontal="right" vertical="center" wrapText="1" indent="1"/>
    </xf>
    <xf numFmtId="0" fontId="35" fillId="17" borderId="0" xfId="9" applyAlignment="1">
      <alignment vertical="center"/>
    </xf>
    <xf numFmtId="0" fontId="35" fillId="17" borderId="0" xfId="9"/>
    <xf numFmtId="165" fontId="35" fillId="17" borderId="0" xfId="9" applyNumberFormat="1" applyAlignment="1">
      <alignment vertical="center"/>
    </xf>
    <xf numFmtId="167" fontId="2" fillId="2" borderId="0" xfId="3" applyNumberFormat="1" applyAlignment="1">
      <alignment horizontal="center" vertical="center"/>
    </xf>
    <xf numFmtId="0" fontId="2" fillId="2" borderId="0" xfId="3" applyAlignment="1">
      <alignment vertical="center"/>
    </xf>
    <xf numFmtId="166" fontId="2" fillId="2" borderId="0" xfId="3" applyNumberFormat="1"/>
    <xf numFmtId="165" fontId="2" fillId="2" borderId="0" xfId="3" applyNumberFormat="1"/>
    <xf numFmtId="4" fontId="2" fillId="2" borderId="15" xfId="3" applyNumberFormat="1" applyBorder="1" applyAlignment="1">
      <alignment horizontal="right" vertical="center"/>
    </xf>
    <xf numFmtId="168" fontId="2" fillId="2" borderId="0" xfId="3" applyNumberFormat="1"/>
    <xf numFmtId="168" fontId="35" fillId="17" borderId="0" xfId="9" applyNumberFormat="1"/>
    <xf numFmtId="0" fontId="2" fillId="2" borderId="0" xfId="3" applyAlignment="1">
      <alignment horizontal="left" vertical="center"/>
    </xf>
    <xf numFmtId="165" fontId="2" fillId="2" borderId="0" xfId="3" applyNumberFormat="1" applyAlignment="1">
      <alignment vertical="center"/>
    </xf>
    <xf numFmtId="170" fontId="2" fillId="2" borderId="15" xfId="3" applyNumberFormat="1" applyBorder="1"/>
    <xf numFmtId="167" fontId="22" fillId="0" borderId="41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vertical="center"/>
    </xf>
    <xf numFmtId="166" fontId="20" fillId="0" borderId="42" xfId="7" applyFont="1" applyFill="1" applyBorder="1"/>
    <xf numFmtId="165" fontId="20" fillId="0" borderId="43" xfId="6" applyFont="1" applyFill="1" applyBorder="1" applyAlignment="1">
      <alignment vertical="center"/>
    </xf>
    <xf numFmtId="167" fontId="22" fillId="0" borderId="44" xfId="0" applyNumberFormat="1" applyFont="1" applyFill="1" applyBorder="1" applyAlignment="1">
      <alignment horizontal="center" vertical="center"/>
    </xf>
    <xf numFmtId="165" fontId="20" fillId="0" borderId="45" xfId="6" applyFont="1" applyFill="1" applyBorder="1" applyAlignment="1">
      <alignment vertical="center"/>
    </xf>
    <xf numFmtId="16" fontId="0" fillId="0" borderId="46" xfId="0" applyNumberFormat="1" applyFill="1" applyBorder="1"/>
    <xf numFmtId="0" fontId="11" fillId="0" borderId="47" xfId="0" applyFont="1" applyFill="1" applyBorder="1" applyAlignment="1">
      <alignment horizontal="left" vertical="center"/>
    </xf>
    <xf numFmtId="168" fontId="0" fillId="0" borderId="47" xfId="0" applyNumberFormat="1" applyFill="1" applyBorder="1"/>
    <xf numFmtId="0" fontId="0" fillId="0" borderId="48" xfId="0" applyFill="1" applyBorder="1"/>
    <xf numFmtId="167" fontId="22" fillId="0" borderId="41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67" fontId="22" fillId="0" borderId="44" xfId="0" applyNumberFormat="1" applyFont="1" applyBorder="1" applyAlignment="1">
      <alignment horizontal="center" vertical="center"/>
    </xf>
    <xf numFmtId="165" fontId="8" fillId="0" borderId="45" xfId="6" applyFont="1" applyFill="1" applyBorder="1" applyAlignment="1">
      <alignment vertical="center"/>
    </xf>
    <xf numFmtId="167" fontId="22" fillId="0" borderId="46" xfId="0" applyNumberFormat="1" applyFont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67" fontId="2" fillId="2" borderId="41" xfId="3" applyNumberFormat="1" applyBorder="1" applyAlignment="1">
      <alignment horizontal="center" vertical="center"/>
    </xf>
    <xf numFmtId="0" fontId="2" fillId="2" borderId="42" xfId="3" applyBorder="1" applyAlignment="1">
      <alignment vertical="center"/>
    </xf>
    <xf numFmtId="166" fontId="2" fillId="2" borderId="42" xfId="3" applyNumberFormat="1" applyBorder="1"/>
    <xf numFmtId="165" fontId="2" fillId="2" borderId="43" xfId="3" applyNumberFormat="1" applyBorder="1" applyAlignment="1">
      <alignment vertical="center"/>
    </xf>
    <xf numFmtId="167" fontId="2" fillId="2" borderId="44" xfId="3" applyNumberFormat="1" applyBorder="1" applyAlignment="1">
      <alignment horizontal="center" vertical="center"/>
    </xf>
    <xf numFmtId="0" fontId="2" fillId="2" borderId="0" xfId="3" applyBorder="1" applyAlignment="1">
      <alignment horizontal="left" vertical="center"/>
    </xf>
    <xf numFmtId="166" fontId="2" fillId="2" borderId="0" xfId="3" applyNumberFormat="1" applyBorder="1"/>
    <xf numFmtId="165" fontId="2" fillId="2" borderId="45" xfId="3" applyNumberFormat="1" applyBorder="1" applyAlignment="1">
      <alignment vertical="center"/>
    </xf>
    <xf numFmtId="167" fontId="2" fillId="2" borderId="46" xfId="3" applyNumberFormat="1" applyBorder="1" applyAlignment="1">
      <alignment horizontal="center" vertical="center"/>
    </xf>
    <xf numFmtId="0" fontId="2" fillId="2" borderId="47" xfId="3" applyBorder="1" applyAlignment="1">
      <alignment horizontal="left" vertical="center"/>
    </xf>
    <xf numFmtId="166" fontId="2" fillId="2" borderId="47" xfId="3" applyNumberFormat="1" applyBorder="1"/>
    <xf numFmtId="165" fontId="2" fillId="2" borderId="48" xfId="3" applyNumberFormat="1" applyBorder="1" applyAlignment="1">
      <alignment vertical="center"/>
    </xf>
    <xf numFmtId="170" fontId="2" fillId="2" borderId="15" xfId="3" applyNumberFormat="1" applyBorder="1" applyAlignment="1">
      <alignment vertical="center"/>
    </xf>
    <xf numFmtId="167" fontId="35" fillId="17" borderId="0" xfId="9" applyNumberFormat="1" applyBorder="1" applyAlignment="1">
      <alignment horizontal="center" vertical="center"/>
    </xf>
    <xf numFmtId="0" fontId="35" fillId="17" borderId="0" xfId="9" applyBorder="1" applyAlignment="1">
      <alignment horizontal="left" vertical="center"/>
    </xf>
    <xf numFmtId="166" fontId="35" fillId="17" borderId="0" xfId="9" applyNumberFormat="1" applyBorder="1"/>
    <xf numFmtId="165" fontId="35" fillId="17" borderId="0" xfId="9" applyNumberFormat="1" applyBorder="1" applyAlignment="1">
      <alignment vertical="center"/>
    </xf>
    <xf numFmtId="0" fontId="35" fillId="17" borderId="0" xfId="9" applyBorder="1"/>
    <xf numFmtId="0" fontId="35" fillId="17" borderId="0" xfId="9" applyBorder="1" applyAlignment="1">
      <alignment vertical="center"/>
    </xf>
    <xf numFmtId="170" fontId="35" fillId="17" borderId="15" xfId="9" applyNumberFormat="1" applyBorder="1" applyAlignment="1">
      <alignment vertical="center"/>
    </xf>
    <xf numFmtId="0" fontId="2" fillId="2" borderId="0" xfId="3"/>
    <xf numFmtId="4" fontId="35" fillId="17" borderId="15" xfId="9" applyNumberFormat="1" applyBorder="1" applyAlignment="1">
      <alignment horizontal="right" vertical="center"/>
    </xf>
    <xf numFmtId="167" fontId="35" fillId="17" borderId="0" xfId="9" applyNumberFormat="1" applyAlignment="1">
      <alignment horizontal="center" vertical="center"/>
    </xf>
    <xf numFmtId="0" fontId="35" fillId="17" borderId="0" xfId="9" applyAlignment="1">
      <alignment horizontal="left" vertical="center"/>
    </xf>
    <xf numFmtId="165" fontId="35" fillId="17" borderId="0" xfId="9" applyNumberFormat="1"/>
    <xf numFmtId="167" fontId="3" fillId="3" borderId="46" xfId="4" applyNumberFormat="1" applyBorder="1" applyAlignment="1">
      <alignment horizontal="center" vertical="center"/>
    </xf>
    <xf numFmtId="0" fontId="3" fillId="3" borderId="47" xfId="4" applyBorder="1" applyAlignment="1">
      <alignment horizontal="left" vertical="center"/>
    </xf>
    <xf numFmtId="166" fontId="3" fillId="3" borderId="47" xfId="4" applyNumberFormat="1" applyBorder="1"/>
    <xf numFmtId="165" fontId="3" fillId="3" borderId="48" xfId="4" applyNumberFormat="1" applyBorder="1" applyAlignment="1">
      <alignment vertical="center"/>
    </xf>
    <xf numFmtId="4" fontId="3" fillId="3" borderId="15" xfId="4" applyNumberFormat="1" applyBorder="1" applyAlignment="1">
      <alignment horizontal="right" vertical="center"/>
    </xf>
    <xf numFmtId="164" fontId="35" fillId="17" borderId="0" xfId="9" applyNumberFormat="1" applyBorder="1"/>
    <xf numFmtId="167" fontId="11" fillId="0" borderId="41" xfId="0" applyNumberFormat="1" applyFont="1" applyBorder="1" applyAlignment="1">
      <alignment horizontal="center" vertical="center"/>
    </xf>
    <xf numFmtId="0" fontId="8" fillId="0" borderId="42" xfId="0" applyFont="1" applyBorder="1"/>
    <xf numFmtId="0" fontId="0" fillId="0" borderId="42" xfId="0" applyBorder="1"/>
    <xf numFmtId="165" fontId="8" fillId="0" borderId="42" xfId="6" applyFont="1" applyBorder="1" applyAlignment="1">
      <alignment vertical="center"/>
    </xf>
    <xf numFmtId="0" fontId="0" fillId="0" borderId="43" xfId="0" applyBorder="1"/>
    <xf numFmtId="165" fontId="22" fillId="0" borderId="45" xfId="6" applyFont="1" applyBorder="1" applyAlignment="1">
      <alignment vertical="center"/>
    </xf>
    <xf numFmtId="0" fontId="0" fillId="0" borderId="45" xfId="0" applyBorder="1"/>
    <xf numFmtId="0" fontId="20" fillId="0" borderId="0" xfId="0" applyFont="1" applyBorder="1" applyAlignment="1">
      <alignment vertical="center"/>
    </xf>
    <xf numFmtId="167" fontId="11" fillId="0" borderId="44" xfId="0" applyNumberFormat="1" applyFont="1" applyBorder="1" applyAlignment="1">
      <alignment horizontal="center" vertical="center"/>
    </xf>
    <xf numFmtId="0" fontId="0" fillId="0" borderId="44" xfId="0" applyBorder="1"/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16" fontId="0" fillId="0" borderId="44" xfId="0" applyNumberFormat="1" applyFill="1" applyBorder="1"/>
    <xf numFmtId="16" fontId="0" fillId="0" borderId="44" xfId="0" applyNumberFormat="1" applyBorder="1"/>
    <xf numFmtId="168" fontId="0" fillId="0" borderId="0" xfId="0" applyNumberFormat="1" applyBorder="1"/>
    <xf numFmtId="1" fontId="10" fillId="0" borderId="0" xfId="4" applyNumberFormat="1" applyFont="1" applyFill="1" applyBorder="1" applyAlignment="1">
      <alignment vertical="center"/>
    </xf>
    <xf numFmtId="165" fontId="20" fillId="0" borderId="0" xfId="6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" fillId="0" borderId="42" xfId="8" applyBorder="1"/>
    <xf numFmtId="0" fontId="20" fillId="0" borderId="42" xfId="0" applyFont="1" applyBorder="1" applyAlignment="1">
      <alignment vertical="center"/>
    </xf>
    <xf numFmtId="165" fontId="20" fillId="0" borderId="42" xfId="6" applyFont="1" applyFill="1" applyBorder="1"/>
    <xf numFmtId="165" fontId="1" fillId="0" borderId="43" xfId="6" applyFont="1" applyFill="1" applyBorder="1"/>
    <xf numFmtId="165" fontId="23" fillId="0" borderId="45" xfId="6" applyFont="1" applyFill="1" applyBorder="1" applyAlignment="1">
      <alignment horizontal="center" vertical="center"/>
    </xf>
    <xf numFmtId="168" fontId="0" fillId="0" borderId="45" xfId="0" applyNumberFormat="1" applyBorder="1"/>
    <xf numFmtId="165" fontId="1" fillId="0" borderId="45" xfId="6" applyFill="1" applyBorder="1"/>
    <xf numFmtId="14" fontId="33" fillId="0" borderId="44" xfId="0" applyNumberFormat="1" applyFont="1" applyBorder="1" applyAlignment="1">
      <alignment horizontal="center"/>
    </xf>
    <xf numFmtId="165" fontId="20" fillId="0" borderId="45" xfId="6" applyFont="1" applyFill="1" applyBorder="1"/>
    <xf numFmtId="14" fontId="32" fillId="0" borderId="44" xfId="0" applyNumberFormat="1" applyFont="1" applyBorder="1" applyAlignment="1">
      <alignment horizontal="center"/>
    </xf>
    <xf numFmtId="165" fontId="1" fillId="0" borderId="45" xfId="6" applyFont="1" applyFill="1" applyBorder="1"/>
    <xf numFmtId="165" fontId="1" fillId="6" borderId="45" xfId="6" applyFont="1" applyFill="1" applyBorder="1"/>
    <xf numFmtId="165" fontId="10" fillId="0" borderId="45" xfId="6" applyFont="1" applyFill="1" applyBorder="1"/>
    <xf numFmtId="0" fontId="20" fillId="0" borderId="47" xfId="0" applyFont="1" applyBorder="1"/>
    <xf numFmtId="165" fontId="20" fillId="0" borderId="47" xfId="6" applyFont="1" applyFill="1" applyBorder="1" applyAlignment="1">
      <alignment vertical="center"/>
    </xf>
    <xf numFmtId="165" fontId="1" fillId="0" borderId="48" xfId="6" applyFont="1" applyFill="1" applyBorder="1"/>
    <xf numFmtId="165" fontId="2" fillId="2" borderId="42" xfId="3" applyNumberFormat="1" applyBorder="1"/>
    <xf numFmtId="165" fontId="2" fillId="2" borderId="43" xfId="3" applyNumberFormat="1" applyBorder="1"/>
    <xf numFmtId="165" fontId="2" fillId="2" borderId="0" xfId="3" applyNumberFormat="1" applyBorder="1"/>
    <xf numFmtId="165" fontId="2" fillId="2" borderId="45" xfId="3" applyNumberFormat="1" applyBorder="1" applyAlignment="1">
      <alignment horizontal="center" vertical="center"/>
    </xf>
    <xf numFmtId="167" fontId="35" fillId="17" borderId="44" xfId="9" applyNumberFormat="1" applyBorder="1" applyAlignment="1">
      <alignment horizontal="center" vertical="center"/>
    </xf>
    <xf numFmtId="168" fontId="35" fillId="17" borderId="45" xfId="9" applyNumberFormat="1" applyBorder="1"/>
    <xf numFmtId="14" fontId="2" fillId="2" borderId="44" xfId="3" applyNumberFormat="1" applyBorder="1" applyAlignment="1">
      <alignment horizontal="center"/>
    </xf>
    <xf numFmtId="0" fontId="2" fillId="2" borderId="0" xfId="3" applyBorder="1"/>
    <xf numFmtId="165" fontId="2" fillId="2" borderId="45" xfId="3" applyNumberFormat="1" applyBorder="1"/>
    <xf numFmtId="170" fontId="3" fillId="3" borderId="15" xfId="4" applyNumberFormat="1" applyBorder="1"/>
    <xf numFmtId="167" fontId="3" fillId="3" borderId="44" xfId="4" applyNumberFormat="1" applyBorder="1" applyAlignment="1">
      <alignment horizontal="center" vertical="center"/>
    </xf>
    <xf numFmtId="0" fontId="3" fillId="3" borderId="0" xfId="4" applyBorder="1"/>
    <xf numFmtId="165" fontId="3" fillId="3" borderId="45" xfId="4" applyNumberFormat="1" applyBorder="1"/>
    <xf numFmtId="0" fontId="2" fillId="2" borderId="0" xfId="3" applyBorder="1" applyAlignment="1">
      <alignment vertical="center"/>
    </xf>
    <xf numFmtId="165" fontId="35" fillId="17" borderId="0" xfId="9" applyNumberFormat="1" applyBorder="1"/>
    <xf numFmtId="0" fontId="35" fillId="17" borderId="45" xfId="9" applyBorder="1"/>
    <xf numFmtId="165" fontId="35" fillId="17" borderId="45" xfId="9" applyNumberFormat="1" applyBorder="1"/>
    <xf numFmtId="167" fontId="2" fillId="2" borderId="15" xfId="3" applyNumberFormat="1" applyBorder="1" applyAlignment="1">
      <alignment horizontal="center" vertical="center"/>
    </xf>
    <xf numFmtId="0" fontId="2" fillId="2" borderId="15" xfId="3" applyBorder="1"/>
    <xf numFmtId="165" fontId="2" fillId="2" borderId="15" xfId="3" applyNumberFormat="1" applyBorder="1"/>
    <xf numFmtId="165" fontId="2" fillId="2" borderId="47" xfId="3" applyNumberFormat="1" applyBorder="1" applyAlignment="1">
      <alignment vertical="center"/>
    </xf>
    <xf numFmtId="165" fontId="2" fillId="2" borderId="48" xfId="3" applyNumberFormat="1" applyBorder="1"/>
    <xf numFmtId="0" fontId="3" fillId="3" borderId="0" xfId="4" applyBorder="1" applyAlignment="1">
      <alignment horizontal="left" vertical="center"/>
    </xf>
    <xf numFmtId="166" fontId="3" fillId="3" borderId="0" xfId="4" applyNumberFormat="1" applyBorder="1"/>
    <xf numFmtId="4" fontId="11" fillId="0" borderId="15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" fontId="0" fillId="0" borderId="0" xfId="0" applyNumberFormat="1" applyBorder="1"/>
    <xf numFmtId="166" fontId="8" fillId="0" borderId="0" xfId="7" applyFont="1"/>
    <xf numFmtId="17" fontId="5" fillId="0" borderId="10" xfId="0" applyNumberFormat="1" applyFont="1" applyBorder="1"/>
    <xf numFmtId="165" fontId="2" fillId="2" borderId="0" xfId="3" applyNumberFormat="1" applyBorder="1" applyAlignment="1">
      <alignment horizontal="center" vertical="center"/>
    </xf>
    <xf numFmtId="14" fontId="2" fillId="2" borderId="0" xfId="3" applyNumberFormat="1" applyBorder="1" applyAlignment="1">
      <alignment horizontal="center"/>
    </xf>
    <xf numFmtId="168" fontId="2" fillId="2" borderId="0" xfId="3" applyNumberFormat="1" applyBorder="1" applyAlignment="1">
      <alignment horizontal="right"/>
    </xf>
    <xf numFmtId="4" fontId="35" fillId="17" borderId="16" xfId="9" applyNumberFormat="1" applyBorder="1" applyAlignment="1">
      <alignment horizontal="right" vertical="center"/>
    </xf>
    <xf numFmtId="14" fontId="35" fillId="17" borderId="0" xfId="9" applyNumberFormat="1" applyBorder="1" applyAlignment="1">
      <alignment horizontal="center"/>
    </xf>
    <xf numFmtId="168" fontId="35" fillId="17" borderId="0" xfId="9" applyNumberFormat="1" applyBorder="1" applyAlignment="1">
      <alignment horizontal="right"/>
    </xf>
    <xf numFmtId="167" fontId="2" fillId="2" borderId="0" xfId="3" applyNumberFormat="1" applyBorder="1" applyAlignment="1">
      <alignment horizontal="center" vertical="center"/>
    </xf>
    <xf numFmtId="165" fontId="2" fillId="2" borderId="0" xfId="3" applyNumberFormat="1" applyBorder="1" applyAlignment="1">
      <alignment vertical="center"/>
    </xf>
    <xf numFmtId="4" fontId="35" fillId="17" borderId="15" xfId="9" applyNumberFormat="1" applyBorder="1" applyAlignment="1">
      <alignment horizontal="right"/>
    </xf>
    <xf numFmtId="165" fontId="35" fillId="17" borderId="0" xfId="9" applyNumberFormat="1" applyAlignment="1">
      <alignment horizontal="center" vertical="center"/>
    </xf>
    <xf numFmtId="165" fontId="35" fillId="17" borderId="0" xfId="9" applyNumberFormat="1" applyBorder="1" applyAlignment="1">
      <alignment horizontal="center" vertical="center"/>
    </xf>
    <xf numFmtId="168" fontId="32" fillId="0" borderId="15" xfId="0" applyNumberFormat="1" applyFont="1" applyFill="1" applyBorder="1" applyAlignment="1">
      <alignment horizontal="right"/>
    </xf>
    <xf numFmtId="4" fontId="8" fillId="0" borderId="0" xfId="7" applyNumberFormat="1" applyFont="1" applyBorder="1" applyAlignment="1">
      <alignment horizontal="right" vertical="center"/>
    </xf>
    <xf numFmtId="166" fontId="20" fillId="0" borderId="15" xfId="7" applyFont="1" applyBorder="1"/>
    <xf numFmtId="168" fontId="0" fillId="0" borderId="15" xfId="0" applyNumberFormat="1" applyBorder="1"/>
    <xf numFmtId="4" fontId="15" fillId="0" borderId="15" xfId="6" applyNumberFormat="1" applyFont="1" applyFill="1" applyBorder="1" applyAlignment="1">
      <alignment horizontal="right" vertical="center"/>
    </xf>
    <xf numFmtId="166" fontId="22" fillId="0" borderId="15" xfId="7" applyFont="1" applyFill="1" applyBorder="1"/>
    <xf numFmtId="165" fontId="22" fillId="0" borderId="15" xfId="6" applyFont="1" applyFill="1" applyBorder="1" applyAlignment="1">
      <alignment vertical="center"/>
    </xf>
    <xf numFmtId="4" fontId="21" fillId="0" borderId="15" xfId="6" applyNumberFormat="1" applyFont="1" applyFill="1" applyBorder="1" applyAlignment="1">
      <alignment horizontal="right" vertical="center"/>
    </xf>
    <xf numFmtId="14" fontId="32" fillId="0" borderId="15" xfId="0" applyNumberFormat="1" applyFont="1" applyBorder="1" applyAlignment="1">
      <alignment horizontal="center"/>
    </xf>
    <xf numFmtId="0" fontId="32" fillId="0" borderId="15" xfId="0" applyFont="1" applyBorder="1"/>
    <xf numFmtId="0" fontId="32" fillId="0" borderId="15" xfId="0" applyFont="1" applyBorder="1" applyAlignment="1">
      <alignment horizontal="right"/>
    </xf>
    <xf numFmtId="0" fontId="0" fillId="0" borderId="15" xfId="0" applyFill="1" applyBorder="1"/>
    <xf numFmtId="0" fontId="8" fillId="0" borderId="15" xfId="0" applyFont="1" applyBorder="1" applyAlignment="1">
      <alignment horizontal="left" vertical="center"/>
    </xf>
    <xf numFmtId="0" fontId="36" fillId="19" borderId="0" xfId="0" applyFont="1" applyFill="1" applyAlignment="1">
      <alignment horizontal="center" wrapText="1"/>
    </xf>
    <xf numFmtId="0" fontId="36" fillId="20" borderId="50" xfId="0" applyFont="1" applyFill="1" applyBorder="1" applyAlignment="1">
      <alignment horizontal="center" wrapText="1"/>
    </xf>
    <xf numFmtId="14" fontId="37" fillId="18" borderId="51" xfId="0" applyNumberFormat="1" applyFont="1" applyFill="1" applyBorder="1" applyAlignment="1">
      <alignment vertical="top" wrapText="1"/>
    </xf>
    <xf numFmtId="0" fontId="37" fillId="18" borderId="51" xfId="0" applyFont="1" applyFill="1" applyBorder="1" applyAlignment="1">
      <alignment vertical="top" wrapText="1"/>
    </xf>
    <xf numFmtId="14" fontId="37" fillId="21" borderId="51" xfId="0" applyNumberFormat="1" applyFont="1" applyFill="1" applyBorder="1" applyAlignment="1">
      <alignment vertical="top" wrapText="1"/>
    </xf>
    <xf numFmtId="0" fontId="37" fillId="21" borderId="51" xfId="0" applyFont="1" applyFill="1" applyBorder="1" applyAlignment="1">
      <alignment vertical="top" wrapText="1"/>
    </xf>
    <xf numFmtId="0" fontId="2" fillId="2" borderId="42" xfId="3" applyBorder="1" applyAlignment="1">
      <alignment horizontal="left" vertical="center"/>
    </xf>
    <xf numFmtId="4" fontId="11" fillId="0" borderId="0" xfId="7" applyNumberFormat="1" applyFont="1" applyFill="1" applyBorder="1" applyAlignment="1">
      <alignment horizontal="right" vertical="center"/>
    </xf>
    <xf numFmtId="167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65" fontId="22" fillId="6" borderId="15" xfId="6" applyFont="1" applyFill="1" applyBorder="1" applyAlignment="1">
      <alignment vertical="center"/>
    </xf>
    <xf numFmtId="169" fontId="0" fillId="0" borderId="0" xfId="5" applyNumberFormat="1" applyFont="1" applyBorder="1" applyAlignment="1">
      <alignment horizontal="center" vertical="center"/>
    </xf>
    <xf numFmtId="4" fontId="0" fillId="0" borderId="0" xfId="0" applyNumberFormat="1" applyBorder="1"/>
    <xf numFmtId="4" fontId="8" fillId="0" borderId="0" xfId="1" applyNumberFormat="1" applyFont="1" applyBorder="1" applyAlignment="1">
      <alignment horizontal="right" vertical="center"/>
    </xf>
    <xf numFmtId="167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4" fontId="15" fillId="6" borderId="15" xfId="6" applyNumberFormat="1" applyFont="1" applyFill="1" applyBorder="1" applyAlignment="1">
      <alignment horizontal="right" vertical="center"/>
    </xf>
    <xf numFmtId="4" fontId="8" fillId="6" borderId="23" xfId="0" applyNumberFormat="1" applyFont="1" applyFill="1" applyBorder="1" applyAlignment="1">
      <alignment horizontal="right" vertical="center"/>
    </xf>
    <xf numFmtId="4" fontId="8" fillId="6" borderId="8" xfId="0" applyNumberFormat="1" applyFont="1" applyFill="1" applyBorder="1" applyAlignment="1">
      <alignment horizontal="right" vertical="center"/>
    </xf>
    <xf numFmtId="4" fontId="8" fillId="6" borderId="22" xfId="0" applyNumberFormat="1" applyFont="1" applyFill="1" applyBorder="1" applyAlignment="1">
      <alignment horizontal="right" vertical="center"/>
    </xf>
    <xf numFmtId="165" fontId="20" fillId="0" borderId="49" xfId="6" applyFont="1" applyFill="1" applyBorder="1" applyAlignment="1">
      <alignment vertical="center"/>
    </xf>
    <xf numFmtId="4" fontId="8" fillId="0" borderId="52" xfId="7" applyNumberFormat="1" applyFont="1" applyBorder="1" applyAlignment="1">
      <alignment horizontal="right" vertical="center"/>
    </xf>
    <xf numFmtId="4" fontId="14" fillId="0" borderId="7" xfId="7" applyNumberFormat="1" applyFont="1" applyBorder="1" applyAlignment="1">
      <alignment horizontal="right" vertical="center"/>
    </xf>
    <xf numFmtId="4" fontId="8" fillId="0" borderId="7" xfId="7" applyNumberFormat="1" applyFont="1" applyBorder="1" applyAlignment="1">
      <alignment horizontal="right" vertical="center"/>
    </xf>
    <xf numFmtId="4" fontId="14" fillId="0" borderId="7" xfId="0" applyNumberFormat="1" applyFont="1" applyBorder="1" applyAlignment="1">
      <alignment horizontal="right" vertical="center"/>
    </xf>
    <xf numFmtId="169" fontId="22" fillId="0" borderId="15" xfId="6" applyNumberFormat="1" applyFont="1" applyFill="1" applyBorder="1" applyAlignment="1">
      <alignment vertical="center"/>
    </xf>
    <xf numFmtId="172" fontId="14" fillId="0" borderId="7" xfId="0" applyNumberFormat="1" applyFont="1" applyBorder="1" applyAlignment="1">
      <alignment horizontal="right" vertical="center"/>
    </xf>
    <xf numFmtId="172" fontId="14" fillId="6" borderId="7" xfId="0" applyNumberFormat="1" applyFont="1" applyFill="1" applyBorder="1" applyAlignment="1">
      <alignment horizontal="right" vertical="center"/>
    </xf>
    <xf numFmtId="4" fontId="16" fillId="0" borderId="15" xfId="6" applyNumberFormat="1" applyFont="1" applyFill="1" applyBorder="1" applyAlignment="1">
      <alignment horizontal="right" vertical="center"/>
    </xf>
    <xf numFmtId="165" fontId="20" fillId="6" borderId="15" xfId="6" applyFont="1" applyFill="1" applyBorder="1" applyAlignment="1">
      <alignment vertical="center"/>
    </xf>
    <xf numFmtId="0" fontId="30" fillId="6" borderId="0" xfId="0" applyFont="1" applyFill="1"/>
    <xf numFmtId="0" fontId="0" fillId="6" borderId="15" xfId="0" applyFill="1" applyBorder="1"/>
    <xf numFmtId="0" fontId="11" fillId="6" borderId="0" xfId="0" applyFont="1" applyFill="1" applyAlignment="1">
      <alignment horizontal="left" vertical="center"/>
    </xf>
    <xf numFmtId="168" fontId="8" fillId="0" borderId="23" xfId="2" applyNumberFormat="1" applyFont="1" applyFill="1" applyBorder="1" applyAlignment="1">
      <alignment horizontal="right" vertical="center"/>
    </xf>
    <xf numFmtId="0" fontId="0" fillId="6" borderId="0" xfId="0" applyFill="1"/>
    <xf numFmtId="4" fontId="8" fillId="6" borderId="22" xfId="6" applyNumberFormat="1" applyFont="1" applyFill="1" applyBorder="1" applyAlignment="1">
      <alignment horizontal="right" vertical="center"/>
    </xf>
    <xf numFmtId="168" fontId="0" fillId="6" borderId="15" xfId="0" applyNumberFormat="1" applyFill="1" applyBorder="1"/>
    <xf numFmtId="167" fontId="22" fillId="6" borderId="0" xfId="0" applyNumberFormat="1" applyFont="1" applyFill="1" applyAlignment="1">
      <alignment horizontal="center" vertical="center"/>
    </xf>
    <xf numFmtId="167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166" fontId="20" fillId="0" borderId="9" xfId="7" applyFont="1" applyFill="1" applyBorder="1"/>
    <xf numFmtId="0" fontId="0" fillId="0" borderId="9" xfId="0" applyFill="1" applyBorder="1"/>
    <xf numFmtId="165" fontId="8" fillId="0" borderId="9" xfId="6" applyFont="1" applyFill="1" applyBorder="1"/>
    <xf numFmtId="168" fontId="11" fillId="0" borderId="18" xfId="2" applyNumberFormat="1" applyFont="1" applyBorder="1" applyAlignment="1">
      <alignment horizontal="right" vertical="center"/>
    </xf>
    <xf numFmtId="168" fontId="20" fillId="0" borderId="15" xfId="2" applyNumberFormat="1" applyFont="1" applyFill="1" applyBorder="1" applyAlignment="1">
      <alignment vertical="center"/>
    </xf>
    <xf numFmtId="168" fontId="11" fillId="0" borderId="15" xfId="2" applyNumberFormat="1" applyFont="1" applyFill="1" applyBorder="1" applyAlignment="1">
      <alignment horizontal="right" vertical="center"/>
    </xf>
    <xf numFmtId="168" fontId="8" fillId="0" borderId="15" xfId="2" applyNumberFormat="1" applyFont="1" applyFill="1" applyBorder="1" applyAlignment="1">
      <alignment horizontal="right" vertical="center"/>
    </xf>
    <xf numFmtId="168" fontId="8" fillId="0" borderId="15" xfId="2" applyNumberFormat="1" applyFont="1" applyBorder="1" applyAlignment="1">
      <alignment horizontal="right" vertical="center"/>
    </xf>
    <xf numFmtId="168" fontId="20" fillId="0" borderId="15" xfId="2" applyNumberFormat="1" applyFont="1" applyFill="1" applyBorder="1"/>
    <xf numFmtId="168" fontId="0" fillId="0" borderId="15" xfId="2" applyNumberFormat="1" applyFont="1" applyBorder="1"/>
    <xf numFmtId="168" fontId="0" fillId="0" borderId="15" xfId="2" applyNumberFormat="1" applyFont="1" applyFill="1" applyBorder="1"/>
    <xf numFmtId="168" fontId="0" fillId="0" borderId="14" xfId="2" applyNumberFormat="1" applyFont="1" applyBorder="1"/>
    <xf numFmtId="168" fontId="8" fillId="0" borderId="49" xfId="2" applyNumberFormat="1" applyFont="1" applyBorder="1" applyAlignment="1">
      <alignment horizontal="right" vertical="center"/>
    </xf>
    <xf numFmtId="168" fontId="20" fillId="0" borderId="23" xfId="2" applyNumberFormat="1" applyFont="1" applyFill="1" applyBorder="1" applyAlignment="1">
      <alignment vertical="center"/>
    </xf>
    <xf numFmtId="168" fontId="0" fillId="6" borderId="14" xfId="2" applyNumberFormat="1" applyFont="1" applyFill="1" applyBorder="1"/>
    <xf numFmtId="0" fontId="3" fillId="3" borderId="0" xfId="4"/>
    <xf numFmtId="167" fontId="3" fillId="3" borderId="0" xfId="4" applyNumberFormat="1" applyBorder="1" applyAlignment="1">
      <alignment vertical="center"/>
    </xf>
    <xf numFmtId="169" fontId="3" fillId="3" borderId="0" xfId="4" applyNumberFormat="1" applyBorder="1" applyAlignment="1">
      <alignment horizontal="center" vertical="center"/>
    </xf>
    <xf numFmtId="4" fontId="3" fillId="3" borderId="0" xfId="4" applyNumberFormat="1" applyBorder="1"/>
    <xf numFmtId="4" fontId="3" fillId="3" borderId="0" xfId="4" applyNumberFormat="1" applyBorder="1" applyAlignment="1">
      <alignment horizontal="right" vertical="center"/>
    </xf>
    <xf numFmtId="4" fontId="3" fillId="3" borderId="0" xfId="4" applyNumberFormat="1"/>
    <xf numFmtId="0" fontId="39" fillId="17" borderId="0" xfId="9" applyFont="1" applyBorder="1" applyAlignment="1">
      <alignment vertical="center"/>
    </xf>
    <xf numFmtId="14" fontId="34" fillId="0" borderId="15" xfId="0" applyNumberFormat="1" applyFont="1" applyBorder="1" applyAlignment="1">
      <alignment horizontal="right"/>
    </xf>
    <xf numFmtId="0" fontId="34" fillId="0" borderId="15" xfId="0" applyFont="1" applyBorder="1"/>
    <xf numFmtId="171" fontId="0" fillId="0" borderId="15" xfId="0" applyNumberFormat="1" applyBorder="1"/>
    <xf numFmtId="172" fontId="0" fillId="0" borderId="15" xfId="0" applyNumberFormat="1" applyBorder="1"/>
    <xf numFmtId="0" fontId="0" fillId="0" borderId="22" xfId="0" applyBorder="1"/>
    <xf numFmtId="165" fontId="20" fillId="22" borderId="0" xfId="6" applyFont="1" applyFill="1" applyAlignment="1">
      <alignment vertical="center"/>
    </xf>
    <xf numFmtId="0" fontId="38" fillId="0" borderId="15" xfId="0" applyFont="1" applyBorder="1" applyAlignment="1">
      <alignment horizontal="left" vertical="center"/>
    </xf>
    <xf numFmtId="4" fontId="8" fillId="0" borderId="7" xfId="0" applyNumberFormat="1" applyFont="1" applyBorder="1" applyAlignment="1">
      <alignment horizontal="right" vertical="center"/>
    </xf>
    <xf numFmtId="168" fontId="20" fillId="0" borderId="7" xfId="2" applyNumberFormat="1" applyFont="1" applyFill="1" applyBorder="1" applyAlignment="1">
      <alignment vertical="center"/>
    </xf>
    <xf numFmtId="168" fontId="8" fillId="0" borderId="7" xfId="2" applyNumberFormat="1" applyFont="1" applyBorder="1" applyAlignment="1">
      <alignment horizontal="right" vertical="center"/>
    </xf>
    <xf numFmtId="171" fontId="0" fillId="0" borderId="7" xfId="0" applyNumberFormat="1" applyBorder="1"/>
    <xf numFmtId="4" fontId="8" fillId="0" borderId="53" xfId="7" applyNumberFormat="1" applyFont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  <xf numFmtId="0" fontId="11" fillId="0" borderId="46" xfId="0" applyFont="1" applyBorder="1" applyAlignment="1">
      <alignment horizontal="left" vertical="center"/>
    </xf>
    <xf numFmtId="165" fontId="22" fillId="22" borderId="0" xfId="6" applyFont="1" applyFill="1" applyBorder="1" applyAlignment="1">
      <alignment vertical="center"/>
    </xf>
    <xf numFmtId="165" fontId="22" fillId="8" borderId="0" xfId="6" applyFont="1" applyFill="1" applyBorder="1" applyAlignment="1">
      <alignment vertical="center"/>
    </xf>
    <xf numFmtId="165" fontId="41" fillId="0" borderId="0" xfId="6" applyFont="1"/>
    <xf numFmtId="165" fontId="8" fillId="22" borderId="0" xfId="6" applyFont="1" applyFill="1" applyAlignment="1">
      <alignment vertical="center"/>
    </xf>
    <xf numFmtId="167" fontId="22" fillId="0" borderId="0" xfId="0" applyNumberFormat="1" applyFont="1" applyFill="1" applyAlignment="1">
      <alignment horizontal="center" vertical="center"/>
    </xf>
    <xf numFmtId="165" fontId="41" fillId="22" borderId="0" xfId="6" applyFont="1" applyFill="1"/>
    <xf numFmtId="0" fontId="20" fillId="0" borderId="0" xfId="0" applyFont="1" applyAlignment="1">
      <alignment horizontal="left"/>
    </xf>
    <xf numFmtId="0" fontId="42" fillId="0" borderId="0" xfId="4" applyFont="1" applyFill="1" applyAlignment="1">
      <alignment horizontal="left" vertical="center"/>
    </xf>
    <xf numFmtId="165" fontId="41" fillId="0" borderId="0" xfId="6" applyFont="1" applyAlignment="1">
      <alignment vertical="center"/>
    </xf>
    <xf numFmtId="165" fontId="41" fillId="22" borderId="0" xfId="6" applyFont="1" applyFill="1" applyAlignment="1">
      <alignment vertical="center"/>
    </xf>
    <xf numFmtId="167" fontId="3" fillId="3" borderId="0" xfId="4" applyNumberFormat="1" applyAlignment="1">
      <alignment horizontal="center" vertical="center"/>
    </xf>
    <xf numFmtId="4" fontId="24" fillId="0" borderId="0" xfId="0" applyNumberFormat="1" applyFont="1"/>
    <xf numFmtId="4" fontId="24" fillId="22" borderId="0" xfId="0" applyNumberFormat="1" applyFont="1" applyFill="1"/>
    <xf numFmtId="165" fontId="10" fillId="8" borderId="0" xfId="10" applyNumberFormat="1" applyFont="1" applyFill="1" applyAlignment="1">
      <alignment vertical="center"/>
    </xf>
    <xf numFmtId="165" fontId="20" fillId="8" borderId="0" xfId="6" applyFont="1" applyFill="1" applyBorder="1" applyAlignment="1">
      <alignment vertical="center"/>
    </xf>
    <xf numFmtId="165" fontId="24" fillId="13" borderId="0" xfId="6" applyFont="1" applyFill="1"/>
    <xf numFmtId="165" fontId="22" fillId="13" borderId="0" xfId="6" applyFont="1" applyFill="1" applyBorder="1" applyAlignment="1">
      <alignment vertical="center"/>
    </xf>
    <xf numFmtId="165" fontId="23" fillId="13" borderId="0" xfId="6" applyFont="1" applyFill="1" applyAlignment="1">
      <alignment horizontal="center" vertical="center"/>
    </xf>
    <xf numFmtId="165" fontId="24" fillId="0" borderId="0" xfId="6" applyFont="1"/>
    <xf numFmtId="165" fontId="23" fillId="22" borderId="0" xfId="6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165" fontId="24" fillId="22" borderId="0" xfId="6" applyFont="1" applyFill="1"/>
    <xf numFmtId="165" fontId="43" fillId="0" borderId="0" xfId="6" applyFont="1" applyAlignment="1">
      <alignment horizontal="center" vertical="center"/>
    </xf>
    <xf numFmtId="165" fontId="20" fillId="22" borderId="0" xfId="6" applyFont="1" applyFill="1" applyBorder="1" applyAlignment="1">
      <alignment vertical="center"/>
    </xf>
    <xf numFmtId="167" fontId="44" fillId="0" borderId="0" xfId="0" applyNumberFormat="1" applyFont="1" applyBorder="1" applyAlignment="1">
      <alignment horizontal="center" vertical="center"/>
    </xf>
    <xf numFmtId="165" fontId="26" fillId="22" borderId="0" xfId="6" applyFont="1" applyFill="1" applyBorder="1" applyAlignment="1">
      <alignment vertical="center"/>
    </xf>
    <xf numFmtId="14" fontId="26" fillId="6" borderId="0" xfId="0" applyNumberFormat="1" applyFont="1" applyFill="1" applyAlignment="1">
      <alignment horizontal="center"/>
    </xf>
    <xf numFmtId="0" fontId="26" fillId="6" borderId="0" xfId="0" applyFont="1" applyFill="1"/>
    <xf numFmtId="166" fontId="26" fillId="6" borderId="0" xfId="7" applyFont="1" applyFill="1"/>
    <xf numFmtId="167" fontId="44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wrapText="1"/>
    </xf>
    <xf numFmtId="165" fontId="26" fillId="6" borderId="0" xfId="6" applyFont="1" applyFill="1" applyBorder="1" applyAlignment="1">
      <alignment vertical="center"/>
    </xf>
    <xf numFmtId="165" fontId="41" fillId="6" borderId="0" xfId="6" applyFont="1" applyFill="1" applyAlignment="1">
      <alignment vertical="center"/>
    </xf>
    <xf numFmtId="165" fontId="22" fillId="6" borderId="0" xfId="6" applyFont="1" applyFill="1" applyBorder="1" applyAlignment="1">
      <alignment vertical="center"/>
    </xf>
    <xf numFmtId="165" fontId="23" fillId="6" borderId="0" xfId="6" applyFont="1" applyFill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/>
    </xf>
    <xf numFmtId="0" fontId="22" fillId="0" borderId="0" xfId="0" applyFont="1" applyBorder="1"/>
    <xf numFmtId="165" fontId="22" fillId="0" borderId="0" xfId="6" applyFont="1" applyFill="1" applyBorder="1"/>
    <xf numFmtId="165" fontId="20" fillId="22" borderId="0" xfId="6" applyFont="1" applyFill="1" applyBorder="1"/>
    <xf numFmtId="165" fontId="23" fillId="0" borderId="0" xfId="6" applyFont="1" applyBorder="1" applyAlignment="1">
      <alignment horizontal="center"/>
    </xf>
    <xf numFmtId="165" fontId="22" fillId="0" borderId="0" xfId="6" applyFont="1" applyBorder="1"/>
    <xf numFmtId="165" fontId="20" fillId="0" borderId="0" xfId="6" applyFont="1" applyBorder="1"/>
    <xf numFmtId="167" fontId="2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165" fontId="23" fillId="0" borderId="0" xfId="6" applyFont="1" applyFill="1" applyBorder="1" applyAlignment="1">
      <alignment horizontal="center"/>
    </xf>
    <xf numFmtId="165" fontId="20" fillId="8" borderId="0" xfId="6" applyFont="1" applyFill="1" applyBorder="1"/>
    <xf numFmtId="0" fontId="45" fillId="0" borderId="0" xfId="0" applyFont="1" applyBorder="1" applyAlignment="1">
      <alignment horizontal="center"/>
    </xf>
    <xf numFmtId="4" fontId="46" fillId="0" borderId="0" xfId="0" applyNumberFormat="1" applyFont="1" applyBorder="1"/>
    <xf numFmtId="165" fontId="23" fillId="22" borderId="0" xfId="6" applyFont="1" applyFill="1" applyBorder="1" applyAlignment="1">
      <alignment horizontal="center"/>
    </xf>
    <xf numFmtId="0" fontId="4" fillId="0" borderId="0" xfId="0" applyFont="1"/>
    <xf numFmtId="1" fontId="20" fillId="6" borderId="0" xfId="0" applyNumberFormat="1" applyFont="1" applyFill="1" applyAlignment="1">
      <alignment horizontal="center" vertical="center"/>
    </xf>
    <xf numFmtId="166" fontId="20" fillId="6" borderId="0" xfId="7" applyFont="1" applyFill="1"/>
    <xf numFmtId="4" fontId="11" fillId="0" borderId="0" xfId="0" applyNumberFormat="1" applyFont="1" applyBorder="1" applyAlignment="1">
      <alignment horizontal="right" vertical="center"/>
    </xf>
    <xf numFmtId="167" fontId="22" fillId="25" borderId="0" xfId="0" applyNumberFormat="1" applyFont="1" applyFill="1" applyAlignment="1">
      <alignment horizontal="center" vertical="center"/>
    </xf>
    <xf numFmtId="1" fontId="20" fillId="25" borderId="0" xfId="0" applyNumberFormat="1" applyFont="1" applyFill="1" applyAlignment="1">
      <alignment horizontal="center" vertical="center"/>
    </xf>
    <xf numFmtId="0" fontId="11" fillId="25" borderId="0" xfId="0" applyFont="1" applyFill="1" applyAlignment="1">
      <alignment horizontal="left" vertical="center"/>
    </xf>
    <xf numFmtId="165" fontId="20" fillId="25" borderId="0" xfId="6" applyFont="1" applyFill="1" applyAlignment="1">
      <alignment vertical="center"/>
    </xf>
    <xf numFmtId="165" fontId="22" fillId="25" borderId="0" xfId="6" applyFont="1" applyFill="1" applyBorder="1" applyAlignment="1">
      <alignment vertical="center"/>
    </xf>
    <xf numFmtId="165" fontId="22" fillId="26" borderId="0" xfId="6" applyFont="1" applyFill="1" applyBorder="1" applyAlignment="1">
      <alignment vertical="center"/>
    </xf>
    <xf numFmtId="167" fontId="22" fillId="27" borderId="0" xfId="0" applyNumberFormat="1" applyFont="1" applyFill="1" applyAlignment="1">
      <alignment horizontal="center" vertical="center"/>
    </xf>
    <xf numFmtId="1" fontId="20" fillId="27" borderId="0" xfId="0" applyNumberFormat="1" applyFont="1" applyFill="1" applyAlignment="1">
      <alignment horizontal="center" vertical="center"/>
    </xf>
    <xf numFmtId="0" fontId="11" fillId="27" borderId="0" xfId="0" applyFont="1" applyFill="1" applyAlignment="1">
      <alignment horizontal="left" vertical="center"/>
    </xf>
    <xf numFmtId="165" fontId="20" fillId="27" borderId="0" xfId="6" applyFont="1" applyFill="1" applyAlignment="1">
      <alignment vertical="center"/>
    </xf>
    <xf numFmtId="165" fontId="22" fillId="27" borderId="0" xfId="6" applyFont="1" applyFill="1" applyBorder="1" applyAlignment="1">
      <alignment vertical="center"/>
    </xf>
    <xf numFmtId="165" fontId="23" fillId="27" borderId="0" xfId="6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167" fontId="22" fillId="28" borderId="0" xfId="0" applyNumberFormat="1" applyFont="1" applyFill="1" applyAlignment="1">
      <alignment horizontal="center" vertical="center"/>
    </xf>
    <xf numFmtId="1" fontId="20" fillId="28" borderId="0" xfId="0" applyNumberFormat="1" applyFont="1" applyFill="1" applyAlignment="1">
      <alignment horizontal="center" vertical="center"/>
    </xf>
    <xf numFmtId="0" fontId="27" fillId="28" borderId="0" xfId="0" applyFont="1" applyFill="1" applyAlignment="1">
      <alignment vertical="center"/>
    </xf>
    <xf numFmtId="165" fontId="20" fillId="28" borderId="0" xfId="6" applyFont="1" applyFill="1" applyAlignment="1">
      <alignment vertical="center"/>
    </xf>
    <xf numFmtId="165" fontId="22" fillId="28" borderId="0" xfId="6" applyFont="1" applyFill="1" applyBorder="1" applyAlignment="1">
      <alignment vertical="center"/>
    </xf>
    <xf numFmtId="165" fontId="23" fillId="28" borderId="0" xfId="6" applyFont="1" applyFill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" fontId="20" fillId="13" borderId="0" xfId="0" applyNumberFormat="1" applyFont="1" applyFill="1"/>
    <xf numFmtId="0" fontId="31" fillId="13" borderId="0" xfId="0" applyFont="1" applyFill="1"/>
    <xf numFmtId="0" fontId="15" fillId="0" borderId="0" xfId="0" applyFont="1" applyAlignment="1">
      <alignment horizontal="left" vertical="center"/>
    </xf>
    <xf numFmtId="167" fontId="44" fillId="0" borderId="0" xfId="0" applyNumberFormat="1" applyFont="1" applyAlignment="1">
      <alignment horizontal="center" vertical="center"/>
    </xf>
    <xf numFmtId="14" fontId="26" fillId="26" borderId="0" xfId="0" applyNumberFormat="1" applyFont="1" applyFill="1" applyAlignment="1">
      <alignment horizontal="center"/>
    </xf>
    <xf numFmtId="1" fontId="26" fillId="26" borderId="0" xfId="0" applyNumberFormat="1" applyFont="1" applyFill="1"/>
    <xf numFmtId="0" fontId="26" fillId="26" borderId="0" xfId="0" applyFont="1" applyFill="1"/>
    <xf numFmtId="166" fontId="26" fillId="26" borderId="0" xfId="7" applyFont="1" applyFill="1"/>
    <xf numFmtId="165" fontId="23" fillId="26" borderId="0" xfId="6" applyFont="1" applyFill="1" applyAlignment="1">
      <alignment horizontal="center" vertical="center"/>
    </xf>
    <xf numFmtId="1" fontId="26" fillId="26" borderId="0" xfId="0" applyNumberFormat="1" applyFont="1" applyFill="1" applyAlignment="1">
      <alignment horizontal="center" vertical="center"/>
    </xf>
    <xf numFmtId="165" fontId="26" fillId="26" borderId="0" xfId="6" applyFont="1" applyFill="1" applyBorder="1" applyAlignment="1">
      <alignment vertical="center"/>
    </xf>
    <xf numFmtId="167" fontId="44" fillId="26" borderId="0" xfId="0" applyNumberFormat="1" applyFont="1" applyFill="1" applyAlignment="1">
      <alignment horizontal="center" vertical="center"/>
    </xf>
    <xf numFmtId="0" fontId="0" fillId="26" borderId="0" xfId="0" applyFill="1" applyAlignment="1">
      <alignment horizontal="center" wrapText="1"/>
    </xf>
    <xf numFmtId="165" fontId="41" fillId="26" borderId="0" xfId="6" applyFont="1" applyFill="1" applyAlignment="1">
      <alignment vertical="center"/>
    </xf>
    <xf numFmtId="0" fontId="48" fillId="0" borderId="0" xfId="0" applyFont="1"/>
    <xf numFmtId="1" fontId="35" fillId="17" borderId="0" xfId="9" applyNumberFormat="1" applyBorder="1" applyAlignment="1">
      <alignment horizontal="center" vertical="center"/>
    </xf>
    <xf numFmtId="165" fontId="6" fillId="22" borderId="0" xfId="6" applyFont="1" applyFill="1"/>
    <xf numFmtId="1" fontId="8" fillId="0" borderId="0" xfId="0" applyNumberFormat="1" applyFont="1"/>
    <xf numFmtId="0" fontId="11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5" fontId="8" fillId="8" borderId="0" xfId="6" applyFont="1" applyFill="1" applyBorder="1" applyAlignment="1">
      <alignment vertical="center"/>
    </xf>
    <xf numFmtId="0" fontId="50" fillId="0" borderId="0" xfId="0" applyFont="1"/>
    <xf numFmtId="165" fontId="6" fillId="8" borderId="0" xfId="6" applyFont="1" applyFill="1"/>
    <xf numFmtId="165" fontId="8" fillId="22" borderId="0" xfId="6" applyFont="1" applyFill="1" applyBorder="1" applyAlignment="1">
      <alignment vertical="center"/>
    </xf>
    <xf numFmtId="165" fontId="6" fillId="0" borderId="0" xfId="6" applyFont="1"/>
    <xf numFmtId="167" fontId="1" fillId="0" borderId="0" xfId="11" applyNumberFormat="1" applyFill="1" applyBorder="1" applyAlignment="1">
      <alignment horizontal="center" vertical="center"/>
    </xf>
    <xf numFmtId="1" fontId="1" fillId="0" borderId="0" xfId="11" applyNumberFormat="1" applyFill="1" applyBorder="1" applyAlignment="1">
      <alignment horizontal="center" vertical="center"/>
    </xf>
    <xf numFmtId="165" fontId="1" fillId="22" borderId="0" xfId="11" applyNumberFormat="1" applyFill="1" applyAlignment="1">
      <alignment vertical="center"/>
    </xf>
    <xf numFmtId="0" fontId="11" fillId="0" borderId="54" xfId="0" applyFont="1" applyBorder="1" applyAlignment="1">
      <alignment horizontal="left" vertical="center"/>
    </xf>
    <xf numFmtId="165" fontId="11" fillId="0" borderId="0" xfId="6" applyFont="1" applyFill="1" applyBorder="1"/>
    <xf numFmtId="0" fontId="47" fillId="26" borderId="0" xfId="0" applyFont="1" applyFill="1" applyAlignment="1">
      <alignment horizontal="right" vertical="center"/>
    </xf>
    <xf numFmtId="1" fontId="20" fillId="26" borderId="0" xfId="0" applyNumberFormat="1" applyFont="1" applyFill="1" applyAlignment="1">
      <alignment horizontal="right"/>
    </xf>
    <xf numFmtId="0" fontId="53" fillId="18" borderId="0" xfId="0" applyFont="1" applyFill="1" applyAlignment="1">
      <alignment horizontal="left" vertical="center" wrapText="1"/>
    </xf>
    <xf numFmtId="14" fontId="54" fillId="18" borderId="0" xfId="0" applyNumberFormat="1" applyFont="1" applyFill="1" applyAlignment="1">
      <alignment vertical="center" wrapText="1"/>
    </xf>
    <xf numFmtId="0" fontId="54" fillId="18" borderId="0" xfId="0" applyFont="1" applyFill="1" applyAlignment="1">
      <alignment vertical="center" wrapText="1"/>
    </xf>
    <xf numFmtId="1" fontId="20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1" fontId="20" fillId="0" borderId="0" xfId="0" applyNumberFormat="1" applyFont="1" applyFill="1"/>
    <xf numFmtId="0" fontId="31" fillId="0" borderId="0" xfId="0" applyFont="1" applyFill="1"/>
    <xf numFmtId="0" fontId="47" fillId="0" borderId="0" xfId="0" applyFont="1" applyFill="1" applyAlignment="1">
      <alignment horizontal="center" vertical="center"/>
    </xf>
    <xf numFmtId="165" fontId="41" fillId="0" borderId="0" xfId="6" applyFont="1" applyFill="1"/>
    <xf numFmtId="0" fontId="27" fillId="13" borderId="0" xfId="0" applyFont="1" applyFill="1" applyAlignment="1">
      <alignment vertical="center"/>
    </xf>
    <xf numFmtId="0" fontId="0" fillId="13" borderId="0" xfId="0" applyFill="1"/>
    <xf numFmtId="167" fontId="3" fillId="0" borderId="0" xfId="4" applyNumberFormat="1" applyFill="1" applyAlignment="1">
      <alignment horizontal="center" vertical="center"/>
    </xf>
    <xf numFmtId="1" fontId="26" fillId="0" borderId="0" xfId="0" applyNumberFormat="1" applyFont="1" applyFill="1" applyAlignment="1">
      <alignment horizontal="center" vertical="center"/>
    </xf>
    <xf numFmtId="165" fontId="41" fillId="0" borderId="0" xfId="6" applyFont="1" applyFill="1" applyAlignment="1">
      <alignment vertical="center"/>
    </xf>
    <xf numFmtId="165" fontId="24" fillId="0" borderId="0" xfId="6" applyFont="1" applyFill="1"/>
    <xf numFmtId="165" fontId="1" fillId="0" borderId="0" xfId="6"/>
    <xf numFmtId="0" fontId="15" fillId="0" borderId="0" xfId="0" applyFont="1" applyFill="1" applyAlignment="1">
      <alignment horizontal="left" vertical="center"/>
    </xf>
    <xf numFmtId="167" fontId="11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65" fontId="6" fillId="0" borderId="0" xfId="6" applyFont="1" applyFill="1"/>
    <xf numFmtId="1" fontId="8" fillId="0" borderId="0" xfId="0" applyNumberFormat="1" applyFont="1" applyFill="1"/>
    <xf numFmtId="0" fontId="50" fillId="0" borderId="0" xfId="0" applyFont="1" applyFill="1"/>
    <xf numFmtId="167" fontId="44" fillId="0" borderId="0" xfId="0" applyNumberFormat="1" applyFont="1" applyFill="1" applyAlignment="1">
      <alignment horizontal="center" vertical="center"/>
    </xf>
    <xf numFmtId="165" fontId="1" fillId="0" borderId="0" xfId="11" applyNumberFormat="1" applyFill="1" applyAlignment="1">
      <alignment vertical="center"/>
    </xf>
    <xf numFmtId="0" fontId="47" fillId="0" borderId="0" xfId="0" applyFont="1" applyFill="1" applyAlignment="1">
      <alignment horizontal="right" vertical="center"/>
    </xf>
    <xf numFmtId="1" fontId="20" fillId="0" borderId="0" xfId="0" applyNumberFormat="1" applyFont="1" applyFill="1" applyAlignment="1">
      <alignment horizontal="right"/>
    </xf>
    <xf numFmtId="13" fontId="20" fillId="0" borderId="0" xfId="7" applyNumberFormat="1" applyFont="1" applyAlignment="1">
      <alignment horizontal="center"/>
    </xf>
    <xf numFmtId="173" fontId="58" fillId="0" borderId="0" xfId="0" applyNumberFormat="1" applyFont="1"/>
    <xf numFmtId="167" fontId="22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6" fontId="20" fillId="0" borderId="0" xfId="7" applyFont="1" applyAlignment="1">
      <alignment horizontal="center"/>
    </xf>
    <xf numFmtId="0" fontId="59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167" fontId="22" fillId="0" borderId="0" xfId="0" applyNumberFormat="1" applyFont="1" applyAlignment="1">
      <alignment horizontal="left"/>
    </xf>
    <xf numFmtId="13" fontId="20" fillId="0" borderId="0" xfId="7" applyNumberFormat="1" applyFont="1"/>
    <xf numFmtId="166" fontId="23" fillId="0" borderId="0" xfId="7" applyFont="1"/>
    <xf numFmtId="166" fontId="23" fillId="0" borderId="0" xfId="0" applyNumberFormat="1" applyFont="1"/>
    <xf numFmtId="167" fontId="26" fillId="29" borderId="37" xfId="0" applyNumberFormat="1" applyFont="1" applyFill="1" applyBorder="1" applyAlignment="1">
      <alignment horizontal="center" vertical="center"/>
    </xf>
    <xf numFmtId="1" fontId="26" fillId="29" borderId="38" xfId="0" applyNumberFormat="1" applyFont="1" applyFill="1" applyBorder="1" applyAlignment="1">
      <alignment horizontal="center" vertical="center"/>
    </xf>
    <xf numFmtId="0" fontId="26" fillId="29" borderId="38" xfId="0" applyFont="1" applyFill="1" applyBorder="1" applyAlignment="1">
      <alignment horizontal="center" vertical="center"/>
    </xf>
    <xf numFmtId="166" fontId="26" fillId="29" borderId="38" xfId="7" applyFont="1" applyFill="1" applyBorder="1" applyAlignment="1">
      <alignment horizontal="center" vertical="center"/>
    </xf>
    <xf numFmtId="4" fontId="26" fillId="29" borderId="38" xfId="0" applyNumberFormat="1" applyFont="1" applyFill="1" applyBorder="1" applyAlignment="1">
      <alignment horizontal="center" vertical="center"/>
    </xf>
    <xf numFmtId="4" fontId="26" fillId="29" borderId="55" xfId="0" applyNumberFormat="1" applyFont="1" applyFill="1" applyBorder="1" applyAlignment="1">
      <alignment horizontal="center" vertical="center"/>
    </xf>
    <xf numFmtId="167" fontId="60" fillId="30" borderId="0" xfId="0" applyNumberFormat="1" applyFont="1" applyFill="1" applyAlignment="1">
      <alignment horizontal="center"/>
    </xf>
    <xf numFmtId="1" fontId="60" fillId="30" borderId="0" xfId="0" applyNumberFormat="1" applyFont="1" applyFill="1" applyAlignment="1">
      <alignment horizontal="center"/>
    </xf>
    <xf numFmtId="167" fontId="60" fillId="30" borderId="0" xfId="0" applyNumberFormat="1" applyFont="1" applyFill="1" applyAlignment="1">
      <alignment horizontal="left"/>
    </xf>
    <xf numFmtId="166" fontId="60" fillId="30" borderId="0" xfId="7" applyFont="1" applyFill="1" applyAlignment="1">
      <alignment horizontal="center"/>
    </xf>
    <xf numFmtId="4" fontId="60" fillId="30" borderId="0" xfId="0" applyNumberFormat="1" applyFont="1" applyFill="1" applyAlignment="1">
      <alignment horizontal="center"/>
    </xf>
    <xf numFmtId="166" fontId="61" fillId="30" borderId="0" xfId="7" applyFont="1" applyFill="1" applyAlignment="1">
      <alignment horizontal="center"/>
    </xf>
    <xf numFmtId="1" fontId="22" fillId="0" borderId="0" xfId="0" applyNumberFormat="1" applyFont="1"/>
    <xf numFmtId="0" fontId="22" fillId="0" borderId="0" xfId="0" applyFont="1"/>
    <xf numFmtId="165" fontId="22" fillId="0" borderId="0" xfId="6" applyFont="1" applyFill="1"/>
    <xf numFmtId="165" fontId="20" fillId="0" borderId="0" xfId="6" applyFont="1" applyFill="1"/>
    <xf numFmtId="165" fontId="20" fillId="0" borderId="0" xfId="6" applyFont="1"/>
    <xf numFmtId="165" fontId="23" fillId="0" borderId="0" xfId="6" applyFont="1" applyAlignment="1">
      <alignment horizontal="center"/>
    </xf>
    <xf numFmtId="165" fontId="22" fillId="0" borderId="0" xfId="6" applyFont="1"/>
    <xf numFmtId="166" fontId="62" fillId="0" borderId="0" xfId="7" applyFont="1" applyFill="1"/>
    <xf numFmtId="0" fontId="22" fillId="0" borderId="0" xfId="0" applyFont="1" applyAlignment="1">
      <alignment horizontal="left"/>
    </xf>
    <xf numFmtId="1" fontId="2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67" fontId="22" fillId="0" borderId="47" xfId="0" applyNumberFormat="1" applyFont="1" applyBorder="1" applyAlignment="1">
      <alignment horizontal="center"/>
    </xf>
    <xf numFmtId="1" fontId="20" fillId="0" borderId="47" xfId="0" applyNumberFormat="1" applyFont="1" applyBorder="1" applyAlignment="1">
      <alignment horizontal="center"/>
    </xf>
    <xf numFmtId="165" fontId="20" fillId="0" borderId="47" xfId="6" applyFont="1" applyFill="1" applyBorder="1"/>
    <xf numFmtId="165" fontId="22" fillId="0" borderId="47" xfId="6" applyFont="1" applyBorder="1"/>
    <xf numFmtId="165" fontId="20" fillId="0" borderId="47" xfId="6" applyFont="1" applyBorder="1"/>
    <xf numFmtId="165" fontId="23" fillId="0" borderId="47" xfId="6" applyFont="1" applyBorder="1" applyAlignment="1">
      <alignment horizontal="center"/>
    </xf>
    <xf numFmtId="167" fontId="58" fillId="0" borderId="0" xfId="0" applyNumberFormat="1" applyFont="1" applyAlignment="1">
      <alignment horizontal="center"/>
    </xf>
    <xf numFmtId="1" fontId="58" fillId="0" borderId="0" xfId="0" applyNumberFormat="1" applyFont="1" applyAlignment="1">
      <alignment horizontal="center"/>
    </xf>
    <xf numFmtId="0" fontId="58" fillId="0" borderId="0" xfId="0" applyFont="1"/>
    <xf numFmtId="165" fontId="58" fillId="0" borderId="0" xfId="6" applyFont="1" applyFill="1"/>
    <xf numFmtId="165" fontId="58" fillId="0" borderId="0" xfId="6" applyFont="1"/>
    <xf numFmtId="1" fontId="62" fillId="0" borderId="0" xfId="0" applyNumberFormat="1" applyFont="1" applyAlignment="1">
      <alignment horizontal="center"/>
    </xf>
    <xf numFmtId="166" fontId="62" fillId="0" borderId="0" xfId="7" applyFont="1"/>
    <xf numFmtId="0" fontId="45" fillId="0" borderId="0" xfId="0" applyFont="1" applyAlignment="1">
      <alignment horizontal="center"/>
    </xf>
    <xf numFmtId="166" fontId="20" fillId="0" borderId="0" xfId="7" applyFont="1" applyAlignment="1">
      <alignment horizontal="left"/>
    </xf>
    <xf numFmtId="4" fontId="20" fillId="0" borderId="0" xfId="0" applyNumberFormat="1" applyFont="1"/>
    <xf numFmtId="4" fontId="46" fillId="0" borderId="0" xfId="0" applyNumberFormat="1" applyFont="1"/>
    <xf numFmtId="165" fontId="20" fillId="0" borderId="0" xfId="0" applyNumberFormat="1" applyFont="1" applyAlignment="1">
      <alignment horizontal="left"/>
    </xf>
    <xf numFmtId="0" fontId="20" fillId="0" borderId="47" xfId="0" applyFont="1" applyBorder="1" applyAlignment="1">
      <alignment horizontal="center"/>
    </xf>
    <xf numFmtId="166" fontId="62" fillId="0" borderId="47" xfId="7" applyFont="1" applyBorder="1"/>
    <xf numFmtId="0" fontId="45" fillId="0" borderId="47" xfId="0" applyFont="1" applyBorder="1" applyAlignment="1">
      <alignment horizontal="center"/>
    </xf>
    <xf numFmtId="165" fontId="20" fillId="0" borderId="0" xfId="0" applyNumberFormat="1" applyFont="1"/>
    <xf numFmtId="1" fontId="0" fillId="0" borderId="0" xfId="0" applyNumberFormat="1" applyAlignment="1">
      <alignment horizontal="center"/>
    </xf>
    <xf numFmtId="166" fontId="0" fillId="0" borderId="0" xfId="7" applyFont="1" applyFill="1"/>
    <xf numFmtId="166" fontId="1" fillId="0" borderId="0" xfId="7" applyFont="1" applyFill="1"/>
    <xf numFmtId="166" fontId="0" fillId="0" borderId="47" xfId="7" applyFont="1" applyFill="1" applyBorder="1"/>
    <xf numFmtId="4" fontId="19" fillId="0" borderId="0" xfId="0" applyNumberFormat="1" applyFont="1"/>
    <xf numFmtId="166" fontId="19" fillId="0" borderId="0" xfId="7" applyFont="1" applyFill="1"/>
    <xf numFmtId="167" fontId="63" fillId="0" borderId="0" xfId="0" applyNumberFormat="1" applyFont="1" applyAlignment="1">
      <alignment horizontal="center"/>
    </xf>
    <xf numFmtId="16" fontId="19" fillId="0" borderId="0" xfId="0" applyNumberFormat="1" applyFont="1" applyAlignment="1">
      <alignment horizontal="left"/>
    </xf>
    <xf numFmtId="0" fontId="63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6" fontId="63" fillId="0" borderId="0" xfId="7" applyFont="1"/>
    <xf numFmtId="167" fontId="63" fillId="0" borderId="47" xfId="0" applyNumberFormat="1" applyFont="1" applyBorder="1" applyAlignment="1">
      <alignment horizontal="center"/>
    </xf>
    <xf numFmtId="1" fontId="19" fillId="0" borderId="47" xfId="0" applyNumberFormat="1" applyFont="1" applyBorder="1" applyAlignment="1">
      <alignment horizontal="center"/>
    </xf>
    <xf numFmtId="166" fontId="19" fillId="0" borderId="47" xfId="7" applyFont="1" applyBorder="1"/>
    <xf numFmtId="167" fontId="64" fillId="31" borderId="0" xfId="0" applyNumberFormat="1" applyFont="1" applyFill="1" applyAlignment="1">
      <alignment horizontal="center"/>
    </xf>
    <xf numFmtId="1" fontId="64" fillId="31" borderId="0" xfId="0" applyNumberFormat="1" applyFont="1" applyFill="1" applyAlignment="1">
      <alignment horizontal="center"/>
    </xf>
    <xf numFmtId="0" fontId="28" fillId="31" borderId="0" xfId="0" applyFont="1" applyFill="1"/>
    <xf numFmtId="166" fontId="64" fillId="31" borderId="0" xfId="7" applyFont="1" applyFill="1"/>
    <xf numFmtId="165" fontId="28" fillId="31" borderId="0" xfId="6" applyFont="1" applyFill="1" applyBorder="1"/>
    <xf numFmtId="1" fontId="63" fillId="0" borderId="0" xfId="7" applyNumberFormat="1" applyFont="1" applyFill="1" applyAlignment="1">
      <alignment horizontal="center" vertical="center"/>
    </xf>
    <xf numFmtId="166" fontId="19" fillId="0" borderId="0" xfId="7" applyFont="1"/>
    <xf numFmtId="4" fontId="46" fillId="0" borderId="47" xfId="0" applyNumberFormat="1" applyFont="1" applyBorder="1"/>
    <xf numFmtId="1" fontId="63" fillId="0" borderId="0" xfId="0" applyNumberFormat="1" applyFont="1" applyAlignment="1">
      <alignment horizontal="center"/>
    </xf>
    <xf numFmtId="166" fontId="63" fillId="0" borderId="0" xfId="7" applyFont="1" applyFill="1"/>
    <xf numFmtId="14" fontId="20" fillId="0" borderId="0" xfId="0" applyNumberFormat="1" applyFont="1" applyAlignment="1">
      <alignment horizontal="left"/>
    </xf>
    <xf numFmtId="1" fontId="20" fillId="0" borderId="47" xfId="0" applyNumberFormat="1" applyFont="1" applyBorder="1"/>
    <xf numFmtId="166" fontId="20" fillId="0" borderId="47" xfId="7" applyFont="1" applyBorder="1"/>
    <xf numFmtId="165" fontId="58" fillId="0" borderId="0" xfId="6" applyFont="1" applyAlignment="1">
      <alignment horizontal="center" vertical="center"/>
    </xf>
    <xf numFmtId="166" fontId="22" fillId="0" borderId="0" xfId="7" applyFont="1" applyFill="1"/>
    <xf numFmtId="0" fontId="19" fillId="0" borderId="0" xfId="0" applyFont="1" applyAlignment="1">
      <alignment horizontal="left"/>
    </xf>
    <xf numFmtId="165" fontId="61" fillId="30" borderId="0" xfId="6" applyFont="1" applyFill="1" applyBorder="1"/>
    <xf numFmtId="165" fontId="61" fillId="30" borderId="47" xfId="6" applyFont="1" applyFill="1" applyBorder="1"/>
    <xf numFmtId="167" fontId="44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65" fontId="26" fillId="0" borderId="0" xfId="6" applyFont="1"/>
    <xf numFmtId="165" fontId="26" fillId="0" borderId="0" xfId="6" applyFont="1" applyFill="1" applyBorder="1"/>
    <xf numFmtId="0" fontId="45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65" fontId="61" fillId="30" borderId="0" xfId="6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165" fontId="20" fillId="0" borderId="0" xfId="6" applyFont="1" applyBorder="1" applyAlignment="1">
      <alignment vertical="center"/>
    </xf>
    <xf numFmtId="0" fontId="58" fillId="0" borderId="0" xfId="0" applyFont="1" applyAlignment="1">
      <alignment vertical="center"/>
    </xf>
    <xf numFmtId="167" fontId="22" fillId="0" borderId="47" xfId="0" applyNumberFormat="1" applyFont="1" applyBorder="1" applyAlignment="1">
      <alignment horizontal="center" vertical="center"/>
    </xf>
    <xf numFmtId="0" fontId="45" fillId="0" borderId="47" xfId="0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165" fontId="20" fillId="0" borderId="47" xfId="6" applyFont="1" applyBorder="1" applyAlignment="1">
      <alignment vertical="center"/>
    </xf>
    <xf numFmtId="165" fontId="22" fillId="0" borderId="47" xfId="6" applyFont="1" applyBorder="1" applyAlignment="1">
      <alignment vertical="center"/>
    </xf>
    <xf numFmtId="165" fontId="61" fillId="30" borderId="47" xfId="6" applyFont="1" applyFill="1" applyBorder="1" applyAlignment="1">
      <alignment vertical="center"/>
    </xf>
    <xf numFmtId="165" fontId="23" fillId="0" borderId="47" xfId="6" applyFont="1" applyBorder="1" applyAlignment="1">
      <alignment horizontal="center" vertical="center"/>
    </xf>
    <xf numFmtId="4" fontId="30" fillId="0" borderId="0" xfId="0" applyNumberFormat="1" applyFont="1"/>
    <xf numFmtId="166" fontId="20" fillId="0" borderId="0" xfId="7" applyFont="1" applyAlignment="1">
      <alignment vertical="center"/>
    </xf>
    <xf numFmtId="165" fontId="22" fillId="0" borderId="0" xfId="6" applyFont="1" applyAlignment="1">
      <alignment vertical="center"/>
    </xf>
    <xf numFmtId="0" fontId="45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vertical="center"/>
    </xf>
    <xf numFmtId="166" fontId="20" fillId="6" borderId="0" xfId="7" applyFont="1" applyFill="1" applyAlignment="1">
      <alignment vertical="center"/>
    </xf>
    <xf numFmtId="166" fontId="20" fillId="0" borderId="47" xfId="7" applyFont="1" applyBorder="1" applyAlignment="1">
      <alignment vertical="center"/>
    </xf>
    <xf numFmtId="4" fontId="66" fillId="0" borderId="0" xfId="0" applyNumberFormat="1" applyFont="1"/>
    <xf numFmtId="165" fontId="22" fillId="0" borderId="47" xfId="6" applyFont="1" applyFill="1" applyBorder="1" applyAlignment="1">
      <alignment vertical="center"/>
    </xf>
    <xf numFmtId="165" fontId="28" fillId="0" borderId="0" xfId="6" applyFont="1" applyAlignment="1">
      <alignment vertical="center"/>
    </xf>
    <xf numFmtId="0" fontId="20" fillId="0" borderId="0" xfId="0" applyFont="1" applyAlignment="1">
      <alignment horizontal="left" vertical="center"/>
    </xf>
    <xf numFmtId="166" fontId="58" fillId="0" borderId="0" xfId="7" applyFont="1" applyAlignment="1">
      <alignment vertical="center"/>
    </xf>
    <xf numFmtId="1" fontId="20" fillId="0" borderId="47" xfId="0" applyNumberFormat="1" applyFont="1" applyBorder="1" applyAlignment="1">
      <alignment vertical="center"/>
    </xf>
    <xf numFmtId="1" fontId="22" fillId="0" borderId="0" xfId="0" applyNumberFormat="1" applyFont="1" applyAlignment="1">
      <alignment vertical="center"/>
    </xf>
    <xf numFmtId="166" fontId="20" fillId="0" borderId="0" xfId="7" applyFont="1" applyAlignment="1">
      <alignment horizontal="left" vertical="center"/>
    </xf>
    <xf numFmtId="0" fontId="55" fillId="0" borderId="0" xfId="12"/>
    <xf numFmtId="166" fontId="20" fillId="0" borderId="47" xfId="7" applyFont="1" applyFill="1" applyBorder="1"/>
    <xf numFmtId="4" fontId="67" fillId="0" borderId="0" xfId="0" applyNumberFormat="1" applyFont="1"/>
    <xf numFmtId="1" fontId="22" fillId="0" borderId="47" xfId="0" applyNumberFormat="1" applyFont="1" applyBorder="1" applyAlignment="1">
      <alignment vertical="center"/>
    </xf>
    <xf numFmtId="0" fontId="22" fillId="0" borderId="47" xfId="0" applyFont="1" applyBorder="1" applyAlignment="1">
      <alignment vertical="center"/>
    </xf>
    <xf numFmtId="1" fontId="26" fillId="0" borderId="0" xfId="0" applyNumberFormat="1" applyFont="1" applyAlignment="1">
      <alignment vertical="center"/>
    </xf>
    <xf numFmtId="0" fontId="48" fillId="18" borderId="56" xfId="0" applyFont="1" applyFill="1" applyBorder="1"/>
    <xf numFmtId="165" fontId="23" fillId="8" borderId="0" xfId="6" applyFont="1" applyFill="1" applyAlignment="1">
      <alignment horizontal="center" vertical="center"/>
    </xf>
    <xf numFmtId="1" fontId="3" fillId="3" borderId="0" xfId="4" applyNumberFormat="1" applyAlignment="1">
      <alignment vertical="center"/>
    </xf>
    <xf numFmtId="0" fontId="3" fillId="3" borderId="0" xfId="4" applyAlignment="1">
      <alignment vertical="center"/>
    </xf>
    <xf numFmtId="166" fontId="3" fillId="3" borderId="0" xfId="4" applyNumberFormat="1"/>
    <xf numFmtId="165" fontId="3" fillId="3" borderId="0" xfId="4" applyNumberFormat="1" applyAlignment="1">
      <alignment vertical="center"/>
    </xf>
    <xf numFmtId="165" fontId="3" fillId="3" borderId="0" xfId="4" applyNumberFormat="1" applyBorder="1" applyAlignment="1">
      <alignment vertical="center"/>
    </xf>
    <xf numFmtId="165" fontId="3" fillId="3" borderId="0" xfId="4" applyNumberFormat="1" applyAlignment="1">
      <alignment horizontal="center" vertical="center"/>
    </xf>
    <xf numFmtId="166" fontId="3" fillId="3" borderId="0" xfId="4" applyNumberFormat="1" applyAlignment="1">
      <alignment horizontal="left" vertical="center"/>
    </xf>
    <xf numFmtId="0" fontId="20" fillId="8" borderId="0" xfId="0" applyFont="1" applyFill="1" applyAlignment="1">
      <alignment vertical="center"/>
    </xf>
    <xf numFmtId="165" fontId="22" fillId="8" borderId="0" xfId="6" applyFont="1" applyFill="1" applyAlignment="1">
      <alignment vertical="center"/>
    </xf>
    <xf numFmtId="165" fontId="22" fillId="0" borderId="0" xfId="6" applyFont="1" applyFill="1" applyAlignment="1">
      <alignment vertical="center"/>
    </xf>
    <xf numFmtId="0" fontId="70" fillId="0" borderId="0" xfId="0" applyFont="1" applyAlignment="1">
      <alignment horizontal="left" vertical="center"/>
    </xf>
    <xf numFmtId="1" fontId="58" fillId="0" borderId="0" xfId="0" applyNumberFormat="1" applyFont="1" applyAlignment="1">
      <alignment vertical="center"/>
    </xf>
    <xf numFmtId="1" fontId="20" fillId="8" borderId="0" xfId="0" applyNumberFormat="1" applyFont="1" applyFill="1" applyAlignment="1">
      <alignment vertical="center"/>
    </xf>
    <xf numFmtId="0" fontId="71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167" fontId="22" fillId="11" borderId="0" xfId="0" applyNumberFormat="1" applyFont="1" applyFill="1" applyAlignment="1">
      <alignment horizontal="center" vertical="center"/>
    </xf>
    <xf numFmtId="1" fontId="20" fillId="11" borderId="0" xfId="0" applyNumberFormat="1" applyFont="1" applyFill="1" applyAlignment="1">
      <alignment vertical="center"/>
    </xf>
    <xf numFmtId="0" fontId="31" fillId="11" borderId="0" xfId="0" applyFont="1" applyFill="1" applyAlignment="1">
      <alignment vertical="center" wrapText="1"/>
    </xf>
    <xf numFmtId="165" fontId="20" fillId="11" borderId="0" xfId="6" applyFont="1" applyFill="1" applyAlignment="1">
      <alignment vertical="center"/>
    </xf>
    <xf numFmtId="165" fontId="22" fillId="11" borderId="0" xfId="6" applyFont="1" applyFill="1" applyBorder="1" applyAlignment="1">
      <alignment vertical="center"/>
    </xf>
    <xf numFmtId="165" fontId="23" fillId="11" borderId="0" xfId="6" applyFont="1" applyFill="1" applyAlignment="1">
      <alignment horizontal="center" vertical="center"/>
    </xf>
    <xf numFmtId="0" fontId="20" fillId="11" borderId="0" xfId="0" applyFont="1" applyFill="1" applyAlignment="1">
      <alignment horizontal="left"/>
    </xf>
    <xf numFmtId="165" fontId="1" fillId="8" borderId="0" xfId="6" applyFill="1"/>
    <xf numFmtId="165" fontId="16" fillId="0" borderId="0" xfId="6" applyFont="1" applyFill="1" applyAlignment="1">
      <alignment vertical="center"/>
    </xf>
    <xf numFmtId="165" fontId="26" fillId="8" borderId="0" xfId="6" applyFont="1" applyFill="1" applyAlignment="1">
      <alignment vertical="center"/>
    </xf>
    <xf numFmtId="165" fontId="1" fillId="22" borderId="0" xfId="6" applyFill="1"/>
    <xf numFmtId="165" fontId="0" fillId="0" borderId="0" xfId="6" applyFont="1"/>
    <xf numFmtId="165" fontId="0" fillId="0" borderId="0" xfId="0" applyNumberFormat="1"/>
    <xf numFmtId="165" fontId="8" fillId="8" borderId="0" xfId="6" applyFont="1" applyFill="1" applyAlignment="1">
      <alignment vertical="center"/>
    </xf>
    <xf numFmtId="167" fontId="11" fillId="32" borderId="0" xfId="0" applyNumberFormat="1" applyFont="1" applyFill="1" applyAlignment="1">
      <alignment horizontal="center" vertical="center"/>
    </xf>
    <xf numFmtId="0" fontId="8" fillId="32" borderId="0" xfId="0" applyFont="1" applyFill="1"/>
    <xf numFmtId="0" fontId="8" fillId="32" borderId="0" xfId="0" applyFont="1" applyFill="1" applyAlignment="1">
      <alignment vertical="center"/>
    </xf>
    <xf numFmtId="165" fontId="8" fillId="32" borderId="0" xfId="6" applyFont="1" applyFill="1" applyAlignment="1">
      <alignment vertical="center"/>
    </xf>
    <xf numFmtId="165" fontId="22" fillId="32" borderId="0" xfId="6" applyFont="1" applyFill="1" applyBorder="1" applyAlignment="1">
      <alignment vertical="center"/>
    </xf>
    <xf numFmtId="165" fontId="23" fillId="32" borderId="0" xfId="6" applyFont="1" applyFill="1" applyAlignment="1">
      <alignment horizontal="center" vertical="center"/>
    </xf>
    <xf numFmtId="1" fontId="3" fillId="0" borderId="0" xfId="4" applyNumberFormat="1" applyFill="1" applyAlignment="1">
      <alignment vertical="center"/>
    </xf>
    <xf numFmtId="0" fontId="25" fillId="9" borderId="54" xfId="0" applyFont="1" applyFill="1" applyBorder="1" applyAlignment="1">
      <alignment horizontal="right" vertical="center" wrapText="1" indent="1"/>
    </xf>
    <xf numFmtId="1" fontId="10" fillId="0" borderId="0" xfId="4" applyNumberFormat="1" applyFont="1" applyFill="1" applyAlignment="1">
      <alignment vertical="center"/>
    </xf>
    <xf numFmtId="165" fontId="20" fillId="8" borderId="0" xfId="6" applyFont="1" applyFill="1"/>
    <xf numFmtId="0" fontId="73" fillId="0" borderId="0" xfId="0" applyFont="1" applyAlignment="1">
      <alignment vertical="center" wrapText="1"/>
    </xf>
    <xf numFmtId="0" fontId="74" fillId="0" borderId="0" xfId="0" applyFont="1" applyAlignment="1">
      <alignment vertical="center" wrapText="1"/>
    </xf>
    <xf numFmtId="165" fontId="5" fillId="22" borderId="0" xfId="6" applyFont="1" applyFill="1"/>
    <xf numFmtId="165" fontId="44" fillId="22" borderId="0" xfId="6" applyFont="1" applyFill="1" applyBorder="1" applyAlignment="1">
      <alignment vertical="center"/>
    </xf>
    <xf numFmtId="167" fontId="22" fillId="33" borderId="0" xfId="0" applyNumberFormat="1" applyFont="1" applyFill="1" applyAlignment="1">
      <alignment horizontal="center" vertical="center"/>
    </xf>
    <xf numFmtId="0" fontId="8" fillId="33" borderId="0" xfId="0" applyFont="1" applyFill="1"/>
    <xf numFmtId="0" fontId="1" fillId="33" borderId="15" xfId="8" applyFill="1" applyBorder="1"/>
    <xf numFmtId="165" fontId="5" fillId="26" borderId="0" xfId="6" applyFont="1" applyFill="1"/>
    <xf numFmtId="165" fontId="22" fillId="34" borderId="0" xfId="6" applyFont="1" applyFill="1" applyBorder="1" applyAlignment="1">
      <alignment vertical="center"/>
    </xf>
    <xf numFmtId="0" fontId="1" fillId="33" borderId="0" xfId="8" applyFill="1"/>
    <xf numFmtId="165" fontId="44" fillId="26" borderId="0" xfId="6" applyFont="1" applyFill="1" applyBorder="1" applyAlignment="1">
      <alignment vertical="center"/>
    </xf>
    <xf numFmtId="0" fontId="0" fillId="33" borderId="0" xfId="0" applyFill="1"/>
    <xf numFmtId="165" fontId="5" fillId="26" borderId="0" xfId="6" applyFont="1" applyFill="1" applyBorder="1"/>
    <xf numFmtId="165" fontId="20" fillId="0" borderId="0" xfId="6" applyFont="1" applyAlignment="1">
      <alignment horizontal="left"/>
    </xf>
    <xf numFmtId="0" fontId="11" fillId="33" borderId="0" xfId="0" applyFont="1" applyFill="1" applyAlignment="1">
      <alignment horizontal="left" vertical="center"/>
    </xf>
    <xf numFmtId="165" fontId="44" fillId="0" borderId="0" xfId="6" applyFont="1" applyFill="1" applyBorder="1" applyAlignment="1">
      <alignment vertical="center"/>
    </xf>
    <xf numFmtId="1" fontId="22" fillId="33" borderId="0" xfId="0" applyNumberFormat="1" applyFont="1" applyFill="1" applyAlignment="1">
      <alignment vertical="center"/>
    </xf>
    <xf numFmtId="174" fontId="20" fillId="0" borderId="0" xfId="0" applyNumberFormat="1" applyFont="1" applyAlignment="1">
      <alignment horizontal="left"/>
    </xf>
    <xf numFmtId="0" fontId="20" fillId="33" borderId="0" xfId="0" applyFont="1" applyFill="1"/>
    <xf numFmtId="165" fontId="5" fillId="8" borderId="0" xfId="6" applyFont="1" applyFill="1" applyBorder="1"/>
    <xf numFmtId="165" fontId="5" fillId="8" borderId="0" xfId="6" applyFont="1" applyFill="1"/>
    <xf numFmtId="0" fontId="21" fillId="33" borderId="0" xfId="0" applyFont="1" applyFill="1" applyAlignment="1">
      <alignment horizontal="left" vertical="center"/>
    </xf>
    <xf numFmtId="165" fontId="75" fillId="8" borderId="0" xfId="6" applyFont="1" applyFill="1"/>
    <xf numFmtId="165" fontId="23" fillId="10" borderId="0" xfId="6" applyFont="1" applyFill="1" applyAlignment="1">
      <alignment horizontal="center" vertical="center"/>
    </xf>
    <xf numFmtId="0" fontId="20" fillId="10" borderId="0" xfId="0" applyFont="1" applyFill="1" applyAlignment="1">
      <alignment horizontal="left"/>
    </xf>
    <xf numFmtId="165" fontId="4" fillId="0" borderId="0" xfId="6" applyFont="1"/>
    <xf numFmtId="166" fontId="0" fillId="0" borderId="0" xfId="7" applyFont="1"/>
    <xf numFmtId="165" fontId="29" fillId="22" borderId="0" xfId="6" applyFont="1" applyFill="1" applyBorder="1" applyAlignment="1">
      <alignment horizontal="center" vertical="center"/>
    </xf>
    <xf numFmtId="165" fontId="29" fillId="34" borderId="0" xfId="6" applyFont="1" applyFill="1" applyBorder="1" applyAlignment="1">
      <alignment horizontal="center" vertical="center"/>
    </xf>
    <xf numFmtId="165" fontId="20" fillId="26" borderId="0" xfId="6" applyFont="1" applyFill="1" applyAlignment="1">
      <alignment vertical="center"/>
    </xf>
    <xf numFmtId="165" fontId="28" fillId="12" borderId="0" xfId="13" applyFont="1" applyFill="1" applyBorder="1" applyAlignment="1">
      <alignment vertical="center"/>
    </xf>
    <xf numFmtId="165" fontId="22" fillId="12" borderId="0" xfId="6" applyFont="1" applyFill="1" applyBorder="1" applyAlignment="1">
      <alignment vertical="center"/>
    </xf>
    <xf numFmtId="165" fontId="23" fillId="12" borderId="0" xfId="6" applyFont="1" applyFill="1" applyAlignment="1">
      <alignment horizontal="center" vertical="center"/>
    </xf>
    <xf numFmtId="0" fontId="11" fillId="0" borderId="57" xfId="0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13" fontId="23" fillId="0" borderId="0" xfId="6" applyNumberFormat="1" applyFont="1" applyAlignment="1">
      <alignment horizontal="center" vertical="center"/>
    </xf>
    <xf numFmtId="165" fontId="8" fillId="22" borderId="0" xfId="6" applyFont="1" applyFill="1"/>
    <xf numFmtId="166" fontId="26" fillId="8" borderId="0" xfId="7" applyFont="1" applyFill="1"/>
    <xf numFmtId="167" fontId="22" fillId="31" borderId="0" xfId="0" applyNumberFormat="1" applyFont="1" applyFill="1" applyAlignment="1">
      <alignment horizontal="center" vertical="center"/>
    </xf>
    <xf numFmtId="1" fontId="20" fillId="31" borderId="0" xfId="0" applyNumberFormat="1" applyFont="1" applyFill="1" applyAlignment="1">
      <alignment horizontal="center" vertical="center"/>
    </xf>
    <xf numFmtId="0" fontId="11" fillId="31" borderId="0" xfId="0" applyFont="1" applyFill="1" applyAlignment="1">
      <alignment horizontal="left" vertical="center"/>
    </xf>
    <xf numFmtId="166" fontId="20" fillId="31" borderId="0" xfId="7" applyFont="1" applyFill="1"/>
    <xf numFmtId="165" fontId="22" fillId="31" borderId="0" xfId="6" applyFont="1" applyFill="1" applyBorder="1" applyAlignment="1">
      <alignment vertical="center"/>
    </xf>
    <xf numFmtId="165" fontId="23" fillId="31" borderId="0" xfId="6" applyFont="1" applyFill="1" applyAlignment="1">
      <alignment horizontal="center" vertical="center"/>
    </xf>
    <xf numFmtId="0" fontId="20" fillId="31" borderId="0" xfId="0" applyFont="1" applyFill="1" applyAlignment="1">
      <alignment horizontal="left"/>
    </xf>
    <xf numFmtId="0" fontId="20" fillId="27" borderId="0" xfId="0" applyFont="1" applyFill="1" applyAlignment="1">
      <alignment horizontal="left"/>
    </xf>
    <xf numFmtId="0" fontId="20" fillId="13" borderId="0" xfId="0" applyFont="1" applyFill="1" applyAlignment="1">
      <alignment horizontal="left"/>
    </xf>
    <xf numFmtId="1" fontId="35" fillId="17" borderId="0" xfId="9" applyNumberFormat="1" applyAlignment="1">
      <alignment vertical="center"/>
    </xf>
    <xf numFmtId="165" fontId="26" fillId="8" borderId="0" xfId="6" applyFont="1" applyFill="1" applyBorder="1" applyAlignment="1">
      <alignment vertical="center"/>
    </xf>
    <xf numFmtId="165" fontId="22" fillId="26" borderId="0" xfId="6" applyFont="1" applyFill="1" applyAlignment="1">
      <alignment vertical="center"/>
    </xf>
    <xf numFmtId="0" fontId="76" fillId="0" borderId="0" xfId="0" applyFont="1"/>
    <xf numFmtId="0" fontId="42" fillId="3" borderId="0" xfId="4" applyFont="1" applyBorder="1" applyAlignment="1">
      <alignment horizontal="left" vertical="center"/>
    </xf>
    <xf numFmtId="167" fontId="44" fillId="0" borderId="15" xfId="0" applyNumberFormat="1" applyFont="1" applyBorder="1" applyAlignment="1">
      <alignment horizontal="center" vertical="center"/>
    </xf>
    <xf numFmtId="1" fontId="20" fillId="0" borderId="15" xfId="0" applyNumberFormat="1" applyFont="1" applyBorder="1"/>
    <xf numFmtId="0" fontId="77" fillId="0" borderId="15" xfId="0" applyFont="1" applyBorder="1" applyAlignment="1">
      <alignment vertical="center"/>
    </xf>
    <xf numFmtId="165" fontId="77" fillId="22" borderId="15" xfId="6" applyFont="1" applyFill="1" applyBorder="1" applyAlignment="1">
      <alignment vertical="center"/>
    </xf>
    <xf numFmtId="165" fontId="77" fillId="0" borderId="15" xfId="6" applyFont="1" applyFill="1" applyBorder="1" applyAlignment="1">
      <alignment vertical="center"/>
    </xf>
    <xf numFmtId="0" fontId="78" fillId="0" borderId="15" xfId="0" applyFont="1" applyBorder="1"/>
    <xf numFmtId="165" fontId="77" fillId="0" borderId="15" xfId="6" applyFont="1" applyBorder="1"/>
    <xf numFmtId="0" fontId="78" fillId="0" borderId="15" xfId="0" applyFont="1" applyBorder="1" applyAlignment="1">
      <alignment vertical="center"/>
    </xf>
    <xf numFmtId="165" fontId="78" fillId="0" borderId="15" xfId="6" applyFont="1" applyFill="1" applyBorder="1" applyAlignment="1">
      <alignment vertical="center"/>
    </xf>
    <xf numFmtId="0" fontId="79" fillId="0" borderId="15" xfId="0" applyFont="1" applyBorder="1" applyAlignment="1">
      <alignment horizontal="left" vertical="center"/>
    </xf>
    <xf numFmtId="0" fontId="76" fillId="0" borderId="15" xfId="0" applyFont="1" applyBorder="1"/>
    <xf numFmtId="165" fontId="78" fillId="0" borderId="15" xfId="6" applyFont="1" applyBorder="1" applyAlignment="1">
      <alignment vertical="center"/>
    </xf>
    <xf numFmtId="17" fontId="80" fillId="8" borderId="0" xfId="0" quotePrefix="1" applyNumberFormat="1" applyFont="1" applyFill="1" applyAlignment="1">
      <alignment vertical="center"/>
    </xf>
    <xf numFmtId="0" fontId="81" fillId="8" borderId="0" xfId="7" applyNumberFormat="1" applyFont="1" applyFill="1" applyAlignment="1">
      <alignment horizontal="center" vertical="center"/>
    </xf>
    <xf numFmtId="166" fontId="81" fillId="8" borderId="0" xfId="7" applyFont="1" applyFill="1" applyAlignment="1">
      <alignment horizontal="left" vertical="center"/>
    </xf>
    <xf numFmtId="167" fontId="22" fillId="22" borderId="0" xfId="0" applyNumberFormat="1" applyFont="1" applyFill="1" applyAlignment="1">
      <alignment horizontal="center" vertical="center"/>
    </xf>
    <xf numFmtId="1" fontId="20" fillId="22" borderId="0" xfId="0" applyNumberFormat="1" applyFont="1" applyFill="1"/>
    <xf numFmtId="0" fontId="31" fillId="22" borderId="0" xfId="0" applyFont="1" applyFill="1"/>
    <xf numFmtId="17" fontId="80" fillId="11" borderId="0" xfId="0" quotePrefix="1" applyNumberFormat="1" applyFont="1" applyFill="1" applyAlignment="1">
      <alignment vertical="center"/>
    </xf>
    <xf numFmtId="0" fontId="81" fillId="11" borderId="0" xfId="7" applyNumberFormat="1" applyFont="1" applyFill="1" applyAlignment="1">
      <alignment horizontal="center" vertical="center"/>
    </xf>
    <xf numFmtId="166" fontId="81" fillId="11" borderId="0" xfId="7" applyFont="1" applyFill="1" applyAlignment="1">
      <alignment horizontal="left" vertical="center"/>
    </xf>
    <xf numFmtId="1" fontId="20" fillId="8" borderId="0" xfId="0" applyNumberFormat="1" applyFont="1" applyFill="1"/>
    <xf numFmtId="0" fontId="15" fillId="8" borderId="0" xfId="0" applyFont="1" applyFill="1" applyAlignment="1">
      <alignment horizontal="left" vertical="center"/>
    </xf>
    <xf numFmtId="1" fontId="2" fillId="2" borderId="0" xfId="3" applyNumberFormat="1"/>
    <xf numFmtId="0" fontId="11" fillId="22" borderId="0" xfId="0" applyFont="1" applyFill="1" applyAlignment="1">
      <alignment horizontal="left" vertical="center"/>
    </xf>
    <xf numFmtId="1" fontId="22" fillId="22" borderId="0" xfId="0" applyNumberFormat="1" applyFont="1" applyFill="1"/>
    <xf numFmtId="165" fontId="22" fillId="22" borderId="0" xfId="6" applyFont="1" applyFill="1" applyAlignment="1">
      <alignment vertical="center"/>
    </xf>
    <xf numFmtId="1" fontId="20" fillId="22" borderId="0" xfId="0" applyNumberFormat="1" applyFont="1" applyFill="1" applyAlignment="1">
      <alignment vertical="center"/>
    </xf>
    <xf numFmtId="165" fontId="11" fillId="0" borderId="0" xfId="6" applyFont="1" applyFill="1" applyAlignment="1">
      <alignment vertical="center"/>
    </xf>
    <xf numFmtId="165" fontId="82" fillId="0" borderId="0" xfId="6" applyFont="1" applyAlignment="1">
      <alignment vertical="center"/>
    </xf>
    <xf numFmtId="167" fontId="58" fillId="0" borderId="0" xfId="0" applyNumberFormat="1" applyFont="1" applyAlignment="1">
      <alignment horizontal="center" vertical="center"/>
    </xf>
    <xf numFmtId="1" fontId="58" fillId="0" borderId="0" xfId="0" applyNumberFormat="1" applyFont="1"/>
    <xf numFmtId="165" fontId="58" fillId="0" borderId="0" xfId="6" applyFont="1" applyFill="1" applyAlignment="1">
      <alignment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vertical="center"/>
    </xf>
    <xf numFmtId="165" fontId="85" fillId="0" borderId="0" xfId="6" applyFont="1" applyFill="1" applyAlignment="1">
      <alignment vertical="center"/>
    </xf>
    <xf numFmtId="165" fontId="21" fillId="0" borderId="0" xfId="6" applyFont="1" applyFill="1" applyAlignment="1">
      <alignment vertical="center"/>
    </xf>
    <xf numFmtId="165" fontId="85" fillId="0" borderId="0" xfId="6" applyFont="1" applyAlignment="1">
      <alignment vertical="center"/>
    </xf>
    <xf numFmtId="166" fontId="58" fillId="0" borderId="0" xfId="7" applyFont="1" applyFill="1" applyBorder="1"/>
    <xf numFmtId="165" fontId="85" fillId="0" borderId="0" xfId="6" applyFont="1"/>
    <xf numFmtId="166" fontId="58" fillId="0" borderId="0" xfId="7" applyFont="1" applyFill="1"/>
    <xf numFmtId="166" fontId="58" fillId="0" borderId="0" xfId="7" applyFont="1"/>
    <xf numFmtId="0" fontId="86" fillId="17" borderId="0" xfId="9" applyFont="1"/>
    <xf numFmtId="1" fontId="86" fillId="17" borderId="0" xfId="9" applyNumberFormat="1" applyFont="1" applyAlignment="1">
      <alignment vertical="center"/>
    </xf>
    <xf numFmtId="0" fontId="86" fillId="17" borderId="0" xfId="9" quotePrefix="1" applyFont="1" applyAlignment="1">
      <alignment vertical="center"/>
    </xf>
    <xf numFmtId="166" fontId="86" fillId="17" borderId="0" xfId="9" applyNumberFormat="1" applyFont="1"/>
    <xf numFmtId="0" fontId="86" fillId="17" borderId="0" xfId="9" applyNumberFormat="1" applyFont="1" applyAlignment="1">
      <alignment horizontal="center" vertical="center"/>
    </xf>
    <xf numFmtId="0" fontId="86" fillId="17" borderId="0" xfId="9" applyFont="1" applyAlignment="1">
      <alignment horizontal="left" vertical="center"/>
    </xf>
    <xf numFmtId="167" fontId="47" fillId="0" borderId="0" xfId="0" applyNumberFormat="1" applyFont="1" applyAlignment="1">
      <alignment horizontal="center" vertical="center" wrapText="1"/>
    </xf>
    <xf numFmtId="166" fontId="20" fillId="0" borderId="0" xfId="0" applyNumberFormat="1" applyFont="1"/>
    <xf numFmtId="0" fontId="20" fillId="0" borderId="0" xfId="0" applyFont="1" applyFill="1" applyAlignment="1">
      <alignment horizontal="left"/>
    </xf>
    <xf numFmtId="4" fontId="8" fillId="6" borderId="15" xfId="0" applyNumberFormat="1" applyFont="1" applyFill="1" applyBorder="1" applyAlignment="1">
      <alignment horizontal="right" vertical="center"/>
    </xf>
    <xf numFmtId="4" fontId="8" fillId="6" borderId="15" xfId="7" applyNumberFormat="1" applyFont="1" applyFill="1" applyBorder="1" applyAlignment="1">
      <alignment horizontal="right" vertical="center"/>
    </xf>
    <xf numFmtId="4" fontId="15" fillId="0" borderId="9" xfId="6" applyNumberFormat="1" applyFont="1" applyFill="1" applyBorder="1" applyAlignment="1">
      <alignment horizontal="right" vertical="center"/>
    </xf>
    <xf numFmtId="4" fontId="21" fillId="0" borderId="9" xfId="6" applyNumberFormat="1" applyFont="1" applyFill="1" applyBorder="1" applyAlignment="1">
      <alignment horizontal="right" vertical="center"/>
    </xf>
    <xf numFmtId="4" fontId="11" fillId="0" borderId="9" xfId="6" applyNumberFormat="1" applyFont="1" applyFill="1" applyBorder="1" applyAlignment="1">
      <alignment horizontal="right" vertical="center"/>
    </xf>
    <xf numFmtId="4" fontId="16" fillId="0" borderId="9" xfId="6" applyNumberFormat="1" applyFont="1" applyFill="1" applyBorder="1" applyAlignment="1">
      <alignment horizontal="right" vertical="center"/>
    </xf>
    <xf numFmtId="4" fontId="8" fillId="0" borderId="9" xfId="6" applyNumberFormat="1" applyFont="1" applyFill="1" applyBorder="1" applyAlignment="1">
      <alignment horizontal="right" vertical="center"/>
    </xf>
    <xf numFmtId="168" fontId="0" fillId="0" borderId="18" xfId="2" applyNumberFormat="1" applyFont="1" applyFill="1" applyBorder="1"/>
    <xf numFmtId="166" fontId="20" fillId="0" borderId="7" xfId="7" applyFont="1" applyFill="1" applyBorder="1"/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56" fillId="29" borderId="11" xfId="0" applyNumberFormat="1" applyFont="1" applyFill="1" applyBorder="1" applyAlignment="1">
      <alignment horizontal="center" vertical="center"/>
    </xf>
    <xf numFmtId="49" fontId="57" fillId="29" borderId="13" xfId="0" applyNumberFormat="1" applyFont="1" applyFill="1" applyBorder="1" applyAlignment="1">
      <alignment horizontal="center" vertical="center"/>
    </xf>
    <xf numFmtId="49" fontId="57" fillId="29" borderId="12" xfId="0" applyNumberFormat="1" applyFont="1" applyFill="1" applyBorder="1" applyAlignment="1">
      <alignment horizontal="center" vertical="center"/>
    </xf>
    <xf numFmtId="167" fontId="44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167" fontId="22" fillId="0" borderId="0" xfId="0" applyNumberFormat="1" applyFont="1" applyAlignment="1">
      <alignment horizontal="left" vertical="center"/>
    </xf>
  </cellXfs>
  <cellStyles count="14">
    <cellStyle name="40% - Énfasis1" xfId="11" builtinId="31"/>
    <cellStyle name="Bueno" xfId="3" builtinId="26"/>
    <cellStyle name="Énfasis5" xfId="10" builtinId="45"/>
    <cellStyle name="Hipervínculo" xfId="12" builtinId="8"/>
    <cellStyle name="Incorrecto" xfId="9" builtinId="27"/>
    <cellStyle name="Millares" xfId="1" builtinId="3"/>
    <cellStyle name="Millares 3" xfId="7"/>
    <cellStyle name="Moneda" xfId="2" builtinId="4"/>
    <cellStyle name="Moneda 2" xfId="5"/>
    <cellStyle name="Moneda 3" xfId="6"/>
    <cellStyle name="Moneda 3 3" xfId="13"/>
    <cellStyle name="Neutral" xfId="4" builtinId="28"/>
    <cellStyle name="Normal" xfId="0" builtinId="0"/>
    <cellStyle name="Normal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javascript:verDetalleDinamico('CUENTAS_EXTRACTO_DETALLE_CHEQUESDEPOSITADOS',%20'3',%20'750',%20'490',%20'0',%20'3');" TargetMode="External"/><Relationship Id="rId1" Type="http://schemas.openxmlformats.org/officeDocument/2006/relationships/hyperlink" Target="javascript:verDetalleDinamico('CUENTAS_EXTRACTO_DETALLE_CHEQUESDEPOSITADOS',%20'8',%20'750',%20'490',%20'0',%20'3');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opLeftCell="A100" workbookViewId="0">
      <selection activeCell="B140" sqref="B140"/>
    </sheetView>
  </sheetViews>
  <sheetFormatPr baseColWidth="10" defaultRowHeight="15"/>
  <cols>
    <col min="2" max="2" width="50.5703125" customWidth="1"/>
    <col min="3" max="4" width="14.28515625" customWidth="1"/>
    <col min="5" max="5" width="14.42578125" customWidth="1"/>
    <col min="6" max="6" width="14" customWidth="1"/>
    <col min="7" max="7" width="14.5703125" customWidth="1"/>
  </cols>
  <sheetData>
    <row r="1" spans="1:14">
      <c r="A1" s="1"/>
      <c r="B1" s="912" t="s">
        <v>0</v>
      </c>
      <c r="C1" s="913"/>
      <c r="D1" s="913"/>
      <c r="E1" s="913"/>
      <c r="F1" s="913"/>
      <c r="G1" s="913"/>
      <c r="H1" s="914"/>
      <c r="I1" s="2"/>
    </row>
    <row r="2" spans="1:14" ht="15.75" thickBot="1">
      <c r="A2" s="1"/>
      <c r="B2" s="915"/>
      <c r="C2" s="916"/>
      <c r="D2" s="916"/>
      <c r="E2" s="916"/>
      <c r="F2" s="916"/>
      <c r="G2" s="916"/>
      <c r="H2" s="917"/>
      <c r="I2" s="2"/>
    </row>
    <row r="3" spans="1:14" ht="26.25">
      <c r="A3" s="1"/>
      <c r="B3" s="3"/>
      <c r="C3" s="3"/>
      <c r="D3" s="3"/>
      <c r="E3" s="918" t="s">
        <v>1</v>
      </c>
      <c r="F3" s="919"/>
      <c r="G3" s="920"/>
      <c r="H3" s="3"/>
      <c r="I3" s="2"/>
    </row>
    <row r="4" spans="1:14" ht="15.75" thickBot="1"/>
    <row r="5" spans="1:14" ht="15.75" thickBot="1">
      <c r="A5" s="4" t="s">
        <v>2</v>
      </c>
      <c r="C5" s="907" t="s">
        <v>3</v>
      </c>
      <c r="D5" s="908"/>
      <c r="E5" s="907" t="s">
        <v>4</v>
      </c>
      <c r="F5" s="908"/>
      <c r="G5" s="5"/>
      <c r="H5" s="909" t="s">
        <v>5</v>
      </c>
      <c r="I5" s="910"/>
      <c r="J5" s="909" t="s">
        <v>6</v>
      </c>
      <c r="K5" s="911"/>
      <c r="L5" s="911"/>
      <c r="M5" s="910"/>
      <c r="N5" s="6"/>
    </row>
    <row r="6" spans="1:14" ht="15.75" thickBot="1">
      <c r="A6" s="7" t="s">
        <v>7</v>
      </c>
      <c r="B6" s="8" t="s">
        <v>8</v>
      </c>
      <c r="C6" s="9" t="s">
        <v>9</v>
      </c>
      <c r="D6" s="9" t="s">
        <v>10</v>
      </c>
      <c r="E6" s="10" t="s">
        <v>11</v>
      </c>
      <c r="F6" s="10" t="s">
        <v>12</v>
      </c>
      <c r="G6" s="11" t="s">
        <v>13</v>
      </c>
      <c r="H6" s="12" t="s">
        <v>14</v>
      </c>
      <c r="I6" s="12" t="s">
        <v>10</v>
      </c>
      <c r="J6" s="12" t="s">
        <v>15</v>
      </c>
      <c r="K6" s="12" t="s">
        <v>11</v>
      </c>
      <c r="L6" s="12" t="s">
        <v>16</v>
      </c>
      <c r="M6" s="12" t="s">
        <v>17</v>
      </c>
      <c r="N6" s="13" t="s">
        <v>18</v>
      </c>
    </row>
    <row r="7" spans="1:14">
      <c r="A7" s="14">
        <v>44561</v>
      </c>
      <c r="B7" s="15" t="s">
        <v>19</v>
      </c>
      <c r="C7" s="16"/>
      <c r="D7" s="17"/>
      <c r="E7" s="17"/>
      <c r="F7" s="18"/>
      <c r="G7" s="19">
        <v>39533.29</v>
      </c>
      <c r="H7" s="16"/>
      <c r="I7" s="20"/>
      <c r="J7" s="17"/>
      <c r="K7" s="20"/>
      <c r="L7" s="21"/>
      <c r="M7" s="22"/>
      <c r="N7" s="23">
        <v>240480.77</v>
      </c>
    </row>
    <row r="8" spans="1:14">
      <c r="A8" s="24">
        <v>44566</v>
      </c>
      <c r="B8" s="25" t="s">
        <v>20</v>
      </c>
      <c r="C8" s="26"/>
      <c r="D8" s="27"/>
      <c r="E8" s="27"/>
      <c r="F8" s="28"/>
      <c r="G8" s="29">
        <f t="shared" ref="G8:G36" si="0">+G7+C8+D8-E8-F8</f>
        <v>39533.29</v>
      </c>
      <c r="H8" s="30"/>
      <c r="I8" s="31">
        <v>966</v>
      </c>
      <c r="J8" s="32"/>
      <c r="K8" s="33"/>
      <c r="L8" s="34"/>
      <c r="M8" s="35"/>
      <c r="N8" s="36">
        <f t="shared" ref="N8:N36" si="1">+N7+H8+I8-J8-K8-L8-M8</f>
        <v>241446.77</v>
      </c>
    </row>
    <row r="9" spans="1:14">
      <c r="A9" s="24">
        <v>44566</v>
      </c>
      <c r="B9" s="25" t="s">
        <v>21</v>
      </c>
      <c r="C9" s="37"/>
      <c r="D9" s="38"/>
      <c r="E9" s="38"/>
      <c r="F9" s="39"/>
      <c r="G9" s="29">
        <f t="shared" si="0"/>
        <v>39533.29</v>
      </c>
      <c r="H9" s="30"/>
      <c r="I9" s="31">
        <v>966</v>
      </c>
      <c r="J9" s="32"/>
      <c r="K9" s="33"/>
      <c r="L9" s="34"/>
      <c r="M9" s="35"/>
      <c r="N9" s="36">
        <f t="shared" si="1"/>
        <v>242412.77</v>
      </c>
    </row>
    <row r="10" spans="1:14">
      <c r="A10" s="40">
        <v>44567</v>
      </c>
      <c r="B10" s="41" t="s">
        <v>22</v>
      </c>
      <c r="C10" s="26"/>
      <c r="D10" s="27"/>
      <c r="E10" s="27">
        <f>56482.42</f>
        <v>56482.42</v>
      </c>
      <c r="F10" s="35"/>
      <c r="G10" s="29">
        <f t="shared" si="0"/>
        <v>-16949.129999999997</v>
      </c>
      <c r="H10" s="42"/>
      <c r="I10" s="33"/>
      <c r="J10" s="33"/>
      <c r="K10" s="33"/>
      <c r="L10" s="34"/>
      <c r="M10" s="43"/>
      <c r="N10" s="36">
        <f t="shared" si="1"/>
        <v>242412.77</v>
      </c>
    </row>
    <row r="11" spans="1:14">
      <c r="A11" s="40">
        <v>44567</v>
      </c>
      <c r="B11" s="44" t="s">
        <v>23</v>
      </c>
      <c r="C11" s="45"/>
      <c r="D11" s="27"/>
      <c r="E11" s="27">
        <v>37600</v>
      </c>
      <c r="F11" s="35"/>
      <c r="G11" s="29">
        <f t="shared" si="0"/>
        <v>-54549.13</v>
      </c>
      <c r="H11" s="46"/>
      <c r="I11" s="31"/>
      <c r="J11" s="47"/>
      <c r="K11" s="33"/>
      <c r="L11" s="34"/>
      <c r="M11" s="48"/>
      <c r="N11" s="36">
        <f t="shared" si="1"/>
        <v>242412.77</v>
      </c>
    </row>
    <row r="12" spans="1:14">
      <c r="A12" s="40">
        <v>44567</v>
      </c>
      <c r="B12" s="15" t="s">
        <v>24</v>
      </c>
      <c r="C12" s="49"/>
      <c r="D12" s="50"/>
      <c r="E12" s="51">
        <f>11718+12706</f>
        <v>24424</v>
      </c>
      <c r="F12" s="35"/>
      <c r="G12" s="29">
        <f t="shared" si="0"/>
        <v>-78973.13</v>
      </c>
      <c r="H12" s="42"/>
      <c r="I12" s="31"/>
      <c r="J12" s="32"/>
      <c r="K12" s="33"/>
      <c r="L12" s="34"/>
      <c r="M12" s="35"/>
      <c r="N12" s="36">
        <f t="shared" si="1"/>
        <v>242412.77</v>
      </c>
    </row>
    <row r="13" spans="1:14">
      <c r="A13" s="40">
        <v>44567</v>
      </c>
      <c r="B13" s="44" t="s">
        <v>25</v>
      </c>
      <c r="C13" s="52"/>
      <c r="D13" s="50"/>
      <c r="E13" s="51">
        <v>1079.54</v>
      </c>
      <c r="F13" s="35"/>
      <c r="G13" s="29">
        <f t="shared" si="0"/>
        <v>-80052.67</v>
      </c>
      <c r="H13" s="42"/>
      <c r="I13" s="33"/>
      <c r="J13" s="32"/>
      <c r="K13" s="33"/>
      <c r="L13" s="34"/>
      <c r="M13" s="35"/>
      <c r="N13" s="36">
        <f t="shared" si="1"/>
        <v>242412.77</v>
      </c>
    </row>
    <row r="14" spans="1:14">
      <c r="A14" s="40">
        <v>44567</v>
      </c>
      <c r="B14" s="44" t="s">
        <v>26</v>
      </c>
      <c r="C14" s="45"/>
      <c r="D14" s="27"/>
      <c r="E14" s="53">
        <f>500000+97470+49345.89</f>
        <v>646815.89</v>
      </c>
      <c r="F14" s="35"/>
      <c r="G14" s="29">
        <f t="shared" si="0"/>
        <v>-726868.56</v>
      </c>
      <c r="H14" s="42"/>
      <c r="I14" s="33"/>
      <c r="J14" s="32"/>
      <c r="K14" s="33"/>
      <c r="L14" s="34"/>
      <c r="M14" s="35"/>
      <c r="N14" s="36">
        <f t="shared" si="1"/>
        <v>242412.77</v>
      </c>
    </row>
    <row r="15" spans="1:14">
      <c r="A15" s="40">
        <v>44567</v>
      </c>
      <c r="B15" s="15" t="s">
        <v>27</v>
      </c>
      <c r="C15" s="45"/>
      <c r="D15" s="27"/>
      <c r="E15" s="53">
        <f>192258*2+164205.89+15674.69</f>
        <v>564396.57999999996</v>
      </c>
      <c r="F15" s="35"/>
      <c r="G15" s="29">
        <f t="shared" si="0"/>
        <v>-1291265.1400000001</v>
      </c>
      <c r="H15" s="54"/>
      <c r="I15" s="55"/>
      <c r="J15" s="32"/>
      <c r="K15" s="33"/>
      <c r="L15" s="34"/>
      <c r="M15" s="35"/>
      <c r="N15" s="36">
        <f t="shared" si="1"/>
        <v>242412.77</v>
      </c>
    </row>
    <row r="16" spans="1:14">
      <c r="A16" s="40">
        <v>44567</v>
      </c>
      <c r="B16" s="44" t="s">
        <v>28</v>
      </c>
      <c r="C16" s="26"/>
      <c r="D16" s="27"/>
      <c r="E16" s="53">
        <f>200000*3+400000*4+300000*4+302793.36</f>
        <v>3702793.36</v>
      </c>
      <c r="F16" s="35"/>
      <c r="G16" s="29">
        <f t="shared" si="0"/>
        <v>-4994058.5</v>
      </c>
      <c r="H16" s="54"/>
      <c r="I16" s="55"/>
      <c r="J16" s="32"/>
      <c r="K16" s="33"/>
      <c r="L16" s="34"/>
      <c r="M16" s="35"/>
      <c r="N16" s="36">
        <f t="shared" si="1"/>
        <v>242412.77</v>
      </c>
    </row>
    <row r="17" spans="1:14">
      <c r="A17" s="40">
        <v>44567</v>
      </c>
      <c r="B17" s="44" t="s">
        <v>29</v>
      </c>
      <c r="C17" s="56">
        <f>M17*204</f>
        <v>5000040</v>
      </c>
      <c r="D17" s="27"/>
      <c r="E17" s="27"/>
      <c r="F17" s="35"/>
      <c r="G17" s="29">
        <f t="shared" si="0"/>
        <v>5981.5</v>
      </c>
      <c r="H17" s="54"/>
      <c r="I17" s="31"/>
      <c r="J17" s="33"/>
      <c r="K17" s="33"/>
      <c r="L17" s="34"/>
      <c r="M17" s="43">
        <v>24510</v>
      </c>
      <c r="N17" s="36">
        <f t="shared" si="1"/>
        <v>217902.77</v>
      </c>
    </row>
    <row r="18" spans="1:14">
      <c r="A18" s="24">
        <v>44571</v>
      </c>
      <c r="B18" s="25" t="s">
        <v>30</v>
      </c>
      <c r="C18" s="45"/>
      <c r="D18" s="27"/>
      <c r="E18" s="27"/>
      <c r="F18" s="35"/>
      <c r="G18" s="29">
        <f t="shared" si="0"/>
        <v>5981.5</v>
      </c>
      <c r="H18" s="54"/>
      <c r="I18" s="31">
        <f>44550/9</f>
        <v>4950</v>
      </c>
      <c r="J18" s="32"/>
      <c r="K18" s="33"/>
      <c r="L18" s="34"/>
      <c r="M18" s="35"/>
      <c r="N18" s="36">
        <f t="shared" si="1"/>
        <v>222852.77</v>
      </c>
    </row>
    <row r="19" spans="1:14">
      <c r="A19" s="24">
        <v>44571</v>
      </c>
      <c r="B19" s="25" t="s">
        <v>31</v>
      </c>
      <c r="C19" s="45"/>
      <c r="D19" s="27"/>
      <c r="E19" s="27"/>
      <c r="F19" s="35"/>
      <c r="G19" s="29">
        <f t="shared" si="0"/>
        <v>5981.5</v>
      </c>
      <c r="H19" s="54"/>
      <c r="I19" s="31">
        <f>44550/9</f>
        <v>4950</v>
      </c>
      <c r="J19" s="32"/>
      <c r="K19" s="33"/>
      <c r="L19" s="34"/>
      <c r="M19" s="35"/>
      <c r="N19" s="36">
        <f t="shared" si="1"/>
        <v>227802.77</v>
      </c>
    </row>
    <row r="20" spans="1:14">
      <c r="A20" s="24">
        <v>44571</v>
      </c>
      <c r="B20" s="25" t="s">
        <v>32</v>
      </c>
      <c r="C20" s="45"/>
      <c r="D20" s="27"/>
      <c r="E20" s="27"/>
      <c r="F20" s="35"/>
      <c r="G20" s="29">
        <f t="shared" si="0"/>
        <v>5981.5</v>
      </c>
      <c r="H20" s="54"/>
      <c r="I20" s="55">
        <v>9165</v>
      </c>
      <c r="J20" s="33"/>
      <c r="K20" s="33"/>
      <c r="L20" s="34"/>
      <c r="M20" s="43"/>
      <c r="N20" s="36">
        <f t="shared" si="1"/>
        <v>236967.77</v>
      </c>
    </row>
    <row r="21" spans="1:14">
      <c r="A21" s="40">
        <v>44571</v>
      </c>
      <c r="B21" s="44" t="s">
        <v>33</v>
      </c>
      <c r="C21" s="45"/>
      <c r="D21" s="27">
        <f>130000+1541.49</f>
        <v>131541.49</v>
      </c>
      <c r="E21" s="27"/>
      <c r="F21" s="35"/>
      <c r="G21" s="29">
        <f t="shared" si="0"/>
        <v>137522.99</v>
      </c>
      <c r="H21" s="42"/>
      <c r="I21" s="33"/>
      <c r="J21" s="32"/>
      <c r="K21" s="33"/>
      <c r="L21" s="34"/>
      <c r="M21" s="35"/>
      <c r="N21" s="36">
        <f t="shared" si="1"/>
        <v>236967.77</v>
      </c>
    </row>
    <row r="22" spans="1:14">
      <c r="A22" s="40">
        <v>44572</v>
      </c>
      <c r="B22" s="15" t="s">
        <v>34</v>
      </c>
      <c r="C22" s="45"/>
      <c r="D22" s="27">
        <f>222916</f>
        <v>222916</v>
      </c>
      <c r="E22" s="27"/>
      <c r="F22" s="35"/>
      <c r="G22" s="29">
        <f t="shared" si="0"/>
        <v>360438.99</v>
      </c>
      <c r="H22" s="42"/>
      <c r="I22" s="33"/>
      <c r="J22" s="33"/>
      <c r="K22" s="33"/>
      <c r="L22" s="34"/>
      <c r="M22" s="43"/>
      <c r="N22" s="36">
        <f t="shared" si="1"/>
        <v>236967.77</v>
      </c>
    </row>
    <row r="23" spans="1:14">
      <c r="A23" s="40">
        <v>44573</v>
      </c>
      <c r="B23" s="15" t="s">
        <v>35</v>
      </c>
      <c r="C23" s="45"/>
      <c r="D23" s="27"/>
      <c r="E23" s="27">
        <f>190890.87</f>
        <v>190890.87</v>
      </c>
      <c r="F23" s="35"/>
      <c r="G23" s="29">
        <f t="shared" si="0"/>
        <v>169548.12</v>
      </c>
      <c r="H23" s="42"/>
      <c r="I23" s="33"/>
      <c r="J23" s="33"/>
      <c r="K23" s="33"/>
      <c r="L23" s="34"/>
      <c r="M23" s="43"/>
      <c r="N23" s="36">
        <f t="shared" si="1"/>
        <v>236967.77</v>
      </c>
    </row>
    <row r="24" spans="1:14">
      <c r="A24" s="40">
        <v>44575</v>
      </c>
      <c r="B24" s="15" t="s">
        <v>36</v>
      </c>
      <c r="C24" s="45"/>
      <c r="D24" s="27"/>
      <c r="E24" s="27">
        <f>226.96</f>
        <v>226.96</v>
      </c>
      <c r="F24" s="35"/>
      <c r="G24" s="29">
        <f t="shared" si="0"/>
        <v>169321.16</v>
      </c>
      <c r="H24" s="54"/>
      <c r="I24" s="31"/>
      <c r="J24" s="33"/>
      <c r="K24" s="33"/>
      <c r="L24" s="34"/>
      <c r="M24" s="43"/>
      <c r="N24" s="36">
        <f t="shared" si="1"/>
        <v>236967.77</v>
      </c>
    </row>
    <row r="25" spans="1:14">
      <c r="A25" s="40">
        <v>44580</v>
      </c>
      <c r="B25" s="57" t="s">
        <v>37</v>
      </c>
      <c r="C25" s="45"/>
      <c r="D25" s="27">
        <v>55000</v>
      </c>
      <c r="E25" s="27"/>
      <c r="F25" s="35"/>
      <c r="G25" s="29">
        <f t="shared" si="0"/>
        <v>224321.16</v>
      </c>
      <c r="H25" s="54"/>
      <c r="I25" s="31">
        <v>400</v>
      </c>
      <c r="J25" s="33"/>
      <c r="K25" s="33"/>
      <c r="L25" s="34"/>
      <c r="M25" s="43"/>
      <c r="N25" s="36">
        <f t="shared" si="1"/>
        <v>237367.77</v>
      </c>
    </row>
    <row r="26" spans="1:14">
      <c r="A26" s="40">
        <v>44578</v>
      </c>
      <c r="B26" s="15" t="s">
        <v>38</v>
      </c>
      <c r="C26" s="45"/>
      <c r="D26" s="27"/>
      <c r="E26" s="27">
        <f>568000*3</f>
        <v>1704000</v>
      </c>
      <c r="F26" s="35"/>
      <c r="G26" s="29">
        <f t="shared" si="0"/>
        <v>-1479678.84</v>
      </c>
      <c r="H26" s="42"/>
      <c r="I26" s="33"/>
      <c r="J26" s="33"/>
      <c r="K26" s="33"/>
      <c r="L26" s="34"/>
      <c r="M26" s="43"/>
      <c r="N26" s="36">
        <f t="shared" si="1"/>
        <v>237367.77</v>
      </c>
    </row>
    <row r="27" spans="1:14">
      <c r="A27" s="40">
        <v>44578</v>
      </c>
      <c r="B27" s="44" t="s">
        <v>39</v>
      </c>
      <c r="C27" s="56">
        <f>M27*205.4</f>
        <v>1540500</v>
      </c>
      <c r="D27" s="27"/>
      <c r="E27" s="27"/>
      <c r="F27" s="35"/>
      <c r="G27" s="29">
        <f t="shared" si="0"/>
        <v>60821.159999999916</v>
      </c>
      <c r="H27" s="42"/>
      <c r="I27" s="33"/>
      <c r="J27" s="33"/>
      <c r="K27" s="33"/>
      <c r="L27" s="34"/>
      <c r="M27" s="43">
        <v>7500</v>
      </c>
      <c r="N27" s="36">
        <f t="shared" si="1"/>
        <v>229867.77</v>
      </c>
    </row>
    <row r="28" spans="1:14">
      <c r="A28" s="40">
        <v>44592</v>
      </c>
      <c r="B28" s="44" t="s">
        <v>40</v>
      </c>
      <c r="C28" s="45"/>
      <c r="D28" s="27">
        <f>129260</f>
        <v>129260</v>
      </c>
      <c r="E28" s="27"/>
      <c r="F28" s="35"/>
      <c r="G28" s="29">
        <f t="shared" si="0"/>
        <v>190081.15999999992</v>
      </c>
      <c r="H28" s="54"/>
      <c r="I28" s="55"/>
      <c r="J28" s="32"/>
      <c r="K28" s="33"/>
      <c r="L28" s="34"/>
      <c r="M28" s="35"/>
      <c r="N28" s="36">
        <f t="shared" si="1"/>
        <v>229867.77</v>
      </c>
    </row>
    <row r="29" spans="1:14">
      <c r="A29" s="40">
        <v>44592</v>
      </c>
      <c r="B29" s="15" t="s">
        <v>41</v>
      </c>
      <c r="C29" s="58"/>
      <c r="D29" s="27"/>
      <c r="E29" s="38">
        <f>88640.95</f>
        <v>88640.95</v>
      </c>
      <c r="F29" s="35"/>
      <c r="G29" s="29">
        <f t="shared" si="0"/>
        <v>101440.20999999992</v>
      </c>
      <c r="H29" s="42"/>
      <c r="I29" s="33"/>
      <c r="J29" s="32"/>
      <c r="K29" s="33"/>
      <c r="L29" s="34"/>
      <c r="M29" s="35"/>
      <c r="N29" s="36">
        <f t="shared" si="1"/>
        <v>229867.77</v>
      </c>
    </row>
    <row r="30" spans="1:14">
      <c r="A30" s="40">
        <v>44592</v>
      </c>
      <c r="B30" s="44" t="s">
        <v>42</v>
      </c>
      <c r="C30" s="59"/>
      <c r="D30" s="38"/>
      <c r="E30" s="38">
        <v>10285</v>
      </c>
      <c r="F30" s="35"/>
      <c r="G30" s="29">
        <f t="shared" si="0"/>
        <v>91155.209999999919</v>
      </c>
      <c r="H30" s="54"/>
      <c r="I30" s="60"/>
      <c r="J30" s="32"/>
      <c r="K30" s="33"/>
      <c r="L30" s="34"/>
      <c r="M30" s="35"/>
      <c r="N30" s="36">
        <f t="shared" si="1"/>
        <v>229867.77</v>
      </c>
    </row>
    <row r="31" spans="1:14">
      <c r="A31" s="40">
        <v>44592</v>
      </c>
      <c r="B31" s="61" t="s">
        <v>43</v>
      </c>
      <c r="C31" s="45"/>
      <c r="D31" s="27"/>
      <c r="E31" s="38"/>
      <c r="F31" s="62">
        <f>SUM(D8:D30)*5%</f>
        <v>26935.874500000002</v>
      </c>
      <c r="G31" s="29">
        <f t="shared" si="0"/>
        <v>64219.335499999914</v>
      </c>
      <c r="H31" s="54"/>
      <c r="I31" s="55"/>
      <c r="J31" s="32"/>
      <c r="K31" s="33"/>
      <c r="L31" s="33">
        <f>SUM(I7:I30)*5%</f>
        <v>1069.8500000000001</v>
      </c>
      <c r="M31" s="35"/>
      <c r="N31" s="36">
        <f t="shared" si="1"/>
        <v>228797.91999999998</v>
      </c>
    </row>
    <row r="32" spans="1:14">
      <c r="A32" s="40">
        <v>44592</v>
      </c>
      <c r="B32" s="61" t="s">
        <v>44</v>
      </c>
      <c r="C32" s="45"/>
      <c r="D32" s="27"/>
      <c r="E32" s="38"/>
      <c r="F32" s="62">
        <f>SUM(E8:E30)*5%</f>
        <v>351381.77850000001</v>
      </c>
      <c r="G32" s="29">
        <f t="shared" si="0"/>
        <v>-287162.44300000009</v>
      </c>
      <c r="H32" s="54"/>
      <c r="I32" s="55"/>
      <c r="J32" s="32"/>
      <c r="K32" s="33"/>
      <c r="L32" s="33">
        <f>SUM(K8:K30)*5%</f>
        <v>0</v>
      </c>
      <c r="M32" s="35"/>
      <c r="N32" s="36">
        <f t="shared" si="1"/>
        <v>228797.91999999998</v>
      </c>
    </row>
    <row r="33" spans="1:14">
      <c r="A33" s="40">
        <v>44592</v>
      </c>
      <c r="B33" s="44" t="s">
        <v>45</v>
      </c>
      <c r="C33" s="56">
        <f>M33*209</f>
        <v>292600</v>
      </c>
      <c r="D33" s="38"/>
      <c r="E33" s="63"/>
      <c r="F33" s="35"/>
      <c r="G33" s="29">
        <f t="shared" si="0"/>
        <v>5437.5569999999134</v>
      </c>
      <c r="H33" s="54"/>
      <c r="I33" s="55"/>
      <c r="J33" s="32"/>
      <c r="K33" s="33"/>
      <c r="L33" s="34"/>
      <c r="M33" s="35">
        <v>1400</v>
      </c>
      <c r="N33" s="36">
        <f t="shared" si="1"/>
        <v>227397.91999999998</v>
      </c>
    </row>
    <row r="34" spans="1:14">
      <c r="A34" s="40"/>
      <c r="B34" s="41"/>
      <c r="C34" s="64"/>
      <c r="D34" s="65"/>
      <c r="E34" s="27"/>
      <c r="F34" s="35"/>
      <c r="G34" s="29">
        <f t="shared" si="0"/>
        <v>5437.5569999999134</v>
      </c>
      <c r="H34" s="42"/>
      <c r="I34" s="33"/>
      <c r="J34" s="33"/>
      <c r="K34" s="33"/>
      <c r="L34" s="34"/>
      <c r="M34" s="43"/>
      <c r="N34" s="36">
        <f t="shared" si="1"/>
        <v>227397.91999999998</v>
      </c>
    </row>
    <row r="35" spans="1:14">
      <c r="A35" s="40"/>
      <c r="B35" s="44"/>
      <c r="C35" s="66"/>
      <c r="D35" s="38"/>
      <c r="E35" s="63"/>
      <c r="F35" s="35"/>
      <c r="G35" s="29">
        <f t="shared" si="0"/>
        <v>5437.5569999999134</v>
      </c>
      <c r="H35" s="54"/>
      <c r="I35" s="55"/>
      <c r="J35" s="32"/>
      <c r="K35" s="33"/>
      <c r="L35" s="34"/>
      <c r="M35" s="35"/>
      <c r="N35" s="36">
        <f t="shared" si="1"/>
        <v>227397.91999999998</v>
      </c>
    </row>
    <row r="36" spans="1:14" ht="15.75" thickBot="1">
      <c r="A36" s="40"/>
      <c r="B36" s="44"/>
      <c r="C36" s="67"/>
      <c r="D36" s="68"/>
      <c r="E36" s="68"/>
      <c r="F36" s="69"/>
      <c r="G36" s="29">
        <f t="shared" si="0"/>
        <v>5437.5569999999134</v>
      </c>
      <c r="H36" s="70"/>
      <c r="I36" s="71"/>
      <c r="J36" s="72"/>
      <c r="K36" s="73"/>
      <c r="L36" s="74"/>
      <c r="M36" s="69"/>
      <c r="N36" s="36">
        <f t="shared" si="1"/>
        <v>227397.91999999998</v>
      </c>
    </row>
    <row r="37" spans="1:14" ht="15.75" thickBot="1">
      <c r="A37" s="44"/>
      <c r="B37" s="75" t="s">
        <v>46</v>
      </c>
      <c r="C37" s="76">
        <f>SUM(C7:C36)</f>
        <v>6833140</v>
      </c>
      <c r="D37" s="77">
        <f>SUM(D7:D36)</f>
        <v>538717.49</v>
      </c>
      <c r="E37" s="77">
        <f>SUM(E7:E36)</f>
        <v>7027635.5700000003</v>
      </c>
      <c r="F37" s="77">
        <f>SUM(F7:F36)</f>
        <v>378317.65299999999</v>
      </c>
      <c r="G37" s="78"/>
      <c r="H37" s="76">
        <f t="shared" ref="H37:M37" si="2">SUM(H7:H36)</f>
        <v>0</v>
      </c>
      <c r="I37" s="77">
        <f t="shared" si="2"/>
        <v>21397</v>
      </c>
      <c r="J37" s="77">
        <f t="shared" si="2"/>
        <v>0</v>
      </c>
      <c r="K37" s="77">
        <f t="shared" si="2"/>
        <v>0</v>
      </c>
      <c r="L37" s="77">
        <f t="shared" si="2"/>
        <v>1069.8500000000001</v>
      </c>
      <c r="M37" s="77">
        <f t="shared" si="2"/>
        <v>33410</v>
      </c>
      <c r="N37" s="79"/>
    </row>
    <row r="38" spans="1:14">
      <c r="F38" s="80"/>
      <c r="M38" s="80"/>
    </row>
    <row r="39" spans="1:14">
      <c r="B39" s="81" t="s">
        <v>47</v>
      </c>
      <c r="F39" s="82"/>
      <c r="G39" s="82">
        <f>G36</f>
        <v>5437.5569999999134</v>
      </c>
      <c r="H39" s="83"/>
      <c r="I39" s="83"/>
      <c r="J39" s="83"/>
      <c r="K39" s="82"/>
      <c r="N39" s="80">
        <f>N36</f>
        <v>227397.91999999998</v>
      </c>
    </row>
    <row r="40" spans="1:14">
      <c r="B40" s="81"/>
      <c r="F40" s="82"/>
      <c r="G40" s="82"/>
      <c r="H40" s="83"/>
      <c r="I40" s="83"/>
      <c r="J40" s="83"/>
      <c r="K40" s="82"/>
      <c r="N40" s="80"/>
    </row>
    <row r="41" spans="1:14">
      <c r="B41" s="81"/>
      <c r="F41" s="82"/>
      <c r="G41" s="82"/>
      <c r="H41" s="83"/>
      <c r="I41" s="83"/>
      <c r="J41" s="83"/>
      <c r="K41" s="82"/>
      <c r="N41" s="80"/>
    </row>
    <row r="42" spans="1:14">
      <c r="B42" s="81"/>
      <c r="F42" s="82"/>
      <c r="G42" s="82"/>
      <c r="H42" s="83"/>
      <c r="I42" s="83"/>
      <c r="J42" s="83"/>
      <c r="K42" s="82"/>
      <c r="N42" s="80"/>
    </row>
    <row r="43" spans="1:14" ht="15.75" thickBot="1">
      <c r="B43" s="81"/>
      <c r="F43" s="82"/>
      <c r="G43" s="82"/>
      <c r="H43" s="83"/>
      <c r="I43" s="83"/>
      <c r="J43" s="83"/>
      <c r="K43" s="82"/>
      <c r="N43" s="80"/>
    </row>
    <row r="44" spans="1:14">
      <c r="A44" s="1"/>
      <c r="B44" s="912" t="s">
        <v>0</v>
      </c>
      <c r="C44" s="913"/>
      <c r="D44" s="913"/>
      <c r="E44" s="913"/>
      <c r="F44" s="913"/>
      <c r="G44" s="913"/>
      <c r="H44" s="914"/>
      <c r="I44" s="83"/>
      <c r="J44" s="83"/>
      <c r="K44" s="82"/>
      <c r="N44" s="80"/>
    </row>
    <row r="45" spans="1:14" ht="15.75" thickBot="1">
      <c r="A45" s="1"/>
      <c r="B45" s="915"/>
      <c r="C45" s="916"/>
      <c r="D45" s="916"/>
      <c r="E45" s="916"/>
      <c r="F45" s="916"/>
      <c r="G45" s="916"/>
      <c r="H45" s="917"/>
      <c r="I45" s="83"/>
      <c r="J45" s="83"/>
      <c r="K45" s="82"/>
      <c r="N45" s="80"/>
    </row>
    <row r="46" spans="1:14">
      <c r="B46" s="81"/>
      <c r="F46" s="82"/>
      <c r="G46" s="82"/>
      <c r="H46" s="83"/>
      <c r="I46" s="83"/>
      <c r="J46" s="83"/>
      <c r="K46" s="82"/>
      <c r="N46" s="80"/>
    </row>
    <row r="48" spans="1:14" ht="15.75" thickBot="1">
      <c r="B48" s="25"/>
      <c r="C48" s="45"/>
      <c r="D48" s="27"/>
    </row>
    <row r="49" spans="1:14" ht="15.75" thickBot="1">
      <c r="A49" s="4" t="s">
        <v>48</v>
      </c>
      <c r="C49" s="907" t="s">
        <v>3</v>
      </c>
      <c r="D49" s="908"/>
      <c r="E49" s="907" t="s">
        <v>4</v>
      </c>
      <c r="F49" s="908"/>
      <c r="G49" s="5"/>
      <c r="H49" s="909" t="s">
        <v>5</v>
      </c>
      <c r="I49" s="910"/>
      <c r="J49" s="909" t="s">
        <v>6</v>
      </c>
      <c r="K49" s="911"/>
      <c r="L49" s="911"/>
      <c r="M49" s="910"/>
      <c r="N49" s="6"/>
    </row>
    <row r="50" spans="1:14" ht="15.75" thickBot="1">
      <c r="A50" s="7" t="s">
        <v>7</v>
      </c>
      <c r="B50" s="8" t="s">
        <v>8</v>
      </c>
      <c r="C50" s="9" t="s">
        <v>9</v>
      </c>
      <c r="D50" s="9" t="s">
        <v>10</v>
      </c>
      <c r="E50" s="10" t="s">
        <v>11</v>
      </c>
      <c r="F50" s="10" t="s">
        <v>12</v>
      </c>
      <c r="G50" s="11" t="s">
        <v>13</v>
      </c>
      <c r="H50" s="12" t="s">
        <v>14</v>
      </c>
      <c r="I50" s="12" t="s">
        <v>10</v>
      </c>
      <c r="J50" s="12" t="s">
        <v>15</v>
      </c>
      <c r="K50" s="12" t="s">
        <v>11</v>
      </c>
      <c r="L50" s="12" t="s">
        <v>16</v>
      </c>
      <c r="M50" s="12" t="s">
        <v>17</v>
      </c>
      <c r="N50" s="13" t="s">
        <v>18</v>
      </c>
    </row>
    <row r="51" spans="1:14">
      <c r="A51" s="14">
        <v>44592</v>
      </c>
      <c r="B51" s="15" t="s">
        <v>19</v>
      </c>
      <c r="C51" s="16"/>
      <c r="D51" s="17"/>
      <c r="E51" s="17"/>
      <c r="F51" s="18"/>
      <c r="G51" s="19">
        <f>G36</f>
        <v>5437.5569999999134</v>
      </c>
      <c r="H51" s="16"/>
      <c r="I51" s="20"/>
      <c r="J51" s="17"/>
      <c r="K51" s="20"/>
      <c r="L51" s="21"/>
      <c r="M51" s="22"/>
      <c r="N51" s="23">
        <f>N36</f>
        <v>227397.91999999998</v>
      </c>
    </row>
    <row r="52" spans="1:14">
      <c r="A52" s="24">
        <v>44597</v>
      </c>
      <c r="B52" s="25" t="s">
        <v>49</v>
      </c>
      <c r="C52" s="26"/>
      <c r="D52" s="27"/>
      <c r="E52" s="27"/>
      <c r="F52" s="28"/>
      <c r="G52" s="29">
        <f t="shared" ref="G52:G80" si="3">+G51+C52+D52-E52-F52</f>
        <v>5437.5569999999134</v>
      </c>
      <c r="H52" s="30"/>
      <c r="I52" s="31">
        <v>966</v>
      </c>
      <c r="J52" s="32"/>
      <c r="K52" s="33"/>
      <c r="L52" s="34"/>
      <c r="M52" s="35"/>
      <c r="N52" s="36">
        <f t="shared" ref="N52:N80" si="4">+N51+H52+I52-J52-K52-L52-M52</f>
        <v>228363.91999999998</v>
      </c>
    </row>
    <row r="53" spans="1:14">
      <c r="A53" s="24">
        <v>44597</v>
      </c>
      <c r="B53" s="25" t="s">
        <v>50</v>
      </c>
      <c r="C53" s="37"/>
      <c r="D53" s="38"/>
      <c r="E53" s="38"/>
      <c r="F53" s="39"/>
      <c r="G53" s="29">
        <f t="shared" si="3"/>
        <v>5437.5569999999134</v>
      </c>
      <c r="H53" s="30"/>
      <c r="I53" s="31">
        <v>966</v>
      </c>
      <c r="J53" s="32"/>
      <c r="K53" s="33"/>
      <c r="L53" s="34"/>
      <c r="M53" s="35"/>
      <c r="N53" s="36">
        <f t="shared" si="4"/>
        <v>229329.91999999998</v>
      </c>
    </row>
    <row r="54" spans="1:14">
      <c r="A54" s="40">
        <v>44593</v>
      </c>
      <c r="B54" s="44" t="s">
        <v>51</v>
      </c>
      <c r="C54" s="45"/>
      <c r="D54" s="27"/>
      <c r="E54" s="27">
        <f>160735.65</f>
        <v>160735.65</v>
      </c>
      <c r="F54" s="35"/>
      <c r="G54" s="29">
        <f t="shared" si="3"/>
        <v>-155298.09300000008</v>
      </c>
      <c r="H54" s="54"/>
      <c r="I54" s="55"/>
      <c r="J54" s="32"/>
      <c r="K54" s="33"/>
      <c r="L54" s="34"/>
      <c r="M54" s="35"/>
      <c r="N54" s="36">
        <f t="shared" si="4"/>
        <v>229329.91999999998</v>
      </c>
    </row>
    <row r="55" spans="1:14">
      <c r="A55" s="40">
        <v>44593</v>
      </c>
      <c r="B55" s="44" t="s">
        <v>52</v>
      </c>
      <c r="C55" s="56">
        <f>M55*210</f>
        <v>4200000</v>
      </c>
      <c r="D55" s="27"/>
      <c r="E55" s="27"/>
      <c r="F55" s="35"/>
      <c r="G55" s="29">
        <f t="shared" si="3"/>
        <v>4044701.9070000001</v>
      </c>
      <c r="H55" s="54"/>
      <c r="I55" s="31"/>
      <c r="J55" s="33"/>
      <c r="K55" s="33"/>
      <c r="L55" s="34"/>
      <c r="M55" s="43">
        <v>20000</v>
      </c>
      <c r="N55" s="36">
        <f t="shared" si="4"/>
        <v>209329.91999999998</v>
      </c>
    </row>
    <row r="56" spans="1:14">
      <c r="A56" s="40">
        <v>44595</v>
      </c>
      <c r="B56" s="44" t="s">
        <v>23</v>
      </c>
      <c r="C56" s="45"/>
      <c r="D56" s="27"/>
      <c r="E56" s="27">
        <v>37600</v>
      </c>
      <c r="F56" s="35"/>
      <c r="G56" s="29">
        <f t="shared" si="3"/>
        <v>4007101.9070000001</v>
      </c>
      <c r="H56" s="46"/>
      <c r="I56" s="31"/>
      <c r="J56" s="47"/>
      <c r="K56" s="33"/>
      <c r="L56" s="34"/>
      <c r="M56" s="48"/>
      <c r="N56" s="36">
        <f t="shared" si="4"/>
        <v>209329.91999999998</v>
      </c>
    </row>
    <row r="57" spans="1:14">
      <c r="A57" s="40">
        <v>44596</v>
      </c>
      <c r="B57" s="44" t="s">
        <v>26</v>
      </c>
      <c r="C57" s="45"/>
      <c r="D57" s="27"/>
      <c r="E57" s="53">
        <f>500000</f>
        <v>500000</v>
      </c>
      <c r="F57" s="35"/>
      <c r="G57" s="29">
        <f t="shared" si="3"/>
        <v>3507101.9070000001</v>
      </c>
      <c r="H57" s="42"/>
      <c r="I57" s="33"/>
      <c r="J57" s="32"/>
      <c r="K57" s="33"/>
      <c r="L57" s="34"/>
      <c r="M57" s="35"/>
      <c r="N57" s="36">
        <f t="shared" si="4"/>
        <v>209329.91999999998</v>
      </c>
    </row>
    <row r="58" spans="1:14">
      <c r="A58" s="40">
        <v>44596</v>
      </c>
      <c r="B58" s="44" t="s">
        <v>28</v>
      </c>
      <c r="C58" s="26"/>
      <c r="D58" s="27"/>
      <c r="E58" s="53">
        <f>300000*4+200000*3+400000*4+302793.36</f>
        <v>3702793.36</v>
      </c>
      <c r="F58" s="35"/>
      <c r="G58" s="29">
        <f t="shared" si="3"/>
        <v>-195691.45299999975</v>
      </c>
      <c r="H58" s="54"/>
      <c r="I58" s="55"/>
      <c r="J58" s="32"/>
      <c r="K58" s="33"/>
      <c r="L58" s="34"/>
      <c r="M58" s="35"/>
      <c r="N58" s="36">
        <f t="shared" si="4"/>
        <v>209329.91999999998</v>
      </c>
    </row>
    <row r="59" spans="1:14">
      <c r="A59" s="40">
        <v>44596</v>
      </c>
      <c r="B59" s="15" t="s">
        <v>53</v>
      </c>
      <c r="C59" s="45"/>
      <c r="D59" s="27">
        <v>227500</v>
      </c>
      <c r="E59" s="27"/>
      <c r="F59" s="35"/>
      <c r="G59" s="29">
        <f t="shared" si="3"/>
        <v>31808.547000000253</v>
      </c>
      <c r="H59" s="42"/>
      <c r="I59" s="33"/>
      <c r="J59" s="33"/>
      <c r="K59" s="33"/>
      <c r="L59" s="34"/>
      <c r="M59" s="43"/>
      <c r="N59" s="36">
        <f t="shared" si="4"/>
        <v>209329.91999999998</v>
      </c>
    </row>
    <row r="60" spans="1:14">
      <c r="A60" s="40">
        <v>44596</v>
      </c>
      <c r="B60" s="15" t="s">
        <v>54</v>
      </c>
      <c r="C60" s="49"/>
      <c r="D60" s="50"/>
      <c r="E60" s="51">
        <f>12116.64</f>
        <v>12116.64</v>
      </c>
      <c r="F60" s="35"/>
      <c r="G60" s="29">
        <f t="shared" si="3"/>
        <v>19691.907000000254</v>
      </c>
      <c r="H60" s="42"/>
      <c r="I60" s="31"/>
      <c r="J60" s="32"/>
      <c r="K60" s="33"/>
      <c r="L60" s="34"/>
      <c r="M60" s="35"/>
      <c r="N60" s="36">
        <f t="shared" si="4"/>
        <v>209329.91999999998</v>
      </c>
    </row>
    <row r="61" spans="1:14">
      <c r="A61" s="40">
        <v>44600</v>
      </c>
      <c r="B61" s="44" t="s">
        <v>55</v>
      </c>
      <c r="C61" s="52"/>
      <c r="D61" s="50"/>
      <c r="E61" s="51">
        <f>1210.93+605.59</f>
        <v>1816.52</v>
      </c>
      <c r="F61" s="35"/>
      <c r="G61" s="29">
        <f t="shared" si="3"/>
        <v>17875.387000000253</v>
      </c>
      <c r="H61" s="42"/>
      <c r="I61" s="33"/>
      <c r="J61" s="32"/>
      <c r="K61" s="33"/>
      <c r="L61" s="34"/>
      <c r="M61" s="35"/>
      <c r="N61" s="36">
        <f t="shared" si="4"/>
        <v>209329.91999999998</v>
      </c>
    </row>
    <row r="62" spans="1:14">
      <c r="A62" s="40">
        <v>44601</v>
      </c>
      <c r="B62" s="15" t="s">
        <v>56</v>
      </c>
      <c r="C62" s="45"/>
      <c r="D62" s="27"/>
      <c r="E62" s="27">
        <v>37976.199999999997</v>
      </c>
      <c r="F62" s="35"/>
      <c r="G62" s="29">
        <f t="shared" si="3"/>
        <v>-20100.812999999744</v>
      </c>
      <c r="H62" s="54"/>
      <c r="I62" s="31"/>
      <c r="J62" s="33"/>
      <c r="K62" s="33"/>
      <c r="L62" s="34"/>
      <c r="M62" s="43"/>
      <c r="N62" s="36">
        <f t="shared" si="4"/>
        <v>209329.91999999998</v>
      </c>
    </row>
    <row r="63" spans="1:14">
      <c r="A63" s="24">
        <v>44602</v>
      </c>
      <c r="B63" s="25" t="s">
        <v>57</v>
      </c>
      <c r="C63" s="45"/>
      <c r="D63" s="27"/>
      <c r="E63" s="27"/>
      <c r="F63" s="35"/>
      <c r="G63" s="29">
        <f t="shared" si="3"/>
        <v>-20100.812999999744</v>
      </c>
      <c r="H63" s="54"/>
      <c r="I63" s="31">
        <f>44550/9</f>
        <v>4950</v>
      </c>
      <c r="J63" s="32"/>
      <c r="K63" s="33"/>
      <c r="L63" s="34"/>
      <c r="M63" s="35"/>
      <c r="N63" s="36">
        <f t="shared" si="4"/>
        <v>214279.91999999998</v>
      </c>
    </row>
    <row r="64" spans="1:14">
      <c r="A64" s="24">
        <v>44602</v>
      </c>
      <c r="B64" s="25" t="s">
        <v>58</v>
      </c>
      <c r="C64" s="45"/>
      <c r="D64" s="27"/>
      <c r="E64" s="27"/>
      <c r="F64" s="35"/>
      <c r="G64" s="29">
        <f t="shared" si="3"/>
        <v>-20100.812999999744</v>
      </c>
      <c r="H64" s="54"/>
      <c r="I64" s="31">
        <f>44550/9</f>
        <v>4950</v>
      </c>
      <c r="J64" s="32"/>
      <c r="K64" s="33"/>
      <c r="L64" s="34"/>
      <c r="M64" s="35"/>
      <c r="N64" s="36">
        <f t="shared" si="4"/>
        <v>219229.91999999998</v>
      </c>
    </row>
    <row r="65" spans="1:14">
      <c r="A65" s="24">
        <v>44602</v>
      </c>
      <c r="B65" s="25" t="s">
        <v>59</v>
      </c>
      <c r="C65" s="45"/>
      <c r="D65" s="27"/>
      <c r="E65" s="27"/>
      <c r="F65" s="35"/>
      <c r="G65" s="29">
        <f t="shared" si="3"/>
        <v>-20100.812999999744</v>
      </c>
      <c r="H65" s="54"/>
      <c r="I65" s="55">
        <v>9165</v>
      </c>
      <c r="J65" s="33"/>
      <c r="K65" s="33"/>
      <c r="L65" s="34"/>
      <c r="M65" s="43"/>
      <c r="N65" s="36">
        <f t="shared" si="4"/>
        <v>228394.91999999998</v>
      </c>
    </row>
    <row r="66" spans="1:14">
      <c r="A66" s="40">
        <v>44602</v>
      </c>
      <c r="B66" s="25" t="s">
        <v>60</v>
      </c>
      <c r="C66" s="45"/>
      <c r="D66" s="27">
        <v>338690.63</v>
      </c>
      <c r="E66" s="27"/>
      <c r="F66" s="35"/>
      <c r="G66" s="29">
        <f t="shared" si="3"/>
        <v>318589.81700000027</v>
      </c>
      <c r="H66" s="42"/>
      <c r="I66" s="33"/>
      <c r="J66" s="33"/>
      <c r="K66" s="33"/>
      <c r="L66" s="34"/>
      <c r="M66" s="43"/>
      <c r="N66" s="36">
        <f t="shared" si="4"/>
        <v>228394.91999999998</v>
      </c>
    </row>
    <row r="67" spans="1:14">
      <c r="A67" s="40">
        <v>44606</v>
      </c>
      <c r="B67" s="44" t="s">
        <v>61</v>
      </c>
      <c r="C67" s="45"/>
      <c r="D67" s="27">
        <v>134183.18</v>
      </c>
      <c r="E67" s="27"/>
      <c r="F67" s="35"/>
      <c r="G67" s="29">
        <f t="shared" si="3"/>
        <v>452772.99700000026</v>
      </c>
      <c r="H67" s="42"/>
      <c r="I67" s="33"/>
      <c r="J67" s="32"/>
      <c r="K67" s="33"/>
      <c r="L67" s="34"/>
      <c r="M67" s="35"/>
      <c r="N67" s="36">
        <f t="shared" si="4"/>
        <v>228394.91999999998</v>
      </c>
    </row>
    <row r="68" spans="1:14">
      <c r="A68" s="40">
        <v>44608</v>
      </c>
      <c r="B68" s="57" t="s">
        <v>62</v>
      </c>
      <c r="C68" s="45"/>
      <c r="D68" s="27">
        <v>53700</v>
      </c>
      <c r="E68" s="27"/>
      <c r="F68" s="35"/>
      <c r="G68" s="29">
        <f t="shared" si="3"/>
        <v>506472.99700000026</v>
      </c>
      <c r="H68" s="54"/>
      <c r="I68" s="31">
        <v>400</v>
      </c>
      <c r="J68" s="33"/>
      <c r="K68" s="33"/>
      <c r="L68" s="34"/>
      <c r="M68" s="43"/>
      <c r="N68" s="36">
        <f t="shared" si="4"/>
        <v>228794.91999999998</v>
      </c>
    </row>
    <row r="69" spans="1:14">
      <c r="A69" s="40">
        <v>44610</v>
      </c>
      <c r="B69" s="15" t="s">
        <v>63</v>
      </c>
      <c r="C69" s="45"/>
      <c r="D69" s="27"/>
      <c r="E69" s="27">
        <f>568000*3</f>
        <v>1704000</v>
      </c>
      <c r="F69" s="35"/>
      <c r="G69" s="29">
        <f t="shared" si="3"/>
        <v>-1197527.0029999998</v>
      </c>
      <c r="H69" s="42"/>
      <c r="I69" s="33"/>
      <c r="J69" s="33"/>
      <c r="K69" s="33"/>
      <c r="L69" s="34"/>
      <c r="M69" s="43"/>
      <c r="N69" s="36">
        <f t="shared" si="4"/>
        <v>228794.91999999998</v>
      </c>
    </row>
    <row r="70" spans="1:14">
      <c r="A70" s="40">
        <v>44610</v>
      </c>
      <c r="B70" s="44" t="s">
        <v>64</v>
      </c>
      <c r="C70" s="56">
        <f>M70*207</f>
        <v>1449000</v>
      </c>
      <c r="D70" s="27"/>
      <c r="E70" s="27"/>
      <c r="F70" s="35"/>
      <c r="G70" s="29">
        <f t="shared" si="3"/>
        <v>251472.99700000021</v>
      </c>
      <c r="H70" s="42"/>
      <c r="I70" s="33"/>
      <c r="J70" s="33"/>
      <c r="K70" s="33"/>
      <c r="L70" s="34"/>
      <c r="M70" s="43">
        <v>7000</v>
      </c>
      <c r="N70" s="36">
        <f t="shared" si="4"/>
        <v>221794.91999999998</v>
      </c>
    </row>
    <row r="71" spans="1:14">
      <c r="A71" s="40">
        <v>44617</v>
      </c>
      <c r="B71" s="15" t="s">
        <v>27</v>
      </c>
      <c r="C71" s="45"/>
      <c r="D71" s="27"/>
      <c r="E71" s="53">
        <f>192258</f>
        <v>192258</v>
      </c>
      <c r="F71" s="35"/>
      <c r="G71" s="29">
        <f t="shared" si="3"/>
        <v>59214.997000000207</v>
      </c>
      <c r="H71" s="54"/>
      <c r="I71" s="55"/>
      <c r="J71" s="32"/>
      <c r="K71" s="33"/>
      <c r="L71" s="34"/>
      <c r="M71" s="35"/>
      <c r="N71" s="36">
        <f t="shared" si="4"/>
        <v>221794.91999999998</v>
      </c>
    </row>
    <row r="72" spans="1:14">
      <c r="A72" s="40">
        <v>44617</v>
      </c>
      <c r="B72" s="15" t="s">
        <v>41</v>
      </c>
      <c r="C72" s="58"/>
      <c r="D72" s="27"/>
      <c r="E72" s="38">
        <v>81737.14</v>
      </c>
      <c r="F72" s="35"/>
      <c r="G72" s="29">
        <f t="shared" si="3"/>
        <v>-22522.142999999793</v>
      </c>
      <c r="H72" s="42"/>
      <c r="I72" s="33"/>
      <c r="J72" s="32"/>
      <c r="K72" s="33"/>
      <c r="L72" s="34"/>
      <c r="M72" s="35"/>
      <c r="N72" s="36">
        <f t="shared" si="4"/>
        <v>221794.91999999998</v>
      </c>
    </row>
    <row r="73" spans="1:14">
      <c r="A73" s="40">
        <v>44617</v>
      </c>
      <c r="B73" s="44" t="s">
        <v>42</v>
      </c>
      <c r="C73" s="59"/>
      <c r="D73" s="38"/>
      <c r="E73" s="38">
        <v>10285</v>
      </c>
      <c r="F73" s="35"/>
      <c r="G73" s="29">
        <f t="shared" si="3"/>
        <v>-32807.142999999793</v>
      </c>
      <c r="H73" s="54"/>
      <c r="I73" s="60"/>
      <c r="J73" s="32"/>
      <c r="K73" s="33"/>
      <c r="L73" s="34"/>
      <c r="M73" s="35"/>
      <c r="N73" s="36">
        <f t="shared" si="4"/>
        <v>221794.91999999998</v>
      </c>
    </row>
    <row r="74" spans="1:14">
      <c r="A74" s="40">
        <v>44617</v>
      </c>
      <c r="B74" s="61" t="s">
        <v>43</v>
      </c>
      <c r="C74" s="45"/>
      <c r="D74" s="27"/>
      <c r="E74" s="38"/>
      <c r="F74" s="62">
        <f>SUM(D51:D73)*5%</f>
        <v>37703.690500000004</v>
      </c>
      <c r="G74" s="29">
        <f t="shared" si="3"/>
        <v>-70510.833499999804</v>
      </c>
      <c r="H74" s="54"/>
      <c r="I74" s="55"/>
      <c r="J74" s="32"/>
      <c r="K74" s="33"/>
      <c r="L74" s="33">
        <f>SUM(I53:I73)*5%</f>
        <v>1021.5500000000001</v>
      </c>
      <c r="M74" s="35"/>
      <c r="N74" s="36">
        <f t="shared" si="4"/>
        <v>220773.37</v>
      </c>
    </row>
    <row r="75" spans="1:14">
      <c r="A75" s="40">
        <v>44617</v>
      </c>
      <c r="B75" s="61" t="s">
        <v>44</v>
      </c>
      <c r="C75" s="45"/>
      <c r="D75" s="27"/>
      <c r="E75" s="38"/>
      <c r="F75" s="62">
        <f>SUM(E51:E73)*5%</f>
        <v>322065.92549999995</v>
      </c>
      <c r="G75" s="29">
        <f t="shared" si="3"/>
        <v>-392576.75899999973</v>
      </c>
      <c r="H75" s="54"/>
      <c r="I75" s="55"/>
      <c r="J75" s="32"/>
      <c r="K75" s="33"/>
      <c r="L75" s="33">
        <f>SUM(K53:K73)*5%</f>
        <v>0</v>
      </c>
      <c r="M75" s="35"/>
      <c r="N75" s="36">
        <f t="shared" si="4"/>
        <v>220773.37</v>
      </c>
    </row>
    <row r="76" spans="1:14">
      <c r="A76" s="40">
        <v>44617</v>
      </c>
      <c r="B76" s="44" t="s">
        <v>65</v>
      </c>
      <c r="C76" s="56">
        <f>M76*207</f>
        <v>414000</v>
      </c>
      <c r="D76" s="38"/>
      <c r="E76" s="63"/>
      <c r="F76" s="35"/>
      <c r="G76" s="29">
        <f t="shared" si="3"/>
        <v>21423.241000000271</v>
      </c>
      <c r="H76" s="54"/>
      <c r="I76" s="55"/>
      <c r="J76" s="32"/>
      <c r="K76" s="33"/>
      <c r="L76" s="34"/>
      <c r="M76" s="35">
        <v>2000</v>
      </c>
      <c r="N76" s="36">
        <f t="shared" si="4"/>
        <v>218773.37</v>
      </c>
    </row>
    <row r="77" spans="1:14">
      <c r="A77" s="40"/>
      <c r="B77" s="41"/>
      <c r="C77" s="26"/>
      <c r="D77" s="27"/>
      <c r="E77" s="27"/>
      <c r="F77" s="35"/>
      <c r="G77" s="29">
        <f t="shared" si="3"/>
        <v>21423.241000000271</v>
      </c>
      <c r="H77" s="42"/>
      <c r="I77" s="33"/>
      <c r="J77" s="33"/>
      <c r="K77" s="33"/>
      <c r="L77" s="34"/>
      <c r="M77" s="43"/>
      <c r="N77" s="36">
        <f t="shared" si="4"/>
        <v>218773.37</v>
      </c>
    </row>
    <row r="78" spans="1:14">
      <c r="A78" s="40"/>
      <c r="B78" s="15"/>
      <c r="C78" s="45"/>
      <c r="D78" s="27"/>
      <c r="E78" s="27"/>
      <c r="F78" s="35"/>
      <c r="G78" s="29">
        <f t="shared" si="3"/>
        <v>21423.241000000271</v>
      </c>
      <c r="H78" s="42"/>
      <c r="I78" s="33"/>
      <c r="J78" s="33"/>
      <c r="K78" s="33"/>
      <c r="L78" s="34"/>
      <c r="M78" s="43"/>
      <c r="N78" s="36">
        <f t="shared" si="4"/>
        <v>218773.37</v>
      </c>
    </row>
    <row r="79" spans="1:14">
      <c r="A79" s="40"/>
      <c r="B79" s="44"/>
      <c r="C79" s="66"/>
      <c r="D79" s="38"/>
      <c r="E79" s="63"/>
      <c r="F79" s="35"/>
      <c r="G79" s="29">
        <f t="shared" si="3"/>
        <v>21423.241000000271</v>
      </c>
      <c r="H79" s="54"/>
      <c r="I79" s="55"/>
      <c r="J79" s="32"/>
      <c r="K79" s="33"/>
      <c r="L79" s="34"/>
      <c r="M79" s="35"/>
      <c r="N79" s="36">
        <f t="shared" si="4"/>
        <v>218773.37</v>
      </c>
    </row>
    <row r="80" spans="1:14" ht="15.75" thickBot="1">
      <c r="A80" s="40"/>
      <c r="B80" s="44"/>
      <c r="C80" s="67"/>
      <c r="D80" s="68"/>
      <c r="E80" s="68"/>
      <c r="F80" s="69"/>
      <c r="G80" s="29">
        <f t="shared" si="3"/>
        <v>21423.241000000271</v>
      </c>
      <c r="H80" s="70"/>
      <c r="I80" s="71"/>
      <c r="J80" s="72"/>
      <c r="K80" s="73"/>
      <c r="L80" s="74"/>
      <c r="M80" s="69"/>
      <c r="N80" s="36">
        <f t="shared" si="4"/>
        <v>218773.37</v>
      </c>
    </row>
    <row r="81" spans="1:14" ht="15.75" thickBot="1">
      <c r="A81" s="44"/>
      <c r="B81" s="75" t="s">
        <v>46</v>
      </c>
      <c r="C81" s="76">
        <f>SUM(C51:C80)</f>
        <v>6063000</v>
      </c>
      <c r="D81" s="77">
        <f>SUM(D51:D80)</f>
        <v>754073.81</v>
      </c>
      <c r="E81" s="77">
        <f>SUM(E51:E80)</f>
        <v>6441318.5099999988</v>
      </c>
      <c r="F81" s="77">
        <f>SUM(F51:F80)</f>
        <v>359769.61599999998</v>
      </c>
      <c r="G81" s="78"/>
      <c r="H81" s="76">
        <f>SUM(H51:H80)</f>
        <v>0</v>
      </c>
      <c r="I81" s="77">
        <f>SUM(I51:I80)</f>
        <v>21397</v>
      </c>
      <c r="J81" s="77">
        <f t="shared" ref="J81:M81" si="5">SUM(J51:J80)</f>
        <v>0</v>
      </c>
      <c r="K81" s="77">
        <f t="shared" si="5"/>
        <v>0</v>
      </c>
      <c r="L81" s="77">
        <f t="shared" si="5"/>
        <v>1021.5500000000001</v>
      </c>
      <c r="M81" s="77">
        <f t="shared" si="5"/>
        <v>29000</v>
      </c>
      <c r="N81" s="79"/>
    </row>
    <row r="82" spans="1:14">
      <c r="F82" s="80"/>
    </row>
    <row r="83" spans="1:14">
      <c r="B83" s="81" t="s">
        <v>66</v>
      </c>
      <c r="F83" s="82"/>
      <c r="G83" s="82">
        <f>G80</f>
        <v>21423.241000000271</v>
      </c>
      <c r="H83" s="83"/>
      <c r="I83" s="83"/>
      <c r="J83" s="83"/>
      <c r="K83" s="82"/>
      <c r="N83" s="80">
        <f>N80</f>
        <v>218773.37</v>
      </c>
    </row>
    <row r="85" spans="1:14" ht="15.75" thickBot="1"/>
    <row r="86" spans="1:14" ht="15.75" thickBot="1">
      <c r="A86" s="84" t="s">
        <v>67</v>
      </c>
      <c r="C86" s="907" t="s">
        <v>3</v>
      </c>
      <c r="D86" s="908"/>
      <c r="E86" s="907" t="s">
        <v>4</v>
      </c>
      <c r="F86" s="908"/>
      <c r="G86" s="5"/>
      <c r="H86" s="909" t="s">
        <v>5</v>
      </c>
      <c r="I86" s="910"/>
      <c r="J86" s="909" t="s">
        <v>6</v>
      </c>
      <c r="K86" s="911"/>
      <c r="L86" s="911"/>
      <c r="M86" s="910"/>
      <c r="N86" s="6"/>
    </row>
    <row r="87" spans="1:14" ht="15.75" thickBot="1">
      <c r="A87" s="7" t="s">
        <v>7</v>
      </c>
      <c r="B87" s="8" t="s">
        <v>8</v>
      </c>
      <c r="C87" s="9" t="s">
        <v>9</v>
      </c>
      <c r="D87" s="9" t="s">
        <v>10</v>
      </c>
      <c r="E87" s="10" t="s">
        <v>68</v>
      </c>
      <c r="F87" s="10" t="s">
        <v>69</v>
      </c>
      <c r="G87" s="11" t="s">
        <v>13</v>
      </c>
      <c r="H87" s="12" t="s">
        <v>14</v>
      </c>
      <c r="I87" s="12" t="s">
        <v>10</v>
      </c>
      <c r="J87" s="12" t="s">
        <v>15</v>
      </c>
      <c r="K87" s="12" t="s">
        <v>11</v>
      </c>
      <c r="L87" s="12" t="s">
        <v>16</v>
      </c>
      <c r="M87" s="12" t="s">
        <v>17</v>
      </c>
      <c r="N87" s="13" t="s">
        <v>18</v>
      </c>
    </row>
    <row r="88" spans="1:14">
      <c r="A88" s="14">
        <v>44620</v>
      </c>
      <c r="B88" s="15" t="s">
        <v>19</v>
      </c>
      <c r="C88" s="16"/>
      <c r="D88" s="17"/>
      <c r="E88" s="17"/>
      <c r="F88" s="85"/>
      <c r="G88" s="86">
        <v>21423.24</v>
      </c>
      <c r="H88" s="16"/>
      <c r="I88" s="87"/>
      <c r="J88" s="17"/>
      <c r="K88" s="87"/>
      <c r="L88" s="21"/>
      <c r="M88" s="22"/>
      <c r="N88" s="23">
        <v>218773.37</v>
      </c>
    </row>
    <row r="89" spans="1:14">
      <c r="A89" s="40">
        <v>44623</v>
      </c>
      <c r="B89" s="15" t="s">
        <v>70</v>
      </c>
      <c r="C89" s="45"/>
      <c r="D89" s="27"/>
      <c r="E89" s="27">
        <v>3142.92</v>
      </c>
      <c r="F89" s="35"/>
      <c r="G89" s="29">
        <f t="shared" ref="G89:G126" si="6">+G88+C89+D89-E89-F89</f>
        <v>18280.32</v>
      </c>
      <c r="H89" s="88"/>
      <c r="I89" s="89"/>
      <c r="J89" s="89"/>
      <c r="K89" s="89"/>
      <c r="L89" s="34"/>
      <c r="M89" s="90"/>
      <c r="N89" s="91">
        <f t="shared" ref="N89:N126" si="7">+N88+H89+I89-J89-K89-L89-M89</f>
        <v>218773.37</v>
      </c>
    </row>
    <row r="90" spans="1:14">
      <c r="A90" s="24">
        <v>44624</v>
      </c>
      <c r="B90" s="25" t="s">
        <v>71</v>
      </c>
      <c r="C90" s="26"/>
      <c r="D90" s="27"/>
      <c r="E90" s="27"/>
      <c r="F90" s="28"/>
      <c r="G90" s="29">
        <f t="shared" si="6"/>
        <v>18280.32</v>
      </c>
      <c r="H90" s="30"/>
      <c r="I90" s="31">
        <v>966</v>
      </c>
      <c r="J90" s="32"/>
      <c r="K90" s="89"/>
      <c r="L90" s="34"/>
      <c r="M90" s="35"/>
      <c r="N90" s="91">
        <f t="shared" si="7"/>
        <v>219739.37</v>
      </c>
    </row>
    <row r="91" spans="1:14">
      <c r="A91" s="24">
        <v>44624</v>
      </c>
      <c r="B91" s="25" t="s">
        <v>72</v>
      </c>
      <c r="C91" s="37"/>
      <c r="D91" s="38"/>
      <c r="E91" s="38"/>
      <c r="F91" s="39"/>
      <c r="G91" s="29">
        <f t="shared" si="6"/>
        <v>18280.32</v>
      </c>
      <c r="H91" s="30"/>
      <c r="I91" s="31">
        <v>966</v>
      </c>
      <c r="J91" s="32"/>
      <c r="K91" s="89"/>
      <c r="L91" s="34"/>
      <c r="M91" s="35"/>
      <c r="N91" s="91">
        <f t="shared" si="7"/>
        <v>220705.37</v>
      </c>
    </row>
    <row r="92" spans="1:14">
      <c r="A92" s="40">
        <v>44624</v>
      </c>
      <c r="B92" s="44" t="s">
        <v>23</v>
      </c>
      <c r="C92" s="45"/>
      <c r="D92" s="27"/>
      <c r="E92" s="27">
        <v>37600</v>
      </c>
      <c r="F92" s="35"/>
      <c r="G92" s="29">
        <f t="shared" si="6"/>
        <v>-19319.68</v>
      </c>
      <c r="H92" s="46"/>
      <c r="I92" s="31"/>
      <c r="J92" s="47"/>
      <c r="K92" s="89"/>
      <c r="L92" s="34"/>
      <c r="M92" s="48"/>
      <c r="N92" s="91">
        <f t="shared" si="7"/>
        <v>220705.37</v>
      </c>
    </row>
    <row r="93" spans="1:14">
      <c r="A93" s="40">
        <v>44624</v>
      </c>
      <c r="B93" s="44" t="s">
        <v>73</v>
      </c>
      <c r="C93" s="26"/>
      <c r="D93" s="27"/>
      <c r="E93" s="92">
        <v>1002793.36</v>
      </c>
      <c r="F93" s="35"/>
      <c r="G93" s="29">
        <f t="shared" si="6"/>
        <v>-1022113.04</v>
      </c>
      <c r="H93" s="54"/>
      <c r="I93" s="93"/>
      <c r="J93" s="32"/>
      <c r="K93" s="89"/>
      <c r="L93" s="34"/>
      <c r="M93" s="35"/>
      <c r="N93" s="91">
        <f t="shared" si="7"/>
        <v>220705.37</v>
      </c>
    </row>
    <row r="94" spans="1:14">
      <c r="A94" s="40">
        <v>44627</v>
      </c>
      <c r="B94" s="94" t="s">
        <v>74</v>
      </c>
      <c r="C94" s="56">
        <f>700000+600000</f>
        <v>1300000</v>
      </c>
      <c r="D94" s="27"/>
      <c r="E94" s="27"/>
      <c r="F94" s="35"/>
      <c r="G94" s="29">
        <f t="shared" si="6"/>
        <v>277886.95999999996</v>
      </c>
      <c r="H94" s="54"/>
      <c r="I94" s="31"/>
      <c r="J94" s="89"/>
      <c r="K94" s="89"/>
      <c r="L94" s="34"/>
      <c r="M94" s="90">
        <f>1300000/197.4+0.39</f>
        <v>6586.0029685916925</v>
      </c>
      <c r="N94" s="91">
        <f t="shared" si="7"/>
        <v>214119.3670314083</v>
      </c>
    </row>
    <row r="95" spans="1:14">
      <c r="A95" s="40">
        <v>44627</v>
      </c>
      <c r="B95" s="15" t="s">
        <v>75</v>
      </c>
      <c r="C95" s="49"/>
      <c r="D95" s="50"/>
      <c r="E95" s="27">
        <v>12565.33</v>
      </c>
      <c r="F95" s="35"/>
      <c r="G95" s="29">
        <f t="shared" si="6"/>
        <v>265321.62999999995</v>
      </c>
      <c r="H95" s="88"/>
      <c r="I95" s="31"/>
      <c r="J95" s="32"/>
      <c r="K95" s="89"/>
      <c r="L95" s="34"/>
      <c r="M95" s="35"/>
      <c r="N95" s="91">
        <f t="shared" si="7"/>
        <v>214119.3670314083</v>
      </c>
    </row>
    <row r="96" spans="1:14">
      <c r="A96" s="40">
        <v>44627</v>
      </c>
      <c r="B96" s="44" t="s">
        <v>76</v>
      </c>
      <c r="C96" s="26"/>
      <c r="D96" s="27">
        <v>132238</v>
      </c>
      <c r="E96" s="27"/>
      <c r="F96" s="35"/>
      <c r="G96" s="29">
        <f t="shared" si="6"/>
        <v>397559.62999999995</v>
      </c>
      <c r="H96" s="88"/>
      <c r="I96" s="89"/>
      <c r="J96" s="89"/>
      <c r="K96" s="89"/>
      <c r="L96" s="34"/>
      <c r="M96" s="90"/>
      <c r="N96" s="91">
        <f t="shared" si="7"/>
        <v>214119.3670314083</v>
      </c>
    </row>
    <row r="97" spans="1:14">
      <c r="A97" s="40">
        <v>44629</v>
      </c>
      <c r="B97" s="15" t="s">
        <v>77</v>
      </c>
      <c r="C97" s="45"/>
      <c r="D97" s="27">
        <v>236000</v>
      </c>
      <c r="E97" s="27"/>
      <c r="F97" s="35"/>
      <c r="G97" s="29">
        <f t="shared" si="6"/>
        <v>633559.62999999989</v>
      </c>
      <c r="H97" s="88"/>
      <c r="I97" s="89"/>
      <c r="J97" s="89"/>
      <c r="K97" s="89"/>
      <c r="L97" s="34"/>
      <c r="M97" s="90"/>
      <c r="N97" s="91">
        <f t="shared" si="7"/>
        <v>214119.3670314083</v>
      </c>
    </row>
    <row r="98" spans="1:14">
      <c r="A98" s="40">
        <v>44630</v>
      </c>
      <c r="B98" s="44" t="s">
        <v>78</v>
      </c>
      <c r="C98" s="52"/>
      <c r="D98" s="50"/>
      <c r="E98" s="27">
        <f>567.32</f>
        <v>567.32000000000005</v>
      </c>
      <c r="F98" s="35"/>
      <c r="G98" s="29">
        <f t="shared" si="6"/>
        <v>632992.30999999994</v>
      </c>
      <c r="H98" s="88"/>
      <c r="I98" s="89"/>
      <c r="J98" s="32"/>
      <c r="K98" s="89"/>
      <c r="L98" s="34"/>
      <c r="M98" s="35"/>
      <c r="N98" s="91">
        <f t="shared" si="7"/>
        <v>214119.3670314083</v>
      </c>
    </row>
    <row r="99" spans="1:14">
      <c r="A99" s="24">
        <v>44630</v>
      </c>
      <c r="B99" s="25" t="s">
        <v>79</v>
      </c>
      <c r="C99" s="45"/>
      <c r="D99" s="27"/>
      <c r="E99" s="27"/>
      <c r="F99" s="35"/>
      <c r="G99" s="29">
        <f t="shared" si="6"/>
        <v>632992.30999999994</v>
      </c>
      <c r="H99" s="54"/>
      <c r="I99" s="31">
        <f>44550/9</f>
        <v>4950</v>
      </c>
      <c r="J99" s="32"/>
      <c r="K99" s="89"/>
      <c r="L99" s="34"/>
      <c r="M99" s="35"/>
      <c r="N99" s="91">
        <f t="shared" si="7"/>
        <v>219069.3670314083</v>
      </c>
    </row>
    <row r="100" spans="1:14">
      <c r="A100" s="24">
        <v>44630</v>
      </c>
      <c r="B100" s="25" t="s">
        <v>80</v>
      </c>
      <c r="C100" s="45"/>
      <c r="D100" s="27"/>
      <c r="E100" s="27"/>
      <c r="F100" s="35"/>
      <c r="G100" s="29">
        <f t="shared" si="6"/>
        <v>632992.30999999994</v>
      </c>
      <c r="H100" s="54"/>
      <c r="I100" s="31">
        <f>44550/9</f>
        <v>4950</v>
      </c>
      <c r="J100" s="32"/>
      <c r="K100" s="89"/>
      <c r="L100" s="34"/>
      <c r="M100" s="35"/>
      <c r="N100" s="91">
        <f t="shared" si="7"/>
        <v>224019.3670314083</v>
      </c>
    </row>
    <row r="101" spans="1:14">
      <c r="A101" s="24">
        <v>44630</v>
      </c>
      <c r="B101" s="25" t="s">
        <v>81</v>
      </c>
      <c r="C101" s="45"/>
      <c r="D101" s="27"/>
      <c r="E101" s="27"/>
      <c r="F101" s="35"/>
      <c r="G101" s="29">
        <f t="shared" si="6"/>
        <v>632992.30999999994</v>
      </c>
      <c r="H101" s="54"/>
      <c r="I101" s="93">
        <v>9165</v>
      </c>
      <c r="J101" s="89"/>
      <c r="K101" s="89"/>
      <c r="L101" s="34"/>
      <c r="M101" s="90"/>
      <c r="N101" s="91">
        <f t="shared" si="7"/>
        <v>233184.3670314083</v>
      </c>
    </row>
    <row r="102" spans="1:14">
      <c r="A102" s="40">
        <v>44630</v>
      </c>
      <c r="B102" s="25" t="s">
        <v>82</v>
      </c>
      <c r="C102" s="45"/>
      <c r="D102" s="27">
        <v>355625.17</v>
      </c>
      <c r="E102" s="27"/>
      <c r="F102" s="35"/>
      <c r="G102" s="29">
        <f t="shared" si="6"/>
        <v>988617.48</v>
      </c>
      <c r="H102" s="88"/>
      <c r="I102" s="89"/>
      <c r="J102" s="89"/>
      <c r="K102" s="89"/>
      <c r="L102" s="34"/>
      <c r="M102" s="90"/>
      <c r="N102" s="91">
        <f t="shared" si="7"/>
        <v>233184.3670314083</v>
      </c>
    </row>
    <row r="103" spans="1:14">
      <c r="A103" s="40">
        <v>44630</v>
      </c>
      <c r="B103" s="41" t="s">
        <v>83</v>
      </c>
      <c r="C103" s="26"/>
      <c r="D103" s="27"/>
      <c r="E103" s="27">
        <v>141229.09</v>
      </c>
      <c r="F103" s="35"/>
      <c r="G103" s="29">
        <f t="shared" si="6"/>
        <v>847388.39</v>
      </c>
      <c r="H103" s="88"/>
      <c r="I103" s="89"/>
      <c r="J103" s="89"/>
      <c r="K103" s="89"/>
      <c r="L103" s="34"/>
      <c r="M103" s="90"/>
      <c r="N103" s="91">
        <f t="shared" si="7"/>
        <v>233184.3670314083</v>
      </c>
    </row>
    <row r="104" spans="1:14">
      <c r="A104" s="40">
        <v>44631</v>
      </c>
      <c r="B104" s="44" t="s">
        <v>84</v>
      </c>
      <c r="C104" s="66"/>
      <c r="D104" s="38">
        <v>85200</v>
      </c>
      <c r="E104" s="63"/>
      <c r="F104" s="35"/>
      <c r="G104" s="29">
        <f t="shared" si="6"/>
        <v>932588.39</v>
      </c>
      <c r="H104" s="88"/>
      <c r="I104" s="89"/>
      <c r="J104" s="89"/>
      <c r="K104" s="89"/>
      <c r="L104" s="34"/>
      <c r="M104" s="90"/>
      <c r="N104" s="91">
        <f t="shared" si="7"/>
        <v>233184.3670314083</v>
      </c>
    </row>
    <row r="105" spans="1:14">
      <c r="A105" s="40">
        <v>44631</v>
      </c>
      <c r="B105" s="44" t="s">
        <v>85</v>
      </c>
      <c r="C105" s="66"/>
      <c r="D105" s="38"/>
      <c r="E105" s="38">
        <v>90265.89</v>
      </c>
      <c r="F105" s="35"/>
      <c r="G105" s="29">
        <f t="shared" si="6"/>
        <v>842322.5</v>
      </c>
      <c r="H105" s="88"/>
      <c r="I105" s="89"/>
      <c r="J105" s="89"/>
      <c r="K105" s="89"/>
      <c r="L105" s="34"/>
      <c r="M105" s="90"/>
      <c r="N105" s="91">
        <f t="shared" si="7"/>
        <v>233184.3670314083</v>
      </c>
    </row>
    <row r="106" spans="1:14">
      <c r="A106" s="40">
        <v>44634</v>
      </c>
      <c r="B106" s="44" t="s">
        <v>86</v>
      </c>
      <c r="C106" s="45"/>
      <c r="D106" s="27">
        <v>139314.39000000001</v>
      </c>
      <c r="E106" s="27"/>
      <c r="F106" s="35"/>
      <c r="G106" s="29">
        <f t="shared" si="6"/>
        <v>981636.89</v>
      </c>
      <c r="H106" s="88"/>
      <c r="I106" s="89"/>
      <c r="J106" s="32"/>
      <c r="K106" s="89"/>
      <c r="L106" s="34"/>
      <c r="M106" s="35"/>
      <c r="N106" s="91">
        <f t="shared" si="7"/>
        <v>233184.3670314083</v>
      </c>
    </row>
    <row r="107" spans="1:14">
      <c r="A107" s="40">
        <v>44634</v>
      </c>
      <c r="B107" s="44" t="s">
        <v>70</v>
      </c>
      <c r="C107" s="66"/>
      <c r="D107" s="38"/>
      <c r="E107" s="27">
        <v>17383.05</v>
      </c>
      <c r="F107" s="35"/>
      <c r="G107" s="29">
        <f t="shared" si="6"/>
        <v>964253.84</v>
      </c>
      <c r="H107" s="88"/>
      <c r="I107" s="89"/>
      <c r="J107" s="89"/>
      <c r="K107" s="89"/>
      <c r="L107" s="34"/>
      <c r="M107" s="90"/>
      <c r="N107" s="91">
        <f t="shared" si="7"/>
        <v>233184.3670314083</v>
      </c>
    </row>
    <row r="108" spans="1:14">
      <c r="A108" s="40">
        <v>44635</v>
      </c>
      <c r="B108" s="94" t="s">
        <v>87</v>
      </c>
      <c r="C108" s="56">
        <f>1000000*2</f>
        <v>2000000</v>
      </c>
      <c r="D108" s="27"/>
      <c r="E108" s="27"/>
      <c r="F108" s="35"/>
      <c r="G108" s="29">
        <f t="shared" si="6"/>
        <v>2964253.84</v>
      </c>
      <c r="H108" s="88"/>
      <c r="I108" s="89"/>
      <c r="J108" s="89"/>
      <c r="K108" s="89"/>
      <c r="L108" s="34"/>
      <c r="M108" s="90">
        <f>2000000/196.4-0.3</f>
        <v>10182.999389002038</v>
      </c>
      <c r="N108" s="91">
        <f t="shared" si="7"/>
        <v>223001.36764240626</v>
      </c>
    </row>
    <row r="109" spans="1:14">
      <c r="A109" s="40">
        <v>44635</v>
      </c>
      <c r="B109" s="15" t="s">
        <v>27</v>
      </c>
      <c r="C109" s="45"/>
      <c r="D109" s="27"/>
      <c r="E109" s="27">
        <f>84342.96*2+192258</f>
        <v>360943.92000000004</v>
      </c>
      <c r="F109" s="35"/>
      <c r="G109" s="29">
        <f t="shared" si="6"/>
        <v>2603309.92</v>
      </c>
      <c r="H109" s="54"/>
      <c r="I109" s="93"/>
      <c r="J109" s="32"/>
      <c r="K109" s="89"/>
      <c r="L109" s="34"/>
      <c r="M109" s="35"/>
      <c r="N109" s="91">
        <f t="shared" si="7"/>
        <v>223001.36764240626</v>
      </c>
    </row>
    <row r="110" spans="1:14">
      <c r="A110" s="40">
        <v>44635</v>
      </c>
      <c r="B110" s="15" t="s">
        <v>88</v>
      </c>
      <c r="C110" s="58"/>
      <c r="D110" s="27"/>
      <c r="E110" s="95">
        <v>1211954.8700000001</v>
      </c>
      <c r="F110" s="35"/>
      <c r="G110" s="29">
        <f t="shared" si="6"/>
        <v>1391355.0499999998</v>
      </c>
      <c r="H110" s="88"/>
      <c r="I110" s="89"/>
      <c r="J110" s="32"/>
      <c r="K110" s="89"/>
      <c r="L110" s="34"/>
      <c r="M110" s="35"/>
      <c r="N110" s="91">
        <f t="shared" si="7"/>
        <v>223001.36764240626</v>
      </c>
    </row>
    <row r="111" spans="1:14">
      <c r="A111" s="40">
        <v>44636</v>
      </c>
      <c r="B111" s="15" t="s">
        <v>89</v>
      </c>
      <c r="C111" s="45"/>
      <c r="D111" s="27"/>
      <c r="E111" s="27">
        <f>576520*2+550960</f>
        <v>1704000</v>
      </c>
      <c r="F111" s="35"/>
      <c r="G111" s="29">
        <f t="shared" si="6"/>
        <v>-312644.95000000019</v>
      </c>
      <c r="H111" s="88"/>
      <c r="I111" s="89"/>
      <c r="J111" s="89"/>
      <c r="K111" s="89"/>
      <c r="L111" s="34"/>
      <c r="M111" s="90"/>
      <c r="N111" s="91">
        <f t="shared" si="7"/>
        <v>223001.36764240626</v>
      </c>
    </row>
    <row r="112" spans="1:14">
      <c r="A112" s="40">
        <v>44638</v>
      </c>
      <c r="B112" s="15" t="s">
        <v>90</v>
      </c>
      <c r="C112" s="45"/>
      <c r="D112" s="27"/>
      <c r="E112" s="27">
        <v>49499.95</v>
      </c>
      <c r="F112" s="35"/>
      <c r="G112" s="29">
        <f t="shared" si="6"/>
        <v>-362144.9000000002</v>
      </c>
      <c r="H112" s="54"/>
      <c r="I112" s="31"/>
      <c r="J112" s="89"/>
      <c r="K112" s="89"/>
      <c r="L112" s="34"/>
      <c r="M112" s="90"/>
      <c r="N112" s="91">
        <f t="shared" si="7"/>
        <v>223001.36764240626</v>
      </c>
    </row>
    <row r="113" spans="1:14">
      <c r="A113" s="40">
        <v>44638</v>
      </c>
      <c r="B113" s="94" t="s">
        <v>91</v>
      </c>
      <c r="C113" s="56">
        <v>600000</v>
      </c>
      <c r="D113" s="38"/>
      <c r="E113" s="63"/>
      <c r="F113" s="35"/>
      <c r="G113" s="29">
        <f t="shared" si="6"/>
        <v>237855.0999999998</v>
      </c>
      <c r="H113" s="54"/>
      <c r="I113" s="93"/>
      <c r="J113" s="32"/>
      <c r="K113" s="89"/>
      <c r="L113" s="34"/>
      <c r="M113" s="35">
        <f>600000/198.4-0.19</f>
        <v>3024.0035483870965</v>
      </c>
      <c r="N113" s="91">
        <f t="shared" si="7"/>
        <v>219977.36409401917</v>
      </c>
    </row>
    <row r="114" spans="1:14">
      <c r="A114" s="40">
        <v>44641</v>
      </c>
      <c r="B114" s="96" t="s">
        <v>92</v>
      </c>
      <c r="C114" s="56">
        <v>500000</v>
      </c>
      <c r="D114" s="27"/>
      <c r="E114" s="27"/>
      <c r="F114" s="35"/>
      <c r="G114" s="29">
        <f t="shared" si="6"/>
        <v>737855.09999999986</v>
      </c>
      <c r="H114" s="88"/>
      <c r="I114" s="89"/>
      <c r="J114" s="89"/>
      <c r="K114" s="89"/>
      <c r="L114" s="34"/>
      <c r="M114" s="90">
        <f>500000/198.4-0.16</f>
        <v>2520.0012903225806</v>
      </c>
      <c r="N114" s="91">
        <f t="shared" si="7"/>
        <v>217457.3628036966</v>
      </c>
    </row>
    <row r="115" spans="1:14">
      <c r="A115" s="40">
        <v>44641</v>
      </c>
      <c r="B115" s="44" t="s">
        <v>41</v>
      </c>
      <c r="C115" s="66"/>
      <c r="D115" s="38"/>
      <c r="E115" s="63">
        <v>38885.410000000003</v>
      </c>
      <c r="F115" s="35"/>
      <c r="G115" s="29">
        <f t="shared" si="6"/>
        <v>698969.68999999983</v>
      </c>
      <c r="H115" s="88"/>
      <c r="I115" s="89"/>
      <c r="J115" s="89"/>
      <c r="K115" s="89"/>
      <c r="L115" s="34"/>
      <c r="M115" s="90"/>
      <c r="N115" s="91">
        <f t="shared" si="7"/>
        <v>217457.3628036966</v>
      </c>
    </row>
    <row r="116" spans="1:14">
      <c r="A116" s="40">
        <v>44642</v>
      </c>
      <c r="B116" s="96" t="s">
        <v>93</v>
      </c>
      <c r="C116" s="56">
        <f>400000*2</f>
        <v>800000</v>
      </c>
      <c r="D116" s="27"/>
      <c r="E116" s="27"/>
      <c r="F116" s="35"/>
      <c r="G116" s="29">
        <f t="shared" si="6"/>
        <v>1498969.69</v>
      </c>
      <c r="H116" s="88"/>
      <c r="I116" s="89"/>
      <c r="J116" s="89"/>
      <c r="K116" s="89"/>
      <c r="L116" s="34"/>
      <c r="M116" s="90">
        <f>800000/197.4+0.32</f>
        <v>4053.0049037487338</v>
      </c>
      <c r="N116" s="91">
        <f t="shared" si="7"/>
        <v>213404.35789994785</v>
      </c>
    </row>
    <row r="117" spans="1:14">
      <c r="A117" s="40">
        <v>44642</v>
      </c>
      <c r="B117" s="44" t="s">
        <v>88</v>
      </c>
      <c r="C117" s="45"/>
      <c r="D117" s="27"/>
      <c r="E117" s="92">
        <v>760000</v>
      </c>
      <c r="F117" s="35"/>
      <c r="G117" s="29">
        <f t="shared" si="6"/>
        <v>738969.69</v>
      </c>
      <c r="H117" s="54"/>
      <c r="I117" s="93"/>
      <c r="J117" s="32"/>
      <c r="K117" s="89"/>
      <c r="L117" s="34"/>
      <c r="M117" s="35"/>
      <c r="N117" s="91">
        <f t="shared" si="7"/>
        <v>213404.35789994785</v>
      </c>
    </row>
    <row r="118" spans="1:14">
      <c r="A118" s="40">
        <v>44643</v>
      </c>
      <c r="B118" s="44" t="s">
        <v>70</v>
      </c>
      <c r="C118" s="66"/>
      <c r="D118" s="38"/>
      <c r="E118" s="27">
        <v>13731.33</v>
      </c>
      <c r="F118" s="35"/>
      <c r="G118" s="29">
        <f t="shared" si="6"/>
        <v>725238.36</v>
      </c>
      <c r="H118" s="54"/>
      <c r="I118" s="93"/>
      <c r="J118" s="32"/>
      <c r="K118" s="89"/>
      <c r="L118" s="34"/>
      <c r="M118" s="35"/>
      <c r="N118" s="91">
        <f t="shared" si="7"/>
        <v>213404.35789994785</v>
      </c>
    </row>
    <row r="119" spans="1:14">
      <c r="A119" s="40">
        <v>44645</v>
      </c>
      <c r="B119" s="44" t="s">
        <v>51</v>
      </c>
      <c r="C119" s="97"/>
      <c r="D119" s="98"/>
      <c r="E119" s="27">
        <v>200000</v>
      </c>
      <c r="F119" s="35"/>
      <c r="G119" s="29">
        <f t="shared" si="6"/>
        <v>525238.36</v>
      </c>
      <c r="H119" s="88"/>
      <c r="I119" s="89"/>
      <c r="J119" s="32"/>
      <c r="K119" s="89"/>
      <c r="L119" s="34"/>
      <c r="M119" s="35"/>
      <c r="N119" s="91">
        <f t="shared" si="7"/>
        <v>213404.35789994785</v>
      </c>
    </row>
    <row r="120" spans="1:14">
      <c r="A120" s="40">
        <v>44645</v>
      </c>
      <c r="B120" s="44" t="s">
        <v>42</v>
      </c>
      <c r="C120" s="59"/>
      <c r="D120" s="38"/>
      <c r="E120" s="38">
        <f>12350+2065*2</f>
        <v>16480</v>
      </c>
      <c r="F120" s="35"/>
      <c r="G120" s="29">
        <f t="shared" si="6"/>
        <v>508758.36</v>
      </c>
      <c r="H120" s="54"/>
      <c r="I120" s="60"/>
      <c r="J120" s="32"/>
      <c r="K120" s="89"/>
      <c r="L120" s="34"/>
      <c r="M120" s="35"/>
      <c r="N120" s="91">
        <f t="shared" si="7"/>
        <v>213404.35789994785</v>
      </c>
    </row>
    <row r="121" spans="1:14">
      <c r="A121" s="40">
        <v>44645</v>
      </c>
      <c r="B121" s="44" t="s">
        <v>26</v>
      </c>
      <c r="C121" s="45"/>
      <c r="D121" s="27"/>
      <c r="E121" s="38">
        <v>200000</v>
      </c>
      <c r="F121" s="62"/>
      <c r="G121" s="29">
        <f t="shared" si="6"/>
        <v>308758.36</v>
      </c>
      <c r="H121" s="54"/>
      <c r="I121" s="93"/>
      <c r="J121" s="32"/>
      <c r="K121" s="89"/>
      <c r="L121" s="89"/>
      <c r="M121" s="35"/>
      <c r="N121" s="91">
        <f t="shared" si="7"/>
        <v>213404.35789994785</v>
      </c>
    </row>
    <row r="122" spans="1:14">
      <c r="A122" s="40">
        <v>44646</v>
      </c>
      <c r="B122" s="61" t="s">
        <v>43</v>
      </c>
      <c r="C122" s="45"/>
      <c r="D122" s="27"/>
      <c r="E122" s="38"/>
      <c r="F122" s="62">
        <f>SUM(D88:D121)*5%</f>
        <v>47418.877999999997</v>
      </c>
      <c r="G122" s="29">
        <f t="shared" si="6"/>
        <v>261339.48199999999</v>
      </c>
      <c r="H122" s="54"/>
      <c r="I122" s="93"/>
      <c r="J122" s="32"/>
      <c r="K122" s="89"/>
      <c r="L122" s="89">
        <f>SUM(I88:I121)*5%</f>
        <v>1049.8500000000001</v>
      </c>
      <c r="M122" s="35"/>
      <c r="N122" s="91">
        <f t="shared" si="7"/>
        <v>212354.50789994784</v>
      </c>
    </row>
    <row r="123" spans="1:14">
      <c r="A123" s="40">
        <v>44646</v>
      </c>
      <c r="B123" s="61" t="s">
        <v>44</v>
      </c>
      <c r="C123" s="97"/>
      <c r="D123" s="98"/>
      <c r="E123" s="99"/>
      <c r="F123" s="62">
        <f>SUM(E88:E121)*5%</f>
        <v>293052.12200000003</v>
      </c>
      <c r="G123" s="29">
        <f t="shared" si="6"/>
        <v>-31712.640000000043</v>
      </c>
      <c r="H123" s="54"/>
      <c r="I123" s="93"/>
      <c r="J123" s="32"/>
      <c r="K123" s="89"/>
      <c r="L123" s="89">
        <f>SUM(K100:K121)*5%</f>
        <v>0</v>
      </c>
      <c r="M123" s="35"/>
      <c r="N123" s="91">
        <f t="shared" si="7"/>
        <v>212354.50789994784</v>
      </c>
    </row>
    <row r="124" spans="1:14">
      <c r="A124" s="100"/>
      <c r="B124" s="101" t="s">
        <v>62</v>
      </c>
      <c r="C124" s="97"/>
      <c r="D124" s="98">
        <v>53700</v>
      </c>
      <c r="E124" s="98"/>
      <c r="F124" s="102"/>
      <c r="G124" s="29">
        <f t="shared" si="6"/>
        <v>21987.359999999957</v>
      </c>
      <c r="H124" s="103"/>
      <c r="I124" s="104">
        <v>400</v>
      </c>
      <c r="J124" s="105"/>
      <c r="K124" s="105"/>
      <c r="L124" s="106"/>
      <c r="M124" s="107"/>
      <c r="N124" s="91">
        <f t="shared" si="7"/>
        <v>212754.50789994784</v>
      </c>
    </row>
    <row r="125" spans="1:14">
      <c r="A125" s="40"/>
      <c r="B125" s="61"/>
      <c r="C125" s="97"/>
      <c r="D125" s="98"/>
      <c r="E125" s="99"/>
      <c r="F125" s="108"/>
      <c r="G125" s="29">
        <f t="shared" si="6"/>
        <v>21987.359999999957</v>
      </c>
      <c r="H125" s="103"/>
      <c r="I125" s="109"/>
      <c r="J125" s="110"/>
      <c r="K125" s="105"/>
      <c r="L125" s="105"/>
      <c r="M125" s="102"/>
      <c r="N125" s="91">
        <f t="shared" si="7"/>
        <v>212754.50789994784</v>
      </c>
    </row>
    <row r="126" spans="1:14" ht="15.75" thickBot="1">
      <c r="A126" s="40"/>
      <c r="B126" s="44"/>
      <c r="C126" s="67"/>
      <c r="D126" s="68"/>
      <c r="E126" s="68"/>
      <c r="F126" s="69"/>
      <c r="G126" s="29">
        <f t="shared" si="6"/>
        <v>21987.359999999957</v>
      </c>
      <c r="H126" s="70"/>
      <c r="I126" s="111"/>
      <c r="J126" s="72"/>
      <c r="K126" s="112"/>
      <c r="L126" s="74"/>
      <c r="M126" s="69"/>
      <c r="N126" s="91">
        <f t="shared" si="7"/>
        <v>212754.50789994784</v>
      </c>
    </row>
    <row r="127" spans="1:14" ht="15.75" thickBot="1">
      <c r="A127" s="44"/>
      <c r="B127" s="75" t="s">
        <v>46</v>
      </c>
      <c r="C127" s="113">
        <f>SUM(C88:C126)</f>
        <v>5200000</v>
      </c>
      <c r="D127" s="114">
        <f>SUM(D88:D126)</f>
        <v>1002077.5599999999</v>
      </c>
      <c r="E127" s="114">
        <f>SUM(E88:E126)</f>
        <v>5861042.4400000004</v>
      </c>
      <c r="F127" s="114">
        <f>SUM(F88:F126)</f>
        <v>340471</v>
      </c>
      <c r="G127" s="115"/>
      <c r="H127" s="113">
        <f>SUM(H88:H126)</f>
        <v>0</v>
      </c>
      <c r="I127" s="114">
        <f>SUM(I88:I126)</f>
        <v>21397</v>
      </c>
      <c r="J127" s="114">
        <f t="shared" ref="J127:M127" si="8">SUM(J88:J126)</f>
        <v>0</v>
      </c>
      <c r="K127" s="114">
        <f t="shared" si="8"/>
        <v>0</v>
      </c>
      <c r="L127" s="114">
        <f t="shared" si="8"/>
        <v>1049.8500000000001</v>
      </c>
      <c r="M127" s="114">
        <f t="shared" si="8"/>
        <v>26366.012100052139</v>
      </c>
      <c r="N127" s="79"/>
    </row>
  </sheetData>
  <mergeCells count="15">
    <mergeCell ref="C86:D86"/>
    <mergeCell ref="E86:F86"/>
    <mergeCell ref="H86:I86"/>
    <mergeCell ref="J86:M86"/>
    <mergeCell ref="B1:H2"/>
    <mergeCell ref="E3:G3"/>
    <mergeCell ref="C5:D5"/>
    <mergeCell ref="E5:F5"/>
    <mergeCell ref="H5:I5"/>
    <mergeCell ref="J5:M5"/>
    <mergeCell ref="B44:H45"/>
    <mergeCell ref="C49:D49"/>
    <mergeCell ref="E49:F49"/>
    <mergeCell ref="H49:I49"/>
    <mergeCell ref="J49:M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21"/>
  <sheetViews>
    <sheetView tabSelected="1" topLeftCell="A392" workbookViewId="0">
      <selection activeCell="F414" sqref="F414"/>
    </sheetView>
  </sheetViews>
  <sheetFormatPr baseColWidth="10" defaultRowHeight="15"/>
  <cols>
    <col min="2" max="2" width="50.5703125" customWidth="1"/>
    <col min="3" max="4" width="14.28515625" customWidth="1"/>
    <col min="5" max="5" width="14.42578125" customWidth="1"/>
    <col min="6" max="6" width="14" customWidth="1"/>
    <col min="7" max="7" width="14.5703125" customWidth="1"/>
    <col min="9" max="9" width="13.28515625" customWidth="1"/>
    <col min="12" max="12" width="12" customWidth="1"/>
    <col min="13" max="13" width="13.140625" customWidth="1"/>
    <col min="15" max="15" width="11.42578125" style="474"/>
    <col min="16" max="16" width="14.7109375" customWidth="1"/>
    <col min="19" max="19" width="42.85546875" customWidth="1"/>
    <col min="20" max="21" width="20.140625" customWidth="1"/>
    <col min="25" max="25" width="14" customWidth="1"/>
  </cols>
  <sheetData>
    <row r="1" spans="1:23">
      <c r="A1" s="1"/>
      <c r="B1" s="912" t="s">
        <v>0</v>
      </c>
      <c r="C1" s="913"/>
      <c r="D1" s="913"/>
      <c r="E1" s="913"/>
      <c r="F1" s="913"/>
      <c r="G1" s="913"/>
      <c r="H1" s="914"/>
      <c r="I1" s="2"/>
    </row>
    <row r="2" spans="1:23" ht="15.75" thickBot="1">
      <c r="A2" s="1"/>
      <c r="B2" s="915"/>
      <c r="C2" s="916"/>
      <c r="D2" s="916"/>
      <c r="E2" s="916"/>
      <c r="F2" s="916"/>
      <c r="G2" s="916"/>
      <c r="H2" s="917"/>
      <c r="I2" s="2"/>
    </row>
    <row r="3" spans="1:23" ht="26.25">
      <c r="A3" s="1"/>
      <c r="B3" s="3"/>
      <c r="C3" s="3"/>
      <c r="D3" s="3"/>
      <c r="E3" s="918" t="s">
        <v>220</v>
      </c>
      <c r="F3" s="919"/>
      <c r="G3" s="920"/>
      <c r="H3" s="3"/>
      <c r="I3" s="2"/>
    </row>
    <row r="4" spans="1:23" ht="15.75" thickBot="1"/>
    <row r="5" spans="1:23" ht="15.75" thickBot="1">
      <c r="A5" s="4" t="s">
        <v>2</v>
      </c>
      <c r="C5" s="907" t="s">
        <v>3</v>
      </c>
      <c r="D5" s="908"/>
      <c r="E5" s="907" t="s">
        <v>4</v>
      </c>
      <c r="F5" s="908"/>
      <c r="G5" s="5"/>
      <c r="H5" s="909" t="s">
        <v>5</v>
      </c>
      <c r="I5" s="910"/>
      <c r="J5" s="909" t="s">
        <v>6</v>
      </c>
      <c r="K5" s="911"/>
      <c r="L5" s="911"/>
      <c r="M5" s="910"/>
      <c r="N5" s="6"/>
      <c r="O5" s="475"/>
      <c r="P5" s="6"/>
    </row>
    <row r="6" spans="1:23" ht="15.75" thickBot="1">
      <c r="A6" s="7" t="s">
        <v>7</v>
      </c>
      <c r="B6" s="8" t="s">
        <v>8</v>
      </c>
      <c r="C6" s="9" t="s">
        <v>9</v>
      </c>
      <c r="D6" s="9" t="s">
        <v>10</v>
      </c>
      <c r="E6" s="10" t="s">
        <v>11</v>
      </c>
      <c r="F6" s="10" t="s">
        <v>12</v>
      </c>
      <c r="G6" s="11" t="s">
        <v>13</v>
      </c>
      <c r="H6" s="12" t="s">
        <v>14</v>
      </c>
      <c r="I6" s="12" t="s">
        <v>10</v>
      </c>
      <c r="J6" s="12" t="s">
        <v>15</v>
      </c>
      <c r="K6" s="12" t="s">
        <v>11</v>
      </c>
      <c r="L6" s="12" t="s">
        <v>16</v>
      </c>
      <c r="M6" s="12" t="s">
        <v>17</v>
      </c>
      <c r="N6" s="13" t="s">
        <v>18</v>
      </c>
      <c r="O6" s="476"/>
      <c r="P6" s="430"/>
    </row>
    <row r="7" spans="1:23">
      <c r="A7" s="14">
        <v>44561</v>
      </c>
      <c r="B7" s="15" t="s">
        <v>19</v>
      </c>
      <c r="C7" s="16"/>
      <c r="D7" s="17"/>
      <c r="E7" s="17"/>
      <c r="F7" s="18"/>
      <c r="G7" s="19">
        <v>39533.29</v>
      </c>
      <c r="H7" s="16"/>
      <c r="I7" s="20"/>
      <c r="J7" s="17"/>
      <c r="K7" s="20"/>
      <c r="L7" s="21"/>
      <c r="M7" s="22"/>
      <c r="N7" s="23">
        <v>240480.77</v>
      </c>
      <c r="O7" s="477"/>
      <c r="P7" s="431"/>
    </row>
    <row r="8" spans="1:23">
      <c r="A8" s="24">
        <v>44566</v>
      </c>
      <c r="B8" s="25" t="s">
        <v>20</v>
      </c>
      <c r="C8" s="26"/>
      <c r="D8" s="27"/>
      <c r="E8" s="27"/>
      <c r="F8" s="28"/>
      <c r="G8" s="29">
        <f t="shared" ref="G8:G36" si="0">+G7+C8+D8-E8-F8</f>
        <v>39533.29</v>
      </c>
      <c r="H8" s="30"/>
      <c r="I8" s="31">
        <v>966</v>
      </c>
      <c r="J8" s="32"/>
      <c r="K8" s="33"/>
      <c r="L8" s="34"/>
      <c r="M8" s="35"/>
      <c r="N8" s="36">
        <f t="shared" ref="N8:N36" si="1">+N7+H8+I8-J8-K8-L8-M8</f>
        <v>241446.77</v>
      </c>
      <c r="O8" s="478"/>
      <c r="P8" s="432"/>
      <c r="R8" s="40"/>
      <c r="S8" s="270" t="s">
        <v>238</v>
      </c>
      <c r="T8" s="271"/>
      <c r="U8" s="272">
        <v>800000</v>
      </c>
      <c r="V8" s="204"/>
    </row>
    <row r="9" spans="1:23">
      <c r="A9" s="24">
        <v>44566</v>
      </c>
      <c r="B9" s="25" t="s">
        <v>21</v>
      </c>
      <c r="C9" s="37"/>
      <c r="D9" s="38"/>
      <c r="E9" s="38"/>
      <c r="F9" s="39"/>
      <c r="G9" s="29">
        <f t="shared" si="0"/>
        <v>39533.29</v>
      </c>
      <c r="H9" s="30"/>
      <c r="I9" s="31">
        <v>966</v>
      </c>
      <c r="J9" s="32"/>
      <c r="K9" s="33"/>
      <c r="L9" s="34"/>
      <c r="M9" s="35"/>
      <c r="N9" s="36">
        <f t="shared" si="1"/>
        <v>242412.77</v>
      </c>
      <c r="O9" s="478"/>
      <c r="P9" s="432"/>
      <c r="R9" s="273">
        <v>44567</v>
      </c>
      <c r="S9" s="274" t="s">
        <v>190</v>
      </c>
      <c r="T9" s="275"/>
      <c r="U9" s="276">
        <v>56482.42</v>
      </c>
      <c r="V9" s="117"/>
    </row>
    <row r="10" spans="1:23">
      <c r="A10" s="40">
        <v>44567</v>
      </c>
      <c r="B10" s="41" t="s">
        <v>22</v>
      </c>
      <c r="C10" s="26"/>
      <c r="D10" s="27"/>
      <c r="E10" s="277">
        <f>56482.42</f>
        <v>56482.42</v>
      </c>
      <c r="F10" s="35"/>
      <c r="G10" s="29">
        <f t="shared" si="0"/>
        <v>-16949.129999999997</v>
      </c>
      <c r="H10" s="42"/>
      <c r="I10" s="33"/>
      <c r="J10" s="33"/>
      <c r="K10" s="33"/>
      <c r="L10" s="34"/>
      <c r="M10" s="43"/>
      <c r="N10" s="36">
        <f t="shared" si="1"/>
        <v>242412.77</v>
      </c>
      <c r="O10" s="478"/>
      <c r="P10" s="432"/>
      <c r="R10" s="273">
        <v>44567</v>
      </c>
      <c r="S10" s="280" t="s">
        <v>94</v>
      </c>
      <c r="T10" s="275"/>
      <c r="U10" s="276">
        <v>11718</v>
      </c>
      <c r="V10" s="204"/>
    </row>
    <row r="11" spans="1:23">
      <c r="A11" s="40">
        <v>44567</v>
      </c>
      <c r="B11" s="44" t="s">
        <v>23</v>
      </c>
      <c r="C11" s="45"/>
      <c r="D11" s="27"/>
      <c r="E11" s="277">
        <v>37600</v>
      </c>
      <c r="F11" s="35"/>
      <c r="G11" s="29">
        <f t="shared" si="0"/>
        <v>-54549.13</v>
      </c>
      <c r="H11" s="46"/>
      <c r="I11" s="31"/>
      <c r="J11" s="47"/>
      <c r="K11" s="33"/>
      <c r="L11" s="34"/>
      <c r="M11" s="48"/>
      <c r="N11" s="36">
        <f t="shared" si="1"/>
        <v>242412.77</v>
      </c>
      <c r="O11" s="478"/>
      <c r="P11" s="432"/>
      <c r="R11" s="273">
        <v>44592</v>
      </c>
      <c r="S11" s="274" t="s">
        <v>108</v>
      </c>
      <c r="T11" s="281"/>
      <c r="U11" s="281">
        <v>12706</v>
      </c>
      <c r="V11" s="117"/>
    </row>
    <row r="12" spans="1:23">
      <c r="A12" s="40">
        <v>44567</v>
      </c>
      <c r="B12" s="15" t="s">
        <v>24</v>
      </c>
      <c r="C12" s="49"/>
      <c r="D12" s="50"/>
      <c r="E12" s="282">
        <f>11718+12706</f>
        <v>24424</v>
      </c>
      <c r="F12" s="35"/>
      <c r="G12" s="29">
        <f t="shared" si="0"/>
        <v>-78973.13</v>
      </c>
      <c r="H12" s="42"/>
      <c r="I12" s="31"/>
      <c r="J12" s="32"/>
      <c r="K12" s="33"/>
      <c r="L12" s="34"/>
      <c r="M12" s="35"/>
      <c r="N12" s="36">
        <f t="shared" si="1"/>
        <v>242412.77</v>
      </c>
      <c r="O12" s="478"/>
      <c r="P12" s="432"/>
      <c r="R12" s="312">
        <v>44581</v>
      </c>
      <c r="S12" s="313" t="s">
        <v>105</v>
      </c>
      <c r="T12" s="314"/>
      <c r="U12" s="315">
        <v>192258</v>
      </c>
      <c r="V12" s="316"/>
      <c r="W12" s="204"/>
    </row>
    <row r="13" spans="1:23">
      <c r="A13" s="40">
        <v>44567</v>
      </c>
      <c r="B13" s="44" t="s">
        <v>25</v>
      </c>
      <c r="C13" s="52"/>
      <c r="D13" s="50"/>
      <c r="E13" s="282">
        <v>1079.54</v>
      </c>
      <c r="F13" s="35"/>
      <c r="G13" s="29">
        <f t="shared" si="0"/>
        <v>-80052.67</v>
      </c>
      <c r="H13" s="42"/>
      <c r="I13" s="33"/>
      <c r="J13" s="32"/>
      <c r="K13" s="33"/>
      <c r="L13" s="34"/>
      <c r="M13" s="35"/>
      <c r="N13" s="36">
        <f t="shared" si="1"/>
        <v>242412.77</v>
      </c>
      <c r="O13" s="478"/>
      <c r="P13" s="432"/>
      <c r="R13" s="312">
        <v>44586</v>
      </c>
      <c r="S13" s="313" t="s">
        <v>106</v>
      </c>
      <c r="T13" s="315"/>
      <c r="U13" s="315">
        <f>164205.89+5597.35</f>
        <v>169803.24000000002</v>
      </c>
      <c r="V13" s="315" t="s">
        <v>239</v>
      </c>
      <c r="W13" s="204"/>
    </row>
    <row r="14" spans="1:23">
      <c r="A14" s="40">
        <v>44567</v>
      </c>
      <c r="B14" s="44" t="s">
        <v>26</v>
      </c>
      <c r="C14" s="45"/>
      <c r="D14" s="27"/>
      <c r="E14" s="318">
        <f>500000+97470+49345.89</f>
        <v>646815.89</v>
      </c>
      <c r="F14" s="35"/>
      <c r="G14" s="29">
        <f t="shared" si="0"/>
        <v>-726868.56</v>
      </c>
      <c r="H14" s="42"/>
      <c r="I14" s="33"/>
      <c r="J14" s="32"/>
      <c r="K14" s="33"/>
      <c r="L14" s="34"/>
      <c r="M14" s="35"/>
      <c r="N14" s="36">
        <f t="shared" si="1"/>
        <v>242412.77</v>
      </c>
      <c r="O14" s="478"/>
      <c r="P14" s="432"/>
      <c r="R14" s="312">
        <v>44550</v>
      </c>
      <c r="S14" s="317" t="s">
        <v>96</v>
      </c>
      <c r="T14" s="315"/>
      <c r="U14" s="315">
        <v>192258</v>
      </c>
      <c r="V14" s="316"/>
      <c r="W14" s="204"/>
    </row>
    <row r="15" spans="1:23">
      <c r="A15" s="40">
        <v>44567</v>
      </c>
      <c r="B15" s="15" t="s">
        <v>27</v>
      </c>
      <c r="C15" s="45"/>
      <c r="D15" s="27"/>
      <c r="E15" s="318">
        <f>192258*2+164205.89+15674.69</f>
        <v>564396.57999999996</v>
      </c>
      <c r="F15" s="35"/>
      <c r="G15" s="29">
        <f t="shared" si="0"/>
        <v>-1291265.1400000001</v>
      </c>
      <c r="H15" s="54"/>
      <c r="I15" s="55"/>
      <c r="J15" s="32"/>
      <c r="K15" s="33"/>
      <c r="L15" s="34"/>
      <c r="M15" s="35"/>
      <c r="N15" s="36">
        <f t="shared" si="1"/>
        <v>242412.77</v>
      </c>
      <c r="O15" s="478"/>
      <c r="P15" s="432"/>
      <c r="R15" s="273">
        <v>44567</v>
      </c>
      <c r="S15" s="274" t="s">
        <v>95</v>
      </c>
      <c r="T15" s="281"/>
      <c r="U15" s="276">
        <v>1079.54</v>
      </c>
      <c r="V15" s="211"/>
    </row>
    <row r="16" spans="1:23">
      <c r="A16" s="40">
        <v>44567</v>
      </c>
      <c r="B16" s="44" t="s">
        <v>28</v>
      </c>
      <c r="C16" s="26"/>
      <c r="D16" s="27"/>
      <c r="E16" s="311">
        <f>200000*3+400000*4+300000*4+302793.36</f>
        <v>3702793.36</v>
      </c>
      <c r="F16" s="35"/>
      <c r="G16" s="29">
        <f t="shared" si="0"/>
        <v>-4994058.5</v>
      </c>
      <c r="H16" s="54"/>
      <c r="I16" s="55"/>
      <c r="J16" s="32"/>
      <c r="K16" s="33"/>
      <c r="L16" s="34"/>
      <c r="M16" s="35"/>
      <c r="N16" s="36">
        <f t="shared" si="1"/>
        <v>242412.77</v>
      </c>
      <c r="O16" s="478"/>
      <c r="P16" s="432"/>
      <c r="R16" s="273">
        <v>44571</v>
      </c>
      <c r="S16" s="280" t="s">
        <v>98</v>
      </c>
      <c r="T16" s="281">
        <f>130000+1541.49</f>
        <v>131541.49</v>
      </c>
      <c r="U16" s="319"/>
      <c r="V16" s="257"/>
    </row>
    <row r="17" spans="1:22">
      <c r="A17" s="40">
        <v>44567</v>
      </c>
      <c r="B17" s="44" t="s">
        <v>29</v>
      </c>
      <c r="C17" s="56">
        <f>M17*204</f>
        <v>5000040</v>
      </c>
      <c r="D17" s="27"/>
      <c r="E17" s="27"/>
      <c r="F17" s="35"/>
      <c r="G17" s="29">
        <f t="shared" si="0"/>
        <v>5981.5</v>
      </c>
      <c r="H17" s="54"/>
      <c r="I17" s="31"/>
      <c r="J17" s="33"/>
      <c r="K17" s="33"/>
      <c r="L17" s="34"/>
      <c r="M17" s="43">
        <v>24510</v>
      </c>
      <c r="N17" s="36">
        <f t="shared" si="1"/>
        <v>217902.77</v>
      </c>
      <c r="O17" s="478"/>
      <c r="P17" s="432"/>
      <c r="R17" s="273">
        <v>44572</v>
      </c>
      <c r="S17" s="274" t="s">
        <v>195</v>
      </c>
      <c r="T17" s="281">
        <v>222916</v>
      </c>
      <c r="U17" s="281"/>
      <c r="V17" s="117"/>
    </row>
    <row r="18" spans="1:22">
      <c r="A18" s="24">
        <v>44571</v>
      </c>
      <c r="B18" s="25" t="s">
        <v>30</v>
      </c>
      <c r="C18" s="45"/>
      <c r="D18" s="27"/>
      <c r="E18" s="27"/>
      <c r="F18" s="35"/>
      <c r="G18" s="29">
        <f t="shared" si="0"/>
        <v>5981.5</v>
      </c>
      <c r="H18" s="54"/>
      <c r="I18" s="31">
        <f>44550/9</f>
        <v>4950</v>
      </c>
      <c r="J18" s="32"/>
      <c r="K18" s="33"/>
      <c r="L18" s="34"/>
      <c r="M18" s="35"/>
      <c r="N18" s="36">
        <f t="shared" si="1"/>
        <v>222852.77</v>
      </c>
      <c r="O18" s="478"/>
      <c r="P18" s="432"/>
      <c r="R18" s="299">
        <v>44577</v>
      </c>
      <c r="S18" s="425" t="s">
        <v>103</v>
      </c>
      <c r="T18" s="301"/>
      <c r="U18" s="302">
        <v>1704000</v>
      </c>
      <c r="V18" s="257"/>
    </row>
    <row r="19" spans="1:22">
      <c r="A19" s="24">
        <v>44571</v>
      </c>
      <c r="B19" s="25" t="s">
        <v>31</v>
      </c>
      <c r="C19" s="45"/>
      <c r="D19" s="27"/>
      <c r="E19" s="27"/>
      <c r="F19" s="35"/>
      <c r="G19" s="29">
        <f t="shared" si="0"/>
        <v>5981.5</v>
      </c>
      <c r="H19" s="54"/>
      <c r="I19" s="31">
        <f>44550/9</f>
        <v>4950</v>
      </c>
      <c r="J19" s="32"/>
      <c r="K19" s="33"/>
      <c r="L19" s="34"/>
      <c r="M19" s="35"/>
      <c r="N19" s="36">
        <f t="shared" si="1"/>
        <v>227802.77</v>
      </c>
      <c r="O19" s="478"/>
      <c r="P19" s="432"/>
      <c r="R19" s="324">
        <v>44573</v>
      </c>
      <c r="S19" s="325" t="s">
        <v>102</v>
      </c>
      <c r="T19" s="326"/>
      <c r="U19" s="327">
        <v>196890.87</v>
      </c>
      <c r="V19" s="117"/>
    </row>
    <row r="20" spans="1:22">
      <c r="A20" s="24">
        <v>44571</v>
      </c>
      <c r="B20" s="25" t="s">
        <v>32</v>
      </c>
      <c r="C20" s="45"/>
      <c r="D20" s="27"/>
      <c r="E20" s="27"/>
      <c r="F20" s="35"/>
      <c r="G20" s="29">
        <f t="shared" si="0"/>
        <v>5981.5</v>
      </c>
      <c r="H20" s="54"/>
      <c r="I20" s="55">
        <v>9165</v>
      </c>
      <c r="J20" s="33"/>
      <c r="K20" s="33"/>
      <c r="L20" s="34"/>
      <c r="M20" s="43"/>
      <c r="N20" s="36">
        <f t="shared" si="1"/>
        <v>236967.77</v>
      </c>
      <c r="O20" s="478"/>
      <c r="P20" s="432"/>
      <c r="R20" s="273">
        <v>44575</v>
      </c>
      <c r="S20" s="280" t="s">
        <v>101</v>
      </c>
      <c r="T20" s="275"/>
      <c r="U20" s="281">
        <v>226.96</v>
      </c>
      <c r="V20" s="204"/>
    </row>
    <row r="21" spans="1:22">
      <c r="A21" s="40">
        <v>44571</v>
      </c>
      <c r="B21" s="44" t="s">
        <v>33</v>
      </c>
      <c r="C21" s="45"/>
      <c r="D21" s="277">
        <f>130000+1541.49</f>
        <v>131541.49</v>
      </c>
      <c r="E21" s="27"/>
      <c r="F21" s="35"/>
      <c r="G21" s="29">
        <f t="shared" si="0"/>
        <v>137522.99</v>
      </c>
      <c r="H21" s="42"/>
      <c r="I21" s="33"/>
      <c r="J21" s="32"/>
      <c r="K21" s="33"/>
      <c r="L21" s="34"/>
      <c r="M21" s="35"/>
      <c r="N21" s="36">
        <f t="shared" si="1"/>
        <v>236967.77</v>
      </c>
      <c r="O21" s="478"/>
      <c r="P21" s="432"/>
      <c r="T21" s="192"/>
      <c r="U21" s="192"/>
      <c r="V21" s="117"/>
    </row>
    <row r="22" spans="1:22">
      <c r="A22" s="40">
        <v>44572</v>
      </c>
      <c r="B22" s="15" t="s">
        <v>34</v>
      </c>
      <c r="C22" s="45"/>
      <c r="D22" s="277">
        <f>222916</f>
        <v>222916</v>
      </c>
      <c r="E22" s="27"/>
      <c r="F22" s="35"/>
      <c r="G22" s="29">
        <f t="shared" si="0"/>
        <v>360438.99</v>
      </c>
      <c r="H22" s="42"/>
      <c r="I22" s="33"/>
      <c r="J22" s="33"/>
      <c r="K22" s="33"/>
      <c r="L22" s="34"/>
      <c r="M22" s="43"/>
      <c r="N22" s="36">
        <f t="shared" si="1"/>
        <v>236967.77</v>
      </c>
      <c r="O22" s="478"/>
      <c r="P22" s="432"/>
      <c r="R22" s="299">
        <v>44567</v>
      </c>
      <c r="S22" s="300" t="s">
        <v>97</v>
      </c>
      <c r="T22" s="301"/>
      <c r="U22" s="302">
        <f>200000+300000+302793.36+400000</f>
        <v>1202793.3599999999</v>
      </c>
      <c r="V22" s="211"/>
    </row>
    <row r="23" spans="1:22">
      <c r="A23" s="40">
        <v>44573</v>
      </c>
      <c r="B23" s="15" t="s">
        <v>35</v>
      </c>
      <c r="C23" s="45"/>
      <c r="D23" s="27"/>
      <c r="E23" s="328">
        <f>190890.87</f>
        <v>190890.87</v>
      </c>
      <c r="F23" s="35"/>
      <c r="G23" s="29">
        <f t="shared" si="0"/>
        <v>169548.12</v>
      </c>
      <c r="H23" s="42"/>
      <c r="I23" s="33"/>
      <c r="J23" s="33"/>
      <c r="K23" s="33"/>
      <c r="L23" s="34"/>
      <c r="M23" s="43"/>
      <c r="N23" s="36">
        <f t="shared" si="1"/>
        <v>236967.77</v>
      </c>
      <c r="O23" s="478"/>
      <c r="P23" s="432"/>
      <c r="R23" s="303">
        <v>44574</v>
      </c>
      <c r="S23" s="304" t="s">
        <v>100</v>
      </c>
      <c r="T23" s="305"/>
      <c r="U23" s="306">
        <v>1200000</v>
      </c>
      <c r="V23" s="204" t="s">
        <v>229</v>
      </c>
    </row>
    <row r="24" spans="1:22">
      <c r="A24" s="40">
        <v>44575</v>
      </c>
      <c r="B24" s="15" t="s">
        <v>36</v>
      </c>
      <c r="C24" s="45"/>
      <c r="D24" s="27"/>
      <c r="E24" s="277">
        <f>226.96</f>
        <v>226.96</v>
      </c>
      <c r="F24" s="35"/>
      <c r="G24" s="29">
        <f t="shared" si="0"/>
        <v>169321.16</v>
      </c>
      <c r="H24" s="54"/>
      <c r="I24" s="31"/>
      <c r="J24" s="33"/>
      <c r="K24" s="33"/>
      <c r="L24" s="34"/>
      <c r="M24" s="43"/>
      <c r="N24" s="36">
        <f t="shared" si="1"/>
        <v>236967.77</v>
      </c>
      <c r="O24" s="478"/>
      <c r="P24" s="432"/>
      <c r="R24" s="307">
        <v>44580</v>
      </c>
      <c r="S24" s="308" t="s">
        <v>104</v>
      </c>
      <c r="T24" s="309"/>
      <c r="U24" s="310">
        <v>1300000</v>
      </c>
      <c r="V24" s="204"/>
    </row>
    <row r="25" spans="1:22">
      <c r="A25" s="40">
        <v>44580</v>
      </c>
      <c r="B25" s="57" t="s">
        <v>37</v>
      </c>
      <c r="C25" s="45"/>
      <c r="D25" s="277">
        <v>55000</v>
      </c>
      <c r="E25" s="27"/>
      <c r="F25" s="35"/>
      <c r="G25" s="29">
        <f t="shared" si="0"/>
        <v>224321.16</v>
      </c>
      <c r="H25" s="54"/>
      <c r="I25" s="277">
        <v>400</v>
      </c>
      <c r="J25" s="33"/>
      <c r="K25" s="33"/>
      <c r="L25" s="34"/>
      <c r="M25" s="43"/>
      <c r="N25" s="36">
        <f t="shared" si="1"/>
        <v>237367.77</v>
      </c>
      <c r="O25" s="478"/>
      <c r="P25" s="432"/>
      <c r="T25" s="192"/>
      <c r="U25" s="192"/>
      <c r="V25" s="117"/>
    </row>
    <row r="26" spans="1:22">
      <c r="A26" s="40">
        <v>44578</v>
      </c>
      <c r="B26" s="15" t="s">
        <v>38</v>
      </c>
      <c r="C26" s="45"/>
      <c r="D26" s="27"/>
      <c r="E26" s="277">
        <f>568000*3</f>
        <v>1704000</v>
      </c>
      <c r="F26" s="35"/>
      <c r="G26" s="29">
        <f t="shared" si="0"/>
        <v>-1479678.84</v>
      </c>
      <c r="H26" s="42"/>
      <c r="I26" s="33"/>
      <c r="J26" s="33"/>
      <c r="K26" s="33"/>
      <c r="L26" s="34"/>
      <c r="M26" s="43"/>
      <c r="N26" s="36">
        <f t="shared" si="1"/>
        <v>237367.77</v>
      </c>
      <c r="O26" s="478"/>
      <c r="P26" s="432"/>
      <c r="R26" s="283">
        <v>44566</v>
      </c>
      <c r="S26" s="284" t="s">
        <v>233</v>
      </c>
      <c r="T26" s="285"/>
      <c r="U26" s="286">
        <v>500000</v>
      </c>
      <c r="V26" s="117"/>
    </row>
    <row r="27" spans="1:22">
      <c r="A27" s="40">
        <v>44578</v>
      </c>
      <c r="B27" s="44" t="s">
        <v>39</v>
      </c>
      <c r="C27" s="56">
        <f>M27*205.4</f>
        <v>1540500</v>
      </c>
      <c r="D27" s="27"/>
      <c r="E27" s="27"/>
      <c r="F27" s="35"/>
      <c r="G27" s="29">
        <f t="shared" si="0"/>
        <v>60821.159999999916</v>
      </c>
      <c r="H27" s="42"/>
      <c r="I27" s="33"/>
      <c r="J27" s="33"/>
      <c r="K27" s="33"/>
      <c r="L27" s="34"/>
      <c r="M27" s="43">
        <v>7500</v>
      </c>
      <c r="N27" s="36">
        <f t="shared" si="1"/>
        <v>229867.77</v>
      </c>
      <c r="O27" s="478"/>
      <c r="P27" s="432"/>
      <c r="R27" s="287">
        <v>44589</v>
      </c>
      <c r="S27" s="217" t="s">
        <v>232</v>
      </c>
      <c r="T27" s="211"/>
      <c r="U27" s="288">
        <f>97470+17400+594000</f>
        <v>708870</v>
      </c>
      <c r="V27" s="117"/>
    </row>
    <row r="28" spans="1:22">
      <c r="A28" s="40">
        <v>44592</v>
      </c>
      <c r="B28" s="44" t="s">
        <v>40</v>
      </c>
      <c r="C28" s="45"/>
      <c r="D28" s="320">
        <f>129260</f>
        <v>129260</v>
      </c>
      <c r="E28" s="27"/>
      <c r="F28" s="35"/>
      <c r="G28" s="29">
        <f t="shared" si="0"/>
        <v>190081.15999999992</v>
      </c>
      <c r="H28" s="54"/>
      <c r="I28" s="55"/>
      <c r="J28" s="32"/>
      <c r="K28" s="33"/>
      <c r="L28" s="34"/>
      <c r="M28" s="35"/>
      <c r="N28" s="36">
        <f t="shared" si="1"/>
        <v>229867.77</v>
      </c>
      <c r="O28" s="478"/>
      <c r="P28" s="432"/>
      <c r="R28" s="289">
        <v>44589</v>
      </c>
      <c r="S28" s="290" t="s">
        <v>236</v>
      </c>
      <c r="T28" s="291">
        <f>150000+150000+150000+144000</f>
        <v>594000</v>
      </c>
      <c r="U28" s="292"/>
      <c r="V28" s="117"/>
    </row>
    <row r="29" spans="1:22">
      <c r="A29" s="40">
        <v>44592</v>
      </c>
      <c r="B29" s="15" t="s">
        <v>41</v>
      </c>
      <c r="C29" s="58"/>
      <c r="D29" s="27"/>
      <c r="E29" s="277">
        <f>88640.95</f>
        <v>88640.95</v>
      </c>
      <c r="F29" s="35"/>
      <c r="G29" s="29">
        <f t="shared" si="0"/>
        <v>101440.20999999992</v>
      </c>
      <c r="H29" s="42"/>
      <c r="I29" s="33"/>
      <c r="J29" s="32"/>
      <c r="K29" s="33"/>
      <c r="L29" s="34"/>
      <c r="M29" s="35"/>
      <c r="N29" s="36">
        <f t="shared" si="1"/>
        <v>229867.77</v>
      </c>
      <c r="O29" s="478"/>
      <c r="P29" s="432"/>
      <c r="R29" s="220"/>
      <c r="S29" s="256"/>
      <c r="T29" s="268"/>
      <c r="U29" s="192"/>
      <c r="V29" s="117"/>
    </row>
    <row r="30" spans="1:22">
      <c r="A30" s="40">
        <v>44592</v>
      </c>
      <c r="B30" s="44" t="s">
        <v>42</v>
      </c>
      <c r="C30" s="59"/>
      <c r="D30" s="38"/>
      <c r="E30" s="320">
        <v>10285</v>
      </c>
      <c r="F30" s="35"/>
      <c r="G30" s="29">
        <f t="shared" si="0"/>
        <v>91155.209999999919</v>
      </c>
      <c r="H30" s="54"/>
      <c r="I30" s="60"/>
      <c r="J30" s="32"/>
      <c r="K30" s="33"/>
      <c r="L30" s="34"/>
      <c r="M30" s="35"/>
      <c r="N30" s="36">
        <f t="shared" si="1"/>
        <v>229867.77</v>
      </c>
      <c r="O30" s="478"/>
      <c r="P30" s="432"/>
      <c r="R30" s="321">
        <v>44592</v>
      </c>
      <c r="S30" s="271" t="s">
        <v>206</v>
      </c>
      <c r="T30" s="271"/>
      <c r="U30" s="279">
        <v>11223</v>
      </c>
      <c r="V30" s="204"/>
    </row>
    <row r="31" spans="1:22">
      <c r="A31" s="40">
        <v>44592</v>
      </c>
      <c r="B31" s="61" t="s">
        <v>43</v>
      </c>
      <c r="C31" s="45"/>
      <c r="D31" s="27"/>
      <c r="E31" s="38"/>
      <c r="F31" s="62">
        <f>SUM(D8:D30)*5%</f>
        <v>26935.874500000002</v>
      </c>
      <c r="G31" s="29">
        <f t="shared" si="0"/>
        <v>64219.335499999914</v>
      </c>
      <c r="H31" s="54"/>
      <c r="I31" s="55"/>
      <c r="J31" s="32"/>
      <c r="K31" s="33"/>
      <c r="L31" s="33">
        <f>SUM(I7:I30)*5%</f>
        <v>1069.8500000000001</v>
      </c>
      <c r="M31" s="35"/>
      <c r="N31" s="36">
        <f t="shared" si="1"/>
        <v>228797.91999999998</v>
      </c>
      <c r="O31" s="478"/>
      <c r="P31" s="432"/>
      <c r="V31" s="204"/>
    </row>
    <row r="32" spans="1:22">
      <c r="A32" s="40">
        <v>44592</v>
      </c>
      <c r="B32" s="61" t="s">
        <v>44</v>
      </c>
      <c r="C32" s="45"/>
      <c r="D32" s="27"/>
      <c r="E32" s="38"/>
      <c r="F32" s="62">
        <f>SUM(E8:E30)*5%</f>
        <v>351381.77850000001</v>
      </c>
      <c r="G32" s="29">
        <f t="shared" si="0"/>
        <v>-287162.44300000009</v>
      </c>
      <c r="H32" s="54"/>
      <c r="I32" s="55"/>
      <c r="J32" s="32"/>
      <c r="K32" s="33"/>
      <c r="L32" s="33">
        <f>SUM(K8:K30)*5%</f>
        <v>0</v>
      </c>
      <c r="M32" s="35"/>
      <c r="N32" s="36">
        <f t="shared" si="1"/>
        <v>228797.91999999998</v>
      </c>
      <c r="O32" s="478"/>
      <c r="P32" s="432"/>
      <c r="R32" s="321">
        <v>44592</v>
      </c>
      <c r="S32" s="322" t="s">
        <v>196</v>
      </c>
      <c r="T32" s="323">
        <f>120000+9260+10</f>
        <v>129270</v>
      </c>
      <c r="U32" s="272"/>
      <c r="V32" s="329">
        <v>10</v>
      </c>
    </row>
    <row r="33" spans="1:22">
      <c r="A33" s="40">
        <v>44592</v>
      </c>
      <c r="B33" s="44" t="s">
        <v>45</v>
      </c>
      <c r="C33" s="56">
        <f>M33*209</f>
        <v>292600</v>
      </c>
      <c r="D33" s="38"/>
      <c r="E33" s="63"/>
      <c r="F33" s="35"/>
      <c r="G33" s="29">
        <f t="shared" si="0"/>
        <v>5437.5569999999134</v>
      </c>
      <c r="H33" s="54"/>
      <c r="I33" s="55"/>
      <c r="J33" s="32"/>
      <c r="K33" s="33"/>
      <c r="L33" s="34"/>
      <c r="M33" s="35">
        <v>1400</v>
      </c>
      <c r="N33" s="36">
        <f t="shared" si="1"/>
        <v>227397.91999999998</v>
      </c>
      <c r="O33" s="478"/>
      <c r="P33" s="432"/>
      <c r="R33" s="273">
        <v>44592</v>
      </c>
      <c r="S33" s="280" t="s">
        <v>189</v>
      </c>
      <c r="T33" s="319"/>
      <c r="U33" s="281">
        <f>4127+84514</f>
        <v>88641</v>
      </c>
      <c r="V33" s="204"/>
    </row>
    <row r="34" spans="1:22">
      <c r="A34" s="40"/>
      <c r="B34" s="41"/>
      <c r="C34" s="64"/>
      <c r="D34" s="65"/>
      <c r="E34" s="27"/>
      <c r="F34" s="35"/>
      <c r="G34" s="29">
        <f t="shared" si="0"/>
        <v>5437.5569999999134</v>
      </c>
      <c r="H34" s="42"/>
      <c r="I34" s="33"/>
      <c r="J34" s="33"/>
      <c r="K34" s="33"/>
      <c r="L34" s="34"/>
      <c r="M34" s="43"/>
      <c r="N34" s="36">
        <f t="shared" si="1"/>
        <v>227397.91999999998</v>
      </c>
      <c r="O34" s="478"/>
      <c r="P34" s="432"/>
      <c r="R34" s="40">
        <v>44592</v>
      </c>
      <c r="S34" s="15" t="s">
        <v>191</v>
      </c>
      <c r="V34" s="204"/>
    </row>
    <row r="35" spans="1:22">
      <c r="A35" s="40"/>
      <c r="B35" s="44"/>
      <c r="C35" s="66"/>
      <c r="D35" s="38"/>
      <c r="E35" s="63"/>
      <c r="F35" s="35"/>
      <c r="G35" s="29">
        <f t="shared" si="0"/>
        <v>5437.5569999999134</v>
      </c>
      <c r="H35" s="54"/>
      <c r="I35" s="55"/>
      <c r="J35" s="32"/>
      <c r="K35" s="33"/>
      <c r="L35" s="34"/>
      <c r="M35" s="35"/>
      <c r="N35" s="36">
        <f t="shared" si="1"/>
        <v>227397.91999999998</v>
      </c>
      <c r="O35" s="478"/>
      <c r="P35" s="432"/>
      <c r="R35" s="40">
        <v>44592</v>
      </c>
      <c r="S35" s="15" t="s">
        <v>192</v>
      </c>
      <c r="V35" s="204"/>
    </row>
    <row r="36" spans="1:22" ht="15.75" thickBot="1">
      <c r="A36" s="40"/>
      <c r="B36" s="44"/>
      <c r="C36" s="67"/>
      <c r="D36" s="68"/>
      <c r="E36" s="68"/>
      <c r="F36" s="69"/>
      <c r="G36" s="29">
        <f t="shared" si="0"/>
        <v>5437.5569999999134</v>
      </c>
      <c r="H36" s="70"/>
      <c r="I36" s="71"/>
      <c r="J36" s="72"/>
      <c r="K36" s="73"/>
      <c r="L36" s="74"/>
      <c r="M36" s="69"/>
      <c r="N36" s="36">
        <f t="shared" si="1"/>
        <v>227397.91999999998</v>
      </c>
      <c r="O36" s="478"/>
      <c r="P36" s="432"/>
      <c r="S36" s="44"/>
      <c r="V36" s="204"/>
    </row>
    <row r="37" spans="1:22" ht="15.75" thickBot="1">
      <c r="A37" s="44"/>
      <c r="B37" s="75" t="s">
        <v>46</v>
      </c>
      <c r="C37" s="76">
        <f>SUM(C7:C36)</f>
        <v>6833140</v>
      </c>
      <c r="D37" s="77">
        <f>SUM(D7:D36)</f>
        <v>538717.49</v>
      </c>
      <c r="E37" s="77">
        <f>SUM(E7:E36)</f>
        <v>7027635.5700000003</v>
      </c>
      <c r="F37" s="77">
        <f>SUM(F7:F36)</f>
        <v>378317.65299999999</v>
      </c>
      <c r="G37" s="78"/>
      <c r="H37" s="76">
        <f t="shared" ref="H37:M37" si="2">SUM(H7:H36)</f>
        <v>0</v>
      </c>
      <c r="I37" s="77">
        <f t="shared" si="2"/>
        <v>21397</v>
      </c>
      <c r="J37" s="77">
        <f t="shared" si="2"/>
        <v>0</v>
      </c>
      <c r="K37" s="77">
        <f t="shared" si="2"/>
        <v>0</v>
      </c>
      <c r="L37" s="77">
        <f t="shared" si="2"/>
        <v>1069.8500000000001</v>
      </c>
      <c r="M37" s="77">
        <f t="shared" si="2"/>
        <v>33410</v>
      </c>
      <c r="N37" s="79"/>
      <c r="O37" s="377"/>
      <c r="P37" s="204"/>
      <c r="S37" s="180" t="s">
        <v>193</v>
      </c>
      <c r="T37" s="278">
        <v>55500</v>
      </c>
      <c r="U37" s="319" t="s">
        <v>194</v>
      </c>
      <c r="V37" s="204"/>
    </row>
    <row r="38" spans="1:22">
      <c r="F38" s="80"/>
      <c r="M38" s="80"/>
      <c r="R38" s="40">
        <v>44567</v>
      </c>
      <c r="S38" t="s">
        <v>178</v>
      </c>
      <c r="T38" s="278">
        <v>37600</v>
      </c>
      <c r="V38" s="204"/>
    </row>
    <row r="39" spans="1:22">
      <c r="B39" s="81" t="s">
        <v>47</v>
      </c>
      <c r="F39" s="82"/>
      <c r="G39" s="82">
        <f>G36</f>
        <v>5437.5569999999134</v>
      </c>
      <c r="H39" s="83"/>
      <c r="I39" s="83"/>
      <c r="J39" s="83"/>
      <c r="K39" s="82"/>
      <c r="N39" s="80">
        <f>N36</f>
        <v>227397.91999999998</v>
      </c>
      <c r="O39" s="479"/>
      <c r="P39" s="80"/>
      <c r="R39" s="40">
        <v>44613</v>
      </c>
      <c r="S39" t="s">
        <v>186</v>
      </c>
      <c r="T39" s="279">
        <v>12010</v>
      </c>
      <c r="V39" s="204"/>
    </row>
    <row r="40" spans="1:22">
      <c r="B40" s="81"/>
      <c r="F40" s="82"/>
      <c r="G40" s="82"/>
      <c r="H40" s="83"/>
      <c r="I40" s="83"/>
      <c r="J40" s="83"/>
      <c r="K40" s="82"/>
      <c r="N40" s="80"/>
      <c r="O40" s="479"/>
      <c r="P40" s="80"/>
      <c r="V40" s="204"/>
    </row>
    <row r="41" spans="1:22">
      <c r="B41" s="81"/>
      <c r="F41" s="82"/>
      <c r="G41" s="82"/>
      <c r="H41" s="83"/>
      <c r="I41" s="83"/>
      <c r="J41" s="83"/>
      <c r="K41" s="82"/>
      <c r="N41" s="80"/>
      <c r="O41" s="479"/>
      <c r="P41" s="80"/>
      <c r="V41" s="204"/>
    </row>
    <row r="42" spans="1:22">
      <c r="B42" s="81"/>
      <c r="F42" s="82"/>
      <c r="G42" s="82"/>
      <c r="H42" s="83"/>
      <c r="I42" s="83"/>
      <c r="J42" s="83"/>
      <c r="K42" s="82"/>
      <c r="N42" s="80"/>
      <c r="O42" s="479"/>
      <c r="P42" s="80"/>
    </row>
    <row r="44" spans="1:22" ht="15.75" thickBot="1">
      <c r="B44" s="25"/>
      <c r="C44" s="45"/>
      <c r="D44" s="27"/>
    </row>
    <row r="45" spans="1:22" ht="15.75" thickBot="1">
      <c r="A45" s="4" t="s">
        <v>48</v>
      </c>
      <c r="C45" s="907" t="s">
        <v>3</v>
      </c>
      <c r="D45" s="908"/>
      <c r="E45" s="907" t="s">
        <v>4</v>
      </c>
      <c r="F45" s="908"/>
      <c r="G45" s="5"/>
      <c r="H45" s="909" t="s">
        <v>5</v>
      </c>
      <c r="I45" s="910"/>
      <c r="J45" s="909" t="s">
        <v>6</v>
      </c>
      <c r="K45" s="911"/>
      <c r="L45" s="911"/>
      <c r="M45" s="910"/>
      <c r="N45" s="6"/>
      <c r="O45" s="475"/>
      <c r="P45" s="6"/>
    </row>
    <row r="46" spans="1:22" ht="15.75" thickBot="1">
      <c r="A46" s="7" t="s">
        <v>7</v>
      </c>
      <c r="B46" s="8" t="s">
        <v>8</v>
      </c>
      <c r="C46" s="9" t="s">
        <v>9</v>
      </c>
      <c r="D46" s="9" t="s">
        <v>10</v>
      </c>
      <c r="E46" s="10" t="s">
        <v>11</v>
      </c>
      <c r="F46" s="10" t="s">
        <v>12</v>
      </c>
      <c r="G46" s="11" t="s">
        <v>13</v>
      </c>
      <c r="H46" s="12" t="s">
        <v>14</v>
      </c>
      <c r="I46" s="12" t="s">
        <v>10</v>
      </c>
      <c r="J46" s="12" t="s">
        <v>15</v>
      </c>
      <c r="K46" s="12" t="s">
        <v>11</v>
      </c>
      <c r="L46" s="12" t="s">
        <v>16</v>
      </c>
      <c r="M46" s="12" t="s">
        <v>17</v>
      </c>
      <c r="N46" s="13" t="s">
        <v>18</v>
      </c>
      <c r="O46" s="476"/>
      <c r="P46" s="430"/>
    </row>
    <row r="47" spans="1:22">
      <c r="A47" s="14">
        <v>44592</v>
      </c>
      <c r="B47" s="15" t="s">
        <v>19</v>
      </c>
      <c r="C47" s="16"/>
      <c r="D47" s="17"/>
      <c r="E47" s="17"/>
      <c r="F47" s="18"/>
      <c r="G47" s="19">
        <f>G36</f>
        <v>5437.5569999999134</v>
      </c>
      <c r="H47" s="16"/>
      <c r="I47" s="20"/>
      <c r="J47" s="17"/>
      <c r="K47" s="20"/>
      <c r="L47" s="21"/>
      <c r="M47" s="22"/>
      <c r="N47" s="23">
        <f>N36</f>
        <v>227397.91999999998</v>
      </c>
      <c r="O47" s="477"/>
      <c r="P47" s="431"/>
    </row>
    <row r="48" spans="1:22">
      <c r="A48" s="24">
        <v>44597</v>
      </c>
      <c r="B48" s="25" t="s">
        <v>49</v>
      </c>
      <c r="C48" s="26"/>
      <c r="D48" s="27"/>
      <c r="E48" s="27"/>
      <c r="F48" s="28"/>
      <c r="G48" s="29">
        <f t="shared" ref="G48:G76" si="3">+G47+C48+D48-E48-F48</f>
        <v>5437.5569999999134</v>
      </c>
      <c r="H48" s="30"/>
      <c r="I48" s="31">
        <v>966</v>
      </c>
      <c r="J48" s="32"/>
      <c r="K48" s="33"/>
      <c r="L48" s="34"/>
      <c r="M48" s="35"/>
      <c r="N48" s="36">
        <f t="shared" ref="N48:N76" si="4">+N47+H48+I48-J48-K48-L48-M48</f>
        <v>228363.91999999998</v>
      </c>
      <c r="O48" s="478"/>
      <c r="P48" s="432"/>
    </row>
    <row r="49" spans="1:21">
      <c r="A49" s="24">
        <v>44597</v>
      </c>
      <c r="B49" s="25" t="s">
        <v>50</v>
      </c>
      <c r="C49" s="37"/>
      <c r="D49" s="38"/>
      <c r="E49" s="38"/>
      <c r="F49" s="39"/>
      <c r="G49" s="29">
        <f t="shared" si="3"/>
        <v>5437.5569999999134</v>
      </c>
      <c r="H49" s="30"/>
      <c r="I49" s="31">
        <v>966</v>
      </c>
      <c r="J49" s="32"/>
      <c r="K49" s="33"/>
      <c r="L49" s="34"/>
      <c r="M49" s="35"/>
      <c r="N49" s="36">
        <f t="shared" si="4"/>
        <v>229329.91999999998</v>
      </c>
      <c r="O49" s="478"/>
      <c r="P49" s="432"/>
      <c r="R49" s="299">
        <v>44596</v>
      </c>
      <c r="S49" s="300" t="s">
        <v>111</v>
      </c>
      <c r="T49" s="366">
        <v>227500</v>
      </c>
      <c r="U49" s="367"/>
    </row>
    <row r="50" spans="1:21">
      <c r="A50" s="40">
        <v>44593</v>
      </c>
      <c r="B50" s="44" t="s">
        <v>51</v>
      </c>
      <c r="C50" s="45"/>
      <c r="D50" s="27"/>
      <c r="E50" s="320">
        <f>160735.65</f>
        <v>160735.65</v>
      </c>
      <c r="F50" s="35"/>
      <c r="G50" s="29">
        <f t="shared" si="3"/>
        <v>-155298.09300000008</v>
      </c>
      <c r="H50" s="54"/>
      <c r="I50" s="55"/>
      <c r="J50" s="32"/>
      <c r="K50" s="33"/>
      <c r="L50" s="34"/>
      <c r="M50" s="35"/>
      <c r="N50" s="36">
        <f t="shared" si="4"/>
        <v>229329.91999999998</v>
      </c>
      <c r="O50" s="478"/>
      <c r="P50" s="432"/>
      <c r="R50" s="303"/>
      <c r="S50" s="304" t="s">
        <v>197</v>
      </c>
      <c r="T50" s="368"/>
      <c r="U50" s="369">
        <f>8821+72916</f>
        <v>81737</v>
      </c>
    </row>
    <row r="51" spans="1:21">
      <c r="A51" s="40">
        <v>44593</v>
      </c>
      <c r="B51" s="44" t="s">
        <v>52</v>
      </c>
      <c r="C51" s="56">
        <f>M51*210</f>
        <v>4200000</v>
      </c>
      <c r="D51" s="27"/>
      <c r="E51" s="27"/>
      <c r="F51" s="35"/>
      <c r="G51" s="29">
        <f t="shared" si="3"/>
        <v>4044701.9070000001</v>
      </c>
      <c r="H51" s="54"/>
      <c r="I51" s="31"/>
      <c r="J51" s="33"/>
      <c r="K51" s="33"/>
      <c r="L51" s="34"/>
      <c r="M51" s="43">
        <v>20000</v>
      </c>
      <c r="N51" s="36">
        <f t="shared" si="4"/>
        <v>209329.91999999998</v>
      </c>
      <c r="O51" s="478"/>
      <c r="P51" s="432"/>
      <c r="R51" s="370"/>
      <c r="S51" s="316" t="s">
        <v>215</v>
      </c>
      <c r="T51" s="316"/>
      <c r="U51" s="371">
        <v>11223</v>
      </c>
    </row>
    <row r="52" spans="1:21">
      <c r="A52" s="40">
        <v>44595</v>
      </c>
      <c r="B52" s="44" t="s">
        <v>23</v>
      </c>
      <c r="C52" s="45"/>
      <c r="D52" s="27"/>
      <c r="E52" s="277">
        <v>37600</v>
      </c>
      <c r="F52" s="35"/>
      <c r="G52" s="29">
        <f t="shared" si="3"/>
        <v>4007101.9070000001</v>
      </c>
      <c r="H52" s="46"/>
      <c r="I52" s="31"/>
      <c r="J52" s="47"/>
      <c r="K52" s="33"/>
      <c r="L52" s="34"/>
      <c r="M52" s="48"/>
      <c r="N52" s="36">
        <f t="shared" si="4"/>
        <v>209329.91999999998</v>
      </c>
      <c r="O52" s="478"/>
      <c r="P52" s="432"/>
      <c r="R52" s="295"/>
      <c r="S52" s="201"/>
      <c r="T52" s="202"/>
      <c r="U52" s="356"/>
    </row>
    <row r="53" spans="1:21">
      <c r="A53" s="40">
        <v>44596</v>
      </c>
      <c r="B53" s="44" t="s">
        <v>26</v>
      </c>
      <c r="C53" s="45"/>
      <c r="D53" s="27"/>
      <c r="E53" s="311">
        <f>500000</f>
        <v>500000</v>
      </c>
      <c r="F53" s="35"/>
      <c r="G53" s="29">
        <f t="shared" si="3"/>
        <v>3507101.9070000001</v>
      </c>
      <c r="H53" s="42"/>
      <c r="I53" s="33"/>
      <c r="J53" s="32"/>
      <c r="K53" s="33"/>
      <c r="L53" s="34"/>
      <c r="M53" s="35"/>
      <c r="N53" s="36">
        <f t="shared" si="4"/>
        <v>209329.91999999998</v>
      </c>
      <c r="O53" s="478"/>
      <c r="P53" s="432"/>
      <c r="R53" s="372">
        <v>44595</v>
      </c>
      <c r="S53" s="373" t="s">
        <v>181</v>
      </c>
      <c r="T53" s="368" t="s">
        <v>182</v>
      </c>
      <c r="U53" s="374" t="s">
        <v>183</v>
      </c>
    </row>
    <row r="54" spans="1:21">
      <c r="A54" s="40">
        <v>44596</v>
      </c>
      <c r="B54" s="44" t="s">
        <v>28</v>
      </c>
      <c r="C54" s="26"/>
      <c r="D54" s="27"/>
      <c r="E54" s="311">
        <f>300000*4+200000*3+400000*4+302793.36</f>
        <v>3702793.36</v>
      </c>
      <c r="F54" s="35"/>
      <c r="G54" s="29">
        <f t="shared" si="3"/>
        <v>-195691.45299999975</v>
      </c>
      <c r="H54" s="54"/>
      <c r="I54" s="55"/>
      <c r="J54" s="32"/>
      <c r="K54" s="33"/>
      <c r="L54" s="34"/>
      <c r="M54" s="35"/>
      <c r="N54" s="36">
        <f t="shared" si="4"/>
        <v>209329.91999999998</v>
      </c>
      <c r="O54" s="478"/>
      <c r="P54" s="432"/>
      <c r="R54" s="372">
        <v>44608</v>
      </c>
      <c r="S54" s="373" t="s">
        <v>185</v>
      </c>
      <c r="T54" s="368">
        <v>53700</v>
      </c>
      <c r="U54" s="374" t="s">
        <v>194</v>
      </c>
    </row>
    <row r="55" spans="1:21">
      <c r="A55" s="40">
        <v>44596</v>
      </c>
      <c r="B55" s="15" t="s">
        <v>53</v>
      </c>
      <c r="C55" s="45"/>
      <c r="D55" s="277">
        <v>227500</v>
      </c>
      <c r="E55" s="27"/>
      <c r="F55" s="35"/>
      <c r="G55" s="29">
        <f t="shared" si="3"/>
        <v>31808.547000000253</v>
      </c>
      <c r="H55" s="42"/>
      <c r="I55" s="33"/>
      <c r="J55" s="33"/>
      <c r="K55" s="33"/>
      <c r="L55" s="34"/>
      <c r="M55" s="43"/>
      <c r="N55" s="36">
        <f t="shared" si="4"/>
        <v>209329.91999999998</v>
      </c>
      <c r="O55" s="478"/>
      <c r="P55" s="432"/>
      <c r="R55" s="370">
        <v>44618</v>
      </c>
      <c r="S55" s="316" t="s">
        <v>198</v>
      </c>
      <c r="T55" s="380">
        <v>355625.17</v>
      </c>
      <c r="U55" s="358"/>
    </row>
    <row r="56" spans="1:21">
      <c r="A56" s="40">
        <v>44596</v>
      </c>
      <c r="B56" s="15" t="s">
        <v>54</v>
      </c>
      <c r="C56" s="49"/>
      <c r="D56" s="50"/>
      <c r="E56" s="282">
        <f>12116.64</f>
        <v>12116.64</v>
      </c>
      <c r="F56" s="35"/>
      <c r="G56" s="29">
        <f t="shared" si="3"/>
        <v>19691.907000000254</v>
      </c>
      <c r="H56" s="42"/>
      <c r="I56" s="31"/>
      <c r="J56" s="32"/>
      <c r="K56" s="33"/>
      <c r="L56" s="34"/>
      <c r="M56" s="35"/>
      <c r="N56" s="36">
        <f t="shared" si="4"/>
        <v>209329.91999999998</v>
      </c>
      <c r="O56" s="478"/>
      <c r="P56" s="432"/>
      <c r="R56" s="303">
        <v>44599</v>
      </c>
      <c r="S56" s="373" t="s">
        <v>112</v>
      </c>
      <c r="T56" s="368"/>
      <c r="U56" s="374">
        <v>12116.64</v>
      </c>
    </row>
    <row r="57" spans="1:21">
      <c r="A57" s="40">
        <v>44600</v>
      </c>
      <c r="B57" s="44" t="s">
        <v>55</v>
      </c>
      <c r="C57" s="52"/>
      <c r="D57" s="50"/>
      <c r="E57" s="375">
        <f>1210.93+605.59</f>
        <v>1816.52</v>
      </c>
      <c r="F57" s="35"/>
      <c r="G57" s="29">
        <f t="shared" si="3"/>
        <v>17875.387000000253</v>
      </c>
      <c r="H57" s="42"/>
      <c r="I57" s="33"/>
      <c r="J57" s="32"/>
      <c r="K57" s="33"/>
      <c r="L57" s="34"/>
      <c r="M57" s="35"/>
      <c r="N57" s="36">
        <f t="shared" si="4"/>
        <v>209329.91999999998</v>
      </c>
      <c r="O57" s="478"/>
      <c r="P57" s="432"/>
      <c r="R57" s="376">
        <v>44569</v>
      </c>
      <c r="S57" s="377" t="s">
        <v>113</v>
      </c>
      <c r="T57" s="377"/>
      <c r="U57" s="378">
        <v>609.59</v>
      </c>
    </row>
    <row r="58" spans="1:21">
      <c r="A58" s="40">
        <v>44601</v>
      </c>
      <c r="B58" s="15" t="s">
        <v>56</v>
      </c>
      <c r="C58" s="45"/>
      <c r="D58" s="27"/>
      <c r="E58" s="277">
        <v>37976.199999999997</v>
      </c>
      <c r="F58" s="35"/>
      <c r="G58" s="29">
        <f t="shared" si="3"/>
        <v>-20100.812999999744</v>
      </c>
      <c r="H58" s="54"/>
      <c r="I58" s="31"/>
      <c r="J58" s="33"/>
      <c r="K58" s="33"/>
      <c r="L58" s="34"/>
      <c r="M58" s="43"/>
      <c r="N58" s="36">
        <f t="shared" si="4"/>
        <v>209329.91999999998</v>
      </c>
      <c r="O58" s="478"/>
      <c r="P58" s="432"/>
      <c r="R58" s="376">
        <v>44569</v>
      </c>
      <c r="S58" s="377" t="s">
        <v>114</v>
      </c>
      <c r="T58" s="377"/>
      <c r="U58" s="378">
        <v>1210.93</v>
      </c>
    </row>
    <row r="59" spans="1:21">
      <c r="A59" s="24">
        <v>44602</v>
      </c>
      <c r="B59" s="25" t="s">
        <v>57</v>
      </c>
      <c r="C59" s="45"/>
      <c r="D59" s="27"/>
      <c r="E59" s="27"/>
      <c r="F59" s="35"/>
      <c r="G59" s="29">
        <f t="shared" si="3"/>
        <v>-20100.812999999744</v>
      </c>
      <c r="H59" s="54"/>
      <c r="I59" s="31">
        <f>44550/9</f>
        <v>4950</v>
      </c>
      <c r="J59" s="32"/>
      <c r="K59" s="33"/>
      <c r="L59" s="34"/>
      <c r="M59" s="35"/>
      <c r="N59" s="36">
        <f t="shared" si="4"/>
        <v>214279.91999999998</v>
      </c>
      <c r="O59" s="478"/>
      <c r="P59" s="432"/>
      <c r="R59" s="295">
        <v>44569</v>
      </c>
      <c r="S59" s="337" t="s">
        <v>115</v>
      </c>
      <c r="T59" s="266"/>
      <c r="U59" s="361">
        <v>49345.89</v>
      </c>
    </row>
    <row r="60" spans="1:21">
      <c r="A60" s="24">
        <v>44602</v>
      </c>
      <c r="B60" s="25" t="s">
        <v>58</v>
      </c>
      <c r="C60" s="45"/>
      <c r="D60" s="27"/>
      <c r="E60" s="27"/>
      <c r="F60" s="35"/>
      <c r="G60" s="29">
        <f t="shared" si="3"/>
        <v>-20100.812999999744</v>
      </c>
      <c r="H60" s="54"/>
      <c r="I60" s="31">
        <f>44550/9</f>
        <v>4950</v>
      </c>
      <c r="J60" s="32"/>
      <c r="K60" s="33"/>
      <c r="L60" s="34"/>
      <c r="M60" s="35"/>
      <c r="N60" s="36">
        <f t="shared" si="4"/>
        <v>219229.91999999998</v>
      </c>
      <c r="O60" s="478"/>
      <c r="P60" s="432"/>
      <c r="R60" s="303">
        <v>44601</v>
      </c>
      <c r="S60" s="373" t="s">
        <v>116</v>
      </c>
      <c r="T60" s="373"/>
      <c r="U60" s="374">
        <v>37976.199999999997</v>
      </c>
    </row>
    <row r="61" spans="1:21">
      <c r="A61" s="24">
        <v>44602</v>
      </c>
      <c r="B61" s="25" t="s">
        <v>59</v>
      </c>
      <c r="C61" s="45"/>
      <c r="D61" s="27"/>
      <c r="E61" s="27"/>
      <c r="F61" s="35"/>
      <c r="G61" s="29">
        <f t="shared" si="3"/>
        <v>-20100.812999999744</v>
      </c>
      <c r="H61" s="54"/>
      <c r="I61" s="55">
        <v>9165</v>
      </c>
      <c r="J61" s="33"/>
      <c r="K61" s="33"/>
      <c r="L61" s="34"/>
      <c r="M61" s="43"/>
      <c r="N61" s="36">
        <f t="shared" si="4"/>
        <v>228394.91999999998</v>
      </c>
      <c r="O61" s="478"/>
      <c r="P61" s="432"/>
      <c r="R61" s="303">
        <v>44606</v>
      </c>
      <c r="S61" s="379" t="s">
        <v>119</v>
      </c>
      <c r="T61" s="368">
        <v>134183.18</v>
      </c>
      <c r="U61" s="374"/>
    </row>
    <row r="62" spans="1:21">
      <c r="A62" s="40">
        <v>44602</v>
      </c>
      <c r="B62" s="25" t="s">
        <v>60</v>
      </c>
      <c r="C62" s="45"/>
      <c r="D62" s="277">
        <v>338690.63</v>
      </c>
      <c r="E62" s="27"/>
      <c r="F62" s="35"/>
      <c r="G62" s="29">
        <f t="shared" si="3"/>
        <v>318589.81700000027</v>
      </c>
      <c r="H62" s="42"/>
      <c r="I62" s="33"/>
      <c r="J62" s="33"/>
      <c r="K62" s="33"/>
      <c r="L62" s="34"/>
      <c r="M62" s="43"/>
      <c r="N62" s="36">
        <f t="shared" si="4"/>
        <v>228394.91999999998</v>
      </c>
      <c r="O62" s="478"/>
      <c r="P62" s="432"/>
      <c r="R62" s="303">
        <v>44602</v>
      </c>
      <c r="S62" s="379" t="s">
        <v>117</v>
      </c>
      <c r="T62" s="368">
        <v>338690.63</v>
      </c>
      <c r="U62" s="374"/>
    </row>
    <row r="63" spans="1:21">
      <c r="A63" s="40">
        <v>44606</v>
      </c>
      <c r="B63" s="44" t="s">
        <v>61</v>
      </c>
      <c r="C63" s="45"/>
      <c r="D63" s="277">
        <v>134183.18</v>
      </c>
      <c r="E63" s="27"/>
      <c r="F63" s="35"/>
      <c r="G63" s="29">
        <f t="shared" si="3"/>
        <v>452772.99700000026</v>
      </c>
      <c r="H63" s="42"/>
      <c r="I63" s="33"/>
      <c r="J63" s="32"/>
      <c r="K63" s="33"/>
      <c r="L63" s="34"/>
      <c r="M63" s="35"/>
      <c r="N63" s="36">
        <f t="shared" si="4"/>
        <v>228394.91999999998</v>
      </c>
      <c r="O63" s="478"/>
      <c r="P63" s="432"/>
      <c r="R63" s="303">
        <v>44608</v>
      </c>
      <c r="S63" s="304" t="s">
        <v>103</v>
      </c>
      <c r="T63" s="305"/>
      <c r="U63" s="306">
        <v>1704000</v>
      </c>
    </row>
    <row r="64" spans="1:21">
      <c r="A64" s="40">
        <v>44608</v>
      </c>
      <c r="B64" s="57" t="s">
        <v>62</v>
      </c>
      <c r="C64" s="45"/>
      <c r="D64" s="277">
        <v>53700</v>
      </c>
      <c r="E64" s="27"/>
      <c r="F64" s="35"/>
      <c r="G64" s="29">
        <f t="shared" si="3"/>
        <v>506472.99700000026</v>
      </c>
      <c r="H64" s="54"/>
      <c r="I64" s="31">
        <v>400</v>
      </c>
      <c r="J64" s="33"/>
      <c r="K64" s="33"/>
      <c r="L64" s="34"/>
      <c r="M64" s="43"/>
      <c r="N64" s="36">
        <f t="shared" si="4"/>
        <v>228794.91999999998</v>
      </c>
      <c r="O64" s="478"/>
      <c r="P64" s="432"/>
      <c r="R64" s="303">
        <v>44614</v>
      </c>
      <c r="S64" s="304" t="s">
        <v>122</v>
      </c>
      <c r="T64" s="373"/>
      <c r="U64" s="374">
        <v>1300000</v>
      </c>
    </row>
    <row r="65" spans="1:21">
      <c r="A65" s="40">
        <v>44610</v>
      </c>
      <c r="B65" s="15" t="s">
        <v>63</v>
      </c>
      <c r="C65" s="45"/>
      <c r="D65" s="27"/>
      <c r="E65" s="277">
        <f>568000*3</f>
        <v>1704000</v>
      </c>
      <c r="F65" s="35"/>
      <c r="G65" s="29">
        <f t="shared" si="3"/>
        <v>-1197527.0029999998</v>
      </c>
      <c r="H65" s="42"/>
      <c r="I65" s="33"/>
      <c r="J65" s="33"/>
      <c r="K65" s="33"/>
      <c r="L65" s="34"/>
      <c r="M65" s="43"/>
      <c r="N65" s="36">
        <f t="shared" si="4"/>
        <v>228794.91999999998</v>
      </c>
      <c r="O65" s="478"/>
      <c r="P65" s="432"/>
      <c r="R65" s="303">
        <v>44599</v>
      </c>
      <c r="S65" s="373" t="s">
        <v>100</v>
      </c>
      <c r="T65" s="373"/>
      <c r="U65" s="374">
        <v>1202793.3600000001</v>
      </c>
    </row>
    <row r="66" spans="1:21">
      <c r="A66" s="40">
        <v>44610</v>
      </c>
      <c r="B66" s="44" t="s">
        <v>64</v>
      </c>
      <c r="C66" s="56">
        <f>M66*207</f>
        <v>1449000</v>
      </c>
      <c r="D66" s="27"/>
      <c r="E66" s="27"/>
      <c r="F66" s="35"/>
      <c r="G66" s="29">
        <f t="shared" si="3"/>
        <v>251472.99700000021</v>
      </c>
      <c r="H66" s="42"/>
      <c r="I66" s="33"/>
      <c r="J66" s="33"/>
      <c r="K66" s="33"/>
      <c r="L66" s="34"/>
      <c r="M66" s="43">
        <v>7000</v>
      </c>
      <c r="N66" s="36">
        <f t="shared" si="4"/>
        <v>221794.91999999998</v>
      </c>
      <c r="O66" s="478"/>
      <c r="P66" s="432"/>
      <c r="R66" s="303">
        <v>44613</v>
      </c>
      <c r="S66" s="304" t="s">
        <v>104</v>
      </c>
      <c r="T66" s="373"/>
      <c r="U66" s="374">
        <v>1200000</v>
      </c>
    </row>
    <row r="67" spans="1:21">
      <c r="A67" s="40">
        <v>44617</v>
      </c>
      <c r="B67" s="15" t="s">
        <v>27</v>
      </c>
      <c r="C67" s="45"/>
      <c r="D67" s="27"/>
      <c r="E67" s="311">
        <f>192258</f>
        <v>192258</v>
      </c>
      <c r="F67" s="35"/>
      <c r="G67" s="29">
        <f t="shared" si="3"/>
        <v>59214.997000000207</v>
      </c>
      <c r="H67" s="54"/>
      <c r="I67" s="55"/>
      <c r="J67" s="32"/>
      <c r="K67" s="33"/>
      <c r="L67" s="34"/>
      <c r="M67" s="35"/>
      <c r="N67" s="36">
        <f t="shared" si="4"/>
        <v>221794.91999999998</v>
      </c>
      <c r="O67" s="478"/>
      <c r="P67" s="432"/>
      <c r="R67" s="376">
        <v>44617</v>
      </c>
      <c r="S67" s="388" t="s">
        <v>121</v>
      </c>
      <c r="T67" s="389"/>
      <c r="U67" s="378">
        <f>2217.43+65575.87+150000+150000</f>
        <v>367793.3</v>
      </c>
    </row>
    <row r="68" spans="1:21">
      <c r="A68" s="40">
        <v>44617</v>
      </c>
      <c r="B68" s="15" t="s">
        <v>41</v>
      </c>
      <c r="C68" s="58"/>
      <c r="D68" s="27"/>
      <c r="E68" s="277">
        <v>81737.14</v>
      </c>
      <c r="F68" s="35"/>
      <c r="G68" s="29">
        <f t="shared" si="3"/>
        <v>-22522.142999999793</v>
      </c>
      <c r="H68" s="42"/>
      <c r="I68" s="33"/>
      <c r="J68" s="32"/>
      <c r="K68" s="33"/>
      <c r="L68" s="34"/>
      <c r="M68" s="35"/>
      <c r="N68" s="36">
        <f t="shared" si="4"/>
        <v>221794.91999999998</v>
      </c>
      <c r="O68" s="478"/>
      <c r="P68" s="432"/>
      <c r="R68" s="376"/>
      <c r="S68" s="388"/>
      <c r="T68" s="377"/>
      <c r="U68" s="378"/>
    </row>
    <row r="69" spans="1:21">
      <c r="A69" s="40">
        <v>44617</v>
      </c>
      <c r="B69" s="44" t="s">
        <v>42</v>
      </c>
      <c r="C69" s="59"/>
      <c r="D69" s="38"/>
      <c r="E69" s="320">
        <v>10285</v>
      </c>
      <c r="F69" s="35"/>
      <c r="G69" s="29">
        <f t="shared" si="3"/>
        <v>-32807.142999999793</v>
      </c>
      <c r="H69" s="54"/>
      <c r="I69" s="60"/>
      <c r="J69" s="32"/>
      <c r="K69" s="33"/>
      <c r="L69" s="34"/>
      <c r="M69" s="35"/>
      <c r="N69" s="36">
        <f t="shared" si="4"/>
        <v>221794.91999999998</v>
      </c>
      <c r="O69" s="478"/>
      <c r="P69" s="432"/>
      <c r="R69" s="370">
        <v>44593</v>
      </c>
      <c r="S69" s="313" t="s">
        <v>234</v>
      </c>
      <c r="T69" s="380">
        <f>297000+297000</f>
        <v>594000</v>
      </c>
      <c r="U69" s="381"/>
    </row>
    <row r="70" spans="1:21">
      <c r="A70" s="40">
        <v>44617</v>
      </c>
      <c r="B70" s="61" t="s">
        <v>43</v>
      </c>
      <c r="C70" s="45"/>
      <c r="D70" s="27"/>
      <c r="E70" s="38"/>
      <c r="F70" s="62">
        <f>SUM(D47:D69)*5%</f>
        <v>37703.690500000004</v>
      </c>
      <c r="G70" s="29">
        <f t="shared" si="3"/>
        <v>-70510.833499999804</v>
      </c>
      <c r="H70" s="54"/>
      <c r="I70" s="55"/>
      <c r="J70" s="32"/>
      <c r="K70" s="33"/>
      <c r="L70" s="33">
        <f>SUM(I49:I69)*5%</f>
        <v>1021.5500000000001</v>
      </c>
      <c r="M70" s="35"/>
      <c r="N70" s="36">
        <f t="shared" si="4"/>
        <v>220773.37</v>
      </c>
      <c r="O70" s="478"/>
      <c r="P70" s="432"/>
      <c r="R70" s="370">
        <v>44593</v>
      </c>
      <c r="S70" s="313" t="s">
        <v>235</v>
      </c>
      <c r="T70" s="314"/>
      <c r="U70" s="382">
        <f>160735.65+16271.13+594000</f>
        <v>771006.78</v>
      </c>
    </row>
    <row r="71" spans="1:21">
      <c r="A71" s="40">
        <v>44617</v>
      </c>
      <c r="B71" s="61" t="s">
        <v>44</v>
      </c>
      <c r="C71" s="45"/>
      <c r="D71" s="27"/>
      <c r="E71" s="38"/>
      <c r="F71" s="62">
        <f>SUM(E47:E69)*5%</f>
        <v>322065.92549999995</v>
      </c>
      <c r="G71" s="29">
        <f t="shared" si="3"/>
        <v>-392576.75899999973</v>
      </c>
      <c r="H71" s="54"/>
      <c r="I71" s="55"/>
      <c r="J71" s="32"/>
      <c r="K71" s="33"/>
      <c r="L71" s="33">
        <f>SUM(K49:K69)*5%</f>
        <v>0</v>
      </c>
      <c r="M71" s="35"/>
      <c r="N71" s="36">
        <f t="shared" si="4"/>
        <v>220773.37</v>
      </c>
      <c r="O71" s="478"/>
      <c r="P71" s="432"/>
      <c r="R71" s="339"/>
      <c r="S71" s="204"/>
      <c r="T71" s="204"/>
      <c r="U71" s="336"/>
    </row>
    <row r="72" spans="1:21">
      <c r="A72" s="40">
        <v>44617</v>
      </c>
      <c r="B72" s="44" t="s">
        <v>65</v>
      </c>
      <c r="C72" s="56">
        <f>M72*207</f>
        <v>414000</v>
      </c>
      <c r="D72" s="38"/>
      <c r="E72" s="63"/>
      <c r="F72" s="35"/>
      <c r="G72" s="29">
        <f t="shared" si="3"/>
        <v>21423.241000000271</v>
      </c>
      <c r="H72" s="54"/>
      <c r="I72" s="55"/>
      <c r="J72" s="32"/>
      <c r="K72" s="33"/>
      <c r="L72" s="34"/>
      <c r="M72" s="35">
        <v>2000</v>
      </c>
      <c r="N72" s="36">
        <f t="shared" si="4"/>
        <v>218773.37</v>
      </c>
      <c r="O72" s="478"/>
      <c r="P72" s="432"/>
      <c r="R72" s="383">
        <v>44596</v>
      </c>
      <c r="S72" s="384" t="s">
        <v>237</v>
      </c>
      <c r="T72" s="384"/>
      <c r="U72" s="385">
        <v>500000</v>
      </c>
    </row>
    <row r="73" spans="1:21">
      <c r="A73" s="40"/>
      <c r="B73" s="41"/>
      <c r="C73" s="26"/>
      <c r="D73" s="27"/>
      <c r="E73" s="27"/>
      <c r="F73" s="35"/>
      <c r="G73" s="29">
        <f t="shared" si="3"/>
        <v>21423.241000000271</v>
      </c>
      <c r="H73" s="42"/>
      <c r="I73" s="33"/>
      <c r="J73" s="33"/>
      <c r="K73" s="33"/>
      <c r="L73" s="34"/>
      <c r="M73" s="43"/>
      <c r="N73" s="36">
        <f t="shared" si="4"/>
        <v>218773.37</v>
      </c>
      <c r="O73" s="478"/>
      <c r="P73" s="432"/>
      <c r="R73" s="339"/>
      <c r="S73" s="256"/>
      <c r="T73" s="204"/>
      <c r="U73" s="336"/>
    </row>
    <row r="74" spans="1:21">
      <c r="A74" s="40"/>
      <c r="B74" s="15"/>
      <c r="C74" s="45"/>
      <c r="D74" s="27"/>
      <c r="E74" s="27"/>
      <c r="F74" s="35"/>
      <c r="G74" s="29">
        <f t="shared" si="3"/>
        <v>21423.241000000271</v>
      </c>
      <c r="H74" s="42"/>
      <c r="I74" s="33"/>
      <c r="J74" s="33"/>
      <c r="K74" s="33"/>
      <c r="L74" s="34"/>
      <c r="M74" s="43"/>
      <c r="N74" s="36">
        <f t="shared" si="4"/>
        <v>218773.37</v>
      </c>
      <c r="O74" s="478"/>
      <c r="P74" s="432"/>
      <c r="R74" s="307">
        <v>44617</v>
      </c>
      <c r="S74" s="308" t="s">
        <v>120</v>
      </c>
      <c r="T74" s="386"/>
      <c r="U74" s="387">
        <v>192258</v>
      </c>
    </row>
    <row r="75" spans="1:21">
      <c r="A75" s="40"/>
      <c r="B75" s="44">
        <v>0</v>
      </c>
      <c r="C75" s="66"/>
      <c r="D75" s="38"/>
      <c r="E75" s="63"/>
      <c r="F75" s="35"/>
      <c r="G75" s="29">
        <f t="shared" si="3"/>
        <v>21423.241000000271</v>
      </c>
      <c r="H75" s="54"/>
      <c r="I75" s="55"/>
      <c r="J75" s="32"/>
      <c r="K75" s="33"/>
      <c r="L75" s="34"/>
      <c r="M75" s="35"/>
      <c r="N75" s="36">
        <f t="shared" si="4"/>
        <v>218773.37</v>
      </c>
      <c r="O75" s="478"/>
      <c r="P75" s="432"/>
    </row>
    <row r="76" spans="1:21" ht="15.75" thickBot="1">
      <c r="A76" s="40"/>
      <c r="B76" s="44"/>
      <c r="C76" s="67"/>
      <c r="D76" s="68"/>
      <c r="E76" s="68"/>
      <c r="F76" s="69"/>
      <c r="G76" s="29">
        <f t="shared" si="3"/>
        <v>21423.241000000271</v>
      </c>
      <c r="H76" s="70"/>
      <c r="I76" s="71"/>
      <c r="J76" s="72"/>
      <c r="K76" s="73"/>
      <c r="L76" s="74"/>
      <c r="M76" s="69"/>
      <c r="N76" s="36">
        <f t="shared" si="4"/>
        <v>218773.37</v>
      </c>
      <c r="O76" s="478"/>
      <c r="P76" s="432"/>
    </row>
    <row r="77" spans="1:21" ht="15.75" thickBot="1">
      <c r="A77" s="44"/>
      <c r="B77" s="75" t="s">
        <v>46</v>
      </c>
      <c r="C77" s="76">
        <f>SUM(C47:C76)</f>
        <v>6063000</v>
      </c>
      <c r="D77" s="77">
        <f>SUM(D47:D76)</f>
        <v>754073.81</v>
      </c>
      <c r="E77" s="77">
        <f>SUM(E47:E76)</f>
        <v>6441318.5099999988</v>
      </c>
      <c r="F77" s="77">
        <f>SUM(F47:F76)</f>
        <v>359769.61599999998</v>
      </c>
      <c r="G77" s="78"/>
      <c r="H77" s="76">
        <f>SUM(H47:H76)</f>
        <v>0</v>
      </c>
      <c r="I77" s="77">
        <f>SUM(I47:I76)</f>
        <v>21397</v>
      </c>
      <c r="J77" s="77">
        <f t="shared" ref="J77:M77" si="5">SUM(J47:J76)</f>
        <v>0</v>
      </c>
      <c r="K77" s="77">
        <f t="shared" si="5"/>
        <v>0</v>
      </c>
      <c r="L77" s="77">
        <f t="shared" si="5"/>
        <v>1021.5500000000001</v>
      </c>
      <c r="M77" s="77">
        <f t="shared" si="5"/>
        <v>29000</v>
      </c>
      <c r="N77" s="79"/>
      <c r="O77" s="377"/>
      <c r="P77" s="204"/>
    </row>
    <row r="78" spans="1:21">
      <c r="F78" s="80"/>
    </row>
    <row r="79" spans="1:21">
      <c r="B79" s="81" t="s">
        <v>66</v>
      </c>
      <c r="F79" s="82"/>
      <c r="G79" s="82">
        <f>G76</f>
        <v>21423.241000000271</v>
      </c>
      <c r="H79" s="83"/>
      <c r="I79" s="83"/>
      <c r="J79" s="83"/>
      <c r="K79" s="82"/>
      <c r="N79" s="80">
        <f>N76</f>
        <v>218773.37</v>
      </c>
      <c r="O79" s="479"/>
      <c r="P79" s="80"/>
    </row>
    <row r="81" spans="1:22" ht="15.75" thickBot="1"/>
    <row r="82" spans="1:22" ht="15.75" thickBot="1">
      <c r="A82" s="84" t="s">
        <v>67</v>
      </c>
      <c r="C82" s="907" t="s">
        <v>3</v>
      </c>
      <c r="D82" s="908"/>
      <c r="E82" s="907" t="s">
        <v>4</v>
      </c>
      <c r="F82" s="908"/>
      <c r="G82" s="5"/>
      <c r="H82" s="909" t="s">
        <v>5</v>
      </c>
      <c r="I82" s="910"/>
      <c r="J82" s="909" t="s">
        <v>6</v>
      </c>
      <c r="K82" s="911"/>
      <c r="L82" s="911"/>
      <c r="M82" s="910"/>
      <c r="N82" s="6"/>
      <c r="O82" s="475"/>
      <c r="P82" s="6"/>
    </row>
    <row r="83" spans="1:22" ht="15.75" thickBot="1">
      <c r="A83" s="7" t="s">
        <v>7</v>
      </c>
      <c r="B83" s="8" t="s">
        <v>8</v>
      </c>
      <c r="C83" s="9" t="s">
        <v>9</v>
      </c>
      <c r="D83" s="9" t="s">
        <v>10</v>
      </c>
      <c r="E83" s="10" t="s">
        <v>68</v>
      </c>
      <c r="F83" s="10" t="s">
        <v>69</v>
      </c>
      <c r="G83" s="11" t="s">
        <v>13</v>
      </c>
      <c r="H83" s="12" t="s">
        <v>14</v>
      </c>
      <c r="I83" s="12" t="s">
        <v>10</v>
      </c>
      <c r="J83" s="12" t="s">
        <v>15</v>
      </c>
      <c r="K83" s="12" t="s">
        <v>11</v>
      </c>
      <c r="L83" s="12" t="s">
        <v>16</v>
      </c>
      <c r="M83" s="12" t="s">
        <v>17</v>
      </c>
      <c r="N83" s="13" t="s">
        <v>18</v>
      </c>
      <c r="O83" s="476"/>
      <c r="P83" s="430"/>
    </row>
    <row r="84" spans="1:22">
      <c r="A84" s="14">
        <v>44620</v>
      </c>
      <c r="B84" s="15" t="s">
        <v>19</v>
      </c>
      <c r="C84" s="16"/>
      <c r="D84" s="17"/>
      <c r="E84" s="17"/>
      <c r="F84" s="85"/>
      <c r="G84" s="86">
        <v>21423.24</v>
      </c>
      <c r="H84" s="16"/>
      <c r="I84" s="87"/>
      <c r="J84" s="17"/>
      <c r="K84" s="87"/>
      <c r="L84" s="21"/>
      <c r="M84" s="22"/>
      <c r="N84" s="23">
        <v>218773.37</v>
      </c>
      <c r="O84" s="477"/>
      <c r="P84" s="431"/>
    </row>
    <row r="85" spans="1:22">
      <c r="A85" s="40">
        <v>44623</v>
      </c>
      <c r="B85" s="15" t="s">
        <v>70</v>
      </c>
      <c r="C85" s="45"/>
      <c r="D85" s="27"/>
      <c r="E85" s="27">
        <v>3142.92</v>
      </c>
      <c r="F85" s="35"/>
      <c r="G85" s="29">
        <f t="shared" ref="G85:G122" si="6">+G84+C85+D85-E85-F85</f>
        <v>18280.32</v>
      </c>
      <c r="H85" s="88"/>
      <c r="I85" s="89"/>
      <c r="J85" s="89"/>
      <c r="K85" s="89"/>
      <c r="L85" s="34"/>
      <c r="M85" s="90"/>
      <c r="N85" s="91">
        <f t="shared" ref="N85:N122" si="7">+N84+H85+I85-J85-K85-L85-M85</f>
        <v>218773.37</v>
      </c>
      <c r="O85" s="478"/>
      <c r="P85" s="407"/>
    </row>
    <row r="86" spans="1:22">
      <c r="A86" s="24">
        <v>44624</v>
      </c>
      <c r="B86" s="25" t="s">
        <v>71</v>
      </c>
      <c r="C86" s="26"/>
      <c r="D86" s="27"/>
      <c r="E86" s="27"/>
      <c r="F86" s="28"/>
      <c r="G86" s="29">
        <f t="shared" si="6"/>
        <v>18280.32</v>
      </c>
      <c r="H86" s="30"/>
      <c r="I86" s="31">
        <v>966</v>
      </c>
      <c r="J86" s="32"/>
      <c r="K86" s="89"/>
      <c r="L86" s="34"/>
      <c r="M86" s="35"/>
      <c r="N86" s="91">
        <f t="shared" si="7"/>
        <v>219739.37</v>
      </c>
      <c r="O86" s="478"/>
      <c r="P86" s="407"/>
    </row>
    <row r="87" spans="1:22">
      <c r="A87" s="24">
        <v>44624</v>
      </c>
      <c r="B87" s="25" t="s">
        <v>72</v>
      </c>
      <c r="C87" s="37"/>
      <c r="D87" s="38"/>
      <c r="E87" s="38"/>
      <c r="F87" s="39"/>
      <c r="G87" s="29">
        <f t="shared" si="6"/>
        <v>18280.32</v>
      </c>
      <c r="H87" s="30"/>
      <c r="I87" s="31">
        <v>966</v>
      </c>
      <c r="J87" s="32"/>
      <c r="K87" s="89"/>
      <c r="L87" s="34"/>
      <c r="M87" s="35"/>
      <c r="N87" s="91">
        <f t="shared" si="7"/>
        <v>220705.37</v>
      </c>
      <c r="O87" s="478"/>
      <c r="P87" s="407"/>
    </row>
    <row r="88" spans="1:22">
      <c r="A88" s="40">
        <v>44624</v>
      </c>
      <c r="B88" s="44" t="s">
        <v>23</v>
      </c>
      <c r="C88" s="45"/>
      <c r="D88" s="27"/>
      <c r="E88" s="277">
        <v>37600</v>
      </c>
      <c r="F88" s="35"/>
      <c r="G88" s="29">
        <f t="shared" si="6"/>
        <v>-19319.68</v>
      </c>
      <c r="H88" s="46"/>
      <c r="I88" s="31"/>
      <c r="J88" s="47"/>
      <c r="K88" s="89"/>
      <c r="L88" s="34"/>
      <c r="M88" s="48"/>
      <c r="N88" s="91">
        <f t="shared" si="7"/>
        <v>220705.37</v>
      </c>
      <c r="O88" s="478"/>
      <c r="P88" s="407"/>
      <c r="R88" s="273">
        <v>44627</v>
      </c>
      <c r="S88" s="274" t="s">
        <v>123</v>
      </c>
      <c r="T88" s="319"/>
      <c r="U88" s="276">
        <v>12565.33</v>
      </c>
      <c r="V88" s="204"/>
    </row>
    <row r="89" spans="1:22">
      <c r="A89" s="40">
        <v>44624</v>
      </c>
      <c r="B89" s="44" t="s">
        <v>73</v>
      </c>
      <c r="C89" s="26"/>
      <c r="D89" s="27"/>
      <c r="E89" s="277">
        <v>1002793.36</v>
      </c>
      <c r="F89" s="35"/>
      <c r="G89" s="29">
        <f t="shared" si="6"/>
        <v>-1022113.04</v>
      </c>
      <c r="H89" s="54"/>
      <c r="I89" s="93"/>
      <c r="J89" s="32"/>
      <c r="K89" s="89"/>
      <c r="L89" s="34"/>
      <c r="M89" s="35"/>
      <c r="N89" s="91">
        <f t="shared" si="7"/>
        <v>220705.37</v>
      </c>
      <c r="O89" s="478"/>
      <c r="P89" s="407"/>
      <c r="R89" s="273">
        <v>44627</v>
      </c>
      <c r="S89" s="274" t="s">
        <v>204</v>
      </c>
      <c r="T89" s="276">
        <v>132238</v>
      </c>
      <c r="U89" s="276"/>
      <c r="V89" s="204"/>
    </row>
    <row r="90" spans="1:22">
      <c r="A90" s="40">
        <v>44627</v>
      </c>
      <c r="B90" s="94" t="s">
        <v>74</v>
      </c>
      <c r="C90" s="56">
        <f>700000+600000</f>
        <v>1300000</v>
      </c>
      <c r="D90" s="27"/>
      <c r="E90" s="27"/>
      <c r="F90" s="35"/>
      <c r="G90" s="29">
        <f t="shared" si="6"/>
        <v>277886.95999999996</v>
      </c>
      <c r="H90" s="54"/>
      <c r="I90" s="31"/>
      <c r="J90" s="89"/>
      <c r="K90" s="89"/>
      <c r="L90" s="34"/>
      <c r="M90" s="90">
        <f>1300000/197.4+0.39</f>
        <v>6586.0029685916925</v>
      </c>
      <c r="N90" s="91">
        <f t="shared" si="7"/>
        <v>214119.3670314083</v>
      </c>
      <c r="O90" s="478"/>
      <c r="P90" s="407"/>
      <c r="R90" s="273">
        <v>44629</v>
      </c>
      <c r="S90" s="274" t="s">
        <v>125</v>
      </c>
      <c r="T90" s="276">
        <v>236000</v>
      </c>
      <c r="U90" s="276"/>
      <c r="V90" s="204"/>
    </row>
    <row r="91" spans="1:22">
      <c r="A91" s="40">
        <v>44627</v>
      </c>
      <c r="B91" s="15" t="s">
        <v>75</v>
      </c>
      <c r="C91" s="49"/>
      <c r="D91" s="50"/>
      <c r="E91" s="277">
        <v>12565.33</v>
      </c>
      <c r="F91" s="35"/>
      <c r="G91" s="29">
        <f t="shared" si="6"/>
        <v>265321.62999999995</v>
      </c>
      <c r="H91" s="88"/>
      <c r="I91" s="31"/>
      <c r="J91" s="32"/>
      <c r="K91" s="89"/>
      <c r="L91" s="34"/>
      <c r="M91" s="35"/>
      <c r="N91" s="91">
        <f t="shared" si="7"/>
        <v>214119.3670314083</v>
      </c>
      <c r="O91" s="478"/>
      <c r="P91" s="407"/>
      <c r="R91" s="273">
        <v>44630</v>
      </c>
      <c r="S91" s="274" t="s">
        <v>126</v>
      </c>
      <c r="T91" s="395"/>
      <c r="U91" s="281">
        <v>567.32000000000005</v>
      </c>
      <c r="V91" s="204"/>
    </row>
    <row r="92" spans="1:22">
      <c r="A92" s="40">
        <v>44627</v>
      </c>
      <c r="B92" s="44" t="s">
        <v>76</v>
      </c>
      <c r="C92" s="26"/>
      <c r="D92" s="277">
        <v>132238</v>
      </c>
      <c r="E92" s="27"/>
      <c r="F92" s="35"/>
      <c r="G92" s="29">
        <f t="shared" si="6"/>
        <v>397559.62999999995</v>
      </c>
      <c r="H92" s="88"/>
      <c r="I92" s="89"/>
      <c r="J92" s="89"/>
      <c r="K92" s="89"/>
      <c r="L92" s="34"/>
      <c r="M92" s="90"/>
      <c r="N92" s="91">
        <f t="shared" si="7"/>
        <v>214119.3670314083</v>
      </c>
      <c r="O92" s="478"/>
      <c r="P92" s="407"/>
      <c r="R92" s="120">
        <v>44630</v>
      </c>
      <c r="S92" s="123" t="s">
        <v>127</v>
      </c>
      <c r="T92" s="145"/>
      <c r="U92" s="254">
        <v>141229.09</v>
      </c>
      <c r="V92" s="204"/>
    </row>
    <row r="93" spans="1:22">
      <c r="A93" s="40">
        <v>44629</v>
      </c>
      <c r="B93" s="15" t="s">
        <v>77</v>
      </c>
      <c r="C93" s="45"/>
      <c r="D93" s="277">
        <v>236000</v>
      </c>
      <c r="E93" s="27"/>
      <c r="F93" s="35"/>
      <c r="G93" s="29">
        <f t="shared" si="6"/>
        <v>633559.62999999989</v>
      </c>
      <c r="H93" s="88"/>
      <c r="I93" s="89"/>
      <c r="J93" s="89"/>
      <c r="K93" s="89"/>
      <c r="L93" s="34"/>
      <c r="M93" s="90"/>
      <c r="N93" s="91">
        <f t="shared" si="7"/>
        <v>214119.3670314083</v>
      </c>
      <c r="O93" s="478"/>
      <c r="P93" s="407"/>
      <c r="R93" s="273">
        <v>44634</v>
      </c>
      <c r="S93" s="280" t="s">
        <v>128</v>
      </c>
      <c r="T93" s="276">
        <v>139314.39000000001</v>
      </c>
      <c r="U93" s="281"/>
      <c r="V93" s="204"/>
    </row>
    <row r="94" spans="1:22">
      <c r="A94" s="40">
        <v>44630</v>
      </c>
      <c r="B94" s="44" t="s">
        <v>78</v>
      </c>
      <c r="C94" s="52"/>
      <c r="D94" s="50"/>
      <c r="E94" s="277">
        <f>567.32</f>
        <v>567.32000000000005</v>
      </c>
      <c r="F94" s="35"/>
      <c r="G94" s="29">
        <f t="shared" si="6"/>
        <v>632992.30999999994</v>
      </c>
      <c r="H94" s="88"/>
      <c r="I94" s="89"/>
      <c r="J94" s="32"/>
      <c r="K94" s="89"/>
      <c r="L94" s="34"/>
      <c r="M94" s="35"/>
      <c r="N94" s="91">
        <f t="shared" si="7"/>
        <v>214119.3670314083</v>
      </c>
      <c r="O94" s="478"/>
      <c r="P94" s="407"/>
      <c r="R94" s="273">
        <v>44631</v>
      </c>
      <c r="S94" s="274" t="s">
        <v>129</v>
      </c>
      <c r="T94" s="276">
        <v>85200</v>
      </c>
      <c r="U94" s="281"/>
      <c r="V94" s="204"/>
    </row>
    <row r="95" spans="1:22">
      <c r="A95" s="24">
        <v>44630</v>
      </c>
      <c r="B95" s="25" t="s">
        <v>79</v>
      </c>
      <c r="C95" s="45"/>
      <c r="D95" s="27"/>
      <c r="E95" s="27"/>
      <c r="F95" s="35"/>
      <c r="G95" s="29">
        <f t="shared" si="6"/>
        <v>632992.30999999994</v>
      </c>
      <c r="H95" s="54"/>
      <c r="I95" s="31">
        <f>44550/9</f>
        <v>4950</v>
      </c>
      <c r="J95" s="32"/>
      <c r="K95" s="89"/>
      <c r="L95" s="34"/>
      <c r="M95" s="35"/>
      <c r="N95" s="91">
        <f t="shared" si="7"/>
        <v>219069.3670314083</v>
      </c>
      <c r="O95" s="478"/>
      <c r="P95" s="407"/>
      <c r="R95" s="273">
        <v>44631</v>
      </c>
      <c r="S95" s="274" t="s">
        <v>130</v>
      </c>
      <c r="T95" s="319"/>
      <c r="U95" s="281">
        <v>90265.89</v>
      </c>
      <c r="V95" s="204"/>
    </row>
    <row r="96" spans="1:22">
      <c r="A96" s="24">
        <v>44630</v>
      </c>
      <c r="B96" s="25" t="s">
        <v>80</v>
      </c>
      <c r="C96" s="45"/>
      <c r="D96" s="27"/>
      <c r="E96" s="27"/>
      <c r="F96" s="35"/>
      <c r="G96" s="29">
        <f t="shared" si="6"/>
        <v>632992.30999999994</v>
      </c>
      <c r="H96" s="54"/>
      <c r="I96" s="31">
        <f>44550/9</f>
        <v>4950</v>
      </c>
      <c r="J96" s="32"/>
      <c r="K96" s="89"/>
      <c r="L96" s="34"/>
      <c r="M96" s="35"/>
      <c r="N96" s="91">
        <f t="shared" si="7"/>
        <v>224019.3670314083</v>
      </c>
      <c r="O96" s="478"/>
      <c r="P96" s="407"/>
      <c r="R96" s="273">
        <v>44638</v>
      </c>
      <c r="S96" s="274" t="s">
        <v>131</v>
      </c>
      <c r="T96" s="395"/>
      <c r="U96" s="276">
        <v>49499.95</v>
      </c>
      <c r="V96" s="204"/>
    </row>
    <row r="97" spans="1:22">
      <c r="A97" s="24">
        <v>44630</v>
      </c>
      <c r="B97" s="25" t="s">
        <v>81</v>
      </c>
      <c r="C97" s="45"/>
      <c r="D97" s="27"/>
      <c r="E97" s="27"/>
      <c r="F97" s="35"/>
      <c r="G97" s="29">
        <f t="shared" si="6"/>
        <v>632992.30999999994</v>
      </c>
      <c r="H97" s="54"/>
      <c r="I97" s="93">
        <v>9165</v>
      </c>
      <c r="J97" s="89"/>
      <c r="K97" s="89"/>
      <c r="L97" s="34"/>
      <c r="M97" s="90"/>
      <c r="N97" s="91">
        <f t="shared" si="7"/>
        <v>233184.3670314083</v>
      </c>
      <c r="O97" s="478"/>
      <c r="P97" s="407"/>
      <c r="R97" s="303">
        <v>44618</v>
      </c>
      <c r="S97" s="373" t="s">
        <v>198</v>
      </c>
      <c r="T97" s="368">
        <v>355625.17</v>
      </c>
      <c r="U97" s="319"/>
      <c r="V97" s="204"/>
    </row>
    <row r="98" spans="1:22">
      <c r="A98" s="40">
        <v>44630</v>
      </c>
      <c r="B98" s="25" t="s">
        <v>82</v>
      </c>
      <c r="C98" s="45"/>
      <c r="D98" s="277">
        <v>355625.17</v>
      </c>
      <c r="E98" s="27"/>
      <c r="F98" s="35"/>
      <c r="G98" s="29">
        <f t="shared" si="6"/>
        <v>988617.48</v>
      </c>
      <c r="H98" s="88"/>
      <c r="I98" s="89"/>
      <c r="J98" s="89"/>
      <c r="K98" s="89"/>
      <c r="L98" s="34"/>
      <c r="M98" s="90"/>
      <c r="N98" s="91">
        <f t="shared" si="7"/>
        <v>233184.3670314083</v>
      </c>
      <c r="O98" s="478"/>
      <c r="P98" s="407"/>
      <c r="R98" s="120">
        <v>44648</v>
      </c>
      <c r="S98" s="123" t="s">
        <v>134</v>
      </c>
      <c r="T98" s="145"/>
      <c r="U98" s="124">
        <v>1171276.6000000001</v>
      </c>
      <c r="V98" s="204"/>
    </row>
    <row r="99" spans="1:22">
      <c r="A99" s="40">
        <v>44630</v>
      </c>
      <c r="B99" s="41" t="s">
        <v>83</v>
      </c>
      <c r="C99" s="26"/>
      <c r="D99" s="27"/>
      <c r="E99" s="320">
        <v>141229.09</v>
      </c>
      <c r="F99" s="35"/>
      <c r="G99" s="29">
        <f t="shared" si="6"/>
        <v>847388.39</v>
      </c>
      <c r="H99" s="88"/>
      <c r="I99" s="89"/>
      <c r="J99" s="89"/>
      <c r="K99" s="89"/>
      <c r="L99" s="34"/>
      <c r="M99" s="90"/>
      <c r="N99" s="91">
        <f t="shared" si="7"/>
        <v>233184.3670314083</v>
      </c>
      <c r="O99" s="478"/>
      <c r="P99" s="407"/>
      <c r="R99" s="120">
        <v>44650</v>
      </c>
      <c r="S99" t="s">
        <v>199</v>
      </c>
      <c r="T99" s="124">
        <v>159996.94</v>
      </c>
      <c r="U99" s="124"/>
      <c r="V99" s="204"/>
    </row>
    <row r="100" spans="1:22">
      <c r="A100" s="40">
        <v>44631</v>
      </c>
      <c r="B100" s="44" t="s">
        <v>84</v>
      </c>
      <c r="C100" s="66"/>
      <c r="D100" s="277">
        <v>85200</v>
      </c>
      <c r="E100" s="63"/>
      <c r="F100" s="35"/>
      <c r="G100" s="29">
        <f t="shared" si="6"/>
        <v>932588.39</v>
      </c>
      <c r="H100" s="88"/>
      <c r="I100" s="89"/>
      <c r="J100" s="89"/>
      <c r="K100" s="89"/>
      <c r="L100" s="34"/>
      <c r="M100" s="90"/>
      <c r="N100" s="91">
        <f t="shared" si="7"/>
        <v>233184.3670314083</v>
      </c>
      <c r="O100" s="478"/>
      <c r="P100" s="407"/>
      <c r="R100" s="321"/>
      <c r="S100" s="271" t="s">
        <v>216</v>
      </c>
      <c r="T100" s="271"/>
      <c r="U100" s="279">
        <v>12876</v>
      </c>
      <c r="V100" s="204"/>
    </row>
    <row r="101" spans="1:22">
      <c r="A101" s="40">
        <v>44631</v>
      </c>
      <c r="B101" s="44" t="s">
        <v>85</v>
      </c>
      <c r="C101" s="66"/>
      <c r="D101" s="38"/>
      <c r="E101" s="277">
        <v>90265.89</v>
      </c>
      <c r="F101" s="35"/>
      <c r="G101" s="29">
        <f t="shared" si="6"/>
        <v>842322.5</v>
      </c>
      <c r="H101" s="88"/>
      <c r="I101" s="89"/>
      <c r="J101" s="89"/>
      <c r="K101" s="89"/>
      <c r="L101" s="34"/>
      <c r="M101" s="90"/>
      <c r="N101" s="91">
        <f t="shared" si="7"/>
        <v>233184.3670314083</v>
      </c>
      <c r="O101" s="478"/>
      <c r="P101" s="407"/>
      <c r="R101" s="321">
        <v>44650</v>
      </c>
      <c r="S101" s="271" t="s">
        <v>41</v>
      </c>
      <c r="T101" s="314"/>
      <c r="U101" s="404">
        <f>87125+11992</f>
        <v>99117</v>
      </c>
      <c r="V101" s="204"/>
    </row>
    <row r="102" spans="1:22">
      <c r="A102" s="40">
        <v>44634</v>
      </c>
      <c r="B102" s="44" t="s">
        <v>86</v>
      </c>
      <c r="C102" s="45"/>
      <c r="D102" s="277">
        <v>139314.39000000001</v>
      </c>
      <c r="E102" s="27"/>
      <c r="F102" s="35"/>
      <c r="G102" s="29">
        <f t="shared" si="6"/>
        <v>981636.89</v>
      </c>
      <c r="H102" s="88"/>
      <c r="I102" s="89"/>
      <c r="J102" s="32"/>
      <c r="K102" s="89"/>
      <c r="L102" s="34"/>
      <c r="M102" s="35"/>
      <c r="N102" s="91">
        <f t="shared" si="7"/>
        <v>233184.3670314083</v>
      </c>
      <c r="O102" s="478"/>
      <c r="P102" s="407"/>
      <c r="R102" s="199"/>
      <c r="S102" s="210"/>
      <c r="T102" s="211"/>
      <c r="U102" s="136"/>
      <c r="V102" s="204"/>
    </row>
    <row r="103" spans="1:22">
      <c r="A103" s="40">
        <v>44634</v>
      </c>
      <c r="B103" s="44" t="s">
        <v>70</v>
      </c>
      <c r="C103" s="66"/>
      <c r="D103" s="38"/>
      <c r="E103" s="320">
        <v>17383.05</v>
      </c>
      <c r="F103" s="35"/>
      <c r="G103" s="29">
        <f t="shared" si="6"/>
        <v>964253.84</v>
      </c>
      <c r="H103" s="88"/>
      <c r="I103" s="89"/>
      <c r="J103" s="89"/>
      <c r="K103" s="89"/>
      <c r="L103" s="34"/>
      <c r="M103" s="90"/>
      <c r="N103" s="91">
        <f t="shared" si="7"/>
        <v>233184.3670314083</v>
      </c>
      <c r="O103" s="478"/>
      <c r="P103" s="407"/>
      <c r="R103" s="396">
        <v>44623</v>
      </c>
      <c r="S103" s="373" t="s">
        <v>181</v>
      </c>
      <c r="T103" s="397"/>
      <c r="U103" s="397">
        <v>37600</v>
      </c>
      <c r="V103" s="204"/>
    </row>
    <row r="104" spans="1:22">
      <c r="A104" s="40">
        <v>44635</v>
      </c>
      <c r="B104" s="94" t="s">
        <v>87</v>
      </c>
      <c r="C104" s="56">
        <f>1000000*2</f>
        <v>2000000</v>
      </c>
      <c r="D104" s="27"/>
      <c r="E104" s="27"/>
      <c r="F104" s="35"/>
      <c r="G104" s="29">
        <f t="shared" si="6"/>
        <v>2964253.84</v>
      </c>
      <c r="H104" s="88"/>
      <c r="I104" s="89"/>
      <c r="J104" s="89"/>
      <c r="K104" s="89"/>
      <c r="L104" s="34"/>
      <c r="M104" s="90">
        <f>2000000/196.4-0.3</f>
        <v>10182.999389002038</v>
      </c>
      <c r="N104" s="91">
        <f t="shared" si="7"/>
        <v>223001.36764240626</v>
      </c>
      <c r="O104" s="478"/>
      <c r="P104" s="407"/>
      <c r="R104" s="399">
        <v>44636</v>
      </c>
      <c r="S104" s="316" t="s">
        <v>185</v>
      </c>
      <c r="T104" s="400">
        <v>63820</v>
      </c>
      <c r="U104" s="213"/>
      <c r="V104" s="204" t="s">
        <v>194</v>
      </c>
    </row>
    <row r="105" spans="1:22">
      <c r="A105" s="40">
        <v>44635</v>
      </c>
      <c r="B105" s="15" t="s">
        <v>27</v>
      </c>
      <c r="C105" s="45"/>
      <c r="D105" s="27"/>
      <c r="E105" s="320">
        <f>84342.96*2+192258</f>
        <v>360943.92000000004</v>
      </c>
      <c r="F105" s="35"/>
      <c r="G105" s="29">
        <f t="shared" si="6"/>
        <v>2603309.92</v>
      </c>
      <c r="H105" s="54"/>
      <c r="I105" s="93"/>
      <c r="J105" s="32"/>
      <c r="K105" s="89"/>
      <c r="L105" s="34"/>
      <c r="M105" s="35"/>
      <c r="N105" s="91">
        <f t="shared" si="7"/>
        <v>223001.36764240626</v>
      </c>
      <c r="O105" s="478"/>
      <c r="P105" s="407"/>
      <c r="V105" s="204"/>
    </row>
    <row r="106" spans="1:22">
      <c r="A106" s="40">
        <v>44635</v>
      </c>
      <c r="B106" s="15" t="s">
        <v>88</v>
      </c>
      <c r="C106" s="58"/>
      <c r="D106" s="27"/>
      <c r="E106" s="320">
        <v>1211954.8700000001</v>
      </c>
      <c r="F106" s="35"/>
      <c r="G106" s="29">
        <f t="shared" si="6"/>
        <v>1391355.0499999998</v>
      </c>
      <c r="H106" s="88"/>
      <c r="I106" s="89"/>
      <c r="J106" s="32"/>
      <c r="K106" s="89"/>
      <c r="L106" s="34"/>
      <c r="M106" s="35"/>
      <c r="N106" s="91">
        <f t="shared" si="7"/>
        <v>223001.36764240626</v>
      </c>
      <c r="O106" s="478"/>
      <c r="P106" s="407"/>
      <c r="R106" s="401">
        <v>44624</v>
      </c>
      <c r="S106" s="379" t="s">
        <v>104</v>
      </c>
      <c r="T106" s="395"/>
      <c r="U106" s="402">
        <v>1002793.36</v>
      </c>
      <c r="V106" s="204"/>
    </row>
    <row r="107" spans="1:22">
      <c r="A107" s="40">
        <v>44636</v>
      </c>
      <c r="B107" s="15" t="s">
        <v>89</v>
      </c>
      <c r="C107" s="45"/>
      <c r="D107" s="27"/>
      <c r="E107" s="277">
        <f>576520*2+550960</f>
        <v>1704000</v>
      </c>
      <c r="F107" s="35"/>
      <c r="G107" s="29">
        <f t="shared" si="6"/>
        <v>-312644.95000000019</v>
      </c>
      <c r="H107" s="88"/>
      <c r="I107" s="89"/>
      <c r="J107" s="89"/>
      <c r="K107" s="89"/>
      <c r="L107" s="34"/>
      <c r="M107" s="90"/>
      <c r="N107" s="91">
        <f t="shared" si="7"/>
        <v>223001.36764240626</v>
      </c>
      <c r="O107" s="478"/>
      <c r="P107" s="407"/>
      <c r="R107" s="401">
        <v>44636</v>
      </c>
      <c r="S107" s="379" t="s">
        <v>103</v>
      </c>
      <c r="T107" s="395"/>
      <c r="U107" s="402">
        <v>1704000</v>
      </c>
      <c r="V107" s="204"/>
    </row>
    <row r="108" spans="1:22">
      <c r="A108" s="40">
        <v>44638</v>
      </c>
      <c r="B108" s="15" t="s">
        <v>90</v>
      </c>
      <c r="C108" s="45"/>
      <c r="D108" s="27"/>
      <c r="E108" s="277">
        <v>49499.95</v>
      </c>
      <c r="F108" s="35"/>
      <c r="G108" s="29">
        <f t="shared" si="6"/>
        <v>-362144.9000000002</v>
      </c>
      <c r="H108" s="54"/>
      <c r="I108" s="31"/>
      <c r="J108" s="89"/>
      <c r="K108" s="89"/>
      <c r="L108" s="34"/>
      <c r="M108" s="90"/>
      <c r="N108" s="91">
        <f t="shared" si="7"/>
        <v>223001.36764240626</v>
      </c>
      <c r="O108" s="478"/>
      <c r="P108" s="407"/>
      <c r="R108" s="312">
        <v>44640</v>
      </c>
      <c r="S108" s="317" t="s">
        <v>242</v>
      </c>
      <c r="T108" s="314"/>
      <c r="U108" s="315">
        <f>192258+84342.96+84342.96+5597.34+5597.34</f>
        <v>372138.60000000009</v>
      </c>
      <c r="V108" s="204"/>
    </row>
    <row r="109" spans="1:22">
      <c r="A109" s="40">
        <v>44638</v>
      </c>
      <c r="B109" s="94" t="s">
        <v>91</v>
      </c>
      <c r="C109" s="56">
        <v>600000</v>
      </c>
      <c r="D109" s="38"/>
      <c r="E109" s="63"/>
      <c r="F109" s="35"/>
      <c r="G109" s="29">
        <f t="shared" si="6"/>
        <v>237855.0999999998</v>
      </c>
      <c r="H109" s="54"/>
      <c r="I109" s="93"/>
      <c r="J109" s="32"/>
      <c r="K109" s="89"/>
      <c r="L109" s="34"/>
      <c r="M109" s="35">
        <f>600000/198.4-0.19</f>
        <v>3024.0035483870965</v>
      </c>
      <c r="N109" s="91">
        <f t="shared" si="7"/>
        <v>219977.36409401917</v>
      </c>
      <c r="O109" s="478"/>
      <c r="P109" s="407"/>
      <c r="R109" s="321">
        <v>44635</v>
      </c>
      <c r="S109" s="270" t="s">
        <v>132</v>
      </c>
      <c r="T109" s="405"/>
      <c r="U109" s="272">
        <f>150000+11954.87</f>
        <v>161954.87</v>
      </c>
      <c r="V109" s="204"/>
    </row>
    <row r="110" spans="1:22">
      <c r="A110" s="40">
        <v>44641</v>
      </c>
      <c r="B110" s="96" t="s">
        <v>92</v>
      </c>
      <c r="C110" s="56">
        <v>500000</v>
      </c>
      <c r="D110" s="27"/>
      <c r="E110" s="27"/>
      <c r="F110" s="35"/>
      <c r="G110" s="29">
        <f t="shared" si="6"/>
        <v>737855.09999999986</v>
      </c>
      <c r="H110" s="88"/>
      <c r="I110" s="89"/>
      <c r="J110" s="89"/>
      <c r="K110" s="89"/>
      <c r="L110" s="34"/>
      <c r="M110" s="90">
        <f>500000/198.4-0.16</f>
        <v>2520.0012903225806</v>
      </c>
      <c r="N110" s="91">
        <f t="shared" si="7"/>
        <v>217457.3628036966</v>
      </c>
      <c r="O110" s="478"/>
      <c r="P110" s="407"/>
      <c r="R110" s="312">
        <v>44634</v>
      </c>
      <c r="S110" s="317" t="s">
        <v>122</v>
      </c>
      <c r="T110" s="405"/>
      <c r="U110" s="315">
        <v>1200000</v>
      </c>
      <c r="V110" s="204"/>
    </row>
    <row r="111" spans="1:22">
      <c r="A111" s="40">
        <v>44641</v>
      </c>
      <c r="B111" s="44" t="s">
        <v>41</v>
      </c>
      <c r="C111" s="66"/>
      <c r="D111" s="38"/>
      <c r="E111" s="403">
        <v>38885.410000000003</v>
      </c>
      <c r="F111" s="35"/>
      <c r="G111" s="29">
        <f t="shared" si="6"/>
        <v>698969.68999999983</v>
      </c>
      <c r="H111" s="88"/>
      <c r="I111" s="89"/>
      <c r="J111" s="89"/>
      <c r="K111" s="89"/>
      <c r="L111" s="34"/>
      <c r="M111" s="90"/>
      <c r="N111" s="91">
        <f t="shared" si="7"/>
        <v>217457.3628036966</v>
      </c>
      <c r="O111" s="478"/>
      <c r="P111" s="407"/>
      <c r="S111" s="61" t="s">
        <v>43</v>
      </c>
    </row>
    <row r="112" spans="1:22">
      <c r="A112" s="40">
        <v>44642</v>
      </c>
      <c r="B112" s="96" t="s">
        <v>93</v>
      </c>
      <c r="C112" s="56">
        <f>400000*2</f>
        <v>800000</v>
      </c>
      <c r="D112" s="27"/>
      <c r="E112" s="27"/>
      <c r="F112" s="35"/>
      <c r="G112" s="29">
        <f t="shared" si="6"/>
        <v>1498969.69</v>
      </c>
      <c r="H112" s="88"/>
      <c r="I112" s="89"/>
      <c r="J112" s="89"/>
      <c r="K112" s="89"/>
      <c r="L112" s="34"/>
      <c r="M112" s="90">
        <f>800000/197.4+0.32</f>
        <v>4053.0049037487338</v>
      </c>
      <c r="N112" s="91">
        <f t="shared" si="7"/>
        <v>213404.35789994785</v>
      </c>
      <c r="O112" s="478"/>
      <c r="P112" s="407"/>
      <c r="S112" s="61" t="s">
        <v>44</v>
      </c>
    </row>
    <row r="113" spans="1:16">
      <c r="A113" s="40">
        <v>44642</v>
      </c>
      <c r="B113" s="44" t="s">
        <v>88</v>
      </c>
      <c r="C113" s="45"/>
      <c r="D113" s="27"/>
      <c r="E113" s="320">
        <v>760000</v>
      </c>
      <c r="F113" s="35"/>
      <c r="G113" s="29">
        <f t="shared" si="6"/>
        <v>738969.69</v>
      </c>
      <c r="H113" s="54"/>
      <c r="I113" s="93"/>
      <c r="J113" s="32"/>
      <c r="K113" s="89"/>
      <c r="L113" s="34"/>
      <c r="M113" s="35"/>
      <c r="N113" s="91">
        <f t="shared" si="7"/>
        <v>213404.35789994785</v>
      </c>
      <c r="O113" s="478"/>
      <c r="P113" s="407"/>
    </row>
    <row r="114" spans="1:16">
      <c r="A114" s="40">
        <v>44643</v>
      </c>
      <c r="B114" s="44" t="s">
        <v>70</v>
      </c>
      <c r="C114" s="66"/>
      <c r="D114" s="38"/>
      <c r="E114" s="320">
        <v>13731.33</v>
      </c>
      <c r="F114" s="35"/>
      <c r="G114" s="29">
        <f t="shared" si="6"/>
        <v>725238.36</v>
      </c>
      <c r="H114" s="54"/>
      <c r="I114" s="93"/>
      <c r="J114" s="32"/>
      <c r="K114" s="89"/>
      <c r="L114" s="34"/>
      <c r="M114" s="35"/>
      <c r="N114" s="91">
        <f t="shared" si="7"/>
        <v>213404.35789994785</v>
      </c>
      <c r="O114" s="478"/>
      <c r="P114" s="407"/>
    </row>
    <row r="115" spans="1:16">
      <c r="A115" s="40">
        <v>44645</v>
      </c>
      <c r="B115" s="44" t="s">
        <v>51</v>
      </c>
      <c r="C115" s="97"/>
      <c r="D115" s="98"/>
      <c r="E115" s="320">
        <v>200000</v>
      </c>
      <c r="F115" s="35"/>
      <c r="G115" s="29">
        <f t="shared" si="6"/>
        <v>525238.36</v>
      </c>
      <c r="H115" s="88"/>
      <c r="I115" s="89"/>
      <c r="J115" s="32"/>
      <c r="K115" s="89"/>
      <c r="L115" s="34"/>
      <c r="M115" s="35"/>
      <c r="N115" s="91">
        <f t="shared" si="7"/>
        <v>213404.35789994785</v>
      </c>
      <c r="O115" s="478"/>
      <c r="P115" s="407"/>
    </row>
    <row r="116" spans="1:16">
      <c r="A116" s="40">
        <v>44645</v>
      </c>
      <c r="B116" s="44" t="s">
        <v>42</v>
      </c>
      <c r="C116" s="59"/>
      <c r="D116" s="38"/>
      <c r="E116" s="320">
        <f>12350+2065*2</f>
        <v>16480</v>
      </c>
      <c r="F116" s="35"/>
      <c r="G116" s="29">
        <f t="shared" si="6"/>
        <v>508758.36</v>
      </c>
      <c r="H116" s="54"/>
      <c r="I116" s="60"/>
      <c r="J116" s="32"/>
      <c r="K116" s="89"/>
      <c r="L116" s="34"/>
      <c r="M116" s="35"/>
      <c r="N116" s="91">
        <f t="shared" si="7"/>
        <v>213404.35789994785</v>
      </c>
      <c r="O116" s="478"/>
      <c r="P116" s="407"/>
    </row>
    <row r="117" spans="1:16">
      <c r="A117" s="40">
        <v>44645</v>
      </c>
      <c r="B117" s="44" t="s">
        <v>26</v>
      </c>
      <c r="C117" s="45"/>
      <c r="D117" s="27"/>
      <c r="E117" s="320">
        <v>200000</v>
      </c>
      <c r="F117" s="62"/>
      <c r="G117" s="29">
        <f t="shared" si="6"/>
        <v>308758.36</v>
      </c>
      <c r="H117" s="54"/>
      <c r="I117" s="93"/>
      <c r="J117" s="32"/>
      <c r="K117" s="89"/>
      <c r="L117" s="89"/>
      <c r="M117" s="35"/>
      <c r="N117" s="91">
        <f t="shared" si="7"/>
        <v>213404.35789994785</v>
      </c>
      <c r="O117" s="478"/>
      <c r="P117" s="407"/>
    </row>
    <row r="118" spans="1:16">
      <c r="A118" s="40">
        <v>44646</v>
      </c>
      <c r="B118" s="61" t="s">
        <v>43</v>
      </c>
      <c r="C118" s="45"/>
      <c r="D118" s="27"/>
      <c r="E118" s="38"/>
      <c r="F118" s="62">
        <f>SUM(D84:D117)*5%</f>
        <v>47418.877999999997</v>
      </c>
      <c r="G118" s="29">
        <f t="shared" si="6"/>
        <v>261339.48199999999</v>
      </c>
      <c r="H118" s="54"/>
      <c r="I118" s="93"/>
      <c r="J118" s="32"/>
      <c r="K118" s="89"/>
      <c r="L118" s="89">
        <f>SUM(I84:I117)*5%</f>
        <v>1049.8500000000001</v>
      </c>
      <c r="M118" s="35"/>
      <c r="N118" s="91">
        <f t="shared" si="7"/>
        <v>212354.50789994784</v>
      </c>
      <c r="O118" s="478"/>
      <c r="P118" s="407"/>
    </row>
    <row r="119" spans="1:16">
      <c r="A119" s="40">
        <v>44646</v>
      </c>
      <c r="B119" s="61" t="s">
        <v>44</v>
      </c>
      <c r="C119" s="97"/>
      <c r="D119" s="98"/>
      <c r="E119" s="99"/>
      <c r="F119" s="62">
        <f>SUM(E84:E117)*5%</f>
        <v>293052.12200000003</v>
      </c>
      <c r="G119" s="29">
        <f t="shared" si="6"/>
        <v>-31712.640000000043</v>
      </c>
      <c r="H119" s="54"/>
      <c r="I119" s="93"/>
      <c r="J119" s="32"/>
      <c r="K119" s="89"/>
      <c r="L119" s="89">
        <f>SUM(K96:K117)*5%</f>
        <v>0</v>
      </c>
      <c r="M119" s="35"/>
      <c r="N119" s="91">
        <f t="shared" si="7"/>
        <v>212354.50789994784</v>
      </c>
      <c r="O119" s="478"/>
      <c r="P119" s="407"/>
    </row>
    <row r="120" spans="1:16">
      <c r="A120" s="100"/>
      <c r="B120" s="101" t="s">
        <v>62</v>
      </c>
      <c r="C120" s="97"/>
      <c r="D120" s="398">
        <v>53700</v>
      </c>
      <c r="E120" s="98"/>
      <c r="F120" s="102"/>
      <c r="G120" s="29">
        <f t="shared" si="6"/>
        <v>21987.359999999957</v>
      </c>
      <c r="H120" s="103"/>
      <c r="I120" s="104">
        <v>400</v>
      </c>
      <c r="J120" s="105"/>
      <c r="K120" s="105"/>
      <c r="L120" s="106"/>
      <c r="M120" s="107"/>
      <c r="N120" s="91">
        <f t="shared" si="7"/>
        <v>212754.50789994784</v>
      </c>
      <c r="O120" s="478"/>
      <c r="P120" s="407"/>
    </row>
    <row r="121" spans="1:16">
      <c r="A121" s="40"/>
      <c r="B121" s="61"/>
      <c r="C121" s="97"/>
      <c r="D121" s="98"/>
      <c r="E121" s="99"/>
      <c r="F121" s="108"/>
      <c r="G121" s="29">
        <f t="shared" si="6"/>
        <v>21987.359999999957</v>
      </c>
      <c r="H121" s="103"/>
      <c r="I121" s="109"/>
      <c r="J121" s="110"/>
      <c r="K121" s="105"/>
      <c r="L121" s="105"/>
      <c r="M121" s="102"/>
      <c r="N121" s="91">
        <f t="shared" si="7"/>
        <v>212754.50789994784</v>
      </c>
      <c r="O121" s="478"/>
      <c r="P121" s="407"/>
    </row>
    <row r="122" spans="1:16" ht="15.75" thickBot="1">
      <c r="A122" s="40"/>
      <c r="B122" s="44"/>
      <c r="C122" s="67"/>
      <c r="D122" s="68"/>
      <c r="E122" s="68"/>
      <c r="F122" s="69"/>
      <c r="G122" s="29">
        <f t="shared" si="6"/>
        <v>21987.359999999957</v>
      </c>
      <c r="H122" s="70"/>
      <c r="I122" s="111"/>
      <c r="J122" s="72"/>
      <c r="K122" s="112"/>
      <c r="L122" s="74"/>
      <c r="M122" s="69"/>
      <c r="N122" s="91">
        <f t="shared" si="7"/>
        <v>212754.50789994784</v>
      </c>
      <c r="O122" s="478"/>
      <c r="P122" s="407"/>
    </row>
    <row r="123" spans="1:16" ht="15.75" thickBot="1">
      <c r="A123" s="44"/>
      <c r="B123" s="75" t="s">
        <v>46</v>
      </c>
      <c r="C123" s="113">
        <f>SUM(C84:C122)</f>
        <v>5200000</v>
      </c>
      <c r="D123" s="114">
        <f>SUM(D84:D122)</f>
        <v>1002077.5599999999</v>
      </c>
      <c r="E123" s="114">
        <f>SUM(E84:E122)</f>
        <v>5861042.4400000004</v>
      </c>
      <c r="F123" s="114">
        <f>SUM(F84:F122)</f>
        <v>340471</v>
      </c>
      <c r="G123" s="115"/>
      <c r="H123" s="113">
        <f>SUM(H84:H122)</f>
        <v>0</v>
      </c>
      <c r="I123" s="114">
        <f>SUM(I84:I122)</f>
        <v>21397</v>
      </c>
      <c r="J123" s="114">
        <f t="shared" ref="J123:M123" si="8">SUM(J84:J122)</f>
        <v>0</v>
      </c>
      <c r="K123" s="114">
        <f t="shared" si="8"/>
        <v>0</v>
      </c>
      <c r="L123" s="114">
        <f t="shared" si="8"/>
        <v>1049.8500000000001</v>
      </c>
      <c r="M123" s="114">
        <f t="shared" si="8"/>
        <v>26366.012100052139</v>
      </c>
      <c r="N123" s="79"/>
      <c r="O123" s="377"/>
      <c r="P123" s="204"/>
    </row>
    <row r="124" spans="1:16">
      <c r="A124" s="44"/>
      <c r="B124" s="256"/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204"/>
      <c r="O124" s="377"/>
      <c r="P124" s="204"/>
    </row>
    <row r="125" spans="1:16">
      <c r="A125" s="40">
        <v>44636</v>
      </c>
      <c r="B125" s="34" t="s">
        <v>185</v>
      </c>
      <c r="C125" s="34">
        <v>63820</v>
      </c>
      <c r="D125" s="34"/>
      <c r="E125" s="34" t="s">
        <v>194</v>
      </c>
    </row>
    <row r="126" spans="1:16">
      <c r="A126" s="40">
        <v>44648</v>
      </c>
      <c r="B126" s="34" t="s">
        <v>134</v>
      </c>
      <c r="C126" s="34"/>
      <c r="D126" s="34">
        <v>1171276.6000000001</v>
      </c>
      <c r="E126" s="34"/>
    </row>
    <row r="127" spans="1:16">
      <c r="A127" s="40">
        <v>44650</v>
      </c>
      <c r="B127" s="34" t="s">
        <v>199</v>
      </c>
      <c r="C127" s="34">
        <v>159996.94</v>
      </c>
      <c r="D127" s="34"/>
      <c r="E127" s="34"/>
    </row>
    <row r="128" spans="1:16">
      <c r="A128" s="40">
        <v>44640</v>
      </c>
      <c r="B128" s="34" t="s">
        <v>242</v>
      </c>
      <c r="C128" s="34"/>
      <c r="D128" s="34">
        <f>192258+84342.96+84342.96+5597.34+5597.34</f>
        <v>372138.60000000009</v>
      </c>
      <c r="E128" s="34" t="s">
        <v>273</v>
      </c>
    </row>
    <row r="129" spans="1:21">
      <c r="A129" s="40">
        <v>44645</v>
      </c>
      <c r="B129" s="34" t="s">
        <v>51</v>
      </c>
      <c r="C129" s="34"/>
      <c r="D129" s="34"/>
      <c r="E129" s="34">
        <v>200000</v>
      </c>
    </row>
    <row r="130" spans="1:21">
      <c r="A130" s="40">
        <v>44645</v>
      </c>
      <c r="B130" s="34" t="s">
        <v>42</v>
      </c>
      <c r="C130" s="34"/>
      <c r="D130" s="34"/>
      <c r="E130" s="34">
        <f>12350+2065*2</f>
        <v>16480</v>
      </c>
    </row>
    <row r="131" spans="1:21">
      <c r="A131" s="40">
        <v>44645</v>
      </c>
      <c r="B131" s="34" t="s">
        <v>26</v>
      </c>
      <c r="C131" s="34"/>
      <c r="D131" s="34"/>
      <c r="E131" s="34">
        <v>200000</v>
      </c>
    </row>
    <row r="132" spans="1:21">
      <c r="A132" s="40">
        <v>44640</v>
      </c>
      <c r="B132" s="34" t="s">
        <v>242</v>
      </c>
      <c r="C132" s="34"/>
      <c r="D132" s="34">
        <f>192258+84342.96+84342.96+5597.34+5597.34</f>
        <v>372138.60000000009</v>
      </c>
      <c r="E132" s="34"/>
    </row>
    <row r="133" spans="1:21">
      <c r="A133" s="40">
        <v>44635</v>
      </c>
      <c r="B133" s="34" t="s">
        <v>132</v>
      </c>
      <c r="C133" s="34"/>
      <c r="D133" s="34">
        <f>150000+11954.87</f>
        <v>161954.87</v>
      </c>
      <c r="E133" s="34"/>
    </row>
    <row r="134" spans="1:21">
      <c r="A134" s="40">
        <v>44634</v>
      </c>
      <c r="B134" s="34" t="s">
        <v>122</v>
      </c>
      <c r="C134" s="34"/>
      <c r="D134" s="34">
        <v>1200000</v>
      </c>
      <c r="E134" s="34"/>
    </row>
    <row r="136" spans="1:21">
      <c r="A136" s="312"/>
      <c r="B136" s="480" t="s">
        <v>274</v>
      </c>
      <c r="C136" s="405"/>
      <c r="D136" s="315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P136" s="271"/>
      <c r="Q136" s="271"/>
    </row>
    <row r="137" spans="1:21">
      <c r="A137" s="312"/>
      <c r="B137" s="317" t="s">
        <v>275</v>
      </c>
      <c r="C137" s="405"/>
      <c r="D137" s="315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P137" s="271"/>
      <c r="Q137" s="271"/>
    </row>
    <row r="138" spans="1:21">
      <c r="A138" s="312"/>
      <c r="B138" s="317"/>
      <c r="C138" s="405"/>
      <c r="D138" s="315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P138" s="271"/>
      <c r="Q138" s="271"/>
    </row>
    <row r="139" spans="1:21">
      <c r="A139" s="312"/>
      <c r="B139" s="317"/>
      <c r="C139" s="405"/>
      <c r="D139" s="315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P139" s="271"/>
      <c r="Q139" s="271"/>
    </row>
    <row r="141" spans="1:21" ht="15.75" thickBot="1"/>
    <row r="142" spans="1:21" ht="15.75" thickBot="1">
      <c r="A142" s="394" t="s">
        <v>247</v>
      </c>
      <c r="C142" s="907" t="s">
        <v>3</v>
      </c>
      <c r="D142" s="908"/>
      <c r="E142" s="907" t="s">
        <v>4</v>
      </c>
      <c r="F142" s="908"/>
      <c r="G142" s="5"/>
      <c r="H142" s="909" t="s">
        <v>5</v>
      </c>
      <c r="I142" s="910"/>
      <c r="J142" s="909" t="s">
        <v>6</v>
      </c>
      <c r="K142" s="911"/>
      <c r="L142" s="911"/>
      <c r="M142" s="910"/>
      <c r="N142" s="6"/>
      <c r="O142" s="475"/>
      <c r="P142" s="6"/>
    </row>
    <row r="143" spans="1:21" ht="15.75" thickBot="1">
      <c r="A143" s="7" t="s">
        <v>7</v>
      </c>
      <c r="B143" s="8" t="s">
        <v>8</v>
      </c>
      <c r="C143" s="9" t="s">
        <v>9</v>
      </c>
      <c r="D143" s="9" t="s">
        <v>10</v>
      </c>
      <c r="E143" s="10" t="s">
        <v>68</v>
      </c>
      <c r="F143" s="10" t="s">
        <v>69</v>
      </c>
      <c r="G143" s="11" t="s">
        <v>13</v>
      </c>
      <c r="H143" s="12" t="s">
        <v>14</v>
      </c>
      <c r="I143" s="12" t="s">
        <v>10</v>
      </c>
      <c r="J143" s="12" t="s">
        <v>15</v>
      </c>
      <c r="K143" s="12" t="s">
        <v>11</v>
      </c>
      <c r="L143" s="12" t="s">
        <v>16</v>
      </c>
      <c r="M143" s="12" t="s">
        <v>17</v>
      </c>
      <c r="N143" s="13" t="s">
        <v>18</v>
      </c>
      <c r="O143" s="476"/>
      <c r="P143" s="430"/>
      <c r="R143" s="120">
        <v>44656</v>
      </c>
      <c r="S143" s="149" t="s">
        <v>138</v>
      </c>
      <c r="T143" s="147"/>
      <c r="U143" s="124">
        <v>12878.48</v>
      </c>
    </row>
    <row r="144" spans="1:21">
      <c r="A144" s="14">
        <f>A119</f>
        <v>44646</v>
      </c>
      <c r="B144" s="15" t="s">
        <v>19</v>
      </c>
      <c r="C144" s="390"/>
      <c r="D144" s="390"/>
      <c r="E144" s="390"/>
      <c r="F144" s="89"/>
      <c r="G144" s="86">
        <f>G122</f>
        <v>21987.359999999957</v>
      </c>
      <c r="H144" s="16"/>
      <c r="I144" s="440"/>
      <c r="J144" s="444"/>
      <c r="K144" s="444"/>
      <c r="L144" s="444"/>
      <c r="M144" s="444"/>
      <c r="N144" s="23">
        <f>N122</f>
        <v>212754.50789994784</v>
      </c>
      <c r="O144" s="477"/>
      <c r="P144" s="431"/>
      <c r="R144" s="199">
        <v>44652</v>
      </c>
      <c r="S144" s="256" t="s">
        <v>243</v>
      </c>
      <c r="T144" s="124">
        <f>297000+297000</f>
        <v>594000</v>
      </c>
      <c r="U144" s="124"/>
    </row>
    <row r="145" spans="1:21">
      <c r="A145" s="120">
        <v>44652</v>
      </c>
      <c r="B145" s="44" t="s">
        <v>297</v>
      </c>
      <c r="C145" s="56">
        <f>M145*196</f>
        <v>607600</v>
      </c>
      <c r="D145" s="65"/>
      <c r="E145" s="65"/>
      <c r="F145" s="65"/>
      <c r="G145" s="29">
        <f t="shared" ref="G145:G152" si="9">+G144+C145+D145-E145-F145</f>
        <v>629587.36</v>
      </c>
      <c r="H145" s="54"/>
      <c r="I145" s="441"/>
      <c r="J145" s="444"/>
      <c r="K145" s="444"/>
      <c r="L145" s="444"/>
      <c r="M145" s="444">
        <v>3100</v>
      </c>
      <c r="N145" s="91">
        <f t="shared" ref="N145:N182" si="10">+N144+H145+I145-J145-K145-L145-M145</f>
        <v>209654.50789994784</v>
      </c>
      <c r="O145" s="478"/>
      <c r="P145" s="407"/>
      <c r="R145" s="199">
        <v>44652</v>
      </c>
      <c r="S145" s="210" t="s">
        <v>136</v>
      </c>
      <c r="T145" s="124"/>
      <c r="U145" s="124">
        <f>97470+17400+594000</f>
        <v>708870</v>
      </c>
    </row>
    <row r="146" spans="1:21">
      <c r="A146" s="120">
        <v>44652</v>
      </c>
      <c r="B146" s="149" t="s">
        <v>132</v>
      </c>
      <c r="C146" s="65"/>
      <c r="D146" s="65"/>
      <c r="E146" s="65">
        <f>150000+144000+150000</f>
        <v>444000</v>
      </c>
      <c r="F146" s="32"/>
      <c r="G146" s="29">
        <f t="shared" si="9"/>
        <v>185587.36</v>
      </c>
      <c r="H146" s="88"/>
      <c r="I146" s="442"/>
      <c r="J146" s="444"/>
      <c r="K146" s="444"/>
      <c r="L146" s="444"/>
      <c r="M146" s="444"/>
      <c r="N146" s="91">
        <f t="shared" si="10"/>
        <v>209654.50789994784</v>
      </c>
      <c r="O146" s="478"/>
      <c r="P146" s="407"/>
      <c r="R146" s="120">
        <v>44652</v>
      </c>
      <c r="S146" s="256" t="s">
        <v>244</v>
      </c>
      <c r="T146" s="124">
        <f>297000+297000</f>
        <v>594000</v>
      </c>
      <c r="U146" s="211"/>
    </row>
    <row r="147" spans="1:21">
      <c r="A147" s="120">
        <v>44652</v>
      </c>
      <c r="B147" s="149" t="s">
        <v>136</v>
      </c>
      <c r="C147" s="65"/>
      <c r="D147" s="65"/>
      <c r="E147" s="65">
        <f>97470+17400</f>
        <v>114870</v>
      </c>
      <c r="F147" s="65"/>
      <c r="G147" s="29">
        <f t="shared" si="9"/>
        <v>70717.359999999986</v>
      </c>
      <c r="H147" s="30"/>
      <c r="I147" s="443"/>
      <c r="J147" s="444"/>
      <c r="K147" s="444"/>
      <c r="L147" s="444"/>
      <c r="M147" s="444"/>
      <c r="N147" s="91">
        <f t="shared" si="10"/>
        <v>209654.50789994784</v>
      </c>
      <c r="O147" s="478"/>
      <c r="P147" s="407"/>
      <c r="R147" s="120">
        <v>44652</v>
      </c>
      <c r="S147" s="149" t="s">
        <v>137</v>
      </c>
      <c r="T147" s="124"/>
      <c r="U147" s="124">
        <f>58235.65+6271.13+594000</f>
        <v>658506.78</v>
      </c>
    </row>
    <row r="148" spans="1:21">
      <c r="A148" s="120">
        <v>44652</v>
      </c>
      <c r="B148" s="149" t="s">
        <v>137</v>
      </c>
      <c r="C148" s="65"/>
      <c r="D148" s="65"/>
      <c r="E148" s="65">
        <f>58235.65+6271.13</f>
        <v>64506.78</v>
      </c>
      <c r="F148" s="65"/>
      <c r="G148" s="29">
        <f t="shared" si="9"/>
        <v>6210.5799999999872</v>
      </c>
      <c r="H148" s="30"/>
      <c r="I148" s="443"/>
      <c r="J148" s="444"/>
      <c r="K148" s="444"/>
      <c r="L148" s="444"/>
      <c r="M148" s="444"/>
      <c r="N148" s="91">
        <f t="shared" si="10"/>
        <v>209654.50789994784</v>
      </c>
      <c r="O148" s="478"/>
      <c r="P148" s="407"/>
      <c r="R148" s="199">
        <v>44658</v>
      </c>
      <c r="S148" s="210" t="s">
        <v>139</v>
      </c>
      <c r="T148" s="211">
        <v>247674.26</v>
      </c>
      <c r="U148" s="136"/>
    </row>
    <row r="149" spans="1:21">
      <c r="A149" s="120">
        <v>44655</v>
      </c>
      <c r="B149" s="44" t="s">
        <v>298</v>
      </c>
      <c r="C149" s="56">
        <f>M149*195</f>
        <v>58500</v>
      </c>
      <c r="D149" s="65"/>
      <c r="E149" s="65"/>
      <c r="F149" s="65"/>
      <c r="G149" s="29">
        <f t="shared" si="9"/>
        <v>64710.579999999987</v>
      </c>
      <c r="H149" s="46"/>
      <c r="I149" s="443"/>
      <c r="J149" s="444"/>
      <c r="K149" s="444"/>
      <c r="L149" s="444"/>
      <c r="M149" s="444">
        <v>300</v>
      </c>
      <c r="N149" s="91">
        <f t="shared" si="10"/>
        <v>209354.50789994784</v>
      </c>
      <c r="O149" s="478"/>
      <c r="P149" s="407"/>
      <c r="R149" s="199">
        <v>44662</v>
      </c>
      <c r="S149" s="210" t="s">
        <v>140</v>
      </c>
      <c r="T149" s="211">
        <v>146200</v>
      </c>
      <c r="U149" s="136"/>
    </row>
    <row r="150" spans="1:21">
      <c r="A150" s="120">
        <v>44655</v>
      </c>
      <c r="B150" s="149" t="s">
        <v>181</v>
      </c>
      <c r="C150" s="406"/>
      <c r="D150" s="65"/>
      <c r="E150" s="65">
        <v>37600</v>
      </c>
      <c r="F150" s="65"/>
      <c r="G150" s="29">
        <f t="shared" si="9"/>
        <v>27110.579999999987</v>
      </c>
      <c r="H150" s="54"/>
      <c r="I150" s="441"/>
      <c r="J150" s="444"/>
      <c r="K150" s="444"/>
      <c r="L150" s="444"/>
      <c r="M150" s="444"/>
      <c r="N150" s="91">
        <f t="shared" si="10"/>
        <v>209354.50789994784</v>
      </c>
      <c r="O150" s="478"/>
      <c r="P150" s="407"/>
    </row>
    <row r="151" spans="1:21">
      <c r="A151" s="120">
        <v>44656</v>
      </c>
      <c r="B151" s="149" t="s">
        <v>138</v>
      </c>
      <c r="C151" s="230"/>
      <c r="D151" s="65"/>
      <c r="E151" s="65">
        <v>12878.48</v>
      </c>
      <c r="F151" s="65"/>
      <c r="G151" s="29">
        <f t="shared" si="9"/>
        <v>14232.099999999988</v>
      </c>
      <c r="H151" s="54"/>
      <c r="I151" s="443"/>
      <c r="J151" s="444"/>
      <c r="K151" s="444"/>
      <c r="L151" s="444"/>
      <c r="M151" s="444"/>
      <c r="N151" s="91">
        <f t="shared" si="10"/>
        <v>209354.50789994784</v>
      </c>
      <c r="O151" s="478"/>
      <c r="P151" s="407"/>
    </row>
    <row r="152" spans="1:21">
      <c r="A152" s="120">
        <v>44658</v>
      </c>
      <c r="B152" s="149" t="s">
        <v>303</v>
      </c>
      <c r="C152" s="65"/>
      <c r="D152" s="65">
        <v>247674.26</v>
      </c>
      <c r="E152" s="65"/>
      <c r="F152" s="65"/>
      <c r="G152" s="29">
        <f t="shared" si="9"/>
        <v>261906.36</v>
      </c>
      <c r="H152" s="88"/>
      <c r="I152" s="442"/>
      <c r="J152" s="444"/>
      <c r="K152" s="444"/>
      <c r="L152" s="444"/>
      <c r="M152" s="444"/>
      <c r="N152" s="91">
        <f t="shared" si="10"/>
        <v>209354.50789994784</v>
      </c>
      <c r="O152" s="478"/>
      <c r="P152" s="407"/>
    </row>
    <row r="153" spans="1:21">
      <c r="A153" s="24">
        <v>44661</v>
      </c>
      <c r="B153" s="25" t="s">
        <v>265</v>
      </c>
      <c r="C153" s="410"/>
      <c r="D153" s="27"/>
      <c r="E153" s="27"/>
      <c r="F153" s="28"/>
      <c r="G153" s="29">
        <f t="shared" ref="G153:G159" si="11">+G152+C153+D153-E153-F153</f>
        <v>261906.36</v>
      </c>
      <c r="H153" s="30"/>
      <c r="I153" s="445">
        <v>966</v>
      </c>
      <c r="J153" s="444"/>
      <c r="K153" s="444"/>
      <c r="L153" s="444"/>
      <c r="M153" s="444"/>
      <c r="N153" s="91">
        <f t="shared" si="10"/>
        <v>210320.50789994784</v>
      </c>
      <c r="O153" s="478"/>
      <c r="P153" s="407"/>
      <c r="R153" s="120">
        <v>44638</v>
      </c>
      <c r="S153" s="337" t="s">
        <v>132</v>
      </c>
      <c r="T153" s="211"/>
      <c r="U153" s="211">
        <f>150000+144000+150000</f>
        <v>444000</v>
      </c>
    </row>
    <row r="154" spans="1:21">
      <c r="A154" s="24">
        <v>44661</v>
      </c>
      <c r="B154" s="25" t="s">
        <v>266</v>
      </c>
      <c r="C154" s="410"/>
      <c r="D154" s="38"/>
      <c r="E154" s="38"/>
      <c r="F154" s="39"/>
      <c r="G154" s="29">
        <f t="shared" si="11"/>
        <v>261906.36</v>
      </c>
      <c r="H154" s="30"/>
      <c r="I154" s="445">
        <v>966</v>
      </c>
      <c r="J154" s="444"/>
      <c r="K154" s="444"/>
      <c r="L154" s="444"/>
      <c r="M154" s="444"/>
      <c r="N154" s="91">
        <f t="shared" si="10"/>
        <v>211286.50789994784</v>
      </c>
      <c r="O154" s="478"/>
      <c r="P154" s="407"/>
      <c r="R154" s="120">
        <v>44662</v>
      </c>
      <c r="S154" s="256" t="s">
        <v>251</v>
      </c>
      <c r="T154" s="147"/>
      <c r="U154" s="211">
        <v>1002793.36</v>
      </c>
    </row>
    <row r="155" spans="1:21">
      <c r="A155" s="24">
        <v>44661</v>
      </c>
      <c r="B155" s="25" t="s">
        <v>277</v>
      </c>
      <c r="C155" s="410"/>
      <c r="D155" s="27"/>
      <c r="E155" s="27"/>
      <c r="F155" s="35"/>
      <c r="G155" s="29">
        <f t="shared" si="11"/>
        <v>261906.36</v>
      </c>
      <c r="H155" s="54"/>
      <c r="I155" s="445">
        <f>44550/9</f>
        <v>4950</v>
      </c>
      <c r="J155" s="444"/>
      <c r="K155" s="444"/>
      <c r="L155" s="444"/>
      <c r="M155" s="444"/>
      <c r="N155" s="91">
        <f t="shared" si="10"/>
        <v>216236.50789994784</v>
      </c>
      <c r="O155" s="478"/>
      <c r="P155" s="407"/>
      <c r="R155" s="120">
        <v>44664</v>
      </c>
      <c r="S155" s="256" t="s">
        <v>245</v>
      </c>
      <c r="T155" s="211"/>
      <c r="U155" s="211">
        <f>150000+150000+150000+150000+144000+150000+205687.61</f>
        <v>1099687.6099999999</v>
      </c>
    </row>
    <row r="156" spans="1:21">
      <c r="A156" s="24">
        <v>44661</v>
      </c>
      <c r="B156" s="25" t="s">
        <v>278</v>
      </c>
      <c r="C156" s="410"/>
      <c r="D156" s="27"/>
      <c r="E156" s="27"/>
      <c r="F156" s="35"/>
      <c r="G156" s="29">
        <f t="shared" si="11"/>
        <v>261906.36</v>
      </c>
      <c r="H156" s="54"/>
      <c r="I156" s="445">
        <f>44550/9</f>
        <v>4950</v>
      </c>
      <c r="J156" s="444"/>
      <c r="K156" s="444"/>
      <c r="L156" s="444"/>
      <c r="M156" s="444"/>
      <c r="N156" s="91">
        <f t="shared" si="10"/>
        <v>221186.50789994784</v>
      </c>
      <c r="O156" s="478"/>
      <c r="P156" s="407"/>
      <c r="R156" s="120">
        <v>44678</v>
      </c>
      <c r="S156" s="123" t="s">
        <v>145</v>
      </c>
      <c r="T156" s="121"/>
      <c r="U156" s="124">
        <v>20126.21</v>
      </c>
    </row>
    <row r="157" spans="1:21" ht="15.75" thickBot="1">
      <c r="A157" s="433">
        <v>44661</v>
      </c>
      <c r="B157" s="434" t="s">
        <v>261</v>
      </c>
      <c r="C157" s="435"/>
      <c r="D157" s="92"/>
      <c r="E157" s="92"/>
      <c r="F157" s="436"/>
      <c r="G157" s="437">
        <f t="shared" si="11"/>
        <v>261906.36</v>
      </c>
      <c r="H157" s="438"/>
      <c r="I157" s="446">
        <v>9165</v>
      </c>
      <c r="J157" s="444"/>
      <c r="K157" s="444"/>
      <c r="L157" s="444"/>
      <c r="M157" s="444"/>
      <c r="N157" s="91">
        <f t="shared" si="10"/>
        <v>230351.50789994784</v>
      </c>
      <c r="O157" s="478"/>
      <c r="P157" s="407"/>
      <c r="R157" s="120"/>
      <c r="S157" s="256"/>
      <c r="T157" s="211"/>
      <c r="U157" s="211"/>
    </row>
    <row r="158" spans="1:21" ht="15.75" thickBot="1">
      <c r="A158" s="24">
        <v>44661</v>
      </c>
      <c r="B158" s="25" t="s">
        <v>287</v>
      </c>
      <c r="C158" s="410"/>
      <c r="D158" s="27"/>
      <c r="E158" s="27"/>
      <c r="F158" s="35"/>
      <c r="G158" s="29">
        <f t="shared" si="11"/>
        <v>261906.36</v>
      </c>
      <c r="H158" s="88"/>
      <c r="I158" s="445">
        <f>8500+8500</f>
        <v>17000</v>
      </c>
      <c r="J158" s="444"/>
      <c r="K158" s="444"/>
      <c r="L158" s="444"/>
      <c r="M158" s="444"/>
      <c r="N158" s="91">
        <f t="shared" si="10"/>
        <v>247351.50789994784</v>
      </c>
      <c r="O158" s="478"/>
      <c r="P158" s="423">
        <v>44680</v>
      </c>
      <c r="Q158" s="424">
        <v>196.5</v>
      </c>
      <c r="R158" s="120">
        <v>44671</v>
      </c>
      <c r="S158" s="123" t="s">
        <v>141</v>
      </c>
      <c r="T158" s="134"/>
      <c r="U158" s="124">
        <v>192258</v>
      </c>
    </row>
    <row r="159" spans="1:21" ht="15.75" thickBot="1">
      <c r="A159" s="24">
        <v>44661</v>
      </c>
      <c r="B159" s="25" t="s">
        <v>288</v>
      </c>
      <c r="C159" s="410"/>
      <c r="D159" s="38"/>
      <c r="E159" s="27"/>
      <c r="F159" s="35"/>
      <c r="G159" s="29">
        <f t="shared" si="11"/>
        <v>261906.36</v>
      </c>
      <c r="H159" s="88"/>
      <c r="I159" s="445">
        <f>8500+8500</f>
        <v>17000</v>
      </c>
      <c r="J159" s="444"/>
      <c r="K159" s="444"/>
      <c r="L159" s="444"/>
      <c r="M159" s="444"/>
      <c r="N159" s="91">
        <f t="shared" si="10"/>
        <v>264351.50789994781</v>
      </c>
      <c r="O159" s="478"/>
      <c r="P159" s="421">
        <v>44679</v>
      </c>
      <c r="Q159" s="422">
        <v>200</v>
      </c>
      <c r="R159" s="120">
        <v>44676</v>
      </c>
      <c r="S159" s="123" t="s">
        <v>142</v>
      </c>
      <c r="T159" s="134"/>
      <c r="U159" s="124">
        <v>174504.22</v>
      </c>
    </row>
    <row r="160" spans="1:21" ht="15.75" thickBot="1">
      <c r="A160" s="120">
        <v>44662</v>
      </c>
      <c r="B160" s="149" t="s">
        <v>299</v>
      </c>
      <c r="C160" s="65"/>
      <c r="D160" s="65">
        <v>146200</v>
      </c>
      <c r="E160" s="65"/>
      <c r="F160" s="65"/>
      <c r="G160" s="29">
        <f t="shared" ref="G160:G162" si="12">+G159+C160+D160-E160-F160</f>
        <v>408106.36</v>
      </c>
      <c r="H160" s="88"/>
      <c r="I160" s="445"/>
      <c r="J160" s="444"/>
      <c r="K160" s="444"/>
      <c r="L160" s="444"/>
      <c r="M160" s="444"/>
      <c r="N160" s="91">
        <f t="shared" si="10"/>
        <v>264351.50789994781</v>
      </c>
      <c r="O160" s="478"/>
      <c r="P160" s="423">
        <v>44678</v>
      </c>
      <c r="Q160" s="424">
        <v>202.5</v>
      </c>
      <c r="R160" s="120">
        <v>44677</v>
      </c>
      <c r="S160" s="15" t="s">
        <v>143</v>
      </c>
      <c r="T160" s="124">
        <v>380000</v>
      </c>
      <c r="U160" s="124"/>
    </row>
    <row r="161" spans="1:22" ht="15.75" thickBot="1">
      <c r="A161" s="120">
        <v>44662</v>
      </c>
      <c r="B161" s="44" t="s">
        <v>300</v>
      </c>
      <c r="C161" s="56">
        <f>M161*191</f>
        <v>611200</v>
      </c>
      <c r="D161" s="65"/>
      <c r="E161" s="65"/>
      <c r="F161" s="65"/>
      <c r="G161" s="29">
        <f t="shared" si="12"/>
        <v>1019306.36</v>
      </c>
      <c r="H161" s="88"/>
      <c r="I161" s="239"/>
      <c r="J161" s="444"/>
      <c r="K161" s="444"/>
      <c r="L161" s="444"/>
      <c r="M161" s="444">
        <v>3200</v>
      </c>
      <c r="N161" s="91">
        <f t="shared" si="10"/>
        <v>261151.50789994781</v>
      </c>
      <c r="O161" s="478"/>
      <c r="P161" s="421">
        <v>44677</v>
      </c>
      <c r="Q161" s="422">
        <v>208.5</v>
      </c>
      <c r="R161" s="120">
        <v>44738</v>
      </c>
      <c r="S161" s="15" t="s">
        <v>147</v>
      </c>
      <c r="T161" s="158">
        <v>380000</v>
      </c>
      <c r="U161" s="158">
        <v>380000</v>
      </c>
    </row>
    <row r="162" spans="1:22" ht="15.75" thickBot="1">
      <c r="A162" s="120">
        <v>44662</v>
      </c>
      <c r="B162" s="149" t="s">
        <v>251</v>
      </c>
      <c r="C162" s="230"/>
      <c r="D162" s="65"/>
      <c r="E162" s="65">
        <v>1002793.36</v>
      </c>
      <c r="F162" s="65"/>
      <c r="G162" s="29">
        <f t="shared" si="12"/>
        <v>16513</v>
      </c>
      <c r="H162" s="54"/>
      <c r="I162" s="441"/>
      <c r="J162" s="444"/>
      <c r="K162" s="444"/>
      <c r="L162" s="444"/>
      <c r="M162" s="444"/>
      <c r="N162" s="91">
        <f t="shared" si="10"/>
        <v>261151.50789994781</v>
      </c>
      <c r="O162" s="478"/>
      <c r="P162" s="423">
        <v>44676</v>
      </c>
      <c r="Q162" s="424">
        <v>201.5</v>
      </c>
      <c r="R162" s="120">
        <v>44768</v>
      </c>
      <c r="S162" s="15" t="s">
        <v>147</v>
      </c>
      <c r="T162" s="158">
        <v>380000</v>
      </c>
      <c r="U162" s="158">
        <v>380000</v>
      </c>
    </row>
    <row r="163" spans="1:22" ht="15.75" thickBot="1">
      <c r="A163" s="120">
        <v>44664</v>
      </c>
      <c r="B163" s="44" t="s">
        <v>301</v>
      </c>
      <c r="C163" s="56">
        <f>M163*191</f>
        <v>1107800</v>
      </c>
      <c r="D163" s="65"/>
      <c r="E163" s="65"/>
      <c r="F163" s="65"/>
      <c r="G163" s="29">
        <f t="shared" ref="G163:G166" si="13">+G162+C163+D163-E163-F163</f>
        <v>1124313</v>
      </c>
      <c r="H163" s="88"/>
      <c r="I163" s="443"/>
      <c r="J163" s="444"/>
      <c r="K163" s="444"/>
      <c r="L163" s="444"/>
      <c r="M163" s="444">
        <v>5800</v>
      </c>
      <c r="N163" s="91">
        <f t="shared" si="10"/>
        <v>255351.50789994781</v>
      </c>
      <c r="O163" s="478"/>
      <c r="P163" s="421">
        <v>44673</v>
      </c>
      <c r="Q163" s="422">
        <v>199</v>
      </c>
      <c r="R163" s="120">
        <v>44799</v>
      </c>
      <c r="S163" s="15" t="s">
        <v>147</v>
      </c>
      <c r="T163" s="158">
        <v>380000</v>
      </c>
      <c r="U163" s="158">
        <v>380000</v>
      </c>
    </row>
    <row r="164" spans="1:22" ht="15.75" thickBot="1">
      <c r="A164" s="120">
        <v>44664</v>
      </c>
      <c r="B164" s="149" t="s">
        <v>245</v>
      </c>
      <c r="C164" s="65"/>
      <c r="D164" s="65"/>
      <c r="E164" s="65">
        <f>150000+150000+150000+150000+144000+150000+205687.61</f>
        <v>1099687.6099999999</v>
      </c>
      <c r="F164" s="65"/>
      <c r="G164" s="29">
        <f t="shared" si="13"/>
        <v>24625.39000000013</v>
      </c>
      <c r="H164" s="88"/>
      <c r="I164" s="442"/>
      <c r="J164" s="444"/>
      <c r="K164" s="444"/>
      <c r="L164" s="444"/>
      <c r="M164" s="444"/>
      <c r="N164" s="91">
        <f t="shared" si="10"/>
        <v>255351.50789994781</v>
      </c>
      <c r="O164" s="478"/>
      <c r="P164" s="423">
        <v>44672</v>
      </c>
      <c r="Q164" s="424">
        <v>198</v>
      </c>
      <c r="R164" s="120">
        <v>44830</v>
      </c>
      <c r="S164" s="15" t="s">
        <v>147</v>
      </c>
      <c r="T164" s="158">
        <v>380000</v>
      </c>
      <c r="U164" s="158">
        <v>380000</v>
      </c>
    </row>
    <row r="165" spans="1:22" ht="15.75" thickBot="1">
      <c r="A165" s="120">
        <v>44669</v>
      </c>
      <c r="B165" s="149" t="s">
        <v>185</v>
      </c>
      <c r="C165" s="406"/>
      <c r="D165" s="65">
        <v>74500</v>
      </c>
      <c r="E165" s="65"/>
      <c r="F165" s="65"/>
      <c r="G165" s="29">
        <f t="shared" ref="G165" si="14">+G164+C165+D165-E165-F165</f>
        <v>99125.39000000013</v>
      </c>
      <c r="H165" s="88"/>
      <c r="I165" s="445">
        <v>400</v>
      </c>
      <c r="J165" s="444"/>
      <c r="K165" s="444"/>
      <c r="L165" s="444"/>
      <c r="M165" s="444"/>
      <c r="N165" s="91">
        <f t="shared" si="10"/>
        <v>255751.50789994781</v>
      </c>
      <c r="O165" s="478"/>
      <c r="P165" s="421">
        <v>44671</v>
      </c>
      <c r="Q165" s="422">
        <v>195.5</v>
      </c>
      <c r="R165" s="120"/>
      <c r="S165" s="217" t="s">
        <v>41</v>
      </c>
      <c r="T165" s="147"/>
      <c r="U165" s="136">
        <f>19733+3655+3338.3</f>
        <v>26726.3</v>
      </c>
    </row>
    <row r="166" spans="1:22" ht="15.75" thickBot="1">
      <c r="A166" s="120">
        <v>44671</v>
      </c>
      <c r="B166" s="44" t="s">
        <v>302</v>
      </c>
      <c r="C166" s="56">
        <f>M166*195.5</f>
        <v>293250</v>
      </c>
      <c r="D166" s="65"/>
      <c r="E166" s="65"/>
      <c r="F166" s="65"/>
      <c r="G166" s="29">
        <f t="shared" si="13"/>
        <v>392375.39000000013</v>
      </c>
      <c r="H166" s="88"/>
      <c r="I166" s="239"/>
      <c r="J166" s="444"/>
      <c r="K166" s="444"/>
      <c r="L166" s="444"/>
      <c r="M166" s="444">
        <v>1500</v>
      </c>
      <c r="N166" s="91">
        <f t="shared" si="10"/>
        <v>254251.50789994781</v>
      </c>
      <c r="O166" s="478"/>
      <c r="P166" s="423">
        <v>44670</v>
      </c>
      <c r="Q166" s="424">
        <v>194</v>
      </c>
      <c r="R166" s="120">
        <v>44655</v>
      </c>
      <c r="S166" s="180" t="s">
        <v>181</v>
      </c>
      <c r="T166" s="212"/>
      <c r="U166" s="212">
        <v>37600</v>
      </c>
    </row>
    <row r="167" spans="1:22" ht="15.75" thickBot="1">
      <c r="A167" s="120">
        <v>44671</v>
      </c>
      <c r="B167" s="149" t="s">
        <v>141</v>
      </c>
      <c r="C167" s="408"/>
      <c r="D167" s="65"/>
      <c r="E167" s="65">
        <v>192258</v>
      </c>
      <c r="F167" s="65"/>
      <c r="G167" s="29">
        <f t="shared" ref="G167:G174" si="15">+G166+C167+D167-E167-F167</f>
        <v>200117.39000000013</v>
      </c>
      <c r="H167" s="54"/>
      <c r="I167" s="441"/>
      <c r="J167" s="444"/>
      <c r="K167" s="444"/>
      <c r="L167" s="444"/>
      <c r="M167" s="444"/>
      <c r="N167" s="91">
        <f t="shared" si="10"/>
        <v>254251.50789994781</v>
      </c>
      <c r="O167" s="478"/>
      <c r="P167" s="421">
        <v>44669</v>
      </c>
      <c r="Q167" s="422">
        <v>191</v>
      </c>
      <c r="R167" s="120">
        <v>44669</v>
      </c>
      <c r="S167" s="180" t="s">
        <v>185</v>
      </c>
      <c r="T167" s="212">
        <v>74500</v>
      </c>
      <c r="U167" s="213"/>
      <c r="V167" t="s">
        <v>252</v>
      </c>
    </row>
    <row r="168" spans="1:22" ht="15.75" thickBot="1">
      <c r="A168" s="120">
        <v>44676</v>
      </c>
      <c r="B168" s="149" t="s">
        <v>142</v>
      </c>
      <c r="C168" s="408"/>
      <c r="D168" s="65"/>
      <c r="E168" s="65">
        <v>174504.22</v>
      </c>
      <c r="F168" s="65"/>
      <c r="G168" s="29">
        <f t="shared" si="15"/>
        <v>25613.170000000129</v>
      </c>
      <c r="H168" s="88"/>
      <c r="I168" s="442"/>
      <c r="J168" s="444"/>
      <c r="K168" s="444"/>
      <c r="L168" s="444"/>
      <c r="M168" s="444"/>
      <c r="N168" s="91">
        <f t="shared" si="10"/>
        <v>254251.50789994781</v>
      </c>
      <c r="O168" s="478"/>
      <c r="P168" s="423">
        <v>44664</v>
      </c>
      <c r="Q168" s="424">
        <v>191</v>
      </c>
      <c r="R168" s="120">
        <v>44679</v>
      </c>
      <c r="S168" s="15" t="s">
        <v>253</v>
      </c>
      <c r="T168" s="121"/>
      <c r="U168" s="124">
        <v>500000</v>
      </c>
    </row>
    <row r="169" spans="1:22" ht="15.75" thickBot="1">
      <c r="A169" s="120">
        <v>44677</v>
      </c>
      <c r="B169" s="15" t="s">
        <v>143</v>
      </c>
      <c r="C169" s="410"/>
      <c r="D169" s="65">
        <f>380000*6</f>
        <v>2280000</v>
      </c>
      <c r="E169" s="65"/>
      <c r="F169" s="32"/>
      <c r="G169" s="29">
        <f t="shared" si="15"/>
        <v>2305613.17</v>
      </c>
      <c r="H169" s="88"/>
      <c r="I169" s="443"/>
      <c r="J169" s="444"/>
      <c r="K169" s="444"/>
      <c r="L169" s="444"/>
      <c r="M169" s="444"/>
      <c r="N169" s="91">
        <f t="shared" si="10"/>
        <v>254251.50789994781</v>
      </c>
      <c r="O169" s="478"/>
      <c r="P169" s="421">
        <v>44663</v>
      </c>
      <c r="Q169" s="422">
        <v>191</v>
      </c>
      <c r="R169" s="120"/>
      <c r="S169" t="s">
        <v>217</v>
      </c>
      <c r="U169" s="184">
        <v>12876</v>
      </c>
    </row>
    <row r="170" spans="1:22" ht="15.75" thickBot="1">
      <c r="A170" s="120">
        <v>44678</v>
      </c>
      <c r="B170" s="149" t="s">
        <v>145</v>
      </c>
      <c r="C170" s="230"/>
      <c r="D170" s="65"/>
      <c r="E170" s="65">
        <v>20126.21</v>
      </c>
      <c r="F170" s="65"/>
      <c r="G170" s="29">
        <f t="shared" si="15"/>
        <v>2285486.96</v>
      </c>
      <c r="H170" s="54"/>
      <c r="I170" s="442"/>
      <c r="J170" s="444"/>
      <c r="K170" s="444"/>
      <c r="L170" s="444"/>
      <c r="M170" s="444"/>
      <c r="N170" s="91">
        <f t="shared" si="10"/>
        <v>254251.50789994781</v>
      </c>
      <c r="O170" s="478"/>
      <c r="P170" s="423">
        <v>44662</v>
      </c>
      <c r="Q170" s="424">
        <v>191</v>
      </c>
      <c r="S170" s="61" t="s">
        <v>43</v>
      </c>
    </row>
    <row r="171" spans="1:22" ht="15.75" thickBot="1">
      <c r="A171" s="120">
        <v>44680</v>
      </c>
      <c r="B171" s="149" t="s">
        <v>41</v>
      </c>
      <c r="C171" s="230"/>
      <c r="D171" s="65"/>
      <c r="E171" s="65">
        <f>19733+3655+3338.3</f>
        <v>26726.3</v>
      </c>
      <c r="F171" s="65"/>
      <c r="G171" s="29">
        <f t="shared" si="15"/>
        <v>2258760.66</v>
      </c>
      <c r="H171" s="88"/>
      <c r="I171" s="407"/>
      <c r="J171" s="444"/>
      <c r="K171" s="444"/>
      <c r="L171" s="444"/>
      <c r="M171" s="444"/>
      <c r="N171" s="91">
        <f t="shared" si="10"/>
        <v>254251.50789994781</v>
      </c>
      <c r="O171" s="478"/>
      <c r="P171" s="421">
        <v>44659</v>
      </c>
      <c r="Q171" s="422">
        <v>192.5</v>
      </c>
      <c r="R171" s="120"/>
      <c r="S171" s="61" t="s">
        <v>44</v>
      </c>
      <c r="T171" s="121"/>
      <c r="U171" s="124"/>
    </row>
    <row r="172" spans="1:22" ht="15.75" thickBot="1">
      <c r="A172" s="120">
        <v>44680</v>
      </c>
      <c r="B172" s="449" t="s">
        <v>217</v>
      </c>
      <c r="C172" s="450"/>
      <c r="D172" s="448"/>
      <c r="E172" s="448">
        <v>15000</v>
      </c>
      <c r="F172" s="65"/>
      <c r="G172" s="29">
        <f t="shared" si="15"/>
        <v>2243760.66</v>
      </c>
      <c r="H172" s="88"/>
      <c r="I172" s="442"/>
      <c r="J172" s="444"/>
      <c r="K172" s="444"/>
      <c r="L172" s="444"/>
      <c r="M172" s="444"/>
      <c r="N172" s="91">
        <f t="shared" si="10"/>
        <v>254251.50789994781</v>
      </c>
      <c r="O172" s="478"/>
      <c r="P172" s="423">
        <v>44658</v>
      </c>
      <c r="Q172" s="424">
        <v>192</v>
      </c>
    </row>
    <row r="173" spans="1:22" ht="15.75" thickBot="1">
      <c r="A173" s="120">
        <v>44680</v>
      </c>
      <c r="B173" s="61" t="s">
        <v>43</v>
      </c>
      <c r="C173" s="410"/>
      <c r="D173" s="65"/>
      <c r="E173" s="65"/>
      <c r="F173" s="65">
        <f>SUM(D144:D172)*5%</f>
        <v>137418.71299999999</v>
      </c>
      <c r="G173" s="29">
        <f t="shared" si="15"/>
        <v>2106341.9470000002</v>
      </c>
      <c r="H173" s="88"/>
      <c r="I173" s="442"/>
      <c r="J173" s="444"/>
      <c r="K173" s="444"/>
      <c r="L173" s="444">
        <f>SUM(I144:I174)*5%</f>
        <v>2769.8500000000004</v>
      </c>
      <c r="M173" s="444"/>
      <c r="N173" s="91">
        <f t="shared" si="10"/>
        <v>251481.65789994781</v>
      </c>
      <c r="O173" s="478"/>
      <c r="P173" s="421">
        <v>44657</v>
      </c>
      <c r="Q173" s="422">
        <v>192</v>
      </c>
      <c r="R173" s="120"/>
      <c r="S173" s="123"/>
      <c r="T173" s="121"/>
      <c r="U173" s="192"/>
    </row>
    <row r="174" spans="1:22" ht="15.75" thickBot="1">
      <c r="A174" s="120">
        <v>44680</v>
      </c>
      <c r="B174" s="61" t="s">
        <v>44</v>
      </c>
      <c r="C174" s="410"/>
      <c r="D174" s="65"/>
      <c r="E174" s="65"/>
      <c r="F174" s="439">
        <f>SUM(E144:E172)*5%</f>
        <v>160247.54800000001</v>
      </c>
      <c r="G174" s="29">
        <f t="shared" si="15"/>
        <v>1946094.3990000002</v>
      </c>
      <c r="H174" s="88"/>
      <c r="I174" s="442"/>
      <c r="J174" s="444"/>
      <c r="K174" s="444"/>
      <c r="L174" s="444">
        <f>SUM(K145:K175)*5%</f>
        <v>0</v>
      </c>
      <c r="M174" s="444"/>
      <c r="N174" s="91">
        <f t="shared" si="10"/>
        <v>251481.65789994781</v>
      </c>
      <c r="O174" s="478"/>
      <c r="P174" s="423">
        <v>44656</v>
      </c>
      <c r="Q174" s="424">
        <v>192</v>
      </c>
      <c r="R174" s="120"/>
      <c r="S174" s="15"/>
      <c r="T174" s="121"/>
      <c r="U174" s="124"/>
    </row>
    <row r="175" spans="1:22" ht="15.75" thickBot="1">
      <c r="A175" s="24"/>
      <c r="B175" s="25"/>
      <c r="C175" s="410"/>
      <c r="D175" s="27"/>
      <c r="E175" s="27"/>
      <c r="F175" s="28"/>
      <c r="G175" s="29">
        <f t="shared" ref="G175:G182" si="16">+G174+C175+D175-E175-F175</f>
        <v>1946094.3990000002</v>
      </c>
      <c r="H175" s="30"/>
      <c r="I175" s="443"/>
      <c r="J175" s="444"/>
      <c r="K175" s="444"/>
      <c r="L175" s="444"/>
      <c r="M175" s="444"/>
      <c r="N175" s="91">
        <f t="shared" si="10"/>
        <v>251481.65789994781</v>
      </c>
      <c r="O175" s="478"/>
      <c r="P175" s="421">
        <v>44655</v>
      </c>
      <c r="Q175" s="422">
        <v>195</v>
      </c>
      <c r="R175">
        <f>9900*9</f>
        <v>89100</v>
      </c>
    </row>
    <row r="176" spans="1:22">
      <c r="A176" s="24"/>
      <c r="B176" s="25"/>
      <c r="C176" s="410"/>
      <c r="D176" s="38"/>
      <c r="E176" s="38"/>
      <c r="F176" s="39"/>
      <c r="G176" s="29">
        <f t="shared" si="16"/>
        <v>1946094.3990000002</v>
      </c>
      <c r="H176" s="30"/>
      <c r="I176" s="443"/>
      <c r="J176" s="444"/>
      <c r="K176" s="444"/>
      <c r="L176" s="444"/>
      <c r="M176" s="444"/>
      <c r="N176" s="91">
        <f t="shared" si="10"/>
        <v>251481.65789994781</v>
      </c>
      <c r="O176" s="478"/>
      <c r="P176" s="423">
        <v>44652</v>
      </c>
      <c r="Q176" s="424">
        <v>196</v>
      </c>
      <c r="R176">
        <f>103356/10</f>
        <v>10335.6</v>
      </c>
    </row>
    <row r="177" spans="1:22">
      <c r="A177" s="427"/>
      <c r="B177" s="428"/>
      <c r="C177" s="410"/>
      <c r="D177" s="27"/>
      <c r="E177" s="27"/>
      <c r="F177" s="35"/>
      <c r="G177" s="29">
        <f t="shared" si="16"/>
        <v>1946094.3990000002</v>
      </c>
      <c r="H177" s="54"/>
      <c r="I177" s="443"/>
      <c r="J177" s="444"/>
      <c r="K177" s="444"/>
      <c r="L177" s="444"/>
      <c r="M177" s="444"/>
      <c r="N177" s="91">
        <f t="shared" si="10"/>
        <v>251481.65789994781</v>
      </c>
      <c r="O177" s="478"/>
      <c r="P177" s="407"/>
      <c r="R177">
        <f>R176-R175</f>
        <v>-78764.399999999994</v>
      </c>
    </row>
    <row r="178" spans="1:22">
      <c r="A178" s="427"/>
      <c r="B178" s="428"/>
      <c r="C178" s="410"/>
      <c r="D178" s="27"/>
      <c r="E178" s="27"/>
      <c r="F178" s="35"/>
      <c r="G178" s="29">
        <f t="shared" si="16"/>
        <v>1946094.3990000002</v>
      </c>
      <c r="H178" s="54"/>
      <c r="I178" s="443"/>
      <c r="J178" s="444"/>
      <c r="K178" s="444"/>
      <c r="L178" s="444"/>
      <c r="M178" s="444"/>
      <c r="N178" s="91">
        <f t="shared" si="10"/>
        <v>251481.65789994781</v>
      </c>
      <c r="O178" s="478"/>
      <c r="P178" s="407"/>
    </row>
    <row r="179" spans="1:22">
      <c r="A179" s="427"/>
      <c r="B179" s="428"/>
      <c r="C179" s="410"/>
      <c r="D179" s="27"/>
      <c r="E179" s="27"/>
      <c r="F179" s="35"/>
      <c r="G179" s="29">
        <f t="shared" si="16"/>
        <v>1946094.3990000002</v>
      </c>
      <c r="H179" s="54"/>
      <c r="I179" s="31"/>
      <c r="J179" s="32"/>
      <c r="K179" s="89"/>
      <c r="L179" s="89"/>
      <c r="M179" s="35"/>
      <c r="N179" s="91">
        <f t="shared" si="10"/>
        <v>251481.65789994781</v>
      </c>
      <c r="O179" s="478"/>
      <c r="P179" s="407"/>
    </row>
    <row r="180" spans="1:22">
      <c r="A180" s="427"/>
      <c r="B180" s="428"/>
      <c r="C180" s="410"/>
      <c r="D180" s="27"/>
      <c r="E180" s="27"/>
      <c r="F180" s="35"/>
      <c r="G180" s="29">
        <f t="shared" si="16"/>
        <v>1946094.3990000002</v>
      </c>
      <c r="H180" s="54"/>
      <c r="I180" s="31"/>
      <c r="J180" s="32"/>
      <c r="K180" s="105"/>
      <c r="L180" s="106"/>
      <c r="M180" s="107"/>
      <c r="N180" s="91">
        <f t="shared" si="10"/>
        <v>251481.65789994781</v>
      </c>
      <c r="O180" s="478"/>
      <c r="P180" s="407"/>
    </row>
    <row r="181" spans="1:22">
      <c r="A181" s="40"/>
      <c r="B181" s="61"/>
      <c r="C181" s="410"/>
      <c r="D181" s="98"/>
      <c r="E181" s="99"/>
      <c r="F181" s="108"/>
      <c r="G181" s="29">
        <f t="shared" si="16"/>
        <v>1946094.3990000002</v>
      </c>
      <c r="H181" s="103"/>
      <c r="I181" s="109"/>
      <c r="J181" s="110"/>
      <c r="K181" s="105"/>
      <c r="L181" s="105"/>
      <c r="M181" s="102"/>
      <c r="N181" s="91">
        <f t="shared" si="10"/>
        <v>251481.65789994781</v>
      </c>
      <c r="O181" s="478"/>
      <c r="P181" s="407"/>
    </row>
    <row r="182" spans="1:22" ht="15.75" thickBot="1">
      <c r="A182" s="40"/>
      <c r="B182" s="44"/>
      <c r="C182" s="410"/>
      <c r="D182" s="68"/>
      <c r="E182" s="68"/>
      <c r="F182" s="69"/>
      <c r="G182" s="29">
        <f t="shared" si="16"/>
        <v>1946094.3990000002</v>
      </c>
      <c r="H182" s="70"/>
      <c r="I182" s="111"/>
      <c r="J182" s="72"/>
      <c r="K182" s="112"/>
      <c r="L182" s="74"/>
      <c r="M182" s="69"/>
      <c r="N182" s="91">
        <f t="shared" si="10"/>
        <v>251481.65789994781</v>
      </c>
      <c r="O182" s="478"/>
      <c r="P182" s="407"/>
    </row>
    <row r="183" spans="1:22" ht="15.75" thickBot="1">
      <c r="A183" s="44"/>
      <c r="B183" s="75" t="s">
        <v>46</v>
      </c>
      <c r="C183" s="113">
        <f>SUM(C144:C182)</f>
        <v>2678350</v>
      </c>
      <c r="D183" s="114">
        <f>SUM(D144:D182)</f>
        <v>2748374.26</v>
      </c>
      <c r="E183" s="114">
        <f>SUM(E144:E182)</f>
        <v>3204950.96</v>
      </c>
      <c r="F183" s="114">
        <f>SUM(F144:F182)</f>
        <v>297666.261</v>
      </c>
      <c r="G183" s="115"/>
      <c r="H183" s="113">
        <f t="shared" ref="H183:M183" si="17">SUM(H144:H182)</f>
        <v>0</v>
      </c>
      <c r="I183" s="114">
        <f t="shared" si="17"/>
        <v>55397</v>
      </c>
      <c r="J183" s="114">
        <f t="shared" si="17"/>
        <v>0</v>
      </c>
      <c r="K183" s="114">
        <f t="shared" si="17"/>
        <v>0</v>
      </c>
      <c r="L183" s="114">
        <f t="shared" si="17"/>
        <v>2769.8500000000004</v>
      </c>
      <c r="M183" s="114">
        <f t="shared" si="17"/>
        <v>13900</v>
      </c>
      <c r="N183" s="79"/>
      <c r="O183" s="478"/>
      <c r="P183" s="407"/>
    </row>
    <row r="184" spans="1:22">
      <c r="O184" s="478"/>
      <c r="P184" s="407"/>
    </row>
    <row r="185" spans="1:22">
      <c r="O185" s="478"/>
      <c r="P185" s="407"/>
    </row>
    <row r="186" spans="1:22">
      <c r="O186" s="478"/>
      <c r="P186" s="407"/>
      <c r="R186" s="159"/>
      <c r="S186" s="160"/>
      <c r="T186" s="161"/>
      <c r="U186" s="162"/>
      <c r="V186" s="163"/>
    </row>
    <row r="187" spans="1:22" ht="15.75" thickBot="1">
      <c r="O187" s="478"/>
      <c r="P187" s="407"/>
      <c r="R187" s="120">
        <v>44684</v>
      </c>
      <c r="S187" s="15" t="s">
        <v>148</v>
      </c>
      <c r="T187" s="124"/>
      <c r="U187" s="124">
        <v>84342.96</v>
      </c>
    </row>
    <row r="188" spans="1:22" ht="15.75" thickBot="1">
      <c r="A188" s="394" t="s">
        <v>248</v>
      </c>
      <c r="C188" s="907" t="s">
        <v>3</v>
      </c>
      <c r="D188" s="908"/>
      <c r="E188" s="907" t="s">
        <v>4</v>
      </c>
      <c r="F188" s="908"/>
      <c r="G188" s="5"/>
      <c r="H188" s="909" t="s">
        <v>5</v>
      </c>
      <c r="I188" s="910"/>
      <c r="J188" s="909" t="s">
        <v>6</v>
      </c>
      <c r="K188" s="911"/>
      <c r="L188" s="911"/>
      <c r="M188" s="910"/>
      <c r="N188" s="6"/>
      <c r="O188" s="478"/>
      <c r="P188" s="407"/>
      <c r="R188" s="120">
        <v>44685</v>
      </c>
      <c r="S188" s="15" t="s">
        <v>149</v>
      </c>
      <c r="T188" s="138"/>
      <c r="U188" s="118">
        <v>567.32000000000005</v>
      </c>
    </row>
    <row r="189" spans="1:22" ht="15.75" thickBot="1">
      <c r="A189" s="7" t="s">
        <v>7</v>
      </c>
      <c r="B189" s="8" t="s">
        <v>8</v>
      </c>
      <c r="C189" s="9" t="s">
        <v>9</v>
      </c>
      <c r="D189" s="9" t="s">
        <v>10</v>
      </c>
      <c r="E189" s="10" t="s">
        <v>68</v>
      </c>
      <c r="F189" s="10" t="s">
        <v>69</v>
      </c>
      <c r="G189" s="11" t="s">
        <v>13</v>
      </c>
      <c r="H189" s="12" t="s">
        <v>14</v>
      </c>
      <c r="I189" s="12" t="s">
        <v>10</v>
      </c>
      <c r="J189" s="12" t="s">
        <v>15</v>
      </c>
      <c r="K189" s="12" t="s">
        <v>11</v>
      </c>
      <c r="L189" s="12" t="s">
        <v>16</v>
      </c>
      <c r="M189" s="12" t="s">
        <v>17</v>
      </c>
      <c r="N189" s="13" t="s">
        <v>18</v>
      </c>
      <c r="O189" s="478"/>
      <c r="P189" s="407"/>
      <c r="R189" s="120">
        <v>44685</v>
      </c>
      <c r="S189" s="15" t="s">
        <v>150</v>
      </c>
      <c r="T189" s="138"/>
      <c r="U189" s="118">
        <v>13368.16</v>
      </c>
    </row>
    <row r="190" spans="1:22">
      <c r="A190" s="14">
        <v>44680</v>
      </c>
      <c r="B190" s="15" t="s">
        <v>19</v>
      </c>
      <c r="C190" s="390"/>
      <c r="D190" s="390"/>
      <c r="E190" s="89"/>
      <c r="F190" s="89"/>
      <c r="G190" s="86">
        <f>G182</f>
        <v>1946094.3990000002</v>
      </c>
      <c r="H190" s="16"/>
      <c r="I190" s="87"/>
      <c r="J190" s="17"/>
      <c r="K190" s="87"/>
      <c r="L190" s="21"/>
      <c r="M190" s="22"/>
      <c r="N190" s="23">
        <f>N182</f>
        <v>251481.65789994781</v>
      </c>
      <c r="O190" s="478"/>
      <c r="P190" s="407"/>
      <c r="R190" s="120">
        <v>44686</v>
      </c>
      <c r="S190" s="15" t="s">
        <v>200</v>
      </c>
      <c r="T190" s="118">
        <v>132158</v>
      </c>
      <c r="U190" s="118"/>
    </row>
    <row r="191" spans="1:22">
      <c r="A191" s="120">
        <v>44684</v>
      </c>
      <c r="B191" s="15" t="s">
        <v>148</v>
      </c>
      <c r="C191" s="65"/>
      <c r="D191" s="65"/>
      <c r="E191" s="65">
        <v>84342.96</v>
      </c>
      <c r="F191" s="65"/>
      <c r="G191" s="29">
        <f t="shared" ref="G191:G225" si="18">+G190+C191+D191-E191-F191</f>
        <v>1861751.4390000002</v>
      </c>
      <c r="H191" s="88"/>
      <c r="I191" s="89"/>
      <c r="J191" s="89"/>
      <c r="K191" s="89"/>
      <c r="L191" s="34"/>
      <c r="M191" s="90"/>
      <c r="N191" s="91">
        <f t="shared" ref="N191:N225" si="19">+N190+H191+I191-J191-K191-L191-M191</f>
        <v>251481.65789994781</v>
      </c>
      <c r="O191" s="478"/>
      <c r="P191" s="407"/>
      <c r="R191" s="120">
        <v>44686</v>
      </c>
      <c r="S191" s="15" t="s">
        <v>125</v>
      </c>
      <c r="T191" s="118">
        <v>260903.43</v>
      </c>
      <c r="U191" s="118"/>
      <c r="V191" s="124"/>
    </row>
    <row r="192" spans="1:22">
      <c r="A192" s="120">
        <v>44685</v>
      </c>
      <c r="B192" s="15" t="s">
        <v>149</v>
      </c>
      <c r="C192" s="411"/>
      <c r="D192" s="411"/>
      <c r="E192" s="412">
        <v>567.32000000000005</v>
      </c>
      <c r="F192" s="412"/>
      <c r="G192" s="29">
        <f t="shared" si="18"/>
        <v>1861184.1190000002</v>
      </c>
      <c r="H192" s="30"/>
      <c r="I192" s="31"/>
      <c r="J192" s="32"/>
      <c r="K192" s="89"/>
      <c r="L192" s="34"/>
      <c r="M192" s="35"/>
      <c r="N192" s="91">
        <f t="shared" si="19"/>
        <v>251481.65789994781</v>
      </c>
      <c r="O192" s="377"/>
      <c r="P192" s="204"/>
      <c r="R192" s="120">
        <v>44694</v>
      </c>
      <c r="S192" s="15" t="s">
        <v>185</v>
      </c>
      <c r="T192" s="118">
        <v>79630</v>
      </c>
      <c r="U192" s="118">
        <v>400</v>
      </c>
      <c r="V192" s="124"/>
    </row>
    <row r="193" spans="1:22">
      <c r="A193" s="120">
        <v>44685</v>
      </c>
      <c r="B193" s="15" t="s">
        <v>150</v>
      </c>
      <c r="C193" s="411"/>
      <c r="D193" s="411"/>
      <c r="E193" s="412">
        <v>13368.16</v>
      </c>
      <c r="F193" s="412"/>
      <c r="G193" s="29">
        <f t="shared" si="18"/>
        <v>1847815.9590000003</v>
      </c>
      <c r="H193" s="30"/>
      <c r="I193" s="31"/>
      <c r="J193" s="32"/>
      <c r="K193" s="89"/>
      <c r="L193" s="34"/>
      <c r="M193" s="35"/>
      <c r="N193" s="91">
        <f t="shared" si="19"/>
        <v>251481.65789994781</v>
      </c>
      <c r="R193" s="120">
        <v>44697</v>
      </c>
      <c r="S193" s="15" t="s">
        <v>254</v>
      </c>
      <c r="T193" s="118">
        <v>153921.13</v>
      </c>
      <c r="U193" s="118"/>
      <c r="V193" s="124"/>
    </row>
    <row r="194" spans="1:22">
      <c r="A194" s="120">
        <v>44686</v>
      </c>
      <c r="B194" s="15" t="s">
        <v>304</v>
      </c>
      <c r="C194" s="412"/>
      <c r="D194" s="412">
        <v>132158</v>
      </c>
      <c r="E194" s="412"/>
      <c r="F194" s="412"/>
      <c r="G194" s="29">
        <f t="shared" si="18"/>
        <v>1979973.9590000003</v>
      </c>
      <c r="H194" s="46"/>
      <c r="I194" s="31"/>
      <c r="J194" s="47"/>
      <c r="K194" s="89"/>
      <c r="L194" s="34"/>
      <c r="M194" s="48"/>
      <c r="N194" s="91">
        <f t="shared" si="19"/>
        <v>251481.65789994781</v>
      </c>
      <c r="R194" s="120">
        <v>44701</v>
      </c>
      <c r="S194" s="15" t="s">
        <v>153</v>
      </c>
      <c r="T194" s="118"/>
      <c r="U194" s="118">
        <v>115856.23</v>
      </c>
    </row>
    <row r="195" spans="1:22">
      <c r="A195" s="120">
        <v>44686</v>
      </c>
      <c r="B195" s="149" t="s">
        <v>303</v>
      </c>
      <c r="C195" s="412"/>
      <c r="D195" s="412">
        <v>260903.43</v>
      </c>
      <c r="E195" s="412"/>
      <c r="F195" s="412"/>
      <c r="G195" s="29">
        <f t="shared" si="18"/>
        <v>2240877.3890000004</v>
      </c>
      <c r="H195" s="54"/>
      <c r="I195" s="93"/>
      <c r="J195" s="32"/>
      <c r="K195" s="89"/>
      <c r="L195" s="34"/>
      <c r="M195" s="35"/>
      <c r="N195" s="91">
        <f>+N194+H195+I195-J195-K195-L195-M195</f>
        <v>251481.65789994781</v>
      </c>
      <c r="R195" s="120">
        <v>44701</v>
      </c>
      <c r="S195" s="15" t="s">
        <v>157</v>
      </c>
      <c r="T195" s="118"/>
      <c r="U195" s="118">
        <v>192258</v>
      </c>
    </row>
    <row r="196" spans="1:22">
      <c r="A196" s="24">
        <v>44691</v>
      </c>
      <c r="B196" s="25" t="s">
        <v>267</v>
      </c>
      <c r="C196" s="412"/>
      <c r="D196" s="27"/>
      <c r="E196" s="27"/>
      <c r="F196" s="412"/>
      <c r="G196" s="29">
        <f t="shared" si="18"/>
        <v>2240877.3890000004</v>
      </c>
      <c r="H196" s="30"/>
      <c r="I196" s="445">
        <v>966</v>
      </c>
      <c r="J196" s="89"/>
      <c r="K196" s="444"/>
      <c r="L196" s="444"/>
      <c r="M196" s="444"/>
      <c r="N196" s="91">
        <f>+N195+H196+I196-J196-K196-L196-M196</f>
        <v>252447.65789994781</v>
      </c>
      <c r="R196" s="120">
        <v>44712</v>
      </c>
      <c r="S196" s="15" t="s">
        <v>218</v>
      </c>
      <c r="T196" s="118"/>
      <c r="U196" s="118">
        <v>12876</v>
      </c>
    </row>
    <row r="197" spans="1:22">
      <c r="A197" s="24">
        <v>44691</v>
      </c>
      <c r="B197" s="25" t="s">
        <v>268</v>
      </c>
      <c r="C197" s="412"/>
      <c r="D197" s="38"/>
      <c r="E197" s="38"/>
      <c r="F197" s="412"/>
      <c r="G197" s="29">
        <f t="shared" si="18"/>
        <v>2240877.3890000004</v>
      </c>
      <c r="H197" s="30"/>
      <c r="I197" s="445">
        <v>966</v>
      </c>
      <c r="J197" s="32"/>
      <c r="K197" s="444"/>
      <c r="L197" s="444"/>
      <c r="M197" s="444"/>
      <c r="N197" s="91">
        <f t="shared" si="19"/>
        <v>253413.65789994781</v>
      </c>
      <c r="O197" s="475"/>
      <c r="P197" s="6"/>
      <c r="R197" s="120">
        <v>44712</v>
      </c>
      <c r="S197" s="15" t="s">
        <v>41</v>
      </c>
      <c r="T197" s="118"/>
      <c r="U197" s="118">
        <f>60475+197706+2487</f>
        <v>260668</v>
      </c>
    </row>
    <row r="198" spans="1:22">
      <c r="A198" s="24">
        <v>44691</v>
      </c>
      <c r="B198" s="25" t="s">
        <v>279</v>
      </c>
      <c r="C198" s="412"/>
      <c r="D198" s="27"/>
      <c r="E198" s="27"/>
      <c r="F198" s="412"/>
      <c r="G198" s="29">
        <f t="shared" si="18"/>
        <v>2240877.3890000004</v>
      </c>
      <c r="H198" s="88"/>
      <c r="I198" s="445">
        <f>44550/9</f>
        <v>4950</v>
      </c>
      <c r="J198" s="89"/>
      <c r="K198" s="444"/>
      <c r="L198" s="444"/>
      <c r="M198" s="444"/>
      <c r="N198" s="91">
        <f t="shared" si="19"/>
        <v>258363.65789994781</v>
      </c>
      <c r="O198" s="476"/>
      <c r="P198" s="430"/>
      <c r="R198" s="120">
        <v>44712</v>
      </c>
      <c r="S198" s="15" t="s">
        <v>203</v>
      </c>
      <c r="T198" s="118">
        <v>130000</v>
      </c>
      <c r="U198" s="118"/>
    </row>
    <row r="199" spans="1:22">
      <c r="A199" s="24">
        <v>44691</v>
      </c>
      <c r="B199" s="25" t="s">
        <v>282</v>
      </c>
      <c r="C199" s="412"/>
      <c r="D199" s="50"/>
      <c r="E199" s="27"/>
      <c r="F199" s="412"/>
      <c r="G199" s="29">
        <f t="shared" si="18"/>
        <v>2240877.3890000004</v>
      </c>
      <c r="H199" s="88"/>
      <c r="I199" s="445">
        <f>44550/9</f>
        <v>4950</v>
      </c>
      <c r="J199" s="89"/>
      <c r="K199" s="444"/>
      <c r="L199" s="444"/>
      <c r="M199" s="444"/>
      <c r="N199" s="91">
        <f t="shared" si="19"/>
        <v>263313.65789994784</v>
      </c>
      <c r="O199" s="477"/>
      <c r="P199" s="431"/>
      <c r="R199" s="120"/>
      <c r="S199" s="15"/>
      <c r="T199" s="118"/>
      <c r="U199" s="118"/>
    </row>
    <row r="200" spans="1:22">
      <c r="A200" s="24">
        <v>44691</v>
      </c>
      <c r="B200" s="25" t="s">
        <v>286</v>
      </c>
      <c r="C200" s="412"/>
      <c r="D200" s="27"/>
      <c r="E200" s="27"/>
      <c r="F200" s="412"/>
      <c r="G200" s="29">
        <f t="shared" si="18"/>
        <v>2240877.3890000004</v>
      </c>
      <c r="H200" s="88"/>
      <c r="I200" s="445">
        <v>8500</v>
      </c>
      <c r="J200" s="32"/>
      <c r="K200" s="444"/>
      <c r="L200" s="444"/>
      <c r="M200" s="444"/>
      <c r="N200" s="91">
        <f t="shared" si="19"/>
        <v>271813.65789994784</v>
      </c>
      <c r="O200" s="478"/>
      <c r="P200" s="407"/>
      <c r="R200" s="120"/>
      <c r="S200" s="15"/>
      <c r="T200" s="118"/>
      <c r="U200" s="118"/>
    </row>
    <row r="201" spans="1:22">
      <c r="A201" s="24">
        <v>44691</v>
      </c>
      <c r="B201" s="25" t="s">
        <v>285</v>
      </c>
      <c r="C201" s="412"/>
      <c r="D201" s="38"/>
      <c r="E201" s="27"/>
      <c r="F201" s="412"/>
      <c r="G201" s="29">
        <f t="shared" si="18"/>
        <v>2240877.3890000004</v>
      </c>
      <c r="H201" s="88"/>
      <c r="I201" s="445">
        <v>8500</v>
      </c>
      <c r="J201" s="32"/>
      <c r="K201" s="444"/>
      <c r="L201" s="444"/>
      <c r="M201" s="444"/>
      <c r="N201" s="91">
        <f t="shared" si="19"/>
        <v>280313.65789994784</v>
      </c>
      <c r="O201" s="478"/>
      <c r="P201" s="407"/>
      <c r="R201" s="120">
        <v>44700</v>
      </c>
      <c r="S201" s="123" t="s">
        <v>255</v>
      </c>
      <c r="T201" s="118">
        <v>5000000</v>
      </c>
      <c r="U201" s="118"/>
      <c r="V201" s="124"/>
    </row>
    <row r="202" spans="1:22">
      <c r="A202" s="24">
        <v>44691</v>
      </c>
      <c r="B202" s="25" t="s">
        <v>262</v>
      </c>
      <c r="C202" s="412"/>
      <c r="D202" s="27"/>
      <c r="E202" s="27"/>
      <c r="F202" s="412"/>
      <c r="G202" s="29">
        <f t="shared" si="18"/>
        <v>2240877.3890000004</v>
      </c>
      <c r="H202" s="54"/>
      <c r="I202" s="445">
        <v>9165</v>
      </c>
      <c r="J202" s="32"/>
      <c r="K202" s="444"/>
      <c r="L202" s="444"/>
      <c r="M202" s="444"/>
      <c r="N202" s="91">
        <f t="shared" si="19"/>
        <v>289478.65789994784</v>
      </c>
      <c r="O202" s="478"/>
      <c r="P202" s="407"/>
      <c r="R202" s="120">
        <v>44708</v>
      </c>
      <c r="S202" s="15" t="s">
        <v>158</v>
      </c>
      <c r="T202" s="118">
        <v>6087878.2999999998</v>
      </c>
      <c r="U202" s="118"/>
      <c r="V202" s="124"/>
    </row>
    <row r="203" spans="1:22">
      <c r="A203" s="120">
        <v>44694</v>
      </c>
      <c r="B203" s="15" t="s">
        <v>185</v>
      </c>
      <c r="C203" s="412"/>
      <c r="D203" s="412">
        <v>79630</v>
      </c>
      <c r="E203" s="32"/>
      <c r="F203" s="412"/>
      <c r="G203" s="29">
        <f t="shared" ref="G203:G222" si="20">+G202+C203+D203-E203-F203</f>
        <v>2320507.3890000004</v>
      </c>
      <c r="H203" s="54"/>
      <c r="I203" s="445">
        <v>400</v>
      </c>
      <c r="J203" s="89"/>
      <c r="K203" s="444"/>
      <c r="L203" s="444"/>
      <c r="M203" s="444"/>
      <c r="N203" s="91">
        <f t="shared" si="19"/>
        <v>289878.65789994784</v>
      </c>
      <c r="O203" s="478"/>
      <c r="P203" s="407"/>
      <c r="R203" s="120">
        <v>44708</v>
      </c>
      <c r="S203" s="15" t="s">
        <v>159</v>
      </c>
      <c r="T203" s="118">
        <v>4315000</v>
      </c>
      <c r="U203" s="118"/>
    </row>
    <row r="204" spans="1:22">
      <c r="A204" s="120">
        <v>44697</v>
      </c>
      <c r="B204" s="15" t="s">
        <v>254</v>
      </c>
      <c r="C204" s="412"/>
      <c r="D204" s="412">
        <v>153921.13</v>
      </c>
      <c r="E204" s="32"/>
      <c r="F204" s="412"/>
      <c r="G204" s="29">
        <f t="shared" si="20"/>
        <v>2474428.5190000003</v>
      </c>
      <c r="H204" s="88"/>
      <c r="I204" s="31"/>
      <c r="J204" s="32"/>
      <c r="K204" s="444"/>
      <c r="L204" s="444"/>
      <c r="M204" s="444"/>
      <c r="N204" s="91">
        <f t="shared" si="19"/>
        <v>289878.65789994784</v>
      </c>
      <c r="O204" s="478"/>
      <c r="P204" s="407"/>
      <c r="R204" s="120">
        <v>44701</v>
      </c>
      <c r="S204" s="15" t="s">
        <v>154</v>
      </c>
      <c r="T204" s="118"/>
      <c r="U204" s="118">
        <v>5040183.41</v>
      </c>
    </row>
    <row r="205" spans="1:22">
      <c r="A205" s="120">
        <v>44701</v>
      </c>
      <c r="B205" s="15" t="s">
        <v>153</v>
      </c>
      <c r="C205" s="412"/>
      <c r="D205" s="27"/>
      <c r="E205" s="412">
        <v>115856.23</v>
      </c>
      <c r="F205" s="412"/>
      <c r="G205" s="29">
        <f t="shared" si="20"/>
        <v>2358572.2890000003</v>
      </c>
      <c r="H205" s="88"/>
      <c r="I205" s="89"/>
      <c r="J205" s="89"/>
      <c r="K205" s="444"/>
      <c r="L205" s="444"/>
      <c r="M205" s="444"/>
      <c r="N205" s="91">
        <f t="shared" si="19"/>
        <v>289878.65789994784</v>
      </c>
      <c r="O205" s="478"/>
      <c r="P205" s="407"/>
      <c r="R205" s="120">
        <v>44701</v>
      </c>
      <c r="S205" s="15" t="s">
        <v>155</v>
      </c>
      <c r="T205" s="118"/>
      <c r="U205" s="118">
        <v>980</v>
      </c>
    </row>
    <row r="206" spans="1:22">
      <c r="A206" s="120">
        <v>44701</v>
      </c>
      <c r="B206" s="15" t="s">
        <v>157</v>
      </c>
      <c r="C206" s="412"/>
      <c r="D206" s="27"/>
      <c r="E206" s="412">
        <v>192258</v>
      </c>
      <c r="F206" s="412"/>
      <c r="G206" s="29">
        <f t="shared" si="20"/>
        <v>2166314.2890000003</v>
      </c>
      <c r="H206" s="88"/>
      <c r="I206" s="31"/>
      <c r="J206" s="89"/>
      <c r="K206" s="444"/>
      <c r="L206" s="444"/>
      <c r="M206" s="444"/>
      <c r="N206" s="91">
        <f t="shared" si="19"/>
        <v>289878.65789994784</v>
      </c>
      <c r="O206" s="478"/>
      <c r="P206" s="407"/>
      <c r="R206" s="120">
        <v>44700</v>
      </c>
      <c r="S206" s="15" t="s">
        <v>152</v>
      </c>
      <c r="T206" s="118"/>
      <c r="U206" s="118">
        <v>910.58</v>
      </c>
    </row>
    <row r="207" spans="1:22">
      <c r="A207" s="120">
        <v>44701</v>
      </c>
      <c r="B207" s="44" t="s">
        <v>308</v>
      </c>
      <c r="C207" s="447">
        <f>M207*201</f>
        <v>2914500</v>
      </c>
      <c r="D207" s="27"/>
      <c r="E207" s="32"/>
      <c r="F207" s="412"/>
      <c r="G207" s="29">
        <f t="shared" si="20"/>
        <v>5080814.2890000008</v>
      </c>
      <c r="H207" s="88"/>
      <c r="I207" s="31"/>
      <c r="J207" s="32"/>
      <c r="K207" s="444"/>
      <c r="L207" s="444"/>
      <c r="M207" s="444">
        <v>14500</v>
      </c>
      <c r="N207" s="91">
        <f t="shared" si="19"/>
        <v>275378.65789994784</v>
      </c>
      <c r="O207" s="478"/>
      <c r="P207" s="407"/>
      <c r="R207" s="120">
        <v>44711</v>
      </c>
      <c r="S207" s="15" t="s">
        <v>160</v>
      </c>
      <c r="T207" s="118"/>
      <c r="U207" s="118">
        <v>10237125.859999999</v>
      </c>
    </row>
    <row r="208" spans="1:22" ht="15.75" thickBot="1">
      <c r="A208" s="120">
        <v>44701</v>
      </c>
      <c r="B208" s="15" t="s">
        <v>306</v>
      </c>
      <c r="C208" s="412"/>
      <c r="D208" s="412"/>
      <c r="E208" s="412">
        <v>5040183.41</v>
      </c>
      <c r="F208" s="412"/>
      <c r="G208" s="29">
        <f t="shared" si="20"/>
        <v>40630.879000000656</v>
      </c>
      <c r="H208" s="54"/>
      <c r="I208" s="31"/>
      <c r="J208" s="32"/>
      <c r="K208" s="444"/>
      <c r="L208" s="444"/>
      <c r="M208" s="444"/>
      <c r="N208" s="91">
        <f t="shared" si="19"/>
        <v>275378.65789994784</v>
      </c>
      <c r="O208" s="478"/>
      <c r="P208" s="407"/>
      <c r="S208" s="61" t="s">
        <v>43</v>
      </c>
      <c r="T208" s="118"/>
      <c r="U208" s="118"/>
    </row>
    <row r="209" spans="1:22" ht="15.75" thickBot="1">
      <c r="A209" s="120">
        <v>44701</v>
      </c>
      <c r="B209" s="15" t="s">
        <v>155</v>
      </c>
      <c r="C209" s="412"/>
      <c r="D209" s="412"/>
      <c r="E209" s="412">
        <v>980</v>
      </c>
      <c r="F209" s="32"/>
      <c r="G209" s="29">
        <f t="shared" si="20"/>
        <v>39650.879000000656</v>
      </c>
      <c r="H209" s="54"/>
      <c r="I209" s="31"/>
      <c r="J209" s="32"/>
      <c r="K209" s="444"/>
      <c r="L209" s="444"/>
      <c r="M209" s="444"/>
      <c r="N209" s="91">
        <f t="shared" ref="N209:N214" si="21">+N208+H209+I209-J209-K209-L209-M209</f>
        <v>275378.65789994784</v>
      </c>
      <c r="O209" s="478"/>
      <c r="P209" s="423">
        <v>44712</v>
      </c>
      <c r="Q209" s="424">
        <v>201</v>
      </c>
      <c r="S209" s="61" t="s">
        <v>44</v>
      </c>
    </row>
    <row r="210" spans="1:22" ht="15.75" thickBot="1">
      <c r="A210" s="120">
        <v>44701</v>
      </c>
      <c r="B210" s="15" t="s">
        <v>307</v>
      </c>
      <c r="C210" s="412"/>
      <c r="D210" s="412"/>
      <c r="E210" s="412">
        <v>910.58</v>
      </c>
      <c r="F210" s="65"/>
      <c r="G210" s="29">
        <f t="shared" si="20"/>
        <v>38740.299000000654</v>
      </c>
      <c r="H210" s="54"/>
      <c r="I210" s="31"/>
      <c r="J210" s="32"/>
      <c r="K210" s="444"/>
      <c r="L210" s="444"/>
      <c r="M210" s="444"/>
      <c r="N210" s="91">
        <f t="shared" si="21"/>
        <v>275378.65789994784</v>
      </c>
      <c r="O210" s="478"/>
      <c r="P210" s="421">
        <v>44711</v>
      </c>
      <c r="Q210" s="422">
        <v>202.5</v>
      </c>
    </row>
    <row r="211" spans="1:22" ht="15.75" thickBot="1">
      <c r="A211" s="120">
        <v>44711</v>
      </c>
      <c r="B211" s="44" t="s">
        <v>309</v>
      </c>
      <c r="C211" s="447">
        <f>M211*202.5</f>
        <v>11198250</v>
      </c>
      <c r="D211" s="65"/>
      <c r="E211" s="65"/>
      <c r="F211" s="65"/>
      <c r="G211" s="29">
        <f t="shared" si="20"/>
        <v>11236990.299000001</v>
      </c>
      <c r="H211" s="54"/>
      <c r="I211" s="31"/>
      <c r="J211" s="32"/>
      <c r="K211" s="444"/>
      <c r="L211" s="444"/>
      <c r="M211" s="444">
        <v>55300</v>
      </c>
      <c r="N211" s="91">
        <f t="shared" si="21"/>
        <v>220078.65789994784</v>
      </c>
      <c r="O211" s="478"/>
      <c r="P211" s="423">
        <v>44708</v>
      </c>
      <c r="Q211" s="424">
        <v>202.5</v>
      </c>
    </row>
    <row r="212" spans="1:22" ht="15.75" thickBot="1">
      <c r="A212" s="120">
        <v>44711</v>
      </c>
      <c r="B212" s="15" t="s">
        <v>310</v>
      </c>
      <c r="C212" s="412"/>
      <c r="D212" s="412"/>
      <c r="E212" s="412">
        <v>10237125.859999999</v>
      </c>
      <c r="F212" s="32"/>
      <c r="G212" s="29">
        <f t="shared" si="20"/>
        <v>999864.43900000118</v>
      </c>
      <c r="H212" s="54"/>
      <c r="I212" s="31"/>
      <c r="J212" s="32"/>
      <c r="K212" s="444"/>
      <c r="L212" s="444"/>
      <c r="M212" s="444"/>
      <c r="N212" s="91">
        <f t="shared" si="21"/>
        <v>220078.65789994784</v>
      </c>
      <c r="O212" s="478"/>
      <c r="P212" s="421">
        <v>44707</v>
      </c>
      <c r="Q212" s="422">
        <v>203</v>
      </c>
    </row>
    <row r="213" spans="1:22" ht="15.75" thickBot="1">
      <c r="A213" s="120">
        <v>44712</v>
      </c>
      <c r="B213" s="451" t="s">
        <v>218</v>
      </c>
      <c r="C213" s="429"/>
      <c r="D213" s="92"/>
      <c r="E213" s="429">
        <v>15000</v>
      </c>
      <c r="F213" s="412"/>
      <c r="G213" s="29">
        <f t="shared" si="20"/>
        <v>984864.43900000118</v>
      </c>
      <c r="H213" s="54"/>
      <c r="I213" s="31"/>
      <c r="J213" s="32"/>
      <c r="K213" s="444"/>
      <c r="L213" s="444"/>
      <c r="M213" s="444"/>
      <c r="N213" s="91">
        <f t="shared" si="21"/>
        <v>220078.65789994784</v>
      </c>
      <c r="O213" s="478"/>
      <c r="P213" s="423">
        <v>44705</v>
      </c>
      <c r="Q213" s="424">
        <v>204</v>
      </c>
    </row>
    <row r="214" spans="1:22" ht="15.75" thickBot="1">
      <c r="A214" s="120">
        <v>44712</v>
      </c>
      <c r="B214" s="15" t="s">
        <v>41</v>
      </c>
      <c r="C214" s="412"/>
      <c r="D214" s="27"/>
      <c r="E214" s="412">
        <f>60475+197706+2487</f>
        <v>260668</v>
      </c>
      <c r="F214" s="412"/>
      <c r="G214" s="29">
        <f t="shared" si="20"/>
        <v>724196.43900000118</v>
      </c>
      <c r="H214" s="54"/>
      <c r="I214" s="93"/>
      <c r="J214" s="89"/>
      <c r="K214" s="444"/>
      <c r="L214" s="444"/>
      <c r="M214" s="444"/>
      <c r="N214" s="91">
        <f t="shared" si="21"/>
        <v>220078.65789994784</v>
      </c>
      <c r="O214" s="478"/>
      <c r="P214" s="421">
        <v>44704</v>
      </c>
      <c r="Q214" s="422">
        <v>202.5</v>
      </c>
    </row>
    <row r="215" spans="1:22" ht="15.75" thickBot="1">
      <c r="A215" s="120">
        <v>44712</v>
      </c>
      <c r="B215" s="15" t="s">
        <v>305</v>
      </c>
      <c r="C215" s="412"/>
      <c r="D215" s="412">
        <v>130000</v>
      </c>
      <c r="E215" s="32"/>
      <c r="F215" s="32"/>
      <c r="G215" s="29">
        <f t="shared" si="20"/>
        <v>854196.43900000118</v>
      </c>
      <c r="H215" s="54"/>
      <c r="I215" s="31"/>
      <c r="J215" s="32"/>
      <c r="K215" s="444"/>
      <c r="L215" s="444"/>
      <c r="M215" s="444"/>
      <c r="N215" s="91">
        <f t="shared" si="19"/>
        <v>220078.65789994784</v>
      </c>
      <c r="O215" s="478"/>
      <c r="P215" s="423">
        <v>44701</v>
      </c>
      <c r="Q215" s="424">
        <v>201</v>
      </c>
      <c r="R215" s="120"/>
      <c r="S215" s="180"/>
      <c r="T215" s="212"/>
      <c r="U215" s="184"/>
    </row>
    <row r="216" spans="1:22" ht="15.75" thickBot="1">
      <c r="A216" s="120">
        <v>44712</v>
      </c>
      <c r="B216" s="61" t="s">
        <v>43</v>
      </c>
      <c r="C216" s="412"/>
      <c r="D216" s="65"/>
      <c r="E216" s="65"/>
      <c r="F216" s="65">
        <f>SUM(D190:D215)*5%</f>
        <v>37830.628000000004</v>
      </c>
      <c r="G216" s="29">
        <f t="shared" si="20"/>
        <v>816365.81100000115</v>
      </c>
      <c r="H216" s="88"/>
      <c r="I216" s="31"/>
      <c r="J216" s="32"/>
      <c r="K216" s="444"/>
      <c r="L216" s="444">
        <f>SUM(I191:I221)*5%</f>
        <v>1919.8500000000001</v>
      </c>
      <c r="M216" s="444"/>
      <c r="N216" s="91">
        <f t="shared" si="19"/>
        <v>218158.80789994783</v>
      </c>
      <c r="O216" s="478"/>
      <c r="P216" s="421">
        <v>44700</v>
      </c>
      <c r="Q216" s="422">
        <v>202</v>
      </c>
      <c r="R216" s="120"/>
      <c r="S216" s="180"/>
      <c r="T216" s="184"/>
      <c r="U216" s="184"/>
    </row>
    <row r="217" spans="1:22" ht="15.75" thickBot="1">
      <c r="A217" s="120">
        <v>44712</v>
      </c>
      <c r="B217" s="61" t="s">
        <v>44</v>
      </c>
      <c r="C217" s="412"/>
      <c r="D217" s="65"/>
      <c r="E217" s="65"/>
      <c r="F217" s="65">
        <f>SUM(E190:E215)*5%</f>
        <v>798063.02600000007</v>
      </c>
      <c r="G217" s="29">
        <f t="shared" si="20"/>
        <v>18302.78500000108</v>
      </c>
      <c r="H217" s="88"/>
      <c r="I217" s="31"/>
      <c r="J217" s="32"/>
      <c r="K217" s="444"/>
      <c r="L217" s="444">
        <f>SUM(K190:K215)*5%</f>
        <v>0</v>
      </c>
      <c r="M217" s="444"/>
      <c r="N217" s="91">
        <f t="shared" si="19"/>
        <v>218158.80789994783</v>
      </c>
      <c r="O217" s="478"/>
      <c r="P217" s="423">
        <v>44698</v>
      </c>
      <c r="Q217" s="424">
        <v>204</v>
      </c>
      <c r="R217" s="120"/>
      <c r="S217" s="15"/>
      <c r="T217" s="121"/>
      <c r="U217" s="192"/>
    </row>
    <row r="218" spans="1:22" ht="15.75" thickBot="1">
      <c r="A218" s="24"/>
      <c r="B218" s="25"/>
      <c r="C218" s="412"/>
      <c r="D218" s="27"/>
      <c r="E218" s="27"/>
      <c r="F218" s="35"/>
      <c r="G218" s="29">
        <f t="shared" si="20"/>
        <v>18302.78500000108</v>
      </c>
      <c r="H218" s="88"/>
      <c r="I218" s="31"/>
      <c r="J218" s="32"/>
      <c r="K218" s="444"/>
      <c r="L218" s="444"/>
      <c r="M218" s="444"/>
      <c r="N218" s="91">
        <f t="shared" si="19"/>
        <v>218158.80789994783</v>
      </c>
      <c r="O218" s="478"/>
      <c r="P218" s="421">
        <v>44697</v>
      </c>
      <c r="Q218" s="422">
        <v>201</v>
      </c>
    </row>
    <row r="219" spans="1:22" ht="15.75" thickBot="1">
      <c r="A219" s="24"/>
      <c r="B219" s="25"/>
      <c r="C219" s="412"/>
      <c r="D219" s="38"/>
      <c r="E219" s="27"/>
      <c r="F219" s="35"/>
      <c r="G219" s="29">
        <f t="shared" si="20"/>
        <v>18302.78500000108</v>
      </c>
      <c r="H219" s="88"/>
      <c r="I219" s="31"/>
      <c r="J219" s="32"/>
      <c r="K219" s="89"/>
      <c r="L219" s="34"/>
      <c r="M219" s="35"/>
      <c r="N219" s="91">
        <f t="shared" si="19"/>
        <v>218158.80789994783</v>
      </c>
      <c r="O219" s="478"/>
      <c r="P219" s="423">
        <v>44694</v>
      </c>
      <c r="Q219" s="424">
        <v>199.5</v>
      </c>
    </row>
    <row r="220" spans="1:22" ht="15.75" thickBot="1">
      <c r="A220" s="24"/>
      <c r="B220" s="25"/>
      <c r="C220" s="412"/>
      <c r="D220" s="27"/>
      <c r="E220" s="27"/>
      <c r="F220" s="35"/>
      <c r="G220" s="29">
        <f t="shared" si="20"/>
        <v>18302.78500000108</v>
      </c>
      <c r="H220" s="54"/>
      <c r="I220" s="93"/>
      <c r="J220" s="32"/>
      <c r="K220" s="89"/>
      <c r="L220" s="89"/>
      <c r="M220" s="35"/>
      <c r="N220" s="91">
        <f t="shared" si="19"/>
        <v>218158.80789994783</v>
      </c>
      <c r="O220" s="478"/>
      <c r="P220" s="421">
        <v>44693</v>
      </c>
      <c r="Q220" s="422">
        <v>199.5</v>
      </c>
    </row>
    <row r="221" spans="1:22" ht="15.75" thickBot="1">
      <c r="A221" s="24"/>
      <c r="B221" s="25"/>
      <c r="C221" s="412"/>
      <c r="D221" s="27"/>
      <c r="E221" s="27"/>
      <c r="F221" s="28"/>
      <c r="G221" s="29">
        <f t="shared" si="20"/>
        <v>18302.78500000108</v>
      </c>
      <c r="H221" s="30"/>
      <c r="I221" s="31"/>
      <c r="J221" s="32"/>
      <c r="K221" s="89"/>
      <c r="L221" s="89"/>
      <c r="M221" s="35"/>
      <c r="N221" s="91">
        <f t="shared" si="19"/>
        <v>218158.80789994783</v>
      </c>
      <c r="O221" s="478"/>
      <c r="P221" s="423">
        <v>44692</v>
      </c>
      <c r="Q221" s="424">
        <v>201</v>
      </c>
    </row>
    <row r="222" spans="1:22" ht="15.75" thickBot="1">
      <c r="A222" s="24"/>
      <c r="B222" s="25"/>
      <c r="C222" s="412"/>
      <c r="D222" s="38"/>
      <c r="E222" s="38"/>
      <c r="F222" s="39"/>
      <c r="G222" s="29">
        <f t="shared" si="20"/>
        <v>18302.78500000108</v>
      </c>
      <c r="H222" s="30"/>
      <c r="I222" s="31"/>
      <c r="J222" s="32"/>
      <c r="K222" s="89"/>
      <c r="L222" s="89"/>
      <c r="M222" s="35"/>
      <c r="N222" s="91">
        <f t="shared" si="19"/>
        <v>218158.80789994783</v>
      </c>
      <c r="O222" s="478"/>
      <c r="P222" s="421">
        <v>44691</v>
      </c>
      <c r="Q222" s="422">
        <v>198</v>
      </c>
      <c r="R222" s="164" t="s">
        <v>161</v>
      </c>
      <c r="S222" s="165"/>
      <c r="T222" s="166"/>
      <c r="U222" s="167"/>
      <c r="V222" s="167"/>
    </row>
    <row r="223" spans="1:22" ht="15.75" thickBot="1">
      <c r="A223" s="120"/>
      <c r="B223" s="61"/>
      <c r="C223" s="412"/>
      <c r="D223" s="65"/>
      <c r="E223" s="65"/>
      <c r="F223" s="65"/>
      <c r="G223" s="29">
        <f t="shared" si="18"/>
        <v>18302.78500000108</v>
      </c>
      <c r="H223" s="103"/>
      <c r="I223" s="104"/>
      <c r="J223" s="105"/>
      <c r="K223" s="105"/>
      <c r="L223" s="106"/>
      <c r="M223" s="107"/>
      <c r="N223" s="91">
        <f t="shared" si="19"/>
        <v>218158.80789994783</v>
      </c>
      <c r="O223" s="478"/>
      <c r="P223" s="423">
        <v>44690</v>
      </c>
      <c r="Q223" s="424">
        <v>197.5</v>
      </c>
      <c r="R223" s="120">
        <v>44719</v>
      </c>
      <c r="S223" t="s">
        <v>162</v>
      </c>
      <c r="T223" s="184"/>
      <c r="U223" s="184">
        <v>13903.39</v>
      </c>
    </row>
    <row r="224" spans="1:22" ht="15.75" thickBot="1">
      <c r="A224" s="120"/>
      <c r="B224" s="61"/>
      <c r="C224" s="412"/>
      <c r="D224" s="65"/>
      <c r="E224" s="65"/>
      <c r="F224" s="65"/>
      <c r="G224" s="29">
        <f t="shared" si="18"/>
        <v>18302.78500000108</v>
      </c>
      <c r="H224" s="103"/>
      <c r="I224" s="109"/>
      <c r="J224" s="110"/>
      <c r="K224" s="105"/>
      <c r="L224" s="105"/>
      <c r="M224" s="102"/>
      <c r="N224" s="91">
        <f t="shared" si="19"/>
        <v>218158.80789994783</v>
      </c>
      <c r="O224" s="478"/>
      <c r="P224" s="421">
        <v>44687</v>
      </c>
      <c r="Q224" s="422">
        <v>197</v>
      </c>
      <c r="R224" s="120">
        <v>44722</v>
      </c>
      <c r="S224" t="s">
        <v>205</v>
      </c>
      <c r="T224" s="184">
        <v>270000</v>
      </c>
      <c r="U224" s="184"/>
    </row>
    <row r="225" spans="1:21" ht="15.75" thickBot="1">
      <c r="A225" s="40"/>
      <c r="B225" s="44"/>
      <c r="C225" s="412"/>
      <c r="D225" s="68"/>
      <c r="E225" s="68"/>
      <c r="F225" s="69"/>
      <c r="G225" s="29">
        <f t="shared" si="18"/>
        <v>18302.78500000108</v>
      </c>
      <c r="H225" s="70"/>
      <c r="I225" s="111"/>
      <c r="J225" s="72"/>
      <c r="K225" s="112"/>
      <c r="L225" s="74"/>
      <c r="M225" s="69"/>
      <c r="N225" s="91">
        <f t="shared" si="19"/>
        <v>218158.80789994783</v>
      </c>
      <c r="O225" s="478"/>
      <c r="P225" s="423">
        <v>44686</v>
      </c>
      <c r="Q225" s="424">
        <v>197.5</v>
      </c>
      <c r="R225" s="120">
        <v>44725</v>
      </c>
      <c r="S225" t="s">
        <v>163</v>
      </c>
      <c r="T225" s="184"/>
      <c r="U225" s="184">
        <f>567.32-59.57</f>
        <v>507.75000000000006</v>
      </c>
    </row>
    <row r="226" spans="1:21" ht="15.75" thickBot="1">
      <c r="A226" s="44"/>
      <c r="B226" s="75" t="s">
        <v>46</v>
      </c>
      <c r="C226" s="113">
        <f>SUM(C190:C225)</f>
        <v>14112750</v>
      </c>
      <c r="D226" s="114">
        <f>SUM(D190:D225)</f>
        <v>756612.56</v>
      </c>
      <c r="E226" s="114">
        <f>SUM(E190:E225)</f>
        <v>15961260.52</v>
      </c>
      <c r="F226" s="114">
        <f>SUM(F190:F225)</f>
        <v>835893.6540000001</v>
      </c>
      <c r="G226" s="115"/>
      <c r="H226" s="113">
        <f t="shared" ref="H226:M226" si="22">SUM(H190:H225)</f>
        <v>0</v>
      </c>
      <c r="I226" s="114">
        <f t="shared" si="22"/>
        <v>38397</v>
      </c>
      <c r="J226" s="114">
        <f t="shared" si="22"/>
        <v>0</v>
      </c>
      <c r="K226" s="114">
        <f t="shared" si="22"/>
        <v>0</v>
      </c>
      <c r="L226" s="114">
        <f t="shared" si="22"/>
        <v>1919.8500000000001</v>
      </c>
      <c r="M226" s="114">
        <f t="shared" si="22"/>
        <v>69800</v>
      </c>
      <c r="N226" s="79"/>
      <c r="O226" s="478"/>
      <c r="P226" s="421">
        <v>44685</v>
      </c>
      <c r="Q226" s="422">
        <v>197</v>
      </c>
      <c r="R226" s="120">
        <v>44728</v>
      </c>
      <c r="S226" t="s">
        <v>246</v>
      </c>
      <c r="T226" s="184"/>
      <c r="U226" s="184">
        <f>150000+147000+31357.84+895.56</f>
        <v>329253.40000000002</v>
      </c>
    </row>
    <row r="227" spans="1:21" ht="15.75" thickBot="1">
      <c r="O227" s="478"/>
      <c r="P227" s="423">
        <v>44684</v>
      </c>
      <c r="Q227" s="424">
        <v>199.5</v>
      </c>
      <c r="R227" s="120">
        <v>44733</v>
      </c>
      <c r="S227" t="s">
        <v>164</v>
      </c>
      <c r="T227" s="184">
        <v>159502.21</v>
      </c>
      <c r="U227" s="184"/>
    </row>
    <row r="228" spans="1:21" ht="15.75" thickBot="1">
      <c r="O228" s="478"/>
      <c r="P228" s="421">
        <v>44683</v>
      </c>
      <c r="Q228" s="422">
        <v>197</v>
      </c>
      <c r="R228" s="120">
        <v>44733</v>
      </c>
      <c r="S228" t="s">
        <v>166</v>
      </c>
      <c r="T228" s="184"/>
      <c r="U228" s="184">
        <v>51780.51</v>
      </c>
    </row>
    <row r="229" spans="1:21" ht="15.75" thickBot="1">
      <c r="A229" s="394" t="s">
        <v>249</v>
      </c>
      <c r="C229" s="907" t="s">
        <v>3</v>
      </c>
      <c r="D229" s="908"/>
      <c r="E229" s="907" t="s">
        <v>4</v>
      </c>
      <c r="F229" s="908"/>
      <c r="G229" s="5"/>
      <c r="H229" s="909" t="s">
        <v>5</v>
      </c>
      <c r="I229" s="910"/>
      <c r="J229" s="909" t="s">
        <v>6</v>
      </c>
      <c r="K229" s="911"/>
      <c r="L229" s="911"/>
      <c r="M229" s="910"/>
      <c r="N229" s="6"/>
      <c r="O229" s="478"/>
      <c r="P229" s="407"/>
      <c r="R229" s="120">
        <v>44733</v>
      </c>
      <c r="S229" t="s">
        <v>185</v>
      </c>
      <c r="T229" s="184">
        <v>82200</v>
      </c>
      <c r="U229" s="121" t="s">
        <v>194</v>
      </c>
    </row>
    <row r="230" spans="1:21" ht="15.75" thickBot="1">
      <c r="A230" s="7" t="s">
        <v>7</v>
      </c>
      <c r="B230" s="8" t="s">
        <v>8</v>
      </c>
      <c r="C230" s="9" t="s">
        <v>9</v>
      </c>
      <c r="D230" s="9" t="s">
        <v>10</v>
      </c>
      <c r="E230" s="10" t="s">
        <v>68</v>
      </c>
      <c r="F230" s="10" t="s">
        <v>69</v>
      </c>
      <c r="G230" s="11" t="s">
        <v>13</v>
      </c>
      <c r="H230" s="12" t="s">
        <v>14</v>
      </c>
      <c r="I230" s="12" t="s">
        <v>10</v>
      </c>
      <c r="J230" s="12" t="s">
        <v>15</v>
      </c>
      <c r="K230" s="12" t="s">
        <v>11</v>
      </c>
      <c r="L230" s="12" t="s">
        <v>16</v>
      </c>
      <c r="M230" s="12" t="s">
        <v>17</v>
      </c>
      <c r="N230" s="13" t="s">
        <v>18</v>
      </c>
      <c r="O230" s="478"/>
      <c r="P230" s="407"/>
      <c r="R230" s="120">
        <v>44735</v>
      </c>
      <c r="S230" t="s">
        <v>145</v>
      </c>
      <c r="T230" s="184"/>
      <c r="U230" s="184">
        <v>859.56</v>
      </c>
    </row>
    <row r="231" spans="1:21">
      <c r="A231" s="14"/>
      <c r="B231" s="15" t="s">
        <v>19</v>
      </c>
      <c r="C231" s="16"/>
      <c r="D231" s="17"/>
      <c r="E231" s="17"/>
      <c r="F231" s="85"/>
      <c r="G231" s="86">
        <f>G223</f>
        <v>18302.78500000108</v>
      </c>
      <c r="H231" s="16"/>
      <c r="I231" s="87"/>
      <c r="J231" s="17"/>
      <c r="K231" s="87"/>
      <c r="L231" s="21"/>
      <c r="M231" s="22"/>
      <c r="N231" s="23">
        <f>N223</f>
        <v>218158.80789994783</v>
      </c>
      <c r="O231" s="478"/>
      <c r="P231" s="407"/>
      <c r="R231" s="120">
        <v>44741</v>
      </c>
      <c r="S231" t="s">
        <v>168</v>
      </c>
      <c r="T231" s="184"/>
      <c r="U231" s="184">
        <v>90100</v>
      </c>
    </row>
    <row r="232" spans="1:21">
      <c r="A232" s="120">
        <v>44719</v>
      </c>
      <c r="B232" t="s">
        <v>162</v>
      </c>
      <c r="C232" s="37"/>
      <c r="D232" s="409"/>
      <c r="E232" s="409">
        <v>13903.39</v>
      </c>
      <c r="F232" s="39"/>
      <c r="G232" s="29">
        <f t="shared" ref="G232:G258" si="23">+G231+C232+D232-E232-F232</f>
        <v>4399.3950000010809</v>
      </c>
      <c r="H232" s="88"/>
      <c r="I232" s="89"/>
      <c r="J232" s="89"/>
      <c r="K232" s="89"/>
      <c r="L232" s="34"/>
      <c r="M232" s="90"/>
      <c r="N232" s="91">
        <f t="shared" ref="N232:N258" si="24">+N231+H232+I232-J232-K232-L232-M232</f>
        <v>218158.80789994783</v>
      </c>
      <c r="O232" s="478"/>
      <c r="P232" s="407"/>
      <c r="R232" s="120">
        <v>44742</v>
      </c>
      <c r="S232" t="s">
        <v>41</v>
      </c>
      <c r="T232" s="184"/>
      <c r="U232" s="184">
        <f>4685+7020</f>
        <v>11705</v>
      </c>
    </row>
    <row r="233" spans="1:21">
      <c r="A233" s="120">
        <v>44722</v>
      </c>
      <c r="B233" t="s">
        <v>205</v>
      </c>
      <c r="C233" s="37"/>
      <c r="D233" s="409">
        <v>270000</v>
      </c>
      <c r="E233" s="409"/>
      <c r="F233" s="39"/>
      <c r="G233" s="29">
        <f t="shared" si="23"/>
        <v>274399.39500000107</v>
      </c>
      <c r="H233" s="30"/>
      <c r="I233" s="31"/>
      <c r="J233" s="32"/>
      <c r="K233" s="89"/>
      <c r="L233" s="34"/>
      <c r="M233" s="35"/>
      <c r="N233" s="91">
        <f t="shared" si="24"/>
        <v>218158.80789994783</v>
      </c>
      <c r="O233" s="478"/>
      <c r="P233" s="407"/>
      <c r="S233" t="s">
        <v>43</v>
      </c>
      <c r="T233" s="184"/>
      <c r="U233" s="184"/>
    </row>
    <row r="234" spans="1:21">
      <c r="A234" s="24">
        <v>44722</v>
      </c>
      <c r="B234" s="25" t="s">
        <v>269</v>
      </c>
      <c r="C234" s="26"/>
      <c r="D234" s="27"/>
      <c r="E234" s="27"/>
      <c r="F234" s="39"/>
      <c r="G234" s="29">
        <f t="shared" si="23"/>
        <v>274399.39500000107</v>
      </c>
      <c r="H234" s="30"/>
      <c r="I234" s="445">
        <v>966</v>
      </c>
      <c r="J234" s="32"/>
      <c r="K234" s="89"/>
      <c r="L234" s="34"/>
      <c r="M234" s="35"/>
      <c r="N234" s="91">
        <f t="shared" si="24"/>
        <v>219124.80789994783</v>
      </c>
      <c r="O234" s="478"/>
      <c r="P234" s="407"/>
      <c r="R234" s="120"/>
      <c r="S234" s="61" t="s">
        <v>44</v>
      </c>
      <c r="T234" s="121"/>
      <c r="U234" s="121"/>
    </row>
    <row r="235" spans="1:21">
      <c r="A235" s="24">
        <v>44722</v>
      </c>
      <c r="B235" s="25" t="s">
        <v>270</v>
      </c>
      <c r="C235" s="37"/>
      <c r="D235" s="38"/>
      <c r="E235" s="38"/>
      <c r="F235" s="39"/>
      <c r="G235" s="29">
        <f t="shared" si="23"/>
        <v>274399.39500000107</v>
      </c>
      <c r="H235" s="30"/>
      <c r="I235" s="445">
        <v>966</v>
      </c>
      <c r="J235" s="47"/>
      <c r="K235" s="89"/>
      <c r="L235" s="34"/>
      <c r="M235" s="48"/>
      <c r="N235" s="91">
        <f t="shared" si="24"/>
        <v>220090.80789994783</v>
      </c>
      <c r="O235" s="377"/>
      <c r="P235" s="204"/>
      <c r="R235" s="120"/>
      <c r="S235" s="15"/>
      <c r="T235" s="121"/>
      <c r="U235" s="124"/>
    </row>
    <row r="236" spans="1:21">
      <c r="A236" s="24">
        <v>44722</v>
      </c>
      <c r="B236" s="25" t="s">
        <v>280</v>
      </c>
      <c r="C236" s="37"/>
      <c r="D236" s="38"/>
      <c r="E236" s="27"/>
      <c r="F236" s="39"/>
      <c r="G236" s="29">
        <f t="shared" ref="G236:G257" si="25">+G235+C236+D236-E236-F236</f>
        <v>274399.39500000107</v>
      </c>
      <c r="H236" s="54"/>
      <c r="I236" s="445">
        <v>5580</v>
      </c>
      <c r="J236" s="898"/>
      <c r="K236" s="89"/>
      <c r="L236" s="34"/>
      <c r="M236" s="35"/>
      <c r="N236" s="91">
        <f t="shared" si="24"/>
        <v>225670.80789994783</v>
      </c>
      <c r="S236" t="s">
        <v>219</v>
      </c>
      <c r="U236" s="184">
        <v>15185</v>
      </c>
    </row>
    <row r="237" spans="1:21">
      <c r="A237" s="24">
        <v>44722</v>
      </c>
      <c r="B237" s="25" t="s">
        <v>283</v>
      </c>
      <c r="C237" s="37"/>
      <c r="D237" s="98"/>
      <c r="E237" s="27"/>
      <c r="F237" s="39"/>
      <c r="G237" s="29">
        <f t="shared" si="25"/>
        <v>274399.39500000107</v>
      </c>
      <c r="H237" s="88"/>
      <c r="I237" s="445">
        <v>5580</v>
      </c>
      <c r="J237" s="899"/>
      <c r="K237" s="89"/>
      <c r="L237" s="34"/>
      <c r="M237" s="90"/>
      <c r="N237" s="91">
        <f t="shared" si="24"/>
        <v>231250.80789994783</v>
      </c>
    </row>
    <row r="238" spans="1:21">
      <c r="A238" s="24">
        <v>44722</v>
      </c>
      <c r="B238" s="25" t="s">
        <v>289</v>
      </c>
      <c r="C238" s="37"/>
      <c r="D238" s="27"/>
      <c r="E238" s="27"/>
      <c r="F238" s="39"/>
      <c r="G238" s="29">
        <f t="shared" si="25"/>
        <v>274399.39500000107</v>
      </c>
      <c r="H238" s="88"/>
      <c r="I238" s="445">
        <v>8500</v>
      </c>
      <c r="J238" s="32"/>
      <c r="K238" s="89"/>
      <c r="L238" s="34"/>
      <c r="M238" s="35"/>
      <c r="N238" s="91">
        <f t="shared" si="24"/>
        <v>239750.80789994783</v>
      </c>
      <c r="O238" s="475"/>
      <c r="P238" s="6"/>
    </row>
    <row r="239" spans="1:21">
      <c r="A239" s="24">
        <v>44722</v>
      </c>
      <c r="B239" s="25" t="s">
        <v>290</v>
      </c>
      <c r="C239" s="37"/>
      <c r="D239" s="38"/>
      <c r="E239" s="27"/>
      <c r="F239" s="39"/>
      <c r="G239" s="29">
        <f t="shared" si="23"/>
        <v>274399.39500000107</v>
      </c>
      <c r="H239" s="88"/>
      <c r="I239" s="445">
        <v>8500</v>
      </c>
      <c r="J239" s="47"/>
      <c r="K239" s="89"/>
      <c r="L239" s="34"/>
      <c r="M239" s="48"/>
      <c r="N239" s="91">
        <f t="shared" si="24"/>
        <v>248250.80789994783</v>
      </c>
      <c r="O239" s="476"/>
      <c r="P239" s="430"/>
    </row>
    <row r="240" spans="1:21">
      <c r="A240" s="24">
        <v>44722</v>
      </c>
      <c r="B240" s="25" t="s">
        <v>263</v>
      </c>
      <c r="C240" s="37"/>
      <c r="D240" s="27"/>
      <c r="E240" s="27"/>
      <c r="F240" s="39"/>
      <c r="G240" s="29">
        <f t="shared" si="25"/>
        <v>274399.39500000107</v>
      </c>
      <c r="H240" s="88"/>
      <c r="I240" s="445">
        <v>9165</v>
      </c>
      <c r="J240" s="32"/>
      <c r="K240" s="89"/>
      <c r="L240" s="34"/>
      <c r="M240" s="35"/>
      <c r="N240" s="91">
        <f t="shared" si="24"/>
        <v>257415.80789994783</v>
      </c>
      <c r="O240" s="477"/>
      <c r="P240" s="431"/>
    </row>
    <row r="241" spans="1:22">
      <c r="A241" s="120">
        <v>44725</v>
      </c>
      <c r="B241" t="s">
        <v>163</v>
      </c>
      <c r="C241" s="37"/>
      <c r="D241" s="409"/>
      <c r="E241" s="409">
        <f>567.32-59.57</f>
        <v>507.75000000000006</v>
      </c>
      <c r="F241" s="39"/>
      <c r="G241" s="29">
        <f t="shared" si="25"/>
        <v>273891.64500000107</v>
      </c>
      <c r="H241" s="46"/>
      <c r="I241" s="31"/>
      <c r="J241" s="89"/>
      <c r="K241" s="89"/>
      <c r="L241" s="34"/>
      <c r="M241" s="90"/>
      <c r="N241" s="91">
        <f t="shared" si="24"/>
        <v>257415.80789994783</v>
      </c>
      <c r="O241" s="478"/>
      <c r="P241" s="407"/>
    </row>
    <row r="242" spans="1:22">
      <c r="A242" s="120">
        <v>44728</v>
      </c>
      <c r="B242" t="s">
        <v>246</v>
      </c>
      <c r="C242" s="37"/>
      <c r="D242" s="409"/>
      <c r="E242" s="409">
        <f>150000+147000+31357.84+895.56</f>
        <v>329253.40000000002</v>
      </c>
      <c r="F242" s="39"/>
      <c r="G242" s="29">
        <f t="shared" si="25"/>
        <v>-55361.754999998957</v>
      </c>
      <c r="H242" s="54"/>
      <c r="I242" s="93"/>
      <c r="J242" s="32"/>
      <c r="K242" s="89"/>
      <c r="L242" s="34"/>
      <c r="M242" s="35"/>
      <c r="N242" s="91">
        <f t="shared" si="24"/>
        <v>257415.80789994783</v>
      </c>
      <c r="O242" s="478"/>
      <c r="P242" s="407"/>
    </row>
    <row r="243" spans="1:22">
      <c r="A243" s="120">
        <v>44733</v>
      </c>
      <c r="B243" t="s">
        <v>164</v>
      </c>
      <c r="C243" s="37"/>
      <c r="D243" s="409">
        <v>159502.21</v>
      </c>
      <c r="E243" s="409"/>
      <c r="F243" s="39"/>
      <c r="G243" s="29">
        <f t="shared" si="23"/>
        <v>104140.45500000103</v>
      </c>
      <c r="H243" s="54"/>
      <c r="I243" s="31"/>
      <c r="J243" s="89"/>
      <c r="K243" s="89"/>
      <c r="L243" s="34"/>
      <c r="M243" s="90"/>
      <c r="N243" s="91">
        <f t="shared" si="24"/>
        <v>257415.80789994783</v>
      </c>
      <c r="O243" s="478"/>
      <c r="P243" s="407"/>
    </row>
    <row r="244" spans="1:22">
      <c r="A244" s="120">
        <v>44733</v>
      </c>
      <c r="B244" t="s">
        <v>166</v>
      </c>
      <c r="C244" s="37"/>
      <c r="D244" s="409"/>
      <c r="E244" s="409">
        <v>51780.51</v>
      </c>
      <c r="F244" s="39"/>
      <c r="G244" s="29">
        <f t="shared" si="25"/>
        <v>52359.945000001033</v>
      </c>
      <c r="H244" s="88"/>
      <c r="I244" s="31"/>
      <c r="J244" s="89"/>
      <c r="K244" s="89"/>
      <c r="L244" s="34"/>
      <c r="M244" s="90"/>
      <c r="N244" s="91">
        <f t="shared" si="24"/>
        <v>257415.80789994783</v>
      </c>
      <c r="O244" s="478"/>
      <c r="P244" s="407"/>
    </row>
    <row r="245" spans="1:22">
      <c r="A245" s="120">
        <v>44733</v>
      </c>
      <c r="B245" t="s">
        <v>185</v>
      </c>
      <c r="C245" s="37"/>
      <c r="D245" s="409">
        <v>82200</v>
      </c>
      <c r="E245" s="230"/>
      <c r="F245" s="39"/>
      <c r="G245" s="29">
        <f t="shared" si="25"/>
        <v>134559.94500000103</v>
      </c>
      <c r="H245" s="88"/>
      <c r="I245" s="445">
        <v>400</v>
      </c>
      <c r="J245" s="32"/>
      <c r="K245" s="89"/>
      <c r="L245" s="34"/>
      <c r="M245" s="35"/>
      <c r="N245" s="91">
        <f t="shared" si="24"/>
        <v>257815.80789994783</v>
      </c>
      <c r="O245" s="478"/>
      <c r="P245" s="407"/>
    </row>
    <row r="246" spans="1:22" ht="15.75" thickBot="1">
      <c r="A246" s="120">
        <v>44735</v>
      </c>
      <c r="B246" t="s">
        <v>145</v>
      </c>
      <c r="C246" s="37"/>
      <c r="D246" s="409"/>
      <c r="E246" s="409">
        <v>859.56</v>
      </c>
      <c r="F246" s="39"/>
      <c r="G246" s="29">
        <f t="shared" si="25"/>
        <v>133700.38500000103</v>
      </c>
      <c r="H246" s="88"/>
      <c r="I246" s="89"/>
      <c r="J246" s="32"/>
      <c r="K246" s="89"/>
      <c r="L246" s="34"/>
      <c r="M246" s="35"/>
      <c r="N246" s="91">
        <f t="shared" si="24"/>
        <v>257815.80789994783</v>
      </c>
      <c r="O246" s="478"/>
      <c r="P246" s="407"/>
    </row>
    <row r="247" spans="1:22" ht="15.75" thickBot="1">
      <c r="A247" s="456">
        <v>44741</v>
      </c>
      <c r="B247" s="453" t="s">
        <v>168</v>
      </c>
      <c r="C247" s="454"/>
      <c r="D247" s="455"/>
      <c r="E247" s="455">
        <v>90100</v>
      </c>
      <c r="F247" s="39"/>
      <c r="G247" s="29">
        <f t="shared" si="23"/>
        <v>43600.385000001028</v>
      </c>
      <c r="H247" s="88"/>
      <c r="I247" s="89"/>
      <c r="J247" s="32"/>
      <c r="K247" s="89"/>
      <c r="L247" s="34"/>
      <c r="M247" s="35"/>
      <c r="N247" s="91">
        <f t="shared" si="24"/>
        <v>257815.80789994783</v>
      </c>
      <c r="O247" s="478"/>
      <c r="P247" s="423">
        <v>44742</v>
      </c>
      <c r="Q247" s="424">
        <v>234</v>
      </c>
    </row>
    <row r="248" spans="1:22" ht="15.75" thickBot="1">
      <c r="A248" s="120">
        <v>44742</v>
      </c>
      <c r="B248" s="44" t="s">
        <v>311</v>
      </c>
      <c r="C248" s="447">
        <f>M248*234</f>
        <v>46800</v>
      </c>
      <c r="D248" s="409"/>
      <c r="E248" s="409"/>
      <c r="F248" s="39"/>
      <c r="G248" s="29">
        <f t="shared" si="25"/>
        <v>90400.385000001028</v>
      </c>
      <c r="H248" s="54"/>
      <c r="I248" s="31"/>
      <c r="J248" s="89"/>
      <c r="K248" s="89"/>
      <c r="L248" s="34"/>
      <c r="M248" s="90">
        <v>200</v>
      </c>
      <c r="N248" s="91">
        <f t="shared" si="24"/>
        <v>257615.80789994783</v>
      </c>
      <c r="O248" s="478"/>
      <c r="P248" s="421">
        <v>44741</v>
      </c>
      <c r="Q248" s="422">
        <v>235</v>
      </c>
    </row>
    <row r="249" spans="1:22" ht="15.75" thickBot="1">
      <c r="A249" s="120">
        <v>44742</v>
      </c>
      <c r="B249" t="s">
        <v>41</v>
      </c>
      <c r="C249" s="37"/>
      <c r="D249" s="409"/>
      <c r="E249" s="409">
        <f>4685+7020</f>
        <v>11705</v>
      </c>
      <c r="F249" s="39"/>
      <c r="G249" s="29">
        <f t="shared" ref="G249:G255" si="26">+G248+C249+D249-E249-F249</f>
        <v>78695.385000001028</v>
      </c>
      <c r="H249" s="54"/>
      <c r="I249" s="31"/>
      <c r="J249" s="89"/>
      <c r="K249" s="89"/>
      <c r="L249" s="34"/>
      <c r="M249" s="90"/>
      <c r="N249" s="91">
        <f t="shared" si="24"/>
        <v>257615.80789994783</v>
      </c>
      <c r="O249" s="478"/>
      <c r="P249" s="423">
        <v>44740</v>
      </c>
      <c r="Q249" s="424">
        <v>235</v>
      </c>
    </row>
    <row r="250" spans="1:22" ht="15.75" thickBot="1">
      <c r="A250" s="120">
        <v>44742</v>
      </c>
      <c r="B250" s="453" t="s">
        <v>219</v>
      </c>
      <c r="C250" s="454"/>
      <c r="D250" s="450"/>
      <c r="E250" s="455">
        <v>15000</v>
      </c>
      <c r="F250" s="39"/>
      <c r="G250" s="29">
        <f t="shared" si="23"/>
        <v>63695.385000001028</v>
      </c>
      <c r="H250" s="54"/>
      <c r="I250" s="31"/>
      <c r="J250" s="89"/>
      <c r="K250" s="89"/>
      <c r="L250" s="34"/>
      <c r="M250" s="90"/>
      <c r="N250" s="91">
        <f t="shared" si="24"/>
        <v>257615.80789994783</v>
      </c>
      <c r="O250" s="478"/>
      <c r="P250" s="421">
        <v>44739</v>
      </c>
      <c r="Q250" s="422">
        <v>228</v>
      </c>
    </row>
    <row r="251" spans="1:22" ht="15.75" thickBot="1">
      <c r="A251" s="120">
        <v>44742</v>
      </c>
      <c r="B251" t="s">
        <v>43</v>
      </c>
      <c r="C251" s="37"/>
      <c r="D251" s="409"/>
      <c r="E251" s="409"/>
      <c r="F251" s="452">
        <f>SUM(D232:D250)*5%</f>
        <v>25585.110499999999</v>
      </c>
      <c r="G251" s="29">
        <f t="shared" si="25"/>
        <v>38110.274500001033</v>
      </c>
      <c r="H251" s="54"/>
      <c r="I251" s="31"/>
      <c r="J251" s="32"/>
      <c r="K251" s="89"/>
      <c r="L251" s="444">
        <f>SUM(I232:I250)*5%</f>
        <v>1982.8500000000001</v>
      </c>
      <c r="M251" s="35"/>
      <c r="N251" s="91">
        <f t="shared" si="24"/>
        <v>255632.95789994783</v>
      </c>
      <c r="O251" s="478"/>
      <c r="P251" s="423">
        <v>44736</v>
      </c>
      <c r="Q251" s="424">
        <v>222</v>
      </c>
    </row>
    <row r="252" spans="1:22" ht="15.75" thickBot="1">
      <c r="A252" s="120">
        <v>44742</v>
      </c>
      <c r="B252" s="61" t="s">
        <v>44</v>
      </c>
      <c r="C252" s="37"/>
      <c r="D252" s="230"/>
      <c r="E252" s="230"/>
      <c r="F252" s="452">
        <f>SUM(E232:E250)*5%</f>
        <v>25655.480500000005</v>
      </c>
      <c r="G252" s="29">
        <f t="shared" si="26"/>
        <v>12454.794000001028</v>
      </c>
      <c r="H252" s="88"/>
      <c r="I252" s="93"/>
      <c r="J252" s="32"/>
      <c r="K252" s="89"/>
      <c r="L252" s="444">
        <f>SUM(K232:K250)*5%</f>
        <v>0</v>
      </c>
      <c r="M252" s="35"/>
      <c r="N252" s="91">
        <f t="shared" si="24"/>
        <v>255632.95789994783</v>
      </c>
      <c r="O252" s="478"/>
      <c r="P252" s="421">
        <v>44735</v>
      </c>
      <c r="Q252" s="422">
        <v>220</v>
      </c>
      <c r="R252" s="120"/>
      <c r="S252" s="146"/>
      <c r="T252" s="137"/>
      <c r="U252" s="393"/>
      <c r="V252" s="116"/>
    </row>
    <row r="253" spans="1:22" ht="15.75" thickBot="1">
      <c r="A253" s="24"/>
      <c r="B253" s="25"/>
      <c r="C253" s="56"/>
      <c r="D253" s="27"/>
      <c r="E253" s="27"/>
      <c r="F253" s="39"/>
      <c r="G253" s="29">
        <f t="shared" si="23"/>
        <v>12454.794000001028</v>
      </c>
      <c r="H253" s="88"/>
      <c r="I253" s="31"/>
      <c r="J253" s="32"/>
      <c r="K253" s="89"/>
      <c r="L253" s="89"/>
      <c r="M253" s="35"/>
      <c r="N253" s="91">
        <f t="shared" si="24"/>
        <v>255632.95789994783</v>
      </c>
      <c r="O253" s="478"/>
      <c r="P253" s="423">
        <v>44734</v>
      </c>
      <c r="Q253" s="424">
        <v>220</v>
      </c>
      <c r="R253" s="120"/>
      <c r="S253" s="146"/>
      <c r="T253" s="137"/>
      <c r="U253" s="393"/>
      <c r="V253" s="116"/>
    </row>
    <row r="254" spans="1:22" ht="15.75" thickBot="1">
      <c r="A254" s="24"/>
      <c r="B254" s="25"/>
      <c r="C254" s="56"/>
      <c r="D254" s="27"/>
      <c r="E254" s="27"/>
      <c r="F254" s="35"/>
      <c r="G254" s="29">
        <f t="shared" si="25"/>
        <v>12454.794000001028</v>
      </c>
      <c r="H254" s="88"/>
      <c r="I254" s="31"/>
      <c r="J254" s="32"/>
      <c r="K254" s="89"/>
      <c r="L254" s="89"/>
      <c r="M254" s="35"/>
      <c r="N254" s="91">
        <f t="shared" si="24"/>
        <v>255632.95789994783</v>
      </c>
      <c r="O254" s="478"/>
      <c r="P254" s="421">
        <v>44733</v>
      </c>
      <c r="Q254" s="422">
        <v>216</v>
      </c>
    </row>
    <row r="255" spans="1:22" ht="15.75" thickBot="1">
      <c r="A255" s="24"/>
      <c r="B255" s="25"/>
      <c r="C255" s="66"/>
      <c r="D255" s="38"/>
      <c r="E255" s="27"/>
      <c r="F255" s="35"/>
      <c r="G255" s="29">
        <f t="shared" si="26"/>
        <v>12454.794000001028</v>
      </c>
      <c r="H255" s="88"/>
      <c r="I255" s="31"/>
      <c r="J255" s="32"/>
      <c r="K255" s="89"/>
      <c r="L255" s="89"/>
      <c r="M255" s="35"/>
      <c r="N255" s="91">
        <f t="shared" si="24"/>
        <v>255632.95789994783</v>
      </c>
      <c r="O255" s="478"/>
      <c r="P255" s="423">
        <v>44728</v>
      </c>
      <c r="Q255" s="424">
        <v>212</v>
      </c>
    </row>
    <row r="256" spans="1:22" ht="15.75" thickBot="1">
      <c r="A256" s="24"/>
      <c r="B256" s="25"/>
      <c r="C256" s="45"/>
      <c r="D256" s="27"/>
      <c r="E256" s="27"/>
      <c r="F256" s="35"/>
      <c r="G256" s="29">
        <f t="shared" si="23"/>
        <v>12454.794000001028</v>
      </c>
      <c r="H256" s="88"/>
      <c r="I256" s="93"/>
      <c r="J256" s="105"/>
      <c r="K256" s="105"/>
      <c r="L256" s="106"/>
      <c r="M256" s="107"/>
      <c r="N256" s="91">
        <f t="shared" si="24"/>
        <v>255632.95789994783</v>
      </c>
      <c r="O256" s="478"/>
      <c r="P256" s="421">
        <v>44727</v>
      </c>
      <c r="Q256" s="422">
        <v>213</v>
      </c>
      <c r="R256" s="164"/>
      <c r="S256" s="165"/>
      <c r="T256" s="166"/>
      <c r="U256" s="167"/>
      <c r="V256" s="167"/>
    </row>
    <row r="257" spans="1:22" ht="15.75" thickBot="1">
      <c r="A257" s="40"/>
      <c r="B257" s="61"/>
      <c r="C257" s="97"/>
      <c r="D257" s="98"/>
      <c r="E257" s="99"/>
      <c r="F257" s="108"/>
      <c r="G257" s="29">
        <f t="shared" si="25"/>
        <v>12454.794000001028</v>
      </c>
      <c r="H257" s="103"/>
      <c r="I257" s="109"/>
      <c r="J257" s="110"/>
      <c r="K257" s="105"/>
      <c r="L257" s="105"/>
      <c r="M257" s="102"/>
      <c r="N257" s="91">
        <f t="shared" si="24"/>
        <v>255632.95789994783</v>
      </c>
      <c r="O257" s="478"/>
      <c r="P257" s="423">
        <v>44726</v>
      </c>
      <c r="Q257" s="424">
        <v>220</v>
      </c>
    </row>
    <row r="258" spans="1:22" ht="15.75" thickBot="1">
      <c r="A258" s="40"/>
      <c r="B258" s="44"/>
      <c r="C258" s="67"/>
      <c r="D258" s="68"/>
      <c r="E258" s="68"/>
      <c r="F258" s="69"/>
      <c r="G258" s="29">
        <f t="shared" si="23"/>
        <v>12454.794000001028</v>
      </c>
      <c r="H258" s="70"/>
      <c r="I258" s="111"/>
      <c r="J258" s="72"/>
      <c r="K258" s="112"/>
      <c r="L258" s="74"/>
      <c r="M258" s="69"/>
      <c r="N258" s="91">
        <f t="shared" si="24"/>
        <v>255632.95789994783</v>
      </c>
      <c r="O258" s="478"/>
      <c r="P258" s="421">
        <v>44725</v>
      </c>
      <c r="Q258" s="422">
        <v>212</v>
      </c>
    </row>
    <row r="259" spans="1:22" ht="15.75" thickBot="1">
      <c r="A259" s="44"/>
      <c r="B259" s="75" t="s">
        <v>46</v>
      </c>
      <c r="C259" s="113">
        <f>SUM(C231:C258)</f>
        <v>46800</v>
      </c>
      <c r="D259" s="114">
        <f>SUM(D231:D258)</f>
        <v>511702.20999999996</v>
      </c>
      <c r="E259" s="114">
        <f>SUM(E231:E258)</f>
        <v>513109.61000000004</v>
      </c>
      <c r="F259" s="114">
        <f>SUM(F231:F258)</f>
        <v>51240.591</v>
      </c>
      <c r="G259" s="115"/>
      <c r="H259" s="113">
        <f t="shared" ref="H259:M259" si="27">SUM(H231:H258)</f>
        <v>0</v>
      </c>
      <c r="I259" s="114">
        <f t="shared" si="27"/>
        <v>39657</v>
      </c>
      <c r="J259" s="114">
        <f t="shared" si="27"/>
        <v>0</v>
      </c>
      <c r="K259" s="114">
        <f t="shared" si="27"/>
        <v>0</v>
      </c>
      <c r="L259" s="114">
        <f t="shared" si="27"/>
        <v>1982.8500000000001</v>
      </c>
      <c r="M259" s="114">
        <f t="shared" si="27"/>
        <v>200</v>
      </c>
      <c r="N259" s="79"/>
      <c r="O259" s="478"/>
      <c r="P259" s="423">
        <v>44722</v>
      </c>
      <c r="Q259" s="424">
        <v>206</v>
      </c>
    </row>
    <row r="260" spans="1:22" ht="15.75" thickBot="1">
      <c r="O260" s="478"/>
      <c r="P260" s="421">
        <v>44721</v>
      </c>
      <c r="Q260" s="422">
        <v>204</v>
      </c>
      <c r="U260" s="192"/>
      <c r="V260" s="192"/>
    </row>
    <row r="261" spans="1:22" ht="15.75" thickBot="1">
      <c r="O261" s="478"/>
      <c r="P261" s="423">
        <v>44720</v>
      </c>
      <c r="Q261" s="424">
        <v>204</v>
      </c>
      <c r="R261" s="177">
        <v>44746</v>
      </c>
      <c r="S261" s="178" t="s">
        <v>256</v>
      </c>
      <c r="T261" s="179"/>
      <c r="U261" s="189">
        <v>135400</v>
      </c>
      <c r="V261" s="192"/>
    </row>
    <row r="262" spans="1:22" ht="15.75" thickBot="1">
      <c r="O262" s="478"/>
      <c r="P262" s="421">
        <v>44719</v>
      </c>
      <c r="Q262" s="422">
        <v>202</v>
      </c>
      <c r="R262" s="120">
        <v>44748</v>
      </c>
      <c r="S262" s="15" t="s">
        <v>169</v>
      </c>
      <c r="T262" s="121"/>
      <c r="U262" s="124">
        <v>14472.77</v>
      </c>
    </row>
    <row r="263" spans="1:22" ht="15.75" thickBot="1">
      <c r="A263" s="394" t="s">
        <v>250</v>
      </c>
      <c r="C263" s="907" t="s">
        <v>3</v>
      </c>
      <c r="D263" s="908"/>
      <c r="E263" s="907" t="s">
        <v>4</v>
      </c>
      <c r="F263" s="908"/>
      <c r="G263" s="5"/>
      <c r="H263" s="909" t="s">
        <v>5</v>
      </c>
      <c r="I263" s="910"/>
      <c r="J263" s="909" t="s">
        <v>6</v>
      </c>
      <c r="K263" s="911"/>
      <c r="L263" s="911"/>
      <c r="M263" s="910"/>
      <c r="N263" s="6"/>
      <c r="O263" s="478"/>
      <c r="P263" s="423">
        <v>44718</v>
      </c>
      <c r="Q263" s="424">
        <v>201</v>
      </c>
      <c r="R263" s="120">
        <v>44748</v>
      </c>
      <c r="S263" s="15" t="s">
        <v>170</v>
      </c>
      <c r="T263" s="121"/>
      <c r="U263" s="124">
        <v>567.32000000000005</v>
      </c>
    </row>
    <row r="264" spans="1:22" ht="15.75" thickBot="1">
      <c r="A264" s="7" t="s">
        <v>7</v>
      </c>
      <c r="B264" s="8" t="s">
        <v>8</v>
      </c>
      <c r="C264" s="9" t="s">
        <v>9</v>
      </c>
      <c r="D264" s="9" t="s">
        <v>10</v>
      </c>
      <c r="E264" s="10" t="s">
        <v>68</v>
      </c>
      <c r="F264" s="10" t="s">
        <v>69</v>
      </c>
      <c r="G264" s="11" t="s">
        <v>13</v>
      </c>
      <c r="H264" s="12" t="s">
        <v>14</v>
      </c>
      <c r="I264" s="12" t="s">
        <v>10</v>
      </c>
      <c r="J264" s="12" t="s">
        <v>15</v>
      </c>
      <c r="K264" s="12" t="s">
        <v>11</v>
      </c>
      <c r="L264" s="12" t="s">
        <v>16</v>
      </c>
      <c r="M264" s="12" t="s">
        <v>17</v>
      </c>
      <c r="N264" s="13" t="s">
        <v>18</v>
      </c>
      <c r="O264" s="478"/>
      <c r="P264" s="421">
        <v>44715</v>
      </c>
      <c r="Q264" s="422">
        <v>201</v>
      </c>
      <c r="R264" s="120"/>
      <c r="S264" s="15"/>
      <c r="T264" s="121"/>
      <c r="U264" s="124"/>
    </row>
    <row r="265" spans="1:22" ht="15.75" thickBot="1">
      <c r="A265" s="120">
        <v>44742</v>
      </c>
      <c r="B265" s="15" t="s">
        <v>19</v>
      </c>
      <c r="C265" s="16"/>
      <c r="D265" s="17"/>
      <c r="E265" s="17"/>
      <c r="F265" s="85"/>
      <c r="G265" s="86">
        <f>G257</f>
        <v>12454.794000001028</v>
      </c>
      <c r="H265" s="16"/>
      <c r="I265" s="87"/>
      <c r="J265" s="17"/>
      <c r="K265" s="87"/>
      <c r="L265" s="21"/>
      <c r="M265" s="22"/>
      <c r="N265" s="23">
        <f>N257</f>
        <v>255632.95789994783</v>
      </c>
      <c r="O265" s="478"/>
      <c r="P265" s="423">
        <v>44714</v>
      </c>
      <c r="Q265" s="424">
        <v>202</v>
      </c>
      <c r="R265" s="120"/>
      <c r="S265" s="15"/>
      <c r="T265" s="121"/>
      <c r="U265" s="124"/>
    </row>
    <row r="266" spans="1:22" ht="15.75" thickBot="1">
      <c r="A266" s="227">
        <v>44746</v>
      </c>
      <c r="B266" s="44" t="s">
        <v>312</v>
      </c>
      <c r="C266" s="447">
        <f>M266*250</f>
        <v>500000</v>
      </c>
      <c r="D266" s="65"/>
      <c r="E266" s="65"/>
      <c r="F266" s="32"/>
      <c r="G266" s="29">
        <f t="shared" ref="G266:G292" si="28">+G265+C266+D266-E266-F266</f>
        <v>512454.79400000104</v>
      </c>
      <c r="H266" s="88"/>
      <c r="I266" s="89"/>
      <c r="J266" s="89"/>
      <c r="K266" s="89"/>
      <c r="L266" s="34"/>
      <c r="M266" s="90">
        <v>2000</v>
      </c>
      <c r="N266" s="91">
        <f t="shared" ref="N266:N292" si="29">+N265+H266+I266-J266-K266-L266-M266</f>
        <v>253632.95789994783</v>
      </c>
      <c r="O266" s="478"/>
      <c r="P266" s="421">
        <v>44713</v>
      </c>
      <c r="Q266" s="422">
        <v>202</v>
      </c>
      <c r="R266" s="120">
        <v>44749</v>
      </c>
      <c r="S266" s="15" t="s">
        <v>188</v>
      </c>
      <c r="T266" s="121"/>
      <c r="U266" s="124">
        <v>189168</v>
      </c>
    </row>
    <row r="267" spans="1:22">
      <c r="A267" s="227">
        <v>44746</v>
      </c>
      <c r="B267" s="232" t="s">
        <v>256</v>
      </c>
      <c r="C267" s="416"/>
      <c r="D267" s="462"/>
      <c r="E267" s="463">
        <v>135400</v>
      </c>
      <c r="F267" s="464"/>
      <c r="G267" s="29">
        <f t="shared" si="28"/>
        <v>377054.79400000104</v>
      </c>
      <c r="H267" s="30"/>
      <c r="I267" s="31"/>
      <c r="J267" s="32"/>
      <c r="K267" s="89"/>
      <c r="L267" s="34"/>
      <c r="M267" s="35"/>
      <c r="N267" s="91">
        <f t="shared" si="29"/>
        <v>253632.95789994783</v>
      </c>
      <c r="O267" s="478"/>
      <c r="P267" s="407"/>
      <c r="R267" s="120">
        <v>44752</v>
      </c>
      <c r="S267" s="15" t="s">
        <v>174</v>
      </c>
      <c r="T267" s="121"/>
      <c r="U267" s="124">
        <v>122743.96</v>
      </c>
    </row>
    <row r="268" spans="1:22">
      <c r="A268" s="227">
        <v>44748</v>
      </c>
      <c r="B268" s="232" t="s">
        <v>169</v>
      </c>
      <c r="C268" s="230"/>
      <c r="D268" s="463"/>
      <c r="E268" s="463">
        <v>14472.77</v>
      </c>
      <c r="F268" s="465"/>
      <c r="G268" s="29">
        <f t="shared" si="28"/>
        <v>362582.02400000102</v>
      </c>
      <c r="H268" s="30"/>
      <c r="I268" s="31"/>
      <c r="J268" s="32"/>
      <c r="K268" s="89"/>
      <c r="L268" s="34"/>
      <c r="M268" s="35"/>
      <c r="N268" s="91">
        <f t="shared" si="29"/>
        <v>253632.95789994783</v>
      </c>
      <c r="O268" s="377"/>
      <c r="P268" s="204"/>
      <c r="R268" s="120">
        <v>44753</v>
      </c>
      <c r="S268" s="15" t="s">
        <v>173</v>
      </c>
      <c r="T268" s="121">
        <f>269000+19411.34</f>
        <v>288411.34000000003</v>
      </c>
      <c r="U268" s="124"/>
    </row>
    <row r="269" spans="1:22">
      <c r="A269" s="227">
        <v>44748</v>
      </c>
      <c r="B269" s="232" t="s">
        <v>170</v>
      </c>
      <c r="C269" s="230"/>
      <c r="D269" s="463"/>
      <c r="E269" s="463">
        <v>567.32000000000005</v>
      </c>
      <c r="F269" s="466"/>
      <c r="G269" s="29">
        <f t="shared" si="28"/>
        <v>362014.70400000102</v>
      </c>
      <c r="H269" s="46"/>
      <c r="I269" s="31"/>
      <c r="J269" s="47"/>
      <c r="K269" s="89"/>
      <c r="L269" s="34"/>
      <c r="M269" s="48"/>
      <c r="N269" s="91">
        <f t="shared" si="29"/>
        <v>253632.95789994783</v>
      </c>
      <c r="R269" s="120">
        <v>44753</v>
      </c>
      <c r="S269" s="15" t="s">
        <v>202</v>
      </c>
      <c r="T269" s="121">
        <v>72000</v>
      </c>
      <c r="U269" s="124"/>
      <c r="V269" s="124" t="s">
        <v>194</v>
      </c>
    </row>
    <row r="270" spans="1:22">
      <c r="A270" s="227">
        <v>44749</v>
      </c>
      <c r="B270" s="232" t="s">
        <v>188</v>
      </c>
      <c r="C270" s="230"/>
      <c r="D270" s="463"/>
      <c r="E270" s="463">
        <v>189168</v>
      </c>
      <c r="F270" s="466"/>
      <c r="G270" s="29">
        <f t="shared" si="28"/>
        <v>172846.70400000102</v>
      </c>
      <c r="H270" s="54"/>
      <c r="I270" s="93"/>
      <c r="J270" s="32"/>
      <c r="K270" s="89"/>
      <c r="L270" s="34"/>
      <c r="M270" s="35"/>
      <c r="N270" s="91">
        <f t="shared" si="29"/>
        <v>253632.95789994783</v>
      </c>
      <c r="R270" s="120">
        <v>44760</v>
      </c>
      <c r="S270" s="15" t="s">
        <v>257</v>
      </c>
      <c r="T270" s="121">
        <v>170014.64</v>
      </c>
      <c r="U270" s="124"/>
    </row>
    <row r="271" spans="1:22">
      <c r="A271" s="227">
        <v>44752</v>
      </c>
      <c r="B271" s="232" t="s">
        <v>313</v>
      </c>
      <c r="C271" s="230"/>
      <c r="D271" s="463"/>
      <c r="E271" s="463">
        <v>122743.96</v>
      </c>
      <c r="F271" s="466"/>
      <c r="G271" s="29">
        <f t="shared" si="28"/>
        <v>50102.74400000101</v>
      </c>
      <c r="H271" s="54"/>
      <c r="I271" s="31"/>
      <c r="J271" s="89"/>
      <c r="K271" s="89"/>
      <c r="L271" s="34"/>
      <c r="M271" s="90"/>
      <c r="N271" s="91">
        <f t="shared" si="29"/>
        <v>253632.95789994783</v>
      </c>
      <c r="R271" s="120">
        <v>44762</v>
      </c>
      <c r="S271" s="15" t="s">
        <v>176</v>
      </c>
      <c r="T271" s="121"/>
      <c r="U271" s="124">
        <v>51776</v>
      </c>
    </row>
    <row r="272" spans="1:22">
      <c r="A272" s="457">
        <v>44752</v>
      </c>
      <c r="B272" s="458" t="s">
        <v>271</v>
      </c>
      <c r="C272" s="27"/>
      <c r="D272" s="464"/>
      <c r="E272" s="464"/>
      <c r="F272" s="464"/>
      <c r="G272" s="29">
        <f t="shared" ref="G272:G291" si="30">+G271+C272+D272-E272-F272</f>
        <v>50102.74400000101</v>
      </c>
      <c r="H272" s="30"/>
      <c r="I272" s="445">
        <v>966</v>
      </c>
      <c r="J272" s="32"/>
      <c r="K272" s="89"/>
      <c r="L272" s="34"/>
      <c r="M272" s="35"/>
      <c r="N272" s="91">
        <f t="shared" si="29"/>
        <v>254598.95789994783</v>
      </c>
      <c r="O272" s="475"/>
      <c r="P272" s="6"/>
      <c r="R272" s="120">
        <v>44763</v>
      </c>
      <c r="S272" s="15" t="s">
        <v>201</v>
      </c>
      <c r="T272" s="121">
        <v>130000</v>
      </c>
      <c r="U272" s="124"/>
    </row>
    <row r="273" spans="1:21">
      <c r="A273" s="457">
        <v>44752</v>
      </c>
      <c r="B273" s="458" t="s">
        <v>272</v>
      </c>
      <c r="C273" s="38"/>
      <c r="D273" s="465"/>
      <c r="E273" s="465"/>
      <c r="F273" s="465"/>
      <c r="G273" s="29">
        <f t="shared" si="30"/>
        <v>50102.74400000101</v>
      </c>
      <c r="H273" s="30"/>
      <c r="I273" s="445">
        <v>966</v>
      </c>
      <c r="J273" s="32"/>
      <c r="K273" s="89"/>
      <c r="L273" s="34"/>
      <c r="M273" s="90"/>
      <c r="N273" s="91">
        <f t="shared" si="29"/>
        <v>255564.95789994783</v>
      </c>
      <c r="O273" s="476"/>
      <c r="P273" s="430"/>
      <c r="R273" s="120">
        <v>44767</v>
      </c>
      <c r="S273" s="15" t="s">
        <v>177</v>
      </c>
      <c r="T273" s="121">
        <v>92000</v>
      </c>
      <c r="U273" s="124"/>
    </row>
    <row r="274" spans="1:21">
      <c r="A274" s="457">
        <v>44752</v>
      </c>
      <c r="B274" s="458" t="s">
        <v>291</v>
      </c>
      <c r="C274" s="447"/>
      <c r="D274" s="464"/>
      <c r="E274" s="464"/>
      <c r="F274" s="466"/>
      <c r="G274" s="29">
        <f t="shared" si="30"/>
        <v>50102.74400000101</v>
      </c>
      <c r="H274" s="88"/>
      <c r="I274" s="445">
        <v>8500</v>
      </c>
      <c r="J274" s="32"/>
      <c r="K274" s="89"/>
      <c r="L274" s="34"/>
      <c r="M274" s="90"/>
      <c r="N274" s="91">
        <f t="shared" si="29"/>
        <v>264064.95789994783</v>
      </c>
      <c r="O274" s="477"/>
      <c r="P274" s="431"/>
      <c r="R274" s="120">
        <v>44771</v>
      </c>
      <c r="S274" s="15" t="s">
        <v>41</v>
      </c>
      <c r="T274" s="192"/>
      <c r="U274" s="124">
        <f>4870+5990</f>
        <v>10860</v>
      </c>
    </row>
    <row r="275" spans="1:21">
      <c r="A275" s="457">
        <v>44752</v>
      </c>
      <c r="B275" s="458" t="s">
        <v>292</v>
      </c>
      <c r="C275" s="413"/>
      <c r="D275" s="465"/>
      <c r="E275" s="464"/>
      <c r="F275" s="466"/>
      <c r="G275" s="29">
        <f t="shared" si="30"/>
        <v>50102.74400000101</v>
      </c>
      <c r="H275" s="88"/>
      <c r="I275" s="445">
        <v>8500</v>
      </c>
      <c r="J275" s="32"/>
      <c r="K275" s="89"/>
      <c r="L275" s="34"/>
      <c r="M275" s="35"/>
      <c r="N275" s="91">
        <f t="shared" si="29"/>
        <v>272564.95789994783</v>
      </c>
      <c r="O275" s="478"/>
      <c r="P275" s="407"/>
      <c r="R275" s="120">
        <v>44771</v>
      </c>
      <c r="S275" t="s">
        <v>214</v>
      </c>
      <c r="U275" s="184">
        <v>15185</v>
      </c>
    </row>
    <row r="276" spans="1:21">
      <c r="A276" s="457">
        <v>44752</v>
      </c>
      <c r="B276" s="458" t="s">
        <v>264</v>
      </c>
      <c r="C276" s="410"/>
      <c r="D276" s="464"/>
      <c r="E276" s="464"/>
      <c r="F276" s="466"/>
      <c r="G276" s="29">
        <f t="shared" si="30"/>
        <v>50102.74400000101</v>
      </c>
      <c r="H276" s="54"/>
      <c r="I276" s="445">
        <v>9165</v>
      </c>
      <c r="J276" s="32"/>
      <c r="K276" s="89"/>
      <c r="L276" s="34"/>
      <c r="M276" s="35"/>
      <c r="N276" s="91">
        <f t="shared" si="29"/>
        <v>281729.95789994783</v>
      </c>
      <c r="O276" s="478"/>
      <c r="P276" s="407"/>
      <c r="R276" s="120">
        <v>44771</v>
      </c>
      <c r="S276" s="15" t="s">
        <v>43</v>
      </c>
      <c r="T276" s="121"/>
      <c r="U276" s="192"/>
    </row>
    <row r="277" spans="1:21">
      <c r="A277" s="227">
        <v>44753</v>
      </c>
      <c r="B277" s="232" t="s">
        <v>173</v>
      </c>
      <c r="C277" s="230"/>
      <c r="D277" s="467">
        <f>269000+19411.34</f>
        <v>288411.34000000003</v>
      </c>
      <c r="E277" s="468"/>
      <c r="F277" s="466"/>
      <c r="G277" s="29">
        <f t="shared" si="30"/>
        <v>338514.08400000102</v>
      </c>
      <c r="H277" s="88"/>
      <c r="I277" s="89"/>
      <c r="J277" s="32"/>
      <c r="K277" s="89"/>
      <c r="L277" s="34"/>
      <c r="M277" s="35"/>
      <c r="N277" s="91">
        <f t="shared" si="29"/>
        <v>281729.95789994783</v>
      </c>
      <c r="O277" s="478"/>
      <c r="P277" s="407"/>
      <c r="R277" s="120">
        <v>44771</v>
      </c>
      <c r="S277" s="61" t="s">
        <v>44</v>
      </c>
      <c r="T277" s="221"/>
      <c r="U277" s="124"/>
    </row>
    <row r="278" spans="1:21">
      <c r="A278" s="227">
        <v>44753</v>
      </c>
      <c r="B278" s="232" t="s">
        <v>202</v>
      </c>
      <c r="C278" s="230"/>
      <c r="D278" s="467">
        <v>72000</v>
      </c>
      <c r="E278" s="463"/>
      <c r="F278" s="466"/>
      <c r="G278" s="29">
        <f t="shared" si="30"/>
        <v>410514.08400000102</v>
      </c>
      <c r="H278" s="88"/>
      <c r="I278" s="445">
        <v>400</v>
      </c>
      <c r="J278" s="32"/>
      <c r="K278" s="89"/>
      <c r="L278" s="34"/>
      <c r="M278" s="90"/>
      <c r="N278" s="91">
        <f t="shared" si="29"/>
        <v>282129.95789994783</v>
      </c>
      <c r="O278" s="478"/>
      <c r="P278" s="407"/>
      <c r="U278" s="184"/>
    </row>
    <row r="279" spans="1:21">
      <c r="A279" s="227">
        <v>44760</v>
      </c>
      <c r="B279" s="232" t="s">
        <v>257</v>
      </c>
      <c r="C279" s="230"/>
      <c r="D279" s="467">
        <v>170014.64</v>
      </c>
      <c r="E279" s="468"/>
      <c r="F279" s="466"/>
      <c r="G279" s="29">
        <f t="shared" si="30"/>
        <v>580528.72400000109</v>
      </c>
      <c r="H279" s="88"/>
      <c r="I279" s="89"/>
      <c r="J279" s="89"/>
      <c r="K279" s="89"/>
      <c r="L279" s="34"/>
      <c r="M279" s="90"/>
      <c r="N279" s="91">
        <f t="shared" si="29"/>
        <v>282129.95789994783</v>
      </c>
      <c r="O279" s="478"/>
      <c r="P279" s="407"/>
    </row>
    <row r="280" spans="1:21" ht="15.75" thickBot="1">
      <c r="A280" s="227">
        <v>44762</v>
      </c>
      <c r="B280" s="232" t="s">
        <v>176</v>
      </c>
      <c r="C280" s="230"/>
      <c r="D280" s="467"/>
      <c r="E280" s="463">
        <v>51776</v>
      </c>
      <c r="F280" s="466"/>
      <c r="G280" s="29">
        <f t="shared" si="30"/>
        <v>528752.72400000109</v>
      </c>
      <c r="H280" s="54"/>
      <c r="I280" s="31"/>
      <c r="J280" s="89"/>
      <c r="K280" s="89"/>
      <c r="L280" s="34"/>
      <c r="M280" s="90"/>
      <c r="N280" s="91">
        <f t="shared" si="29"/>
        <v>282129.95789994783</v>
      </c>
      <c r="O280" s="478"/>
      <c r="P280" s="407"/>
    </row>
    <row r="281" spans="1:21" ht="15.75" thickBot="1">
      <c r="A281" s="227">
        <v>44763</v>
      </c>
      <c r="B281" s="232" t="s">
        <v>201</v>
      </c>
      <c r="C281" s="230"/>
      <c r="D281" s="467">
        <v>130000</v>
      </c>
      <c r="E281" s="463"/>
      <c r="F281" s="466"/>
      <c r="G281" s="29">
        <f t="shared" si="30"/>
        <v>658752.72400000109</v>
      </c>
      <c r="H281" s="54"/>
      <c r="I281" s="31"/>
      <c r="J281" s="89"/>
      <c r="K281" s="89"/>
      <c r="L281" s="34"/>
      <c r="M281" s="90"/>
      <c r="N281" s="91">
        <f t="shared" si="29"/>
        <v>282129.95789994783</v>
      </c>
      <c r="O281" s="478"/>
      <c r="P281" s="421">
        <v>44771</v>
      </c>
      <c r="Q281" s="422">
        <v>286</v>
      </c>
    </row>
    <row r="282" spans="1:21" ht="15.75" thickBot="1">
      <c r="A282" s="227">
        <v>44767</v>
      </c>
      <c r="B282" s="232" t="s">
        <v>177</v>
      </c>
      <c r="C282" s="459"/>
      <c r="D282" s="467">
        <v>92000</v>
      </c>
      <c r="E282" s="463"/>
      <c r="F282" s="466"/>
      <c r="G282" s="29">
        <f t="shared" si="30"/>
        <v>750752.72400000109</v>
      </c>
      <c r="H282" s="54"/>
      <c r="I282" s="93"/>
      <c r="J282" s="89"/>
      <c r="K282" s="89"/>
      <c r="L282" s="34"/>
      <c r="M282" s="90"/>
      <c r="N282" s="91">
        <f t="shared" si="29"/>
        <v>282129.95789994783</v>
      </c>
      <c r="O282" s="478"/>
      <c r="P282" s="423">
        <v>44770</v>
      </c>
      <c r="Q282" s="424">
        <v>304</v>
      </c>
    </row>
    <row r="283" spans="1:21" ht="15.75" thickBot="1">
      <c r="A283" s="227">
        <v>44771</v>
      </c>
      <c r="B283" s="232" t="s">
        <v>41</v>
      </c>
      <c r="C283" s="460"/>
      <c r="D283" s="469"/>
      <c r="E283" s="463">
        <f>4870+5990</f>
        <v>10860</v>
      </c>
      <c r="F283" s="466"/>
      <c r="G283" s="29">
        <f t="shared" si="30"/>
        <v>739892.72400000109</v>
      </c>
      <c r="H283" s="88"/>
      <c r="I283" s="89"/>
      <c r="J283" s="89"/>
      <c r="K283" s="89"/>
      <c r="L283" s="34"/>
      <c r="M283" s="35"/>
      <c r="N283" s="91">
        <f t="shared" si="29"/>
        <v>282129.95789994783</v>
      </c>
      <c r="O283" s="478"/>
      <c r="P283" s="421">
        <v>44769</v>
      </c>
      <c r="Q283" s="422">
        <v>316</v>
      </c>
      <c r="S283" s="180"/>
    </row>
    <row r="284" spans="1:21" ht="15.75" thickBot="1">
      <c r="A284" s="227">
        <v>44771</v>
      </c>
      <c r="B284" s="34" t="s">
        <v>214</v>
      </c>
      <c r="C284" s="349"/>
      <c r="D284" s="470"/>
      <c r="E284" s="473">
        <v>20000</v>
      </c>
      <c r="F284" s="471"/>
      <c r="G284" s="29">
        <f t="shared" si="30"/>
        <v>719892.72400000109</v>
      </c>
      <c r="H284" s="88"/>
      <c r="I284" s="89"/>
      <c r="J284" s="32"/>
      <c r="K284" s="89"/>
      <c r="L284" s="34"/>
      <c r="M284" s="35"/>
      <c r="N284" s="91">
        <f t="shared" si="29"/>
        <v>282129.95789994783</v>
      </c>
      <c r="O284" s="478"/>
      <c r="P284" s="423">
        <v>44768</v>
      </c>
      <c r="Q284" s="424">
        <v>313</v>
      </c>
    </row>
    <row r="285" spans="1:21" ht="15.75" thickBot="1">
      <c r="A285" s="227">
        <v>44771</v>
      </c>
      <c r="B285" s="232" t="s">
        <v>43</v>
      </c>
      <c r="C285" s="459"/>
      <c r="D285" s="469"/>
      <c r="E285" s="468"/>
      <c r="F285" s="472">
        <f>SUM(D272:D284)*5%</f>
        <v>37621.298999999999</v>
      </c>
      <c r="G285" s="29">
        <f t="shared" si="30"/>
        <v>682271.42500000109</v>
      </c>
      <c r="H285" s="54"/>
      <c r="I285" s="31"/>
      <c r="J285" s="89"/>
      <c r="K285" s="89"/>
      <c r="L285" s="444">
        <f>SUM(I266:I284)*5%</f>
        <v>1424.8500000000001</v>
      </c>
      <c r="M285" s="35"/>
      <c r="N285" s="91">
        <f t="shared" si="29"/>
        <v>280705.10789994785</v>
      </c>
      <c r="O285" s="478"/>
      <c r="P285" s="421">
        <v>44767</v>
      </c>
      <c r="Q285" s="422">
        <v>312</v>
      </c>
    </row>
    <row r="286" spans="1:21" ht="15.75" thickBot="1">
      <c r="A286" s="227">
        <v>44771</v>
      </c>
      <c r="B286" s="418" t="s">
        <v>44</v>
      </c>
      <c r="C286" s="461"/>
      <c r="D286" s="463"/>
      <c r="E286" s="468"/>
      <c r="F286" s="472">
        <f>SUM(E270:E284)*5%</f>
        <v>19727.398000000001</v>
      </c>
      <c r="G286" s="29">
        <f t="shared" si="30"/>
        <v>662544.02700000105</v>
      </c>
      <c r="H286" s="54"/>
      <c r="I286" s="93"/>
      <c r="J286" s="89"/>
      <c r="K286" s="89"/>
      <c r="L286" s="444">
        <f>SUM(K266:K284)*5%</f>
        <v>0</v>
      </c>
      <c r="M286" s="35"/>
      <c r="N286" s="91">
        <f t="shared" si="29"/>
        <v>280705.10789994785</v>
      </c>
      <c r="O286" s="478"/>
      <c r="P286" s="423">
        <v>44764</v>
      </c>
      <c r="Q286" s="424">
        <v>328</v>
      </c>
    </row>
    <row r="287" spans="1:21" ht="15.75" thickBot="1">
      <c r="A287" s="227"/>
      <c r="B287" s="232"/>
      <c r="C287" s="460"/>
      <c r="D287" s="469"/>
      <c r="E287" s="463"/>
      <c r="F287" s="466"/>
      <c r="G287" s="29">
        <f t="shared" si="30"/>
        <v>662544.02700000105</v>
      </c>
      <c r="H287" s="88"/>
      <c r="I287" s="89"/>
      <c r="J287" s="89"/>
      <c r="K287" s="89"/>
      <c r="L287" s="89"/>
      <c r="M287" s="35"/>
      <c r="N287" s="91">
        <f t="shared" si="29"/>
        <v>280705.10789994785</v>
      </c>
      <c r="O287" s="478"/>
      <c r="P287" s="421">
        <v>44763</v>
      </c>
      <c r="Q287" s="422">
        <v>327</v>
      </c>
    </row>
    <row r="288" spans="1:21" ht="15.75" thickBot="1">
      <c r="A288" s="481"/>
      <c r="B288" s="482"/>
      <c r="C288" s="483"/>
      <c r="D288" s="483"/>
      <c r="E288" s="65"/>
      <c r="F288" s="483"/>
      <c r="G288" s="29">
        <f t="shared" si="30"/>
        <v>662544.02700000105</v>
      </c>
      <c r="H288" s="88"/>
      <c r="I288" s="89"/>
      <c r="J288" s="32"/>
      <c r="K288" s="89"/>
      <c r="L288" s="89"/>
      <c r="M288" s="35"/>
      <c r="N288" s="91">
        <f t="shared" si="29"/>
        <v>280705.10789994785</v>
      </c>
      <c r="O288" s="478"/>
      <c r="P288" s="423">
        <v>44762</v>
      </c>
      <c r="Q288" s="424">
        <v>307</v>
      </c>
    </row>
    <row r="289" spans="1:17" ht="15.75" thickBot="1">
      <c r="A289" s="481"/>
      <c r="B289" s="482"/>
      <c r="C289" s="483"/>
      <c r="D289" s="483"/>
      <c r="E289" s="65"/>
      <c r="F289" s="483"/>
      <c r="G289" s="29">
        <f t="shared" si="30"/>
        <v>662544.02700000105</v>
      </c>
      <c r="H289" s="30"/>
      <c r="I289" s="31"/>
      <c r="J289" s="32"/>
      <c r="K289" s="89"/>
      <c r="L289" s="89"/>
      <c r="M289" s="35"/>
      <c r="N289" s="91">
        <f t="shared" si="29"/>
        <v>280705.10789994785</v>
      </c>
      <c r="O289" s="478"/>
      <c r="P289" s="421">
        <v>44761</v>
      </c>
      <c r="Q289" s="422">
        <v>291</v>
      </c>
    </row>
    <row r="290" spans="1:17" ht="15.75" thickBot="1">
      <c r="A290" s="481"/>
      <c r="B290" s="482"/>
      <c r="C290" s="483"/>
      <c r="D290" s="483"/>
      <c r="E290" s="65"/>
      <c r="F290" s="483"/>
      <c r="G290" s="29">
        <f t="shared" si="30"/>
        <v>662544.02700000105</v>
      </c>
      <c r="H290" s="30"/>
      <c r="I290" s="31"/>
      <c r="J290" s="110"/>
      <c r="K290" s="105"/>
      <c r="L290" s="106"/>
      <c r="M290" s="107"/>
      <c r="N290" s="91">
        <f t="shared" si="29"/>
        <v>280705.10789994785</v>
      </c>
      <c r="O290" s="478"/>
      <c r="P290" s="423">
        <v>44760</v>
      </c>
      <c r="Q290" s="424">
        <v>281</v>
      </c>
    </row>
    <row r="291" spans="1:17" ht="15.75" thickBot="1">
      <c r="A291" s="227"/>
      <c r="B291" s="232"/>
      <c r="C291" s="417"/>
      <c r="D291" s="417"/>
      <c r="E291" s="65"/>
      <c r="F291" s="32"/>
      <c r="G291" s="29">
        <f t="shared" si="30"/>
        <v>662544.02700000105</v>
      </c>
      <c r="H291" s="88"/>
      <c r="I291" s="89"/>
      <c r="J291" s="110"/>
      <c r="K291" s="105"/>
      <c r="L291" s="105"/>
      <c r="M291" s="102"/>
      <c r="N291" s="91">
        <f t="shared" si="29"/>
        <v>280705.10789994785</v>
      </c>
      <c r="O291" s="478"/>
      <c r="P291" s="421">
        <v>44757</v>
      </c>
      <c r="Q291" s="422">
        <v>283</v>
      </c>
    </row>
    <row r="292" spans="1:17" ht="15.75" thickBot="1">
      <c r="A292" s="227"/>
      <c r="B292" s="232"/>
      <c r="C292" s="417"/>
      <c r="D292" s="417"/>
      <c r="E292" s="65"/>
      <c r="F292" s="32"/>
      <c r="G292" s="29">
        <f t="shared" si="28"/>
        <v>662544.02700000105</v>
      </c>
      <c r="H292" s="88"/>
      <c r="I292" s="31"/>
      <c r="J292" s="72"/>
      <c r="K292" s="112"/>
      <c r="L292" s="74"/>
      <c r="M292" s="69"/>
      <c r="N292" s="91">
        <f t="shared" si="29"/>
        <v>280705.10789994785</v>
      </c>
      <c r="O292" s="478"/>
      <c r="P292" s="423">
        <v>44756</v>
      </c>
      <c r="Q292" s="424">
        <v>279</v>
      </c>
    </row>
    <row r="293" spans="1:17" ht="15.75" thickBot="1">
      <c r="A293" s="44"/>
      <c r="B293" s="75" t="s">
        <v>46</v>
      </c>
      <c r="C293" s="113">
        <f>SUM(C265:C292)</f>
        <v>500000</v>
      </c>
      <c r="D293" s="114">
        <f>SUM(D265:D292)</f>
        <v>752425.98</v>
      </c>
      <c r="E293" s="114">
        <f>SUM(E265:E292)</f>
        <v>544988.05000000005</v>
      </c>
      <c r="F293" s="114">
        <f>SUM(F265:F292)</f>
        <v>57348.697</v>
      </c>
      <c r="G293" s="115"/>
      <c r="H293" s="113">
        <f t="shared" ref="H293:M293" si="31">SUM(H265:H292)</f>
        <v>0</v>
      </c>
      <c r="I293" s="114">
        <f t="shared" si="31"/>
        <v>28497</v>
      </c>
      <c r="J293" s="114">
        <f t="shared" si="31"/>
        <v>0</v>
      </c>
      <c r="K293" s="114">
        <f t="shared" si="31"/>
        <v>0</v>
      </c>
      <c r="L293" s="114">
        <f t="shared" si="31"/>
        <v>1424.8500000000001</v>
      </c>
      <c r="M293" s="114">
        <f t="shared" si="31"/>
        <v>2000</v>
      </c>
      <c r="N293" s="79"/>
      <c r="O293" s="478"/>
      <c r="P293" s="421">
        <v>44755</v>
      </c>
      <c r="Q293" s="422">
        <v>273</v>
      </c>
    </row>
    <row r="294" spans="1:17" ht="15.75" thickBot="1">
      <c r="O294" s="478"/>
      <c r="P294" s="423">
        <v>44754</v>
      </c>
      <c r="Q294" s="424">
        <v>262</v>
      </c>
    </row>
    <row r="295" spans="1:17" ht="15.75" thickBot="1">
      <c r="O295" s="478"/>
      <c r="P295" s="421">
        <v>44753</v>
      </c>
      <c r="Q295" s="422">
        <v>258</v>
      </c>
    </row>
    <row r="296" spans="1:17" ht="15.75" thickBot="1">
      <c r="O296" s="478"/>
      <c r="P296" s="423">
        <v>44750</v>
      </c>
      <c r="Q296" s="424">
        <v>263</v>
      </c>
    </row>
    <row r="297" spans="1:17" ht="15.75" thickBot="1">
      <c r="O297" s="478"/>
      <c r="P297" s="421">
        <v>44749</v>
      </c>
      <c r="Q297" s="422">
        <v>247</v>
      </c>
    </row>
    <row r="298" spans="1:17" ht="15.75" thickBot="1">
      <c r="O298" s="478"/>
      <c r="P298" s="423">
        <v>44748</v>
      </c>
      <c r="Q298" s="424">
        <v>245</v>
      </c>
    </row>
    <row r="299" spans="1:17" ht="15.75" thickBot="1">
      <c r="O299" s="478"/>
      <c r="P299" s="421">
        <v>44747</v>
      </c>
      <c r="Q299" s="422">
        <v>242</v>
      </c>
    </row>
    <row r="300" spans="1:17" ht="15.75" thickBot="1">
      <c r="A300" s="394" t="s">
        <v>276</v>
      </c>
      <c r="C300" s="907" t="s">
        <v>3</v>
      </c>
      <c r="D300" s="908"/>
      <c r="E300" s="907" t="s">
        <v>4</v>
      </c>
      <c r="F300" s="908"/>
      <c r="G300" s="5"/>
      <c r="H300" s="909" t="s">
        <v>5</v>
      </c>
      <c r="I300" s="910"/>
      <c r="J300" s="909" t="s">
        <v>6</v>
      </c>
      <c r="K300" s="911"/>
      <c r="L300" s="911"/>
      <c r="M300" s="910"/>
      <c r="N300" s="6"/>
      <c r="O300" s="478"/>
      <c r="P300" s="423">
        <v>44746</v>
      </c>
      <c r="Q300" s="424">
        <v>250</v>
      </c>
    </row>
    <row r="301" spans="1:17" ht="15.75" thickBot="1">
      <c r="A301" s="7" t="s">
        <v>7</v>
      </c>
      <c r="B301" s="8" t="s">
        <v>8</v>
      </c>
      <c r="C301" s="9" t="s">
        <v>9</v>
      </c>
      <c r="D301" s="9" t="s">
        <v>10</v>
      </c>
      <c r="E301" s="10" t="s">
        <v>68</v>
      </c>
      <c r="F301" s="10" t="s">
        <v>69</v>
      </c>
      <c r="G301" s="11" t="s">
        <v>13</v>
      </c>
      <c r="H301" s="12" t="s">
        <v>14</v>
      </c>
      <c r="I301" s="12" t="s">
        <v>10</v>
      </c>
      <c r="J301" s="12" t="s">
        <v>15</v>
      </c>
      <c r="K301" s="12" t="s">
        <v>11</v>
      </c>
      <c r="L301" s="12" t="s">
        <v>16</v>
      </c>
      <c r="M301" s="12" t="s">
        <v>17</v>
      </c>
      <c r="N301" s="13" t="s">
        <v>18</v>
      </c>
      <c r="O301" s="478"/>
      <c r="P301" s="421">
        <v>44743</v>
      </c>
      <c r="Q301" s="422">
        <v>235</v>
      </c>
    </row>
    <row r="302" spans="1:17" ht="15.75" thickBot="1">
      <c r="A302" s="14"/>
      <c r="B302" s="15" t="s">
        <v>19</v>
      </c>
      <c r="C302" s="16"/>
      <c r="D302" s="17"/>
      <c r="E302" s="17"/>
      <c r="F302" s="440"/>
      <c r="G302" s="492">
        <f>G292</f>
        <v>662544.02700000105</v>
      </c>
      <c r="H302" s="16"/>
      <c r="I302" s="87"/>
      <c r="J302" s="17"/>
      <c r="K302" s="87"/>
      <c r="L302" s="21"/>
      <c r="M302" s="22"/>
      <c r="N302" s="23">
        <f>N292</f>
        <v>280705.10789994785</v>
      </c>
      <c r="O302" s="377"/>
      <c r="P302" s="204"/>
    </row>
    <row r="303" spans="1:17">
      <c r="A303" s="227">
        <v>44776</v>
      </c>
      <c r="B303" s="232" t="s">
        <v>315</v>
      </c>
      <c r="C303" s="230"/>
      <c r="D303" s="905"/>
      <c r="E303" s="468"/>
      <c r="F303" s="489">
        <v>60200</v>
      </c>
      <c r="G303" s="493">
        <f t="shared" ref="G303:G344" si="32">+G302+C303+D303-E303-F303</f>
        <v>602344.02700000105</v>
      </c>
      <c r="H303" s="30"/>
      <c r="I303" s="31"/>
      <c r="J303" s="32"/>
      <c r="K303" s="89"/>
      <c r="L303" s="34"/>
      <c r="M303" s="35"/>
      <c r="N303" s="91">
        <f t="shared" ref="N303:N344" si="33">+N302+H303+I303-J303-K303-L303-M303</f>
        <v>280705.10789994785</v>
      </c>
    </row>
    <row r="304" spans="1:17">
      <c r="A304" s="227">
        <v>44777</v>
      </c>
      <c r="B304" s="418" t="s">
        <v>318</v>
      </c>
      <c r="C304" s="461"/>
      <c r="D304" s="463">
        <v>307698</v>
      </c>
      <c r="E304" s="468"/>
      <c r="F304" s="489"/>
      <c r="G304" s="493">
        <f t="shared" si="32"/>
        <v>910042.02700000105</v>
      </c>
      <c r="H304" s="30"/>
      <c r="I304" s="31"/>
      <c r="J304" s="32"/>
      <c r="K304" s="89"/>
      <c r="L304" s="34"/>
      <c r="M304" s="35"/>
      <c r="N304" s="91">
        <f t="shared" si="33"/>
        <v>280705.10789994785</v>
      </c>
    </row>
    <row r="305" spans="1:24">
      <c r="A305" s="227">
        <v>44781</v>
      </c>
      <c r="B305" s="232" t="s">
        <v>319</v>
      </c>
      <c r="C305" s="460"/>
      <c r="D305" s="469"/>
      <c r="E305" s="469">
        <v>680.77</v>
      </c>
      <c r="F305" s="490"/>
      <c r="G305" s="493">
        <f t="shared" si="32"/>
        <v>909361.25700000103</v>
      </c>
      <c r="H305" s="46"/>
      <c r="I305" s="31"/>
      <c r="J305" s="47"/>
      <c r="K305" s="89"/>
      <c r="L305" s="34"/>
      <c r="M305" s="48"/>
      <c r="N305" s="91">
        <f t="shared" si="33"/>
        <v>280705.10789994785</v>
      </c>
    </row>
    <row r="306" spans="1:24">
      <c r="A306" s="227">
        <v>44781</v>
      </c>
      <c r="B306" s="232" t="s">
        <v>320</v>
      </c>
      <c r="C306" s="459"/>
      <c r="D306" s="469"/>
      <c r="E306" s="469">
        <v>15326.87</v>
      </c>
      <c r="F306" s="489"/>
      <c r="G306" s="493">
        <f t="shared" si="32"/>
        <v>894034.38700000104</v>
      </c>
      <c r="H306" s="54"/>
      <c r="I306" s="93"/>
      <c r="J306" s="32"/>
      <c r="K306" s="89"/>
      <c r="L306" s="34"/>
      <c r="M306" s="35"/>
      <c r="N306" s="91">
        <f t="shared" si="33"/>
        <v>280705.10789994785</v>
      </c>
    </row>
    <row r="307" spans="1:24">
      <c r="A307" s="227">
        <v>44781</v>
      </c>
      <c r="B307" s="418" t="s">
        <v>321</v>
      </c>
      <c r="C307" s="461"/>
      <c r="D307" s="463"/>
      <c r="E307" s="463">
        <v>84342.95</v>
      </c>
      <c r="F307" s="489"/>
      <c r="G307" s="493">
        <f t="shared" si="32"/>
        <v>809691.43700000108</v>
      </c>
      <c r="H307" s="54"/>
      <c r="I307" s="31"/>
      <c r="J307" s="89"/>
      <c r="K307" s="89"/>
      <c r="L307" s="34"/>
      <c r="M307" s="90"/>
      <c r="N307" s="91">
        <f t="shared" si="33"/>
        <v>280705.10789994785</v>
      </c>
    </row>
    <row r="308" spans="1:24">
      <c r="A308" s="227">
        <v>44782</v>
      </c>
      <c r="B308" s="232" t="s">
        <v>322</v>
      </c>
      <c r="C308" s="460"/>
      <c r="D308" s="463"/>
      <c r="E308" s="463">
        <v>105460</v>
      </c>
      <c r="F308" s="490"/>
      <c r="G308" s="493">
        <f t="shared" si="32"/>
        <v>704231.43700000108</v>
      </c>
      <c r="H308" s="88"/>
      <c r="I308" s="31"/>
      <c r="J308" s="32"/>
      <c r="K308" s="89"/>
      <c r="L308" s="34"/>
      <c r="M308" s="35"/>
      <c r="N308" s="91">
        <f t="shared" si="33"/>
        <v>280705.10789994785</v>
      </c>
      <c r="P308" s="481">
        <v>44746</v>
      </c>
      <c r="Q308" s="482" t="s">
        <v>187</v>
      </c>
      <c r="R308" s="483"/>
      <c r="S308" s="483">
        <v>135400</v>
      </c>
      <c r="T308" s="484"/>
    </row>
    <row r="309" spans="1:24">
      <c r="A309" s="227">
        <v>44783</v>
      </c>
      <c r="B309" s="232" t="s">
        <v>332</v>
      </c>
      <c r="C309" s="459"/>
      <c r="D309" s="469"/>
      <c r="E309" s="469">
        <v>122738</v>
      </c>
      <c r="F309" s="489"/>
      <c r="G309" s="493">
        <f t="shared" si="32"/>
        <v>581493.43700000108</v>
      </c>
      <c r="H309" s="88"/>
      <c r="I309" s="89"/>
      <c r="J309" s="89"/>
      <c r="K309" s="89"/>
      <c r="L309" s="34"/>
      <c r="M309" s="90"/>
      <c r="N309" s="91">
        <f t="shared" si="33"/>
        <v>280705.10789994785</v>
      </c>
      <c r="O309" s="475"/>
      <c r="P309" s="481">
        <v>44749</v>
      </c>
      <c r="Q309" s="482" t="s">
        <v>188</v>
      </c>
      <c r="R309" s="483"/>
      <c r="S309" s="483">
        <v>189168</v>
      </c>
      <c r="T309" s="484"/>
    </row>
    <row r="310" spans="1:24">
      <c r="A310" s="457">
        <v>44783</v>
      </c>
      <c r="B310" s="458" t="s">
        <v>264</v>
      </c>
      <c r="C310" s="900"/>
      <c r="D310" s="27"/>
      <c r="E310" s="27"/>
      <c r="F310" s="488"/>
      <c r="G310" s="493">
        <f t="shared" si="32"/>
        <v>581493.43700000108</v>
      </c>
      <c r="H310" s="54"/>
      <c r="I310" s="93">
        <v>9165</v>
      </c>
      <c r="J310" s="89"/>
      <c r="K310" s="89"/>
      <c r="L310" s="34"/>
      <c r="M310" s="90"/>
      <c r="N310" s="91">
        <f t="shared" si="33"/>
        <v>289870.10789994785</v>
      </c>
      <c r="O310" s="476"/>
      <c r="P310" s="481">
        <v>44769</v>
      </c>
      <c r="Q310" s="482" t="s">
        <v>314</v>
      </c>
      <c r="R310" s="483">
        <v>72000</v>
      </c>
      <c r="S310" s="483"/>
      <c r="T310" s="484"/>
    </row>
    <row r="311" spans="1:24">
      <c r="A311" s="457">
        <v>44783</v>
      </c>
      <c r="B311" s="458" t="s">
        <v>293</v>
      </c>
      <c r="C311" s="903"/>
      <c r="D311" s="27"/>
      <c r="E311" s="27"/>
      <c r="F311" s="488"/>
      <c r="G311" s="493">
        <f t="shared" si="32"/>
        <v>581493.43700000108</v>
      </c>
      <c r="H311" s="88"/>
      <c r="I311" s="31">
        <f>8500+415</f>
        <v>8915</v>
      </c>
      <c r="J311" s="89"/>
      <c r="K311" s="89"/>
      <c r="L311" s="34"/>
      <c r="M311" s="90"/>
      <c r="N311" s="91">
        <f t="shared" si="33"/>
        <v>298785.10789994785</v>
      </c>
      <c r="O311" s="477"/>
      <c r="P311" s="481">
        <v>44776</v>
      </c>
      <c r="Q311" s="482" t="s">
        <v>315</v>
      </c>
      <c r="R311" s="483"/>
      <c r="S311" s="483">
        <v>60200</v>
      </c>
      <c r="T311" s="484"/>
    </row>
    <row r="312" spans="1:24">
      <c r="A312" s="457">
        <v>44783</v>
      </c>
      <c r="B312" s="458" t="s">
        <v>294</v>
      </c>
      <c r="C312" s="901"/>
      <c r="D312" s="38"/>
      <c r="E312" s="27"/>
      <c r="F312" s="488"/>
      <c r="G312" s="493">
        <f t="shared" si="32"/>
        <v>581493.43700000108</v>
      </c>
      <c r="H312" s="88"/>
      <c r="I312" s="31">
        <f>8500+415</f>
        <v>8915</v>
      </c>
      <c r="J312" s="32"/>
      <c r="K312" s="89"/>
      <c r="L312" s="34"/>
      <c r="M312" s="35"/>
      <c r="N312" s="91">
        <f t="shared" si="33"/>
        <v>307700.10789994785</v>
      </c>
      <c r="O312" s="478"/>
      <c r="P312" s="481">
        <v>44802</v>
      </c>
      <c r="Q312" s="482" t="s">
        <v>316</v>
      </c>
      <c r="R312" s="483"/>
      <c r="S312" s="483">
        <v>500000</v>
      </c>
      <c r="T312" s="484"/>
    </row>
    <row r="313" spans="1:24">
      <c r="A313" s="457">
        <v>44783</v>
      </c>
      <c r="B313" s="458" t="s">
        <v>295</v>
      </c>
      <c r="C313" s="900"/>
      <c r="D313" s="27"/>
      <c r="E313" s="27"/>
      <c r="F313" s="488"/>
      <c r="G313" s="493">
        <f t="shared" si="32"/>
        <v>581493.43700000108</v>
      </c>
      <c r="H313" s="54"/>
      <c r="I313" s="93">
        <f>1075*6</f>
        <v>6450</v>
      </c>
      <c r="J313" s="898"/>
      <c r="K313" s="89"/>
      <c r="L313" s="34"/>
      <c r="M313" s="35"/>
      <c r="N313" s="91">
        <f t="shared" si="33"/>
        <v>314150.10789994785</v>
      </c>
      <c r="O313" s="478"/>
      <c r="P313" s="481">
        <v>44804</v>
      </c>
      <c r="Q313" s="482" t="s">
        <v>317</v>
      </c>
      <c r="R313" s="483">
        <v>500000</v>
      </c>
      <c r="S313" s="483"/>
      <c r="T313" s="484"/>
    </row>
    <row r="314" spans="1:24">
      <c r="A314" s="457">
        <v>44783</v>
      </c>
      <c r="B314" s="458" t="s">
        <v>296</v>
      </c>
      <c r="C314" s="900"/>
      <c r="D314" s="27"/>
      <c r="E314" s="27"/>
      <c r="F314" s="488"/>
      <c r="G314" s="493">
        <f t="shared" si="32"/>
        <v>581493.43700000108</v>
      </c>
      <c r="H314" s="54"/>
      <c r="I314" s="93">
        <f>1075*6</f>
        <v>6450</v>
      </c>
      <c r="J314" s="898"/>
      <c r="K314" s="89"/>
      <c r="L314" s="34"/>
      <c r="M314" s="35"/>
      <c r="N314" s="91">
        <f t="shared" si="33"/>
        <v>320600.10789994785</v>
      </c>
      <c r="O314" s="478"/>
      <c r="P314" s="485"/>
      <c r="Q314" s="34"/>
      <c r="R314" s="483"/>
      <c r="S314" s="483"/>
      <c r="T314" s="484"/>
    </row>
    <row r="315" spans="1:24">
      <c r="A315" s="457">
        <v>44783</v>
      </c>
      <c r="B315" s="487" t="s">
        <v>281</v>
      </c>
      <c r="C315" s="900"/>
      <c r="D315" s="27"/>
      <c r="E315" s="27"/>
      <c r="F315" s="488"/>
      <c r="G315" s="493">
        <f t="shared" si="32"/>
        <v>581493.43700000108</v>
      </c>
      <c r="H315" s="88"/>
      <c r="I315" s="31">
        <f>1075*7</f>
        <v>7525</v>
      </c>
      <c r="J315" s="898"/>
      <c r="K315" s="89"/>
      <c r="L315" s="89"/>
      <c r="M315" s="35"/>
      <c r="N315" s="91">
        <f t="shared" si="33"/>
        <v>328125.10789994785</v>
      </c>
      <c r="O315" s="478"/>
      <c r="P315" s="407"/>
    </row>
    <row r="316" spans="1:24">
      <c r="A316" s="457">
        <v>44783</v>
      </c>
      <c r="B316" s="487" t="s">
        <v>284</v>
      </c>
      <c r="C316" s="902"/>
      <c r="D316" s="27"/>
      <c r="E316" s="27"/>
      <c r="F316" s="488"/>
      <c r="G316" s="493">
        <f t="shared" si="32"/>
        <v>581493.43700000108</v>
      </c>
      <c r="H316" s="88"/>
      <c r="I316" s="31">
        <f>1075*7</f>
        <v>7525</v>
      </c>
      <c r="J316" s="898"/>
      <c r="K316" s="89"/>
      <c r="L316" s="89"/>
      <c r="M316" s="35"/>
      <c r="N316" s="91">
        <f t="shared" si="33"/>
        <v>335650.10789994785</v>
      </c>
      <c r="O316" s="478"/>
      <c r="P316" s="407"/>
    </row>
    <row r="317" spans="1:24">
      <c r="A317" s="262">
        <v>44783</v>
      </c>
      <c r="B317" s="458" t="s">
        <v>271</v>
      </c>
      <c r="C317" s="902"/>
      <c r="D317" s="27"/>
      <c r="E317" s="27"/>
      <c r="F317" s="488"/>
      <c r="G317" s="493">
        <f t="shared" si="32"/>
        <v>581493.43700000108</v>
      </c>
      <c r="H317" s="30"/>
      <c r="I317" s="31">
        <v>966</v>
      </c>
      <c r="J317" s="32"/>
      <c r="K317" s="89"/>
      <c r="L317" s="89"/>
      <c r="M317" s="35"/>
      <c r="N317" s="91">
        <f t="shared" si="33"/>
        <v>336616.10789994785</v>
      </c>
      <c r="O317" s="478"/>
      <c r="P317" s="407"/>
    </row>
    <row r="318" spans="1:24">
      <c r="A318" s="262">
        <v>44783</v>
      </c>
      <c r="B318" s="458" t="s">
        <v>272</v>
      </c>
      <c r="C318" s="904"/>
      <c r="D318" s="38"/>
      <c r="E318" s="38"/>
      <c r="F318" s="488"/>
      <c r="G318" s="493">
        <f t="shared" si="32"/>
        <v>581493.43700000108</v>
      </c>
      <c r="H318" s="30"/>
      <c r="I318" s="31">
        <v>966</v>
      </c>
      <c r="J318" s="89"/>
      <c r="K318" s="89"/>
      <c r="L318" s="34"/>
      <c r="M318" s="90"/>
      <c r="N318" s="91">
        <f t="shared" si="33"/>
        <v>337582.10789994785</v>
      </c>
      <c r="O318" s="478"/>
      <c r="P318" s="407"/>
    </row>
    <row r="319" spans="1:24">
      <c r="A319" s="227">
        <v>44785</v>
      </c>
      <c r="B319" s="418" t="s">
        <v>327</v>
      </c>
      <c r="C319" s="461"/>
      <c r="D319" s="463"/>
      <c r="E319" s="468">
        <v>500000</v>
      </c>
      <c r="F319" s="489"/>
      <c r="G319" s="493">
        <f t="shared" si="32"/>
        <v>81493.437000001082</v>
      </c>
      <c r="H319" s="88"/>
      <c r="I319" s="65"/>
      <c r="J319" s="89"/>
      <c r="K319" s="89"/>
      <c r="L319" s="34"/>
      <c r="M319" s="90"/>
      <c r="N319" s="91">
        <f t="shared" si="33"/>
        <v>337582.10789994785</v>
      </c>
      <c r="O319" s="478"/>
      <c r="P319" s="120">
        <v>44777</v>
      </c>
      <c r="Q319" s="146"/>
      <c r="S319" s="15" t="s">
        <v>318</v>
      </c>
      <c r="T319" s="486">
        <v>307698</v>
      </c>
      <c r="U319" s="121"/>
      <c r="X319" s="119"/>
    </row>
    <row r="320" spans="1:24">
      <c r="A320" s="227">
        <v>44789</v>
      </c>
      <c r="B320" s="232" t="s">
        <v>324</v>
      </c>
      <c r="C320" s="460"/>
      <c r="D320" s="469">
        <v>181570.74</v>
      </c>
      <c r="E320" s="463"/>
      <c r="F320" s="490"/>
      <c r="G320" s="493">
        <f t="shared" si="32"/>
        <v>263064.17700000107</v>
      </c>
      <c r="H320" s="88"/>
      <c r="I320" s="65"/>
      <c r="J320" s="89"/>
      <c r="K320" s="89"/>
      <c r="L320" s="34"/>
      <c r="M320" s="90"/>
      <c r="N320" s="91">
        <f t="shared" si="33"/>
        <v>337582.10789994785</v>
      </c>
      <c r="O320" s="478"/>
      <c r="P320" s="120">
        <v>44781</v>
      </c>
      <c r="Q320" s="146"/>
      <c r="S320" s="15" t="s">
        <v>319</v>
      </c>
      <c r="T320" s="121"/>
      <c r="U320" s="486">
        <v>680.77</v>
      </c>
      <c r="X320" s="119"/>
    </row>
    <row r="321" spans="1:24">
      <c r="A321" s="227">
        <v>44789</v>
      </c>
      <c r="B321" s="232" t="s">
        <v>325</v>
      </c>
      <c r="C321" s="459"/>
      <c r="D321" s="469"/>
      <c r="E321" s="489">
        <v>140407.4</v>
      </c>
      <c r="F321" s="489"/>
      <c r="G321" s="493">
        <f t="shared" si="32"/>
        <v>122656.77700000108</v>
      </c>
      <c r="H321" s="88"/>
      <c r="I321" s="65"/>
      <c r="J321" s="89"/>
      <c r="K321" s="89"/>
      <c r="L321" s="34"/>
      <c r="M321" s="90"/>
      <c r="N321" s="91">
        <f t="shared" si="33"/>
        <v>337582.10789994785</v>
      </c>
      <c r="O321" s="478"/>
      <c r="P321" s="120">
        <v>44781</v>
      </c>
      <c r="Q321" s="146"/>
      <c r="S321" s="15" t="s">
        <v>320</v>
      </c>
      <c r="T321" s="121"/>
      <c r="U321" s="486">
        <v>15326.87</v>
      </c>
      <c r="X321" s="119"/>
    </row>
    <row r="322" spans="1:24">
      <c r="A322" s="227">
        <v>44790</v>
      </c>
      <c r="B322" s="418" t="s">
        <v>326</v>
      </c>
      <c r="C322" s="50"/>
      <c r="D322" s="463"/>
      <c r="E322" s="489">
        <v>51776</v>
      </c>
      <c r="F322" s="489"/>
      <c r="G322" s="493">
        <f t="shared" si="32"/>
        <v>70880.777000001079</v>
      </c>
      <c r="H322" s="88"/>
      <c r="I322" s="65"/>
      <c r="J322" s="89"/>
      <c r="K322" s="89"/>
      <c r="L322" s="34"/>
      <c r="M322" s="90"/>
      <c r="N322" s="91">
        <f t="shared" si="33"/>
        <v>337582.10789994785</v>
      </c>
      <c r="O322" s="478"/>
      <c r="P322" s="120">
        <v>44781</v>
      </c>
      <c r="Q322" s="146"/>
      <c r="S322" s="15" t="s">
        <v>321</v>
      </c>
      <c r="T322" s="197"/>
      <c r="U322" s="486">
        <v>84342.95</v>
      </c>
      <c r="X322" s="119"/>
    </row>
    <row r="323" spans="1:24">
      <c r="A323" s="227">
        <v>44790</v>
      </c>
      <c r="B323" s="232" t="s">
        <v>327</v>
      </c>
      <c r="C323" s="417"/>
      <c r="D323" s="469"/>
      <c r="E323" s="490">
        <v>766666.67</v>
      </c>
      <c r="F323" s="490"/>
      <c r="G323" s="493">
        <f t="shared" si="32"/>
        <v>-695785.89299999899</v>
      </c>
      <c r="H323" s="88"/>
      <c r="I323" s="65"/>
      <c r="J323" s="89"/>
      <c r="K323" s="89"/>
      <c r="L323" s="34"/>
      <c r="M323" s="90"/>
      <c r="N323" s="91">
        <f t="shared" si="33"/>
        <v>337582.10789994785</v>
      </c>
      <c r="O323" s="478"/>
      <c r="P323" s="120">
        <v>44782</v>
      </c>
      <c r="Q323" s="146"/>
      <c r="S323" s="15" t="s">
        <v>322</v>
      </c>
      <c r="T323" s="124"/>
      <c r="U323" s="486">
        <v>105460</v>
      </c>
      <c r="X323" s="119"/>
    </row>
    <row r="324" spans="1:24" ht="15.75">
      <c r="A324" s="227">
        <v>44790</v>
      </c>
      <c r="B324" s="229" t="s">
        <v>312</v>
      </c>
      <c r="C324" s="447">
        <f>M324*250</f>
        <v>0</v>
      </c>
      <c r="D324" s="390"/>
      <c r="E324" s="65"/>
      <c r="F324" s="32"/>
      <c r="G324" s="493">
        <f t="shared" si="32"/>
        <v>-695785.89299999899</v>
      </c>
      <c r="H324" s="88"/>
      <c r="I324" s="89"/>
      <c r="J324" s="89"/>
      <c r="K324" s="89"/>
      <c r="L324" s="34"/>
      <c r="M324" s="90"/>
      <c r="N324" s="91">
        <f t="shared" si="33"/>
        <v>337582.10789994785</v>
      </c>
      <c r="O324" s="478"/>
      <c r="P324" s="120">
        <v>44783</v>
      </c>
      <c r="Q324" s="122" t="s">
        <v>323</v>
      </c>
      <c r="S324" s="168" t="s">
        <v>332</v>
      </c>
      <c r="T324" s="146"/>
      <c r="U324" s="486">
        <v>122738</v>
      </c>
      <c r="X324" s="119"/>
    </row>
    <row r="325" spans="1:24">
      <c r="A325" s="227">
        <v>44792</v>
      </c>
      <c r="B325" s="232" t="s">
        <v>333</v>
      </c>
      <c r="C325" s="230"/>
      <c r="D325" s="469"/>
      <c r="E325" s="463">
        <f>14167.52+1321.32+16428.82</f>
        <v>31917.66</v>
      </c>
      <c r="F325" s="489"/>
      <c r="G325" s="493">
        <f t="shared" si="32"/>
        <v>-727703.55299999902</v>
      </c>
      <c r="H325" s="88"/>
      <c r="I325" s="65"/>
      <c r="J325" s="89"/>
      <c r="K325" s="89"/>
      <c r="L325" s="34"/>
      <c r="M325" s="90"/>
      <c r="N325" s="91">
        <f t="shared" si="33"/>
        <v>337582.10789994785</v>
      </c>
      <c r="O325" s="478"/>
      <c r="P325" s="120">
        <v>44785</v>
      </c>
      <c r="Q325" s="146">
        <v>216</v>
      </c>
      <c r="S325" s="15" t="s">
        <v>327</v>
      </c>
      <c r="T325" s="124"/>
      <c r="U325" s="486">
        <v>500000</v>
      </c>
      <c r="X325" s="119"/>
    </row>
    <row r="326" spans="1:24">
      <c r="A326" s="227">
        <v>44797</v>
      </c>
      <c r="B326" s="418" t="s">
        <v>328</v>
      </c>
      <c r="C326" s="50"/>
      <c r="D326" s="463">
        <v>117873.60000000001</v>
      </c>
      <c r="E326" s="468"/>
      <c r="F326" s="489"/>
      <c r="G326" s="493">
        <f t="shared" si="32"/>
        <v>-609829.95299999905</v>
      </c>
      <c r="H326" s="88"/>
      <c r="I326" s="65"/>
      <c r="J326" s="89"/>
      <c r="K326" s="89"/>
      <c r="L326" s="34"/>
      <c r="M326" s="90"/>
      <c r="N326" s="91">
        <f t="shared" si="33"/>
        <v>337582.10789994785</v>
      </c>
      <c r="O326" s="478"/>
      <c r="P326" s="120">
        <v>44789</v>
      </c>
      <c r="Q326" s="146"/>
      <c r="S326" s="15" t="s">
        <v>324</v>
      </c>
      <c r="T326" s="486">
        <v>181570.74</v>
      </c>
      <c r="U326" s="124"/>
      <c r="X326" s="119"/>
    </row>
    <row r="327" spans="1:24">
      <c r="A327" s="227">
        <v>44798</v>
      </c>
      <c r="B327" s="232" t="s">
        <v>329</v>
      </c>
      <c r="C327" s="417"/>
      <c r="D327" s="469">
        <v>245570</v>
      </c>
      <c r="E327" s="463"/>
      <c r="F327" s="466"/>
      <c r="G327" s="493">
        <f t="shared" si="32"/>
        <v>-364259.95299999905</v>
      </c>
      <c r="H327" s="88"/>
      <c r="I327" s="65"/>
      <c r="J327" s="89"/>
      <c r="K327" s="89"/>
      <c r="L327" s="34"/>
      <c r="M327" s="90"/>
      <c r="N327" s="91">
        <f t="shared" si="33"/>
        <v>337582.10789994785</v>
      </c>
      <c r="O327" s="478"/>
      <c r="P327" s="120">
        <v>44789</v>
      </c>
      <c r="Q327" s="146"/>
      <c r="S327" s="15" t="s">
        <v>325</v>
      </c>
      <c r="T327" s="124"/>
      <c r="U327" s="486">
        <v>140407.4</v>
      </c>
      <c r="X327" s="119"/>
    </row>
    <row r="328" spans="1:24">
      <c r="A328" s="227">
        <v>44802</v>
      </c>
      <c r="B328" s="232" t="s">
        <v>316</v>
      </c>
      <c r="C328" s="230"/>
      <c r="D328" s="469"/>
      <c r="E328" s="489">
        <v>500000</v>
      </c>
      <c r="F328" s="489"/>
      <c r="G328" s="493">
        <f t="shared" si="32"/>
        <v>-864259.95299999905</v>
      </c>
      <c r="H328" s="88"/>
      <c r="I328" s="65"/>
      <c r="J328" s="89"/>
      <c r="K328" s="89"/>
      <c r="L328" s="34"/>
      <c r="M328" s="90"/>
      <c r="N328" s="91">
        <f t="shared" si="33"/>
        <v>337582.10789994785</v>
      </c>
      <c r="O328" s="478"/>
      <c r="P328" s="120">
        <v>44790</v>
      </c>
      <c r="Q328" s="148"/>
      <c r="S328" s="15" t="s">
        <v>326</v>
      </c>
      <c r="T328" s="124"/>
      <c r="U328" s="486">
        <v>51776</v>
      </c>
      <c r="X328" s="119"/>
    </row>
    <row r="329" spans="1:24">
      <c r="A329" s="227">
        <v>44803</v>
      </c>
      <c r="B329" s="418" t="s">
        <v>330</v>
      </c>
      <c r="C329" s="50"/>
      <c r="D329" s="463"/>
      <c r="E329" s="489">
        <v>19280</v>
      </c>
      <c r="F329" s="489"/>
      <c r="G329" s="493">
        <f t="shared" si="32"/>
        <v>-883539.95299999905</v>
      </c>
      <c r="H329" s="88"/>
      <c r="I329" s="65"/>
      <c r="J329" s="89"/>
      <c r="K329" s="89"/>
      <c r="L329" s="34"/>
      <c r="M329" s="90"/>
      <c r="N329" s="91">
        <f t="shared" si="33"/>
        <v>337582.10789994785</v>
      </c>
      <c r="O329" s="478"/>
      <c r="P329" s="120">
        <v>44790</v>
      </c>
      <c r="Q329" s="146">
        <v>218</v>
      </c>
      <c r="S329" s="15" t="s">
        <v>327</v>
      </c>
      <c r="T329" s="124"/>
      <c r="U329" s="486">
        <v>766666.67</v>
      </c>
      <c r="X329" s="119"/>
    </row>
    <row r="330" spans="1:24">
      <c r="A330" s="227">
        <v>44804</v>
      </c>
      <c r="B330" s="232" t="s">
        <v>41</v>
      </c>
      <c r="C330" s="417"/>
      <c r="D330" s="469"/>
      <c r="E330" s="490">
        <f>26700+12550+4141</f>
        <v>43391</v>
      </c>
      <c r="F330" s="490"/>
      <c r="G330" s="493">
        <f t="shared" si="32"/>
        <v>-926930.95299999905</v>
      </c>
      <c r="H330" s="88"/>
      <c r="I330" s="65"/>
      <c r="J330" s="89"/>
      <c r="K330" s="89"/>
      <c r="L330" s="34"/>
      <c r="M330" s="90"/>
      <c r="N330" s="91">
        <f t="shared" si="33"/>
        <v>337582.10789994785</v>
      </c>
      <c r="O330" s="478"/>
      <c r="P330" s="120">
        <v>44792</v>
      </c>
      <c r="Q330" s="146"/>
      <c r="S330" s="15" t="s">
        <v>333</v>
      </c>
      <c r="T330" s="124"/>
      <c r="U330" s="486">
        <f>14167.52+1321.32+16428.82</f>
        <v>31917.66</v>
      </c>
      <c r="X330" s="119"/>
    </row>
    <row r="331" spans="1:24">
      <c r="A331" s="227">
        <v>44804</v>
      </c>
      <c r="B331" s="232" t="s">
        <v>43</v>
      </c>
      <c r="C331" s="230"/>
      <c r="D331" s="469"/>
      <c r="E331" s="468"/>
      <c r="F331" s="489">
        <f>SUM(D292:D330)*5%</f>
        <v>80256.916000000012</v>
      </c>
      <c r="G331" s="493">
        <f t="shared" si="32"/>
        <v>-1007187.868999999</v>
      </c>
      <c r="H331" s="54"/>
      <c r="I331" s="31"/>
      <c r="J331" s="89"/>
      <c r="K331" s="89"/>
      <c r="L331" s="444">
        <f>SUM(I289:I330)*5%</f>
        <v>4268.7</v>
      </c>
      <c r="M331" s="35"/>
      <c r="N331" s="91">
        <f t="shared" si="33"/>
        <v>333313.40789994784</v>
      </c>
      <c r="O331" s="478"/>
      <c r="P331" s="120">
        <v>44797</v>
      </c>
      <c r="Q331" s="146"/>
      <c r="S331" s="144" t="s">
        <v>328</v>
      </c>
      <c r="T331" s="486">
        <v>117873.60000000001</v>
      </c>
      <c r="U331" s="124"/>
      <c r="X331" s="119"/>
    </row>
    <row r="332" spans="1:24">
      <c r="A332" s="227">
        <v>44804</v>
      </c>
      <c r="B332" s="418" t="s">
        <v>44</v>
      </c>
      <c r="C332" s="50"/>
      <c r="D332" s="463"/>
      <c r="E332" s="468"/>
      <c r="F332" s="489">
        <f>SUM(F291:F315)*5%</f>
        <v>5877.4348500000006</v>
      </c>
      <c r="G332" s="493">
        <f t="shared" si="32"/>
        <v>-1013065.303849999</v>
      </c>
      <c r="H332" s="54"/>
      <c r="I332" s="93"/>
      <c r="J332" s="89"/>
      <c r="K332" s="89"/>
      <c r="L332" s="444">
        <f>SUM(K290:K330)*5%</f>
        <v>0</v>
      </c>
      <c r="M332" s="35"/>
      <c r="N332" s="91">
        <f t="shared" si="33"/>
        <v>333313.40789994784</v>
      </c>
      <c r="O332" s="478"/>
      <c r="P332" s="120">
        <v>44798</v>
      </c>
      <c r="Q332" s="146"/>
      <c r="S332" s="144" t="s">
        <v>329</v>
      </c>
      <c r="T332" s="486">
        <v>245570</v>
      </c>
      <c r="U332" s="124"/>
      <c r="X332" s="119"/>
    </row>
    <row r="333" spans="1:24">
      <c r="A333" s="227"/>
      <c r="B333" s="232"/>
      <c r="C333" s="230"/>
      <c r="D333" s="230"/>
      <c r="E333" s="230"/>
      <c r="F333" s="906"/>
      <c r="G333" s="493">
        <f t="shared" si="32"/>
        <v>-1013065.303849999</v>
      </c>
      <c r="H333" s="88"/>
      <c r="I333" s="65"/>
      <c r="J333" s="89"/>
      <c r="K333" s="89"/>
      <c r="L333" s="34"/>
      <c r="M333" s="90"/>
      <c r="N333" s="91">
        <f t="shared" si="33"/>
        <v>333313.40789994784</v>
      </c>
      <c r="O333" s="478"/>
      <c r="P333" s="120">
        <v>44803</v>
      </c>
      <c r="Q333" s="146"/>
      <c r="S333" s="15" t="s">
        <v>330</v>
      </c>
      <c r="T333" s="124"/>
      <c r="U333" s="486">
        <v>19280</v>
      </c>
      <c r="X333" s="119"/>
    </row>
    <row r="334" spans="1:24">
      <c r="A334" s="227"/>
      <c r="B334" s="256"/>
      <c r="C334" s="230"/>
      <c r="D334" s="230"/>
      <c r="E334" s="65"/>
      <c r="F334" s="488"/>
      <c r="G334" s="493">
        <f t="shared" si="32"/>
        <v>-1013065.303849999</v>
      </c>
      <c r="H334" s="88"/>
      <c r="I334" s="65"/>
      <c r="J334" s="89"/>
      <c r="K334" s="89"/>
      <c r="L334" s="34"/>
      <c r="M334" s="90"/>
      <c r="N334" s="91">
        <f t="shared" si="33"/>
        <v>333313.40789994784</v>
      </c>
      <c r="O334" s="478"/>
      <c r="P334" s="120"/>
      <c r="Q334" s="146"/>
      <c r="S334" s="15"/>
      <c r="T334" s="124"/>
      <c r="U334" s="124"/>
      <c r="X334" s="119"/>
    </row>
    <row r="335" spans="1:24">
      <c r="A335" s="481"/>
      <c r="B335" s="482"/>
      <c r="C335" s="483"/>
      <c r="D335" s="483"/>
      <c r="E335" s="65"/>
      <c r="F335" s="491"/>
      <c r="G335" s="493">
        <f t="shared" si="32"/>
        <v>-1013065.303849999</v>
      </c>
      <c r="H335" s="88"/>
      <c r="I335" s="65"/>
      <c r="J335" s="89"/>
      <c r="K335" s="89"/>
      <c r="L335" s="34"/>
      <c r="M335" s="90"/>
      <c r="N335" s="91">
        <f t="shared" si="33"/>
        <v>333313.40789994784</v>
      </c>
      <c r="O335" s="478"/>
      <c r="P335" s="120"/>
      <c r="Q335" s="146"/>
      <c r="S335" s="15"/>
      <c r="T335" s="124"/>
      <c r="U335" s="124"/>
      <c r="X335" s="119"/>
    </row>
    <row r="336" spans="1:24">
      <c r="A336" s="481"/>
      <c r="B336" s="482"/>
      <c r="C336" s="483"/>
      <c r="D336" s="483"/>
      <c r="E336" s="65"/>
      <c r="F336" s="491"/>
      <c r="G336" s="493">
        <f t="shared" si="32"/>
        <v>-1013065.303849999</v>
      </c>
      <c r="H336" s="88"/>
      <c r="I336" s="65"/>
      <c r="J336" s="89"/>
      <c r="K336" s="89"/>
      <c r="L336" s="34"/>
      <c r="M336" s="90"/>
      <c r="N336" s="91">
        <f t="shared" si="33"/>
        <v>333313.40789994784</v>
      </c>
      <c r="O336" s="478"/>
      <c r="P336" s="120"/>
      <c r="Q336" s="146"/>
      <c r="S336" s="15"/>
      <c r="T336" s="124"/>
      <c r="U336" s="124"/>
      <c r="X336" s="119"/>
    </row>
    <row r="337" spans="1:24">
      <c r="A337" s="227"/>
      <c r="B337" s="232"/>
      <c r="C337" s="230"/>
      <c r="D337" s="230"/>
      <c r="E337" s="65"/>
      <c r="F337" s="488"/>
      <c r="G337" s="493">
        <f t="shared" si="32"/>
        <v>-1013065.303849999</v>
      </c>
      <c r="H337" s="88"/>
      <c r="I337" s="65"/>
      <c r="J337" s="105"/>
      <c r="K337" s="105"/>
      <c r="L337" s="106"/>
      <c r="M337" s="107"/>
      <c r="N337" s="91">
        <f t="shared" si="33"/>
        <v>333313.40789994784</v>
      </c>
      <c r="O337" s="478"/>
      <c r="P337" s="120"/>
      <c r="Q337" s="146"/>
      <c r="S337" s="15"/>
      <c r="T337" s="124"/>
      <c r="X337" s="119"/>
    </row>
    <row r="338" spans="1:24">
      <c r="A338" s="227"/>
      <c r="B338" s="232"/>
      <c r="C338" s="230"/>
      <c r="D338" s="230"/>
      <c r="E338" s="65"/>
      <c r="F338" s="906"/>
      <c r="G338" s="493">
        <f t="shared" si="32"/>
        <v>-1013065.303849999</v>
      </c>
      <c r="H338" s="88"/>
      <c r="I338" s="65"/>
      <c r="J338" s="89"/>
      <c r="K338" s="89"/>
      <c r="L338" s="34"/>
      <c r="M338" s="90"/>
      <c r="N338" s="91">
        <f t="shared" si="33"/>
        <v>333313.40789994784</v>
      </c>
      <c r="O338" s="478"/>
      <c r="P338" s="120"/>
      <c r="Q338" s="146"/>
      <c r="S338" s="15"/>
      <c r="T338" s="124"/>
      <c r="X338" s="119"/>
    </row>
    <row r="339" spans="1:24">
      <c r="A339" s="262"/>
      <c r="B339" s="229"/>
      <c r="C339" s="413"/>
      <c r="D339" s="38"/>
      <c r="E339" s="27"/>
      <c r="F339" s="488"/>
      <c r="G339" s="493">
        <f t="shared" si="32"/>
        <v>-1013065.303849999</v>
      </c>
      <c r="H339" s="54"/>
      <c r="I339" s="93"/>
      <c r="J339" s="32"/>
      <c r="K339" s="89"/>
      <c r="L339" s="34"/>
      <c r="M339" s="35"/>
      <c r="N339" s="91">
        <f t="shared" si="33"/>
        <v>333313.40789994784</v>
      </c>
      <c r="O339" s="377"/>
      <c r="P339" s="120"/>
      <c r="Q339" s="146"/>
      <c r="S339" s="15" t="s">
        <v>331</v>
      </c>
      <c r="T339" s="124"/>
      <c r="U339" s="486">
        <v>500000</v>
      </c>
      <c r="X339" s="119"/>
    </row>
    <row r="340" spans="1:24">
      <c r="A340" s="227"/>
      <c r="B340" s="232"/>
      <c r="C340" s="459"/>
      <c r="D340" s="38"/>
      <c r="E340" s="27"/>
      <c r="F340" s="488"/>
      <c r="G340" s="493">
        <f t="shared" si="32"/>
        <v>-1013065.303849999</v>
      </c>
      <c r="H340" s="88"/>
      <c r="I340" s="31"/>
      <c r="J340" s="32"/>
      <c r="K340" s="89"/>
      <c r="L340" s="34"/>
      <c r="M340" s="35"/>
      <c r="N340" s="91">
        <f t="shared" si="33"/>
        <v>333313.40789994784</v>
      </c>
      <c r="P340" s="120"/>
      <c r="Q340" s="146"/>
      <c r="S340" t="s">
        <v>41</v>
      </c>
      <c r="U340">
        <f>26700+12550+4141</f>
        <v>43391</v>
      </c>
      <c r="X340" s="119"/>
    </row>
    <row r="341" spans="1:24">
      <c r="A341" s="227"/>
      <c r="B341" s="232"/>
      <c r="C341" s="459"/>
      <c r="D341" s="230"/>
      <c r="E341" s="65"/>
      <c r="F341" s="488"/>
      <c r="G341" s="493">
        <f t="shared" si="32"/>
        <v>-1013065.303849999</v>
      </c>
      <c r="H341" s="54"/>
      <c r="I341" s="93"/>
      <c r="J341" s="89"/>
      <c r="K341" s="89"/>
      <c r="L341" s="34"/>
      <c r="M341" s="90"/>
      <c r="N341" s="91">
        <f t="shared" si="33"/>
        <v>333313.40789994784</v>
      </c>
      <c r="P341" s="120"/>
      <c r="Q341" s="146"/>
      <c r="S341" s="15"/>
      <c r="T341" s="121"/>
      <c r="X341" s="119"/>
    </row>
    <row r="342" spans="1:24">
      <c r="A342" s="227"/>
      <c r="B342" s="232"/>
      <c r="C342" s="230"/>
      <c r="D342" s="230"/>
      <c r="E342" s="65"/>
      <c r="F342" s="32"/>
      <c r="G342" s="32">
        <f t="shared" si="32"/>
        <v>-1013065.303849999</v>
      </c>
      <c r="H342" s="32"/>
      <c r="I342" s="93"/>
      <c r="J342" s="89"/>
      <c r="K342" s="89"/>
      <c r="L342" s="34"/>
      <c r="M342" s="89"/>
      <c r="N342" s="89">
        <f t="shared" si="33"/>
        <v>333313.40789994784</v>
      </c>
      <c r="X342" s="119"/>
    </row>
    <row r="343" spans="1:24">
      <c r="A343" s="227"/>
      <c r="B343" s="232"/>
      <c r="C343" s="230"/>
      <c r="D343" s="469"/>
      <c r="E343" s="468"/>
      <c r="F343" s="463"/>
      <c r="G343" s="32">
        <f t="shared" si="32"/>
        <v>-1013065.303849999</v>
      </c>
      <c r="H343" s="32"/>
      <c r="I343" s="31"/>
      <c r="J343" s="89"/>
      <c r="K343" s="89"/>
      <c r="L343" s="444"/>
      <c r="M343" s="32"/>
      <c r="N343" s="89">
        <f t="shared" si="33"/>
        <v>333313.40789994784</v>
      </c>
      <c r="X343" s="119"/>
    </row>
    <row r="344" spans="1:24">
      <c r="A344" s="227"/>
      <c r="B344" s="418"/>
      <c r="C344" s="50"/>
      <c r="D344" s="463"/>
      <c r="E344" s="468"/>
      <c r="F344" s="463"/>
      <c r="G344" s="32">
        <f t="shared" si="32"/>
        <v>-1013065.303849999</v>
      </c>
      <c r="H344" s="32"/>
      <c r="I344" s="93"/>
      <c r="J344" s="89"/>
      <c r="K344" s="89"/>
      <c r="L344" s="444"/>
      <c r="M344" s="32"/>
      <c r="N344" s="89">
        <f t="shared" si="33"/>
        <v>333313.40789994784</v>
      </c>
      <c r="P344" s="120"/>
      <c r="Q344" s="146"/>
      <c r="S344" s="15"/>
      <c r="T344" s="124"/>
      <c r="U344" s="124"/>
      <c r="X344" s="119"/>
    </row>
    <row r="345" spans="1:24">
      <c r="A345" s="457"/>
      <c r="B345" s="458"/>
      <c r="C345" s="447"/>
      <c r="D345" s="27"/>
      <c r="E345" s="27"/>
      <c r="F345" s="32"/>
      <c r="G345" s="32">
        <f t="shared" ref="G345:G346" si="34">+G344+C345+D345-E345-F345</f>
        <v>-1013065.303849999</v>
      </c>
      <c r="H345" s="89"/>
      <c r="I345" s="31"/>
      <c r="J345" s="32"/>
      <c r="K345" s="89"/>
      <c r="L345" s="89"/>
      <c r="M345" s="32"/>
      <c r="N345" s="89">
        <f t="shared" ref="N345:N346" si="35">+N344+H345+I345-J345-K345-L345-M345</f>
        <v>333313.40789994784</v>
      </c>
      <c r="P345" s="120"/>
      <c r="Q345" s="146"/>
      <c r="S345" s="15"/>
      <c r="T345" s="124"/>
      <c r="U345" s="124"/>
      <c r="X345" s="119"/>
    </row>
    <row r="346" spans="1:24">
      <c r="A346" s="457"/>
      <c r="B346" s="458"/>
      <c r="C346" s="413"/>
      <c r="D346" s="38"/>
      <c r="E346" s="27"/>
      <c r="F346" s="32"/>
      <c r="G346" s="32">
        <f t="shared" si="34"/>
        <v>-1013065.303849999</v>
      </c>
      <c r="H346" s="89"/>
      <c r="I346" s="31"/>
      <c r="J346" s="32"/>
      <c r="K346" s="89"/>
      <c r="L346" s="34"/>
      <c r="M346" s="32"/>
      <c r="N346" s="89">
        <f t="shared" si="35"/>
        <v>333313.40789994784</v>
      </c>
      <c r="P346" s="120"/>
      <c r="Q346" s="146"/>
      <c r="S346" s="15"/>
      <c r="T346" s="124"/>
      <c r="U346" s="124"/>
      <c r="X346" s="119"/>
    </row>
    <row r="347" spans="1:24" ht="15.75" thickBot="1">
      <c r="A347" s="44"/>
      <c r="B347" s="494" t="s">
        <v>46</v>
      </c>
      <c r="C347" s="113">
        <f>SUM(C302:C346)</f>
        <v>0</v>
      </c>
      <c r="D347" s="114">
        <f>SUM(D302:D346)</f>
        <v>852712.34</v>
      </c>
      <c r="E347" s="114">
        <f>SUM(E302:E346)</f>
        <v>2381987.3200000003</v>
      </c>
      <c r="F347" s="114">
        <f>SUM(F302:F346)</f>
        <v>146334.35085000002</v>
      </c>
      <c r="G347" s="115"/>
      <c r="H347" s="113">
        <f t="shared" ref="H347:M347" si="36">SUM(H302:H346)</f>
        <v>0</v>
      </c>
      <c r="I347" s="114">
        <f t="shared" si="36"/>
        <v>56877</v>
      </c>
      <c r="J347" s="114">
        <f t="shared" si="36"/>
        <v>0</v>
      </c>
      <c r="K347" s="114">
        <f t="shared" si="36"/>
        <v>0</v>
      </c>
      <c r="L347" s="114">
        <f t="shared" si="36"/>
        <v>4268.7</v>
      </c>
      <c r="M347" s="114">
        <f t="shared" si="36"/>
        <v>0</v>
      </c>
      <c r="N347" s="79"/>
      <c r="P347" s="120"/>
      <c r="Q347" s="146"/>
      <c r="S347" s="15"/>
      <c r="T347" s="124"/>
      <c r="U347" s="124"/>
      <c r="X347" s="119"/>
    </row>
    <row r="348" spans="1:24">
      <c r="P348" s="120"/>
      <c r="Q348" s="146"/>
      <c r="S348" s="15"/>
      <c r="T348" s="124"/>
      <c r="U348" s="124"/>
      <c r="X348" s="119"/>
    </row>
    <row r="349" spans="1:24" ht="15.75" thickBot="1">
      <c r="P349" s="120"/>
      <c r="Q349" s="146"/>
      <c r="S349" s="15"/>
      <c r="T349" s="124"/>
      <c r="U349" s="124"/>
      <c r="X349" s="119"/>
    </row>
    <row r="350" spans="1:24" ht="15.75" thickBot="1">
      <c r="A350" s="394" t="s">
        <v>276</v>
      </c>
      <c r="C350" s="907" t="s">
        <v>3</v>
      </c>
      <c r="D350" s="908"/>
      <c r="E350" s="907" t="s">
        <v>4</v>
      </c>
      <c r="F350" s="908"/>
      <c r="G350" s="5"/>
      <c r="H350" s="909" t="s">
        <v>5</v>
      </c>
      <c r="I350" s="910"/>
      <c r="J350" s="909" t="s">
        <v>6</v>
      </c>
      <c r="K350" s="911"/>
      <c r="L350" s="911"/>
      <c r="M350" s="910"/>
      <c r="N350" s="6"/>
      <c r="P350" s="120"/>
      <c r="Q350" s="146"/>
      <c r="S350" s="15"/>
      <c r="T350" s="124"/>
      <c r="U350" s="124"/>
      <c r="X350" s="119"/>
    </row>
    <row r="351" spans="1:24" ht="15.75" thickBot="1">
      <c r="A351" s="7" t="s">
        <v>7</v>
      </c>
      <c r="B351" s="8" t="s">
        <v>8</v>
      </c>
      <c r="C351" s="9" t="s">
        <v>9</v>
      </c>
      <c r="D351" s="9" t="s">
        <v>10</v>
      </c>
      <c r="E351" s="10" t="s">
        <v>68</v>
      </c>
      <c r="F351" s="10" t="s">
        <v>69</v>
      </c>
      <c r="G351" s="11" t="s">
        <v>13</v>
      </c>
      <c r="H351" s="12" t="s">
        <v>14</v>
      </c>
      <c r="I351" s="12" t="s">
        <v>10</v>
      </c>
      <c r="J351" s="12" t="s">
        <v>15</v>
      </c>
      <c r="K351" s="12" t="s">
        <v>11</v>
      </c>
      <c r="L351" s="12" t="s">
        <v>16</v>
      </c>
      <c r="M351" s="12" t="s">
        <v>17</v>
      </c>
      <c r="N351" s="13" t="s">
        <v>18</v>
      </c>
    </row>
    <row r="352" spans="1:24" ht="15.75" thickBot="1">
      <c r="A352" s="14">
        <v>44804</v>
      </c>
      <c r="B352" s="15" t="s">
        <v>19</v>
      </c>
      <c r="C352" s="16"/>
      <c r="D352" s="17"/>
      <c r="E352" s="17"/>
      <c r="F352" s="440"/>
      <c r="G352" s="492">
        <f>G342</f>
        <v>-1013065.303849999</v>
      </c>
      <c r="H352" s="16"/>
      <c r="I352" s="87"/>
      <c r="J352" s="17"/>
      <c r="K352" s="87"/>
      <c r="L352" s="21"/>
      <c r="M352" s="22"/>
      <c r="N352" s="23">
        <f>N342</f>
        <v>333313.40789994784</v>
      </c>
      <c r="S352" s="271" t="s">
        <v>353</v>
      </c>
    </row>
    <row r="353" spans="1:22">
      <c r="A353" s="227"/>
      <c r="B353" s="232" t="s">
        <v>315</v>
      </c>
      <c r="C353" s="230"/>
      <c r="D353" s="905"/>
      <c r="E353" s="468"/>
      <c r="F353" s="489">
        <v>60200</v>
      </c>
      <c r="G353" s="493">
        <f t="shared" ref="G353:G394" si="37">+G352+C353+D353-E353-F353</f>
        <v>-1073265.3038499989</v>
      </c>
      <c r="H353" s="30"/>
      <c r="I353" s="31"/>
      <c r="J353" s="32"/>
      <c r="K353" s="89"/>
      <c r="L353" s="34"/>
      <c r="M353" s="35"/>
      <c r="N353" s="91">
        <f t="shared" ref="N353:N394" si="38">+N352+H353+I353-J353-K353-L353-M353</f>
        <v>333313.40789994784</v>
      </c>
    </row>
    <row r="354" spans="1:22">
      <c r="A354" s="227">
        <v>44813</v>
      </c>
      <c r="B354" s="418" t="s">
        <v>318</v>
      </c>
      <c r="C354" s="461"/>
      <c r="D354" s="463">
        <v>328670</v>
      </c>
      <c r="E354" s="468"/>
      <c r="F354" s="489"/>
      <c r="G354" s="493">
        <f t="shared" si="37"/>
        <v>-744595.30384999886</v>
      </c>
      <c r="H354" s="30"/>
      <c r="I354" s="31"/>
      <c r="J354" s="32"/>
      <c r="K354" s="89"/>
      <c r="L354" s="34"/>
      <c r="M354" s="35"/>
      <c r="N354" s="91">
        <f t="shared" si="38"/>
        <v>333313.40789994784</v>
      </c>
      <c r="Q354" s="120">
        <v>44803</v>
      </c>
      <c r="R354" s="146">
        <v>267</v>
      </c>
      <c r="S354" s="15" t="s">
        <v>339</v>
      </c>
      <c r="T354" s="124"/>
      <c r="U354" s="486">
        <v>150000</v>
      </c>
    </row>
    <row r="355" spans="1:22">
      <c r="A355" s="227"/>
      <c r="B355" s="232" t="s">
        <v>319</v>
      </c>
      <c r="C355" s="460"/>
      <c r="D355" s="469"/>
      <c r="E355" s="463"/>
      <c r="F355" s="490">
        <v>680.77</v>
      </c>
      <c r="G355" s="493">
        <f t="shared" si="37"/>
        <v>-745276.07384999888</v>
      </c>
      <c r="H355" s="46"/>
      <c r="I355" s="31"/>
      <c r="J355" s="47"/>
      <c r="K355" s="89"/>
      <c r="L355" s="34"/>
      <c r="M355" s="48"/>
      <c r="N355" s="91">
        <f t="shared" si="38"/>
        <v>333313.40789994784</v>
      </c>
      <c r="P355" s="120"/>
      <c r="Q355" s="120">
        <v>44809</v>
      </c>
      <c r="R355" s="146"/>
      <c r="S355" s="15" t="s">
        <v>335</v>
      </c>
      <c r="T355" s="124"/>
      <c r="U355" s="486">
        <v>16138.82</v>
      </c>
      <c r="V355" s="117"/>
    </row>
    <row r="356" spans="1:22">
      <c r="A356" s="227"/>
      <c r="B356" s="232" t="s">
        <v>320</v>
      </c>
      <c r="C356" s="459"/>
      <c r="D356" s="469"/>
      <c r="E356" s="468"/>
      <c r="F356" s="489">
        <v>15326.87</v>
      </c>
      <c r="G356" s="493">
        <f t="shared" si="37"/>
        <v>-760602.94384999888</v>
      </c>
      <c r="H356" s="54"/>
      <c r="I356" s="93"/>
      <c r="J356" s="32"/>
      <c r="K356" s="89"/>
      <c r="L356" s="34"/>
      <c r="M356" s="35"/>
      <c r="N356" s="91">
        <f t="shared" si="38"/>
        <v>333313.40789994784</v>
      </c>
      <c r="P356" s="120"/>
      <c r="Q356" s="120">
        <v>44810</v>
      </c>
      <c r="R356" s="146"/>
      <c r="S356" s="15" t="s">
        <v>336</v>
      </c>
      <c r="T356" s="486">
        <f>27083.86+102500</f>
        <v>129583.86</v>
      </c>
      <c r="U356" s="124"/>
      <c r="V356" s="117"/>
    </row>
    <row r="357" spans="1:22">
      <c r="A357" s="227"/>
      <c r="B357" s="418" t="s">
        <v>321</v>
      </c>
      <c r="C357" s="461"/>
      <c r="D357" s="463"/>
      <c r="E357" s="468"/>
      <c r="F357" s="489">
        <v>84342.95</v>
      </c>
      <c r="G357" s="493">
        <f t="shared" si="37"/>
        <v>-844945.89384999883</v>
      </c>
      <c r="H357" s="54"/>
      <c r="I357" s="31"/>
      <c r="J357" s="89"/>
      <c r="K357" s="89"/>
      <c r="L357" s="34"/>
      <c r="M357" s="90"/>
      <c r="N357" s="91">
        <f t="shared" si="38"/>
        <v>333313.40789994784</v>
      </c>
      <c r="P357" s="120"/>
      <c r="Q357" s="120">
        <v>44810</v>
      </c>
      <c r="R357" s="146" t="s">
        <v>337</v>
      </c>
      <c r="S357" s="144" t="s">
        <v>338</v>
      </c>
      <c r="T357" s="124"/>
      <c r="U357" s="486">
        <v>117873.60000000001</v>
      </c>
      <c r="V357" s="117"/>
    </row>
    <row r="358" spans="1:22">
      <c r="A358" s="227"/>
      <c r="B358" s="232" t="s">
        <v>322</v>
      </c>
      <c r="C358" s="460"/>
      <c r="D358" s="469"/>
      <c r="E358" s="463"/>
      <c r="F358" s="490">
        <v>105460</v>
      </c>
      <c r="G358" s="493">
        <f t="shared" si="37"/>
        <v>-950405.89384999883</v>
      </c>
      <c r="H358" s="88"/>
      <c r="I358" s="31"/>
      <c r="J358" s="32"/>
      <c r="K358" s="89"/>
      <c r="L358" s="34"/>
      <c r="M358" s="35"/>
      <c r="N358" s="91">
        <f t="shared" si="38"/>
        <v>333313.40789994784</v>
      </c>
      <c r="P358" s="120"/>
      <c r="Q358" s="120">
        <v>44811</v>
      </c>
      <c r="R358" s="146"/>
      <c r="S358" s="15" t="s">
        <v>340</v>
      </c>
      <c r="T358" s="124"/>
      <c r="U358" s="486">
        <v>680.7</v>
      </c>
      <c r="V358" s="117"/>
    </row>
    <row r="359" spans="1:22">
      <c r="A359" s="227"/>
      <c r="B359" s="232" t="s">
        <v>332</v>
      </c>
      <c r="C359" s="459"/>
      <c r="D359" s="469"/>
      <c r="E359" s="468"/>
      <c r="F359" s="489">
        <v>122738</v>
      </c>
      <c r="G359" s="493">
        <f t="shared" si="37"/>
        <v>-1073143.8938499987</v>
      </c>
      <c r="H359" s="88"/>
      <c r="I359" s="89"/>
      <c r="J359" s="89"/>
      <c r="K359" s="89"/>
      <c r="L359" s="34"/>
      <c r="M359" s="90"/>
      <c r="N359" s="91">
        <f t="shared" si="38"/>
        <v>333313.40789994784</v>
      </c>
      <c r="P359" s="120"/>
      <c r="Q359" s="120">
        <v>44811</v>
      </c>
      <c r="R359" s="146"/>
      <c r="S359" s="15" t="s">
        <v>341</v>
      </c>
      <c r="T359" s="124"/>
      <c r="U359" s="486">
        <v>236775</v>
      </c>
      <c r="V359" s="117"/>
    </row>
    <row r="360" spans="1:22">
      <c r="A360" s="457"/>
      <c r="B360" s="458" t="s">
        <v>264</v>
      </c>
      <c r="C360" s="900"/>
      <c r="D360" s="27"/>
      <c r="E360" s="27"/>
      <c r="F360" s="488"/>
      <c r="G360" s="493">
        <f t="shared" si="37"/>
        <v>-1073143.8938499987</v>
      </c>
      <c r="H360" s="54"/>
      <c r="I360" s="93">
        <v>9165</v>
      </c>
      <c r="J360" s="89"/>
      <c r="K360" s="89"/>
      <c r="L360" s="34"/>
      <c r="M360" s="90"/>
      <c r="N360" s="91">
        <f t="shared" si="38"/>
        <v>342478.40789994784</v>
      </c>
      <c r="P360" s="120"/>
      <c r="Q360" s="120">
        <v>44813</v>
      </c>
      <c r="R360" s="146"/>
      <c r="S360" s="15" t="s">
        <v>342</v>
      </c>
      <c r="T360" s="486">
        <f>190670+138000</f>
        <v>328670</v>
      </c>
      <c r="U360" s="124"/>
      <c r="V360" s="117"/>
    </row>
    <row r="361" spans="1:22">
      <c r="A361" s="457"/>
      <c r="B361" s="458" t="s">
        <v>293</v>
      </c>
      <c r="C361" s="903"/>
      <c r="D361" s="27"/>
      <c r="E361" s="27"/>
      <c r="F361" s="488"/>
      <c r="G361" s="493">
        <f t="shared" si="37"/>
        <v>-1073143.8938499987</v>
      </c>
      <c r="H361" s="88"/>
      <c r="I361" s="31">
        <f>8500+415</f>
        <v>8915</v>
      </c>
      <c r="J361" s="89"/>
      <c r="K361" s="89"/>
      <c r="L361" s="34"/>
      <c r="M361" s="90"/>
      <c r="N361" s="91">
        <f t="shared" si="38"/>
        <v>351393.40789994784</v>
      </c>
      <c r="P361" s="120"/>
      <c r="Q361" s="120">
        <v>44817</v>
      </c>
      <c r="R361" s="146"/>
      <c r="S361" s="15" t="s">
        <v>345</v>
      </c>
      <c r="T361" s="486">
        <v>720000</v>
      </c>
      <c r="U361" s="124"/>
      <c r="V361" s="117"/>
    </row>
    <row r="362" spans="1:22" ht="15.75">
      <c r="A362" s="457"/>
      <c r="B362" s="458" t="s">
        <v>294</v>
      </c>
      <c r="C362" s="901"/>
      <c r="D362" s="38"/>
      <c r="E362" s="27"/>
      <c r="F362" s="488"/>
      <c r="G362" s="493">
        <f t="shared" si="37"/>
        <v>-1073143.8938499987</v>
      </c>
      <c r="H362" s="88"/>
      <c r="I362" s="31">
        <f>8500+415</f>
        <v>8915</v>
      </c>
      <c r="J362" s="32"/>
      <c r="K362" s="89"/>
      <c r="L362" s="34"/>
      <c r="M362" s="35"/>
      <c r="N362" s="91">
        <f t="shared" si="38"/>
        <v>360308.40789994784</v>
      </c>
      <c r="P362" s="120"/>
      <c r="Q362" s="120">
        <v>44818</v>
      </c>
      <c r="R362" s="122" t="s">
        <v>343</v>
      </c>
      <c r="S362" s="168" t="s">
        <v>344</v>
      </c>
      <c r="T362" s="191"/>
      <c r="U362" s="486">
        <v>122738</v>
      </c>
      <c r="V362" s="117"/>
    </row>
    <row r="363" spans="1:22">
      <c r="A363" s="457"/>
      <c r="B363" s="458" t="s">
        <v>295</v>
      </c>
      <c r="C363" s="900"/>
      <c r="D363" s="27"/>
      <c r="E363" s="27"/>
      <c r="F363" s="488"/>
      <c r="G363" s="493">
        <f t="shared" si="37"/>
        <v>-1073143.8938499987</v>
      </c>
      <c r="H363" s="54"/>
      <c r="I363" s="93">
        <f>1075*6</f>
        <v>6450</v>
      </c>
      <c r="J363" s="898"/>
      <c r="K363" s="89"/>
      <c r="L363" s="34"/>
      <c r="M363" s="35"/>
      <c r="N363" s="91">
        <f t="shared" si="38"/>
        <v>366758.40789994784</v>
      </c>
      <c r="P363" s="120"/>
      <c r="Q363" s="120">
        <v>44818</v>
      </c>
      <c r="R363" s="146">
        <v>225</v>
      </c>
      <c r="S363" s="131" t="s">
        <v>346</v>
      </c>
      <c r="T363" s="124"/>
      <c r="U363" s="486">
        <v>500000</v>
      </c>
      <c r="V363" s="117"/>
    </row>
    <row r="364" spans="1:22">
      <c r="A364" s="457"/>
      <c r="B364" s="458" t="s">
        <v>296</v>
      </c>
      <c r="C364" s="900"/>
      <c r="D364" s="27"/>
      <c r="E364" s="27"/>
      <c r="F364" s="488"/>
      <c r="G364" s="493">
        <f t="shared" si="37"/>
        <v>-1073143.8938499987</v>
      </c>
      <c r="H364" s="54"/>
      <c r="I364" s="93">
        <f>1075*6</f>
        <v>6450</v>
      </c>
      <c r="J364" s="898"/>
      <c r="K364" s="89"/>
      <c r="L364" s="34"/>
      <c r="M364" s="35"/>
      <c r="N364" s="91">
        <f t="shared" si="38"/>
        <v>373208.40789994784</v>
      </c>
      <c r="P364" s="120"/>
      <c r="Q364" s="120">
        <v>44818</v>
      </c>
      <c r="R364" s="146">
        <v>217</v>
      </c>
      <c r="S364" s="15" t="s">
        <v>327</v>
      </c>
      <c r="T364" s="124"/>
      <c r="U364" s="486">
        <v>500000</v>
      </c>
      <c r="V364" s="117"/>
    </row>
    <row r="365" spans="1:22">
      <c r="A365" s="457"/>
      <c r="B365" s="487" t="s">
        <v>281</v>
      </c>
      <c r="C365" s="900"/>
      <c r="D365" s="27"/>
      <c r="E365" s="27"/>
      <c r="F365" s="488"/>
      <c r="G365" s="493">
        <f t="shared" si="37"/>
        <v>-1073143.8938499987</v>
      </c>
      <c r="H365" s="88"/>
      <c r="I365" s="31">
        <f>1075*7</f>
        <v>7525</v>
      </c>
      <c r="J365" s="898"/>
      <c r="K365" s="89"/>
      <c r="L365" s="89"/>
      <c r="M365" s="35"/>
      <c r="N365" s="91">
        <f t="shared" si="38"/>
        <v>380733.40789994784</v>
      </c>
      <c r="P365" s="120"/>
      <c r="Q365" s="120">
        <v>44818</v>
      </c>
      <c r="R365" s="146"/>
      <c r="S365" s="15" t="s">
        <v>345</v>
      </c>
      <c r="T365" s="486">
        <f>500000*2</f>
        <v>1000000</v>
      </c>
      <c r="U365" s="124"/>
      <c r="V365" s="117"/>
    </row>
    <row r="366" spans="1:22">
      <c r="A366" s="457"/>
      <c r="B366" s="487" t="s">
        <v>284</v>
      </c>
      <c r="C366" s="902"/>
      <c r="D366" s="27"/>
      <c r="E366" s="27"/>
      <c r="F366" s="488"/>
      <c r="G366" s="493">
        <f t="shared" si="37"/>
        <v>-1073143.8938499987</v>
      </c>
      <c r="H366" s="88"/>
      <c r="I366" s="31">
        <f>1075*7</f>
        <v>7525</v>
      </c>
      <c r="J366" s="898"/>
      <c r="K366" s="89"/>
      <c r="L366" s="89"/>
      <c r="M366" s="35"/>
      <c r="N366" s="91">
        <f t="shared" si="38"/>
        <v>388258.40789994784</v>
      </c>
      <c r="P366" s="120"/>
      <c r="Q366" s="120">
        <v>44819</v>
      </c>
      <c r="R366" s="146">
        <v>219</v>
      </c>
      <c r="S366" s="15" t="s">
        <v>327</v>
      </c>
      <c r="T366" s="124"/>
      <c r="U366" s="486">
        <v>500000</v>
      </c>
      <c r="V366" s="117"/>
    </row>
    <row r="367" spans="1:22">
      <c r="A367" s="262"/>
      <c r="B367" s="458" t="s">
        <v>271</v>
      </c>
      <c r="C367" s="902"/>
      <c r="D367" s="27"/>
      <c r="E367" s="27"/>
      <c r="F367" s="488"/>
      <c r="G367" s="493">
        <f t="shared" si="37"/>
        <v>-1073143.8938499987</v>
      </c>
      <c r="H367" s="30"/>
      <c r="I367" s="31">
        <v>966</v>
      </c>
      <c r="J367" s="32"/>
      <c r="K367" s="89"/>
      <c r="L367" s="89"/>
      <c r="M367" s="35"/>
      <c r="N367" s="91">
        <f t="shared" si="38"/>
        <v>389224.40789994784</v>
      </c>
      <c r="P367" s="120"/>
      <c r="Q367" s="120">
        <v>44819</v>
      </c>
      <c r="R367" s="146"/>
      <c r="S367" s="15" t="s">
        <v>345</v>
      </c>
      <c r="T367" s="486">
        <v>400000</v>
      </c>
      <c r="U367" s="124"/>
      <c r="V367" s="117"/>
    </row>
    <row r="368" spans="1:22">
      <c r="A368" s="262"/>
      <c r="B368" s="458" t="s">
        <v>272</v>
      </c>
      <c r="C368" s="904"/>
      <c r="D368" s="38"/>
      <c r="E368" s="38"/>
      <c r="F368" s="488"/>
      <c r="G368" s="493">
        <f t="shared" si="37"/>
        <v>-1073143.8938499987</v>
      </c>
      <c r="H368" s="30"/>
      <c r="I368" s="31">
        <v>966</v>
      </c>
      <c r="J368" s="89"/>
      <c r="K368" s="89"/>
      <c r="L368" s="34"/>
      <c r="M368" s="90"/>
      <c r="N368" s="91">
        <f t="shared" si="38"/>
        <v>390190.40789994784</v>
      </c>
      <c r="P368" s="120"/>
      <c r="Q368" s="120">
        <v>44819</v>
      </c>
      <c r="R368" s="146">
        <v>427</v>
      </c>
      <c r="S368" s="131" t="s">
        <v>346</v>
      </c>
      <c r="T368" s="124"/>
      <c r="U368" s="486">
        <v>500000</v>
      </c>
      <c r="V368" s="117"/>
    </row>
    <row r="369" spans="1:22">
      <c r="A369" s="227"/>
      <c r="B369" s="418" t="s">
        <v>327</v>
      </c>
      <c r="C369" s="461"/>
      <c r="D369" s="463"/>
      <c r="E369" s="468"/>
      <c r="F369" s="489">
        <v>500000</v>
      </c>
      <c r="G369" s="493">
        <f t="shared" si="37"/>
        <v>-1573143.8938499987</v>
      </c>
      <c r="H369" s="88"/>
      <c r="I369" s="65"/>
      <c r="J369" s="89"/>
      <c r="K369" s="89"/>
      <c r="L369" s="34"/>
      <c r="M369" s="90"/>
      <c r="N369" s="91">
        <f t="shared" si="38"/>
        <v>390190.40789994784</v>
      </c>
      <c r="P369" s="120"/>
      <c r="Q369" s="120">
        <v>44820</v>
      </c>
      <c r="R369" s="146"/>
      <c r="S369" s="15" t="s">
        <v>345</v>
      </c>
      <c r="T369" s="486">
        <v>100000</v>
      </c>
      <c r="U369" s="124"/>
      <c r="V369" s="117"/>
    </row>
    <row r="370" spans="1:22">
      <c r="A370" s="227"/>
      <c r="B370" s="232" t="s">
        <v>324</v>
      </c>
      <c r="C370" s="460"/>
      <c r="D370" s="469">
        <v>181570.74</v>
      </c>
      <c r="E370" s="463"/>
      <c r="F370" s="490"/>
      <c r="G370" s="493">
        <f t="shared" si="37"/>
        <v>-1391573.1538499987</v>
      </c>
      <c r="H370" s="88"/>
      <c r="I370" s="65"/>
      <c r="J370" s="89"/>
      <c r="K370" s="89"/>
      <c r="L370" s="34"/>
      <c r="M370" s="90"/>
      <c r="N370" s="91">
        <f t="shared" si="38"/>
        <v>390190.40789994784</v>
      </c>
      <c r="P370" s="120"/>
      <c r="Q370" s="120">
        <v>44820</v>
      </c>
      <c r="R370" s="146">
        <v>428</v>
      </c>
      <c r="S370" s="131" t="s">
        <v>346</v>
      </c>
      <c r="T370" s="124"/>
      <c r="U370" s="486">
        <v>419918.37</v>
      </c>
      <c r="V370" s="117"/>
    </row>
    <row r="371" spans="1:22">
      <c r="A371" s="227"/>
      <c r="B371" s="232" t="s">
        <v>325</v>
      </c>
      <c r="C371" s="459"/>
      <c r="D371" s="469"/>
      <c r="E371" s="468"/>
      <c r="F371" s="489">
        <v>140407.4</v>
      </c>
      <c r="G371" s="493">
        <f t="shared" si="37"/>
        <v>-1531980.5538499986</v>
      </c>
      <c r="H371" s="88"/>
      <c r="I371" s="65"/>
      <c r="J371" s="89"/>
      <c r="K371" s="89"/>
      <c r="L371" s="34"/>
      <c r="M371" s="90"/>
      <c r="N371" s="91">
        <f t="shared" si="38"/>
        <v>390190.40789994784</v>
      </c>
      <c r="P371" s="120"/>
      <c r="Q371" s="120">
        <v>44821</v>
      </c>
      <c r="R371" s="146"/>
      <c r="S371" s="131" t="s">
        <v>349</v>
      </c>
      <c r="T371" s="124"/>
      <c r="U371" s="486">
        <v>16006.02</v>
      </c>
      <c r="V371" s="117"/>
    </row>
    <row r="372" spans="1:22">
      <c r="A372" s="227"/>
      <c r="B372" s="418" t="s">
        <v>326</v>
      </c>
      <c r="C372" s="50"/>
      <c r="D372" s="463"/>
      <c r="E372" s="468"/>
      <c r="F372" s="489">
        <v>51776</v>
      </c>
      <c r="G372" s="493">
        <f t="shared" si="37"/>
        <v>-1583756.5538499986</v>
      </c>
      <c r="H372" s="88"/>
      <c r="I372" s="65"/>
      <c r="J372" s="89"/>
      <c r="K372" s="89"/>
      <c r="L372" s="34"/>
      <c r="M372" s="90"/>
      <c r="N372" s="91">
        <f t="shared" si="38"/>
        <v>390190.40789994784</v>
      </c>
      <c r="P372" s="120"/>
      <c r="Q372" s="120">
        <v>44823</v>
      </c>
      <c r="R372" s="146"/>
      <c r="S372" s="131" t="s">
        <v>324</v>
      </c>
      <c r="T372" s="486">
        <v>193942.15</v>
      </c>
      <c r="U372" s="124"/>
      <c r="V372" s="117"/>
    </row>
    <row r="373" spans="1:22">
      <c r="A373" s="227"/>
      <c r="B373" s="232" t="s">
        <v>327</v>
      </c>
      <c r="C373" s="417"/>
      <c r="D373" s="469"/>
      <c r="E373" s="463"/>
      <c r="F373" s="490">
        <v>766666.67</v>
      </c>
      <c r="G373" s="493">
        <f t="shared" si="37"/>
        <v>-2350423.2238499988</v>
      </c>
      <c r="H373" s="88"/>
      <c r="I373" s="65"/>
      <c r="J373" s="89"/>
      <c r="K373" s="89"/>
      <c r="L373" s="34"/>
      <c r="M373" s="90"/>
      <c r="N373" s="91">
        <f t="shared" si="38"/>
        <v>390190.40789994784</v>
      </c>
      <c r="P373" s="120"/>
      <c r="Q373" s="120">
        <v>44824</v>
      </c>
      <c r="R373" s="146"/>
      <c r="S373" s="131" t="s">
        <v>347</v>
      </c>
      <c r="T373" s="124"/>
      <c r="U373" s="486">
        <v>341664.3</v>
      </c>
      <c r="V373" s="117"/>
    </row>
    <row r="374" spans="1:22">
      <c r="A374" s="227"/>
      <c r="B374" s="232" t="s">
        <v>333</v>
      </c>
      <c r="C374" s="230"/>
      <c r="D374" s="469"/>
      <c r="E374" s="468"/>
      <c r="F374" s="463">
        <f>14167.52+1321.32+16428.82</f>
        <v>31917.66</v>
      </c>
      <c r="G374" s="493">
        <f t="shared" si="37"/>
        <v>-2382340.8838499989</v>
      </c>
      <c r="H374" s="88"/>
      <c r="I374" s="65"/>
      <c r="J374" s="89"/>
      <c r="K374" s="89"/>
      <c r="L374" s="34"/>
      <c r="M374" s="90"/>
      <c r="N374" s="91">
        <f t="shared" si="38"/>
        <v>390190.40789994784</v>
      </c>
      <c r="P374" s="120"/>
      <c r="Q374" s="120">
        <v>44824</v>
      </c>
      <c r="R374" s="146">
        <v>220</v>
      </c>
      <c r="S374" s="15" t="s">
        <v>327</v>
      </c>
      <c r="T374" s="124"/>
      <c r="U374" s="486">
        <v>500000</v>
      </c>
      <c r="V374" s="117"/>
    </row>
    <row r="375" spans="1:22">
      <c r="A375" s="227"/>
      <c r="B375" s="418" t="s">
        <v>328</v>
      </c>
      <c r="C375" s="50"/>
      <c r="D375" s="463">
        <v>117873.60000000001</v>
      </c>
      <c r="E375" s="468"/>
      <c r="F375" s="489"/>
      <c r="G375" s="493">
        <f t="shared" si="37"/>
        <v>-2264467.2838499988</v>
      </c>
      <c r="H375" s="88"/>
      <c r="I375" s="65"/>
      <c r="J375" s="89"/>
      <c r="K375" s="89"/>
      <c r="L375" s="34"/>
      <c r="M375" s="90"/>
      <c r="N375" s="91">
        <f t="shared" si="38"/>
        <v>390190.40789994784</v>
      </c>
      <c r="P375" s="120"/>
      <c r="Q375" s="120">
        <v>44825</v>
      </c>
      <c r="R375" s="146"/>
      <c r="S375" s="131" t="s">
        <v>348</v>
      </c>
      <c r="T375" s="124"/>
      <c r="U375" s="486">
        <v>51776</v>
      </c>
      <c r="V375" s="117"/>
    </row>
    <row r="376" spans="1:22">
      <c r="A376" s="227"/>
      <c r="B376" s="232" t="s">
        <v>329</v>
      </c>
      <c r="C376" s="417"/>
      <c r="D376" s="469">
        <v>245570</v>
      </c>
      <c r="E376" s="463"/>
      <c r="F376" s="490"/>
      <c r="G376" s="493">
        <f t="shared" si="37"/>
        <v>-2018897.2838499988</v>
      </c>
      <c r="H376" s="88"/>
      <c r="I376" s="65"/>
      <c r="J376" s="89"/>
      <c r="K376" s="89"/>
      <c r="L376" s="34"/>
      <c r="M376" s="90"/>
      <c r="N376" s="91">
        <f t="shared" si="38"/>
        <v>390190.40789994784</v>
      </c>
      <c r="P376" s="120"/>
      <c r="Q376" s="120">
        <v>44825</v>
      </c>
      <c r="R376" s="146"/>
      <c r="S376" s="15" t="s">
        <v>345</v>
      </c>
      <c r="T376" s="486">
        <f>750000+750000</f>
        <v>1500000</v>
      </c>
      <c r="U376" s="124"/>
      <c r="V376" s="117"/>
    </row>
    <row r="377" spans="1:22">
      <c r="A377" s="227"/>
      <c r="B377" s="232" t="s">
        <v>316</v>
      </c>
      <c r="C377" s="230"/>
      <c r="D377" s="469"/>
      <c r="E377" s="468"/>
      <c r="F377" s="463">
        <v>500000</v>
      </c>
      <c r="G377" s="493">
        <f t="shared" si="37"/>
        <v>-2518897.2838499988</v>
      </c>
      <c r="H377" s="88"/>
      <c r="I377" s="65"/>
      <c r="J377" s="89"/>
      <c r="K377" s="89"/>
      <c r="L377" s="34"/>
      <c r="M377" s="90"/>
      <c r="N377" s="91">
        <f t="shared" si="38"/>
        <v>390190.40789994784</v>
      </c>
      <c r="P377" s="120"/>
      <c r="Q377" s="120">
        <v>44826</v>
      </c>
      <c r="R377" s="146"/>
      <c r="S377" s="15" t="s">
        <v>345</v>
      </c>
      <c r="T377" s="486">
        <v>380000</v>
      </c>
      <c r="U377" s="124"/>
      <c r="V377" s="117"/>
    </row>
    <row r="378" spans="1:22">
      <c r="A378" s="227"/>
      <c r="B378" s="418" t="s">
        <v>330</v>
      </c>
      <c r="C378" s="50"/>
      <c r="D378" s="463"/>
      <c r="E378" s="468"/>
      <c r="F378" s="489">
        <v>19280</v>
      </c>
      <c r="G378" s="493">
        <f t="shared" si="37"/>
        <v>-2538177.2838499988</v>
      </c>
      <c r="H378" s="88"/>
      <c r="I378" s="65"/>
      <c r="J378" s="89"/>
      <c r="K378" s="89"/>
      <c r="L378" s="34"/>
      <c r="M378" s="90"/>
      <c r="N378" s="91">
        <f t="shared" si="38"/>
        <v>390190.40789994784</v>
      </c>
      <c r="P378" s="120"/>
      <c r="Q378" s="120">
        <v>44826</v>
      </c>
      <c r="R378" s="146">
        <v>221</v>
      </c>
      <c r="S378" s="15" t="s">
        <v>327</v>
      </c>
      <c r="T378" s="124"/>
      <c r="U378" s="486">
        <v>766666.67</v>
      </c>
      <c r="V378" s="117"/>
    </row>
    <row r="379" spans="1:22">
      <c r="A379" s="227"/>
      <c r="B379" s="232" t="s">
        <v>41</v>
      </c>
      <c r="C379" s="417"/>
      <c r="D379" s="469"/>
      <c r="E379" s="463"/>
      <c r="F379" s="490">
        <f>26700+12550+4141</f>
        <v>43391</v>
      </c>
      <c r="G379" s="493">
        <f t="shared" si="37"/>
        <v>-2581568.2838499988</v>
      </c>
      <c r="H379" s="88"/>
      <c r="I379" s="65"/>
      <c r="J379" s="89"/>
      <c r="K379" s="89"/>
      <c r="L379" s="34"/>
      <c r="M379" s="90"/>
      <c r="N379" s="91">
        <f t="shared" si="38"/>
        <v>390190.40789994784</v>
      </c>
      <c r="P379" s="120"/>
      <c r="Q379" s="120">
        <v>44826</v>
      </c>
      <c r="R379" s="146">
        <v>437</v>
      </c>
      <c r="S379" s="131" t="s">
        <v>350</v>
      </c>
      <c r="T379" s="124"/>
      <c r="U379" s="486">
        <v>375000</v>
      </c>
      <c r="V379" s="117"/>
    </row>
    <row r="380" spans="1:22">
      <c r="A380" s="227"/>
      <c r="B380" s="232" t="s">
        <v>334</v>
      </c>
      <c r="C380" s="230">
        <v>500000</v>
      </c>
      <c r="D380" s="230"/>
      <c r="E380" s="65"/>
      <c r="F380" s="906">
        <v>500000</v>
      </c>
      <c r="G380" s="493">
        <f t="shared" si="37"/>
        <v>-2581568.2838499988</v>
      </c>
      <c r="H380" s="88"/>
      <c r="I380" s="65"/>
      <c r="J380" s="89"/>
      <c r="K380" s="89"/>
      <c r="L380" s="34"/>
      <c r="M380" s="90"/>
      <c r="N380" s="91">
        <f t="shared" si="38"/>
        <v>390190.40789994784</v>
      </c>
      <c r="P380" s="120"/>
      <c r="Q380" s="120">
        <v>44827</v>
      </c>
      <c r="R380" s="146"/>
      <c r="S380" s="15" t="s">
        <v>345</v>
      </c>
      <c r="T380" s="486">
        <v>370000</v>
      </c>
      <c r="U380" s="124"/>
      <c r="V380" s="117"/>
    </row>
    <row r="381" spans="1:22">
      <c r="A381" s="227"/>
      <c r="B381" s="232" t="s">
        <v>41</v>
      </c>
      <c r="C381" s="230"/>
      <c r="D381" s="230">
        <f>26700+12550+4141</f>
        <v>43391</v>
      </c>
      <c r="E381" s="65"/>
      <c r="F381" s="488"/>
      <c r="G381" s="493">
        <f t="shared" si="37"/>
        <v>-2538177.2838499988</v>
      </c>
      <c r="H381" s="88"/>
      <c r="I381" s="65"/>
      <c r="J381" s="89"/>
      <c r="K381" s="89"/>
      <c r="L381" s="34"/>
      <c r="M381" s="90"/>
      <c r="N381" s="91">
        <f t="shared" si="38"/>
        <v>390190.40789994784</v>
      </c>
      <c r="P381" s="120"/>
      <c r="Q381" s="120">
        <v>44831</v>
      </c>
      <c r="R381" s="146" t="s">
        <v>337</v>
      </c>
      <c r="S381" s="15" t="s">
        <v>351</v>
      </c>
      <c r="T381" s="124"/>
      <c r="U381" s="486">
        <v>54247.24</v>
      </c>
      <c r="V381" s="117"/>
    </row>
    <row r="382" spans="1:22">
      <c r="A382" s="227"/>
      <c r="B382" s="232" t="s">
        <v>43</v>
      </c>
      <c r="C382" s="230"/>
      <c r="D382" s="469"/>
      <c r="E382" s="468"/>
      <c r="F382" s="489">
        <f>SUM(D343:D381)*5%</f>
        <v>88489.384000000005</v>
      </c>
      <c r="G382" s="493">
        <f t="shared" si="37"/>
        <v>-2626666.6678499989</v>
      </c>
      <c r="H382" s="54"/>
      <c r="I382" s="31"/>
      <c r="J382" s="89"/>
      <c r="K382" s="89"/>
      <c r="L382" s="444">
        <f>SUM(I340:I381)*5%</f>
        <v>5687.7000000000007</v>
      </c>
      <c r="M382" s="35"/>
      <c r="N382" s="91">
        <f t="shared" si="38"/>
        <v>384502.70789994783</v>
      </c>
      <c r="P382" s="120"/>
      <c r="Q382" s="120">
        <v>44831</v>
      </c>
      <c r="R382" s="146">
        <v>438</v>
      </c>
      <c r="S382" s="131" t="s">
        <v>350</v>
      </c>
      <c r="T382" s="124"/>
      <c r="U382" s="486">
        <v>375000</v>
      </c>
      <c r="V382" s="117"/>
    </row>
    <row r="383" spans="1:22">
      <c r="A383" s="227"/>
      <c r="B383" s="418" t="s">
        <v>44</v>
      </c>
      <c r="C383" s="50"/>
      <c r="D383" s="463"/>
      <c r="E383" s="468"/>
      <c r="F383" s="489">
        <f>SUM(F342:F366)*5%</f>
        <v>26754.147042500001</v>
      </c>
      <c r="G383" s="493">
        <f t="shared" si="37"/>
        <v>-2653420.8148924988</v>
      </c>
      <c r="H383" s="54"/>
      <c r="I383" s="93"/>
      <c r="J383" s="89"/>
      <c r="K383" s="89"/>
      <c r="L383" s="444">
        <f>SUM(K341:K381)*5%</f>
        <v>0</v>
      </c>
      <c r="M383" s="35"/>
      <c r="N383" s="91">
        <f t="shared" si="38"/>
        <v>384502.70789994783</v>
      </c>
      <c r="P383" s="120"/>
      <c r="Q383" s="120">
        <v>44834</v>
      </c>
      <c r="R383" s="146"/>
      <c r="S383" s="15" t="s">
        <v>352</v>
      </c>
      <c r="T383" s="486">
        <v>750000</v>
      </c>
      <c r="U383" s="124"/>
      <c r="V383" s="117"/>
    </row>
    <row r="384" spans="1:22">
      <c r="A384" s="414"/>
      <c r="B384" s="415"/>
      <c r="C384" s="416"/>
      <c r="D384" s="390"/>
      <c r="E384" s="65"/>
      <c r="F384" s="488"/>
      <c r="G384" s="493">
        <f t="shared" si="37"/>
        <v>-2653420.8148924988</v>
      </c>
      <c r="H384" s="88"/>
      <c r="I384" s="89"/>
      <c r="J384" s="89"/>
      <c r="K384" s="89"/>
      <c r="L384" s="34"/>
      <c r="M384" s="90"/>
      <c r="N384" s="91">
        <f t="shared" si="38"/>
        <v>384502.70789994783</v>
      </c>
      <c r="P384" s="120"/>
      <c r="Q384" s="120">
        <v>44834</v>
      </c>
      <c r="S384" s="15" t="s">
        <v>445</v>
      </c>
      <c r="U384" s="486">
        <f>18680+67450</f>
        <v>86130</v>
      </c>
      <c r="V384" s="117"/>
    </row>
    <row r="385" spans="1:25">
      <c r="A385" s="481"/>
      <c r="B385" s="482"/>
      <c r="C385" s="483"/>
      <c r="D385" s="483"/>
      <c r="E385" s="65"/>
      <c r="F385" s="491"/>
      <c r="G385" s="493">
        <f t="shared" si="37"/>
        <v>-2653420.8148924988</v>
      </c>
      <c r="H385" s="88"/>
      <c r="I385" s="65"/>
      <c r="J385" s="89"/>
      <c r="K385" s="89"/>
      <c r="L385" s="34"/>
      <c r="M385" s="90"/>
      <c r="N385" s="91">
        <f t="shared" si="38"/>
        <v>384502.70789994783</v>
      </c>
      <c r="P385" s="120"/>
      <c r="V385" s="117"/>
    </row>
    <row r="386" spans="1:25">
      <c r="A386" s="481"/>
      <c r="B386" s="482"/>
      <c r="C386" s="483"/>
      <c r="D386" s="483"/>
      <c r="E386" s="65"/>
      <c r="F386" s="491"/>
      <c r="G386" s="493">
        <f t="shared" si="37"/>
        <v>-2653420.8148924988</v>
      </c>
      <c r="H386" s="88"/>
      <c r="I386" s="65"/>
      <c r="J386" s="89"/>
      <c r="K386" s="89"/>
      <c r="L386" s="34"/>
      <c r="M386" s="90"/>
      <c r="N386" s="91">
        <f t="shared" si="38"/>
        <v>384502.70789994783</v>
      </c>
      <c r="P386" s="120"/>
      <c r="Q386" s="120"/>
      <c r="R386" s="146"/>
      <c r="S386" s="15" t="s">
        <v>446</v>
      </c>
      <c r="T386" s="124"/>
      <c r="V386" s="117"/>
    </row>
    <row r="387" spans="1:25">
      <c r="A387" s="227"/>
      <c r="B387" s="232"/>
      <c r="C387" s="230"/>
      <c r="D387" s="230"/>
      <c r="E387" s="65"/>
      <c r="F387" s="488"/>
      <c r="G387" s="493">
        <f t="shared" si="37"/>
        <v>-2653420.8148924988</v>
      </c>
      <c r="H387" s="88"/>
      <c r="I387" s="65"/>
      <c r="J387" s="105"/>
      <c r="K387" s="105"/>
      <c r="L387" s="106"/>
      <c r="M387" s="107"/>
      <c r="N387" s="91">
        <f t="shared" si="38"/>
        <v>384502.70789994783</v>
      </c>
      <c r="P387" s="120"/>
      <c r="Q387" s="120"/>
      <c r="R387" s="146"/>
      <c r="S387" s="15"/>
      <c r="T387" s="124"/>
      <c r="V387" s="117"/>
    </row>
    <row r="388" spans="1:25">
      <c r="A388" s="227"/>
      <c r="B388" s="232"/>
      <c r="C388" s="230"/>
      <c r="D388" s="230"/>
      <c r="E388" s="65"/>
      <c r="F388" s="906"/>
      <c r="G388" s="493">
        <f t="shared" si="37"/>
        <v>-2653420.8148924988</v>
      </c>
      <c r="H388" s="88"/>
      <c r="I388" s="65"/>
      <c r="J388" s="89"/>
      <c r="K388" s="89"/>
      <c r="L388" s="34"/>
      <c r="M388" s="90"/>
      <c r="N388" s="91">
        <f t="shared" si="38"/>
        <v>384502.70789994783</v>
      </c>
      <c r="P388" s="120"/>
      <c r="Q388" s="120"/>
      <c r="R388" s="146"/>
      <c r="S388" s="15"/>
      <c r="T388" s="124"/>
      <c r="V388" s="117"/>
    </row>
    <row r="389" spans="1:25">
      <c r="A389" s="262"/>
      <c r="B389" s="229"/>
      <c r="C389" s="413"/>
      <c r="D389" s="38"/>
      <c r="E389" s="27"/>
      <c r="F389" s="488"/>
      <c r="G389" s="493">
        <f t="shared" si="37"/>
        <v>-2653420.8148924988</v>
      </c>
      <c r="H389" s="54"/>
      <c r="I389" s="93"/>
      <c r="J389" s="32"/>
      <c r="K389" s="89"/>
      <c r="L389" s="34"/>
      <c r="M389" s="35"/>
      <c r="N389" s="91">
        <f t="shared" si="38"/>
        <v>384502.70789994783</v>
      </c>
      <c r="P389" s="120"/>
      <c r="Q389" s="120"/>
      <c r="R389" s="146"/>
      <c r="S389" s="15"/>
      <c r="T389" s="124"/>
      <c r="V389" s="117"/>
    </row>
    <row r="390" spans="1:25">
      <c r="A390" s="227"/>
      <c r="B390" s="232"/>
      <c r="C390" s="459"/>
      <c r="D390" s="38"/>
      <c r="E390" s="27"/>
      <c r="F390" s="488"/>
      <c r="G390" s="493">
        <f t="shared" si="37"/>
        <v>-2653420.8148924988</v>
      </c>
      <c r="H390" s="88"/>
      <c r="I390" s="31"/>
      <c r="J390" s="32"/>
      <c r="K390" s="89"/>
      <c r="L390" s="34"/>
      <c r="M390" s="35"/>
      <c r="N390" s="91">
        <f t="shared" si="38"/>
        <v>384502.70789994783</v>
      </c>
      <c r="P390" s="120"/>
      <c r="Q390" s="120"/>
      <c r="R390" s="146"/>
      <c r="S390" s="15"/>
      <c r="T390" s="124"/>
      <c r="U390" s="124"/>
      <c r="V390" s="117"/>
    </row>
    <row r="391" spans="1:25">
      <c r="A391" s="227"/>
      <c r="B391" s="232"/>
      <c r="C391" s="459"/>
      <c r="D391" s="230"/>
      <c r="E391" s="65"/>
      <c r="F391" s="488"/>
      <c r="G391" s="493">
        <f t="shared" si="37"/>
        <v>-2653420.8148924988</v>
      </c>
      <c r="H391" s="54"/>
      <c r="I391" s="93"/>
      <c r="J391" s="89"/>
      <c r="K391" s="89"/>
      <c r="L391" s="34"/>
      <c r="M391" s="90"/>
      <c r="N391" s="91">
        <f t="shared" si="38"/>
        <v>384502.70789994783</v>
      </c>
      <c r="P391" s="120"/>
      <c r="Q391" s="120"/>
      <c r="R391" s="146"/>
      <c r="S391" s="15"/>
      <c r="T391" s="124"/>
      <c r="V391" s="117"/>
    </row>
    <row r="392" spans="1:25">
      <c r="A392" s="227"/>
      <c r="B392" s="232"/>
      <c r="C392" s="230"/>
      <c r="D392" s="230"/>
      <c r="E392" s="65"/>
      <c r="F392" s="32"/>
      <c r="G392" s="32">
        <f t="shared" si="37"/>
        <v>-2653420.8148924988</v>
      </c>
      <c r="H392" s="32"/>
      <c r="I392" s="93"/>
      <c r="J392" s="89"/>
      <c r="K392" s="89"/>
      <c r="L392" s="34"/>
      <c r="M392" s="89"/>
      <c r="N392" s="89">
        <f t="shared" si="38"/>
        <v>384502.70789994783</v>
      </c>
      <c r="P392" s="120"/>
      <c r="Q392" s="120"/>
      <c r="R392" s="146"/>
      <c r="S392" s="15"/>
      <c r="T392" s="124"/>
      <c r="V392" s="117"/>
    </row>
    <row r="393" spans="1:25">
      <c r="A393" s="227"/>
      <c r="B393" s="232"/>
      <c r="C393" s="230"/>
      <c r="D393" s="469"/>
      <c r="E393" s="468"/>
      <c r="F393" s="463"/>
      <c r="G393" s="32">
        <f t="shared" si="37"/>
        <v>-2653420.8148924988</v>
      </c>
      <c r="H393" s="32"/>
      <c r="I393" s="31"/>
      <c r="J393" s="89"/>
      <c r="K393" s="89"/>
      <c r="L393" s="444"/>
      <c r="M393" s="32"/>
      <c r="N393" s="89">
        <f t="shared" si="38"/>
        <v>384502.70789994783</v>
      </c>
      <c r="P393" s="120"/>
      <c r="Q393" s="120"/>
      <c r="R393" s="146"/>
      <c r="S393" s="15"/>
      <c r="T393" s="124"/>
      <c r="V393" s="117"/>
    </row>
    <row r="394" spans="1:25">
      <c r="A394" s="227"/>
      <c r="B394" s="418"/>
      <c r="C394" s="50"/>
      <c r="D394" s="463"/>
      <c r="E394" s="468"/>
      <c r="F394" s="463"/>
      <c r="G394" s="32">
        <f t="shared" si="37"/>
        <v>-2653420.8148924988</v>
      </c>
      <c r="H394" s="32"/>
      <c r="I394" s="93"/>
      <c r="J394" s="89"/>
      <c r="K394" s="89"/>
      <c r="L394" s="444"/>
      <c r="M394" s="32"/>
      <c r="N394" s="89">
        <f t="shared" si="38"/>
        <v>384502.70789994783</v>
      </c>
      <c r="P394" s="120"/>
      <c r="Q394" s="120"/>
      <c r="R394" s="146"/>
      <c r="S394" s="15"/>
      <c r="T394" s="124"/>
      <c r="U394" s="124"/>
      <c r="V394" s="117"/>
    </row>
    <row r="395" spans="1:25">
      <c r="A395" s="457"/>
      <c r="B395" s="458"/>
      <c r="C395" s="447"/>
      <c r="D395" s="27"/>
      <c r="E395" s="27"/>
      <c r="F395" s="32"/>
      <c r="G395" s="32">
        <f t="shared" ref="G395:G396" si="39">+G394+C395+D395-E395-F395</f>
        <v>-2653420.8148924988</v>
      </c>
      <c r="H395" s="89"/>
      <c r="I395" s="31"/>
      <c r="J395" s="32"/>
      <c r="K395" s="89"/>
      <c r="L395" s="89"/>
      <c r="M395" s="32"/>
      <c r="N395" s="89">
        <f t="shared" ref="N395:N396" si="40">+N394+H395+I395-J395-K395-L395-M395</f>
        <v>384502.70789994783</v>
      </c>
      <c r="P395" s="456"/>
      <c r="Q395" s="456"/>
      <c r="R395" s="546"/>
      <c r="S395" s="451"/>
      <c r="T395" s="547"/>
      <c r="U395" s="453"/>
      <c r="V395" s="528"/>
      <c r="Y395" s="453"/>
    </row>
    <row r="396" spans="1:25">
      <c r="A396" s="457"/>
      <c r="B396" s="458"/>
      <c r="C396" s="413"/>
      <c r="D396" s="38"/>
      <c r="E396" s="27"/>
      <c r="F396" s="32"/>
      <c r="G396" s="32">
        <f t="shared" si="39"/>
        <v>-2653420.8148924988</v>
      </c>
      <c r="H396" s="89"/>
      <c r="I396" s="31"/>
      <c r="J396" s="32"/>
      <c r="K396" s="89"/>
      <c r="L396" s="34"/>
      <c r="M396" s="32"/>
      <c r="N396" s="89">
        <f t="shared" si="40"/>
        <v>384502.70789994783</v>
      </c>
      <c r="P396" s="120"/>
      <c r="Q396" s="120"/>
      <c r="R396" s="146"/>
      <c r="S396" s="15"/>
      <c r="T396" s="121"/>
      <c r="V396" s="117"/>
    </row>
    <row r="397" spans="1:25" ht="15.75" thickBot="1">
      <c r="A397" s="44"/>
      <c r="B397" s="494" t="s">
        <v>46</v>
      </c>
      <c r="C397" s="113">
        <f>SUM(C352:C396)</f>
        <v>500000</v>
      </c>
      <c r="D397" s="114">
        <f>SUM(D352:D396)</f>
        <v>917075.34</v>
      </c>
      <c r="E397" s="114">
        <f>SUM(E352:E396)</f>
        <v>0</v>
      </c>
      <c r="F397" s="114">
        <f>SUM(F352:F396)</f>
        <v>3057430.8510425002</v>
      </c>
      <c r="G397" s="115"/>
      <c r="H397" s="113">
        <f t="shared" ref="H397:M397" si="41">SUM(H352:H396)</f>
        <v>0</v>
      </c>
      <c r="I397" s="114">
        <f t="shared" si="41"/>
        <v>56877</v>
      </c>
      <c r="J397" s="114">
        <f t="shared" si="41"/>
        <v>0</v>
      </c>
      <c r="K397" s="114">
        <f t="shared" si="41"/>
        <v>0</v>
      </c>
      <c r="L397" s="114">
        <f t="shared" si="41"/>
        <v>5687.7000000000007</v>
      </c>
      <c r="M397" s="114">
        <f t="shared" si="41"/>
        <v>0</v>
      </c>
      <c r="N397" s="79"/>
      <c r="P397" s="120"/>
      <c r="Q397" s="120">
        <v>44819</v>
      </c>
      <c r="S397" s="131" t="s">
        <v>346</v>
      </c>
      <c r="T397" s="124"/>
      <c r="U397" s="486">
        <v>500000</v>
      </c>
      <c r="V397" s="117"/>
    </row>
    <row r="398" spans="1:25">
      <c r="Q398" s="120">
        <v>44837</v>
      </c>
      <c r="S398" s="131" t="s">
        <v>350</v>
      </c>
      <c r="T398" s="124"/>
      <c r="U398" s="486">
        <v>750000</v>
      </c>
      <c r="V398" s="117"/>
    </row>
    <row r="399" spans="1:25">
      <c r="Q399" s="120">
        <v>44837</v>
      </c>
      <c r="S399" s="15" t="s">
        <v>354</v>
      </c>
      <c r="T399" s="124">
        <v>200000</v>
      </c>
      <c r="U399" s="124">
        <v>200000</v>
      </c>
      <c r="V399" s="117"/>
    </row>
    <row r="400" spans="1:25">
      <c r="Q400" s="120">
        <v>44845</v>
      </c>
      <c r="S400" s="15" t="s">
        <v>446</v>
      </c>
    </row>
    <row r="401" spans="6:25">
      <c r="Q401" s="120">
        <v>44845</v>
      </c>
      <c r="S401" s="144" t="s">
        <v>355</v>
      </c>
      <c r="T401" s="486">
        <v>262349.7</v>
      </c>
      <c r="U401" s="124"/>
      <c r="V401" s="117"/>
      <c r="Y401" s="119"/>
    </row>
    <row r="402" spans="6:25">
      <c r="Q402" s="120"/>
      <c r="S402" s="15"/>
      <c r="T402" s="486"/>
      <c r="U402" s="124"/>
      <c r="V402" s="117"/>
      <c r="Y402" s="119"/>
    </row>
    <row r="403" spans="6:25">
      <c r="Q403" s="120">
        <v>44846</v>
      </c>
      <c r="S403" s="15" t="s">
        <v>342</v>
      </c>
      <c r="T403" s="486">
        <f>51111.41+300000</f>
        <v>351111.41000000003</v>
      </c>
      <c r="U403" s="124"/>
      <c r="V403" s="117"/>
      <c r="Y403" s="119"/>
    </row>
    <row r="404" spans="6:25">
      <c r="Q404" s="120">
        <v>44847</v>
      </c>
      <c r="S404" s="15" t="s">
        <v>356</v>
      </c>
      <c r="T404" s="124"/>
      <c r="U404" s="486">
        <v>7400</v>
      </c>
      <c r="V404" s="117"/>
      <c r="Y404" s="119"/>
    </row>
    <row r="405" spans="6:25">
      <c r="Q405" s="120">
        <v>44847</v>
      </c>
      <c r="S405" s="15" t="s">
        <v>357</v>
      </c>
      <c r="T405" s="124"/>
      <c r="U405" s="486">
        <v>64000</v>
      </c>
      <c r="V405" s="117"/>
      <c r="Y405" s="119"/>
    </row>
    <row r="406" spans="6:25" ht="15.75">
      <c r="Q406" s="120">
        <v>44847</v>
      </c>
      <c r="S406" s="168" t="s">
        <v>344</v>
      </c>
      <c r="T406" s="191"/>
      <c r="U406" s="486">
        <v>122738</v>
      </c>
      <c r="V406" s="117"/>
      <c r="Y406" s="119"/>
    </row>
    <row r="407" spans="6:25" ht="15.75">
      <c r="Q407" s="120">
        <v>44847</v>
      </c>
      <c r="S407" s="131" t="s">
        <v>352</v>
      </c>
      <c r="T407" s="486">
        <v>650000</v>
      </c>
      <c r="U407" s="497"/>
      <c r="V407" s="117"/>
      <c r="Y407" s="119"/>
    </row>
    <row r="408" spans="6:25">
      <c r="Q408" s="120">
        <v>44847</v>
      </c>
      <c r="S408" s="131" t="s">
        <v>358</v>
      </c>
      <c r="T408" s="124"/>
      <c r="U408" s="486">
        <v>270</v>
      </c>
      <c r="V408" s="117"/>
      <c r="Y408" s="119"/>
    </row>
    <row r="409" spans="6:25">
      <c r="Q409" s="120">
        <v>44847</v>
      </c>
      <c r="S409" s="131" t="s">
        <v>346</v>
      </c>
      <c r="T409" s="124"/>
      <c r="U409" s="486">
        <v>500000</v>
      </c>
      <c r="V409" s="117"/>
      <c r="Y409" s="119"/>
    </row>
    <row r="410" spans="6:25">
      <c r="Q410" s="120">
        <v>44848</v>
      </c>
      <c r="S410" s="131" t="s">
        <v>359</v>
      </c>
      <c r="T410" s="124"/>
      <c r="U410" s="486">
        <f>19383.97+1446.08</f>
        <v>20830.050000000003</v>
      </c>
      <c r="V410" s="117"/>
      <c r="Y410" s="119"/>
    </row>
    <row r="411" spans="6:25">
      <c r="Q411" s="120"/>
      <c r="S411" s="131"/>
      <c r="T411" s="393"/>
      <c r="U411" s="486">
        <v>1446.08</v>
      </c>
      <c r="V411" s="117"/>
      <c r="Y411" s="119"/>
    </row>
    <row r="412" spans="6:25">
      <c r="Q412" s="120">
        <v>44848</v>
      </c>
      <c r="S412" s="217" t="s">
        <v>360</v>
      </c>
      <c r="T412" s="138"/>
      <c r="U412" s="486">
        <v>769.13</v>
      </c>
      <c r="V412" s="117"/>
      <c r="Y412" s="119"/>
    </row>
    <row r="413" spans="6:25">
      <c r="F413">
        <f>289426/25*24</f>
        <v>277848.96000000002</v>
      </c>
      <c r="Q413" s="120">
        <v>44848</v>
      </c>
      <c r="S413" s="214" t="s">
        <v>361</v>
      </c>
      <c r="T413" s="486">
        <f>550000+550000</f>
        <v>1100000</v>
      </c>
      <c r="U413" s="124"/>
      <c r="V413" s="117"/>
      <c r="Y413" s="119"/>
    </row>
    <row r="414" spans="6:25">
      <c r="Q414" s="120"/>
      <c r="S414" s="214"/>
      <c r="T414" s="486"/>
      <c r="U414" s="116"/>
      <c r="V414" s="117"/>
      <c r="Y414" s="119"/>
    </row>
    <row r="415" spans="6:25">
      <c r="Q415" s="120">
        <v>44848</v>
      </c>
      <c r="S415" s="15" t="s">
        <v>362</v>
      </c>
      <c r="T415" s="393"/>
      <c r="U415" s="498">
        <v>54970</v>
      </c>
      <c r="V415" s="117"/>
      <c r="Y415" s="119"/>
    </row>
    <row r="416" spans="6:25">
      <c r="Q416" s="120">
        <v>44848</v>
      </c>
      <c r="S416" s="214" t="s">
        <v>327</v>
      </c>
      <c r="T416" s="124"/>
      <c r="U416" s="486">
        <v>500000</v>
      </c>
      <c r="V416" s="117"/>
      <c r="Y416" s="119"/>
    </row>
    <row r="417" spans="17:25">
      <c r="Q417" s="120">
        <v>44848</v>
      </c>
      <c r="S417" s="131" t="s">
        <v>346</v>
      </c>
      <c r="T417" s="124"/>
      <c r="U417" s="486">
        <v>500000</v>
      </c>
      <c r="V417" s="117"/>
      <c r="Y417" s="119"/>
    </row>
    <row r="418" spans="17:25">
      <c r="Q418" s="499">
        <v>44851</v>
      </c>
      <c r="S418" s="217" t="s">
        <v>363</v>
      </c>
      <c r="T418" s="486">
        <v>207194.14</v>
      </c>
      <c r="U418" s="124"/>
      <c r="V418" s="117"/>
      <c r="Y418" s="119"/>
    </row>
    <row r="419" spans="17:25">
      <c r="Q419" s="120">
        <v>44851</v>
      </c>
      <c r="S419" s="217" t="s">
        <v>364</v>
      </c>
      <c r="T419" s="486">
        <v>600000</v>
      </c>
      <c r="U419" s="124"/>
      <c r="V419" s="117"/>
      <c r="Y419" s="119"/>
    </row>
    <row r="420" spans="17:25">
      <c r="Q420" s="120">
        <v>44852</v>
      </c>
      <c r="S420" s="217" t="s">
        <v>327</v>
      </c>
      <c r="T420" s="124"/>
      <c r="U420" s="486">
        <v>500000</v>
      </c>
      <c r="V420" s="117"/>
      <c r="Y420" s="119"/>
    </row>
    <row r="421" spans="17:25">
      <c r="Q421" s="120">
        <v>44852</v>
      </c>
      <c r="S421" s="217" t="s">
        <v>346</v>
      </c>
      <c r="T421" s="124"/>
      <c r="U421" s="486">
        <v>500000</v>
      </c>
      <c r="V421" s="117"/>
      <c r="Y421" s="119"/>
    </row>
    <row r="422" spans="17:25">
      <c r="Q422" s="120">
        <v>44853</v>
      </c>
      <c r="S422" s="217" t="s">
        <v>246</v>
      </c>
      <c r="T422" s="393"/>
      <c r="U422" s="498">
        <v>31357.84</v>
      </c>
      <c r="V422" s="117"/>
      <c r="Y422" s="119"/>
    </row>
    <row r="423" spans="17:25">
      <c r="Q423" s="120">
        <v>44853</v>
      </c>
      <c r="S423" s="217" t="s">
        <v>365</v>
      </c>
      <c r="T423" s="124"/>
      <c r="U423" s="486">
        <v>16005</v>
      </c>
      <c r="V423" s="117"/>
      <c r="Y423" s="119"/>
    </row>
    <row r="424" spans="17:25">
      <c r="Q424" s="120">
        <v>44853</v>
      </c>
      <c r="S424" s="217" t="s">
        <v>344</v>
      </c>
      <c r="T424" s="124"/>
      <c r="U424" s="486">
        <v>51776</v>
      </c>
      <c r="V424" s="117"/>
      <c r="Y424" s="119"/>
    </row>
    <row r="425" spans="17:25">
      <c r="Q425" s="120">
        <v>44853</v>
      </c>
      <c r="S425" s="217" t="s">
        <v>366</v>
      </c>
      <c r="T425" s="486">
        <v>850000</v>
      </c>
      <c r="U425" s="124"/>
      <c r="V425" s="117"/>
      <c r="Y425" s="119"/>
    </row>
    <row r="426" spans="17:25">
      <c r="Q426" s="120">
        <v>44853</v>
      </c>
      <c r="S426" s="131" t="s">
        <v>346</v>
      </c>
      <c r="T426" s="124"/>
      <c r="U426" s="486">
        <v>419918.37</v>
      </c>
      <c r="V426" s="117"/>
      <c r="Y426" s="119"/>
    </row>
    <row r="427" spans="17:25">
      <c r="Q427" s="120">
        <v>44853</v>
      </c>
      <c r="S427" s="131" t="s">
        <v>370</v>
      </c>
      <c r="T427" s="124"/>
      <c r="U427" s="486">
        <v>660000</v>
      </c>
      <c r="V427" s="117"/>
      <c r="Y427" s="119"/>
    </row>
    <row r="428" spans="17:25">
      <c r="Q428" s="120">
        <v>44854</v>
      </c>
      <c r="S428" s="217" t="s">
        <v>366</v>
      </c>
      <c r="T428" s="486">
        <v>975000</v>
      </c>
      <c r="U428" s="124"/>
      <c r="V428" s="117"/>
      <c r="Y428" s="119"/>
    </row>
    <row r="429" spans="17:25">
      <c r="Q429" s="120">
        <v>44854</v>
      </c>
      <c r="S429" s="217" t="s">
        <v>366</v>
      </c>
      <c r="T429" s="486">
        <v>975000</v>
      </c>
      <c r="U429" s="124"/>
      <c r="V429" s="117"/>
      <c r="Y429" s="119"/>
    </row>
    <row r="430" spans="17:25">
      <c r="Q430" s="120">
        <v>44854</v>
      </c>
      <c r="S430" s="217" t="s">
        <v>350</v>
      </c>
      <c r="T430" s="124"/>
      <c r="U430" s="486">
        <v>200000</v>
      </c>
      <c r="V430" s="117"/>
      <c r="Y430" s="119"/>
    </row>
    <row r="431" spans="17:25">
      <c r="Q431" s="120">
        <v>44855</v>
      </c>
      <c r="S431" s="217" t="s">
        <v>327</v>
      </c>
      <c r="T431" s="124"/>
      <c r="U431" s="486">
        <v>766666.67</v>
      </c>
      <c r="V431" s="117"/>
      <c r="Y431" s="119"/>
    </row>
    <row r="432" spans="17:25">
      <c r="Q432" s="120">
        <v>44855</v>
      </c>
      <c r="S432" s="214" t="s">
        <v>367</v>
      </c>
      <c r="T432" s="486">
        <f>21648.53+20763+29283.24+22314.67+75000</f>
        <v>169009.44</v>
      </c>
      <c r="U432" s="124"/>
      <c r="V432" s="117"/>
      <c r="Y432" s="119"/>
    </row>
    <row r="433" spans="17:25">
      <c r="Q433" s="120">
        <v>44855</v>
      </c>
      <c r="S433" s="214" t="s">
        <v>368</v>
      </c>
      <c r="T433" s="486">
        <v>600000</v>
      </c>
      <c r="U433" s="124"/>
      <c r="V433" s="117"/>
      <c r="Y433" s="119"/>
    </row>
    <row r="434" spans="17:25">
      <c r="Q434" s="120">
        <v>44858</v>
      </c>
      <c r="S434" s="131" t="s">
        <v>369</v>
      </c>
      <c r="T434" s="124"/>
      <c r="U434" s="125">
        <v>11785.9</v>
      </c>
      <c r="V434" s="117"/>
      <c r="Y434" s="119"/>
    </row>
    <row r="435" spans="17:25">
      <c r="Q435" s="120">
        <v>44859</v>
      </c>
      <c r="S435" s="131" t="s">
        <v>366</v>
      </c>
      <c r="T435" s="486">
        <v>850000</v>
      </c>
      <c r="U435" s="124"/>
      <c r="V435" s="117"/>
      <c r="Y435" s="119"/>
    </row>
    <row r="436" spans="17:25">
      <c r="Q436" s="499">
        <v>44859</v>
      </c>
      <c r="S436" s="131" t="s">
        <v>370</v>
      </c>
      <c r="T436" s="124"/>
      <c r="U436" s="486">
        <v>680000</v>
      </c>
      <c r="V436" s="117"/>
      <c r="Y436" s="119"/>
    </row>
    <row r="437" spans="17:25">
      <c r="Q437" s="120"/>
      <c r="S437" s="217" t="s">
        <v>445</v>
      </c>
      <c r="T437" s="124"/>
      <c r="U437" s="486">
        <f>8115+84000</f>
        <v>92115</v>
      </c>
      <c r="V437" s="117"/>
      <c r="Y437" s="119"/>
    </row>
    <row r="438" spans="17:25">
      <c r="Q438" s="120"/>
      <c r="S438" s="217"/>
      <c r="T438" s="124"/>
      <c r="V438" s="117"/>
      <c r="Y438" s="119"/>
    </row>
    <row r="439" spans="17:25">
      <c r="Q439" s="120"/>
      <c r="S439" s="214"/>
      <c r="T439" s="124"/>
      <c r="Y439" s="119"/>
    </row>
    <row r="440" spans="17:25">
      <c r="Q440" s="120"/>
      <c r="S440" s="214"/>
      <c r="T440" s="124"/>
      <c r="Y440" s="119"/>
    </row>
    <row r="441" spans="17:25">
      <c r="Q441" s="120"/>
      <c r="S441" s="214"/>
      <c r="T441" s="124"/>
      <c r="Y441" s="119"/>
    </row>
    <row r="442" spans="17:25">
      <c r="Q442" s="120"/>
      <c r="S442" s="214"/>
      <c r="T442" s="124"/>
    </row>
    <row r="443" spans="17:25" ht="15.75">
      <c r="Q443" s="120">
        <v>44854</v>
      </c>
      <c r="S443" s="131" t="s">
        <v>375</v>
      </c>
      <c r="T443" s="124"/>
      <c r="U443" s="500">
        <v>1000000</v>
      </c>
    </row>
    <row r="444" spans="17:25" ht="15.75">
      <c r="Q444" s="120">
        <v>44855</v>
      </c>
      <c r="S444" s="131" t="s">
        <v>370</v>
      </c>
      <c r="T444" s="124"/>
      <c r="U444" s="500">
        <v>660000</v>
      </c>
    </row>
    <row r="445" spans="17:25">
      <c r="Q445" s="120">
        <v>44866</v>
      </c>
      <c r="S445" s="214" t="s">
        <v>368</v>
      </c>
      <c r="T445" s="486">
        <f>2000000+2000000+2075000</f>
        <v>6075000</v>
      </c>
      <c r="U445" s="124"/>
    </row>
    <row r="446" spans="17:25" ht="15.75">
      <c r="Q446" s="120">
        <v>44867</v>
      </c>
      <c r="S446" s="131" t="s">
        <v>371</v>
      </c>
      <c r="T446" s="124"/>
      <c r="U446" s="500">
        <f>1800000+1200000</f>
        <v>3000000</v>
      </c>
    </row>
    <row r="447" spans="17:25" ht="15.75">
      <c r="Q447" s="120">
        <v>44867</v>
      </c>
      <c r="S447" s="123" t="s">
        <v>372</v>
      </c>
      <c r="T447" s="121"/>
      <c r="U447" s="500">
        <v>728.86</v>
      </c>
    </row>
    <row r="448" spans="17:25" ht="15.75">
      <c r="Q448" s="120">
        <v>44868</v>
      </c>
      <c r="S448" s="131" t="s">
        <v>371</v>
      </c>
      <c r="T448" s="121"/>
      <c r="U448" s="500">
        <f>1400000+1600000</f>
        <v>3000000</v>
      </c>
    </row>
    <row r="449" spans="17:21" ht="15.75">
      <c r="Q449" s="120">
        <v>44868</v>
      </c>
      <c r="S449" s="131" t="s">
        <v>373</v>
      </c>
      <c r="T449" s="124"/>
      <c r="U449" s="500">
        <v>9440.3700000000008</v>
      </c>
    </row>
    <row r="450" spans="17:21" ht="15.75">
      <c r="Q450" s="120">
        <v>44868</v>
      </c>
      <c r="S450" s="131" t="s">
        <v>374</v>
      </c>
      <c r="T450" s="124"/>
      <c r="U450" s="500">
        <v>17894.82</v>
      </c>
    </row>
    <row r="451" spans="17:21" ht="15.75">
      <c r="Q451" s="120">
        <v>44870</v>
      </c>
      <c r="S451" s="501" t="s">
        <v>376</v>
      </c>
      <c r="T451" s="500">
        <v>220000</v>
      </c>
      <c r="U451" s="497"/>
    </row>
    <row r="452" spans="17:21" ht="15.75">
      <c r="Q452" s="120">
        <v>44872</v>
      </c>
      <c r="S452" s="131" t="s">
        <v>377</v>
      </c>
      <c r="T452" s="500">
        <v>1000000</v>
      </c>
      <c r="U452" s="497"/>
    </row>
    <row r="453" spans="17:21" ht="15.75">
      <c r="Q453" s="120">
        <v>44872</v>
      </c>
      <c r="S453" s="502" t="s">
        <v>375</v>
      </c>
      <c r="T453" s="124"/>
      <c r="U453" s="500">
        <v>1000000</v>
      </c>
    </row>
    <row r="454" spans="17:21" ht="15.75">
      <c r="Q454" s="120">
        <v>44873</v>
      </c>
      <c r="S454" s="131" t="s">
        <v>378</v>
      </c>
      <c r="T454" s="500">
        <f>150000+8020</f>
        <v>158020</v>
      </c>
      <c r="U454" s="497"/>
    </row>
    <row r="455" spans="17:21" ht="15.75">
      <c r="Q455" s="120"/>
      <c r="S455" s="131"/>
      <c r="T455" s="500"/>
      <c r="U455" s="124"/>
    </row>
    <row r="456" spans="17:21" ht="15.75">
      <c r="Q456" s="120">
        <v>44875</v>
      </c>
      <c r="S456" s="144" t="s">
        <v>355</v>
      </c>
      <c r="T456" s="500">
        <v>282446.78999999998</v>
      </c>
      <c r="U456" s="124"/>
    </row>
    <row r="457" spans="17:21" ht="15.75">
      <c r="Q457" s="120">
        <v>44875</v>
      </c>
      <c r="S457" s="168" t="s">
        <v>344</v>
      </c>
      <c r="T457" s="124"/>
      <c r="U457" s="500">
        <v>122738</v>
      </c>
    </row>
    <row r="458" spans="17:21" ht="15.75">
      <c r="Q458" s="120">
        <v>44879</v>
      </c>
      <c r="S458" s="131" t="s">
        <v>377</v>
      </c>
      <c r="T458" s="500">
        <v>1000000</v>
      </c>
      <c r="U458" s="124"/>
    </row>
    <row r="459" spans="17:21" ht="15.75">
      <c r="Q459" s="120">
        <v>44880</v>
      </c>
      <c r="S459" s="131" t="s">
        <v>379</v>
      </c>
      <c r="T459" s="500">
        <v>900000</v>
      </c>
      <c r="U459" s="124"/>
    </row>
    <row r="460" spans="17:21" ht="15.75">
      <c r="Q460" s="120">
        <v>44880</v>
      </c>
      <c r="S460" s="131" t="s">
        <v>346</v>
      </c>
      <c r="T460" s="124"/>
      <c r="U460" s="500">
        <v>500000</v>
      </c>
    </row>
    <row r="461" spans="17:21" ht="15.75">
      <c r="Q461" s="120">
        <v>44881</v>
      </c>
      <c r="S461" s="131" t="s">
        <v>380</v>
      </c>
      <c r="T461" s="500">
        <v>223066.09</v>
      </c>
      <c r="U461" s="124"/>
    </row>
    <row r="462" spans="17:21" ht="15.75">
      <c r="Q462" s="120">
        <v>44881</v>
      </c>
      <c r="S462" s="168" t="s">
        <v>381</v>
      </c>
      <c r="T462" s="124"/>
      <c r="U462" s="500">
        <v>60455.040000000001</v>
      </c>
    </row>
    <row r="463" spans="17:21" ht="15.75">
      <c r="Q463" s="120">
        <v>44881</v>
      </c>
      <c r="S463" s="131" t="s">
        <v>346</v>
      </c>
      <c r="T463" s="124"/>
      <c r="U463" s="500">
        <v>500000</v>
      </c>
    </row>
    <row r="464" spans="17:21" ht="15.75">
      <c r="Q464" s="120">
        <v>44882</v>
      </c>
      <c r="S464" s="131" t="s">
        <v>379</v>
      </c>
      <c r="T464" s="500">
        <v>1050000</v>
      </c>
      <c r="U464" s="124"/>
    </row>
    <row r="465" spans="17:21">
      <c r="Q465" s="120">
        <v>44882</v>
      </c>
      <c r="S465" s="131" t="s">
        <v>382</v>
      </c>
      <c r="T465" s="124"/>
      <c r="U465" s="486">
        <v>51776</v>
      </c>
    </row>
    <row r="466" spans="17:21">
      <c r="Q466" s="120">
        <v>44882</v>
      </c>
      <c r="S466" s="131" t="s">
        <v>383</v>
      </c>
      <c r="T466" s="124"/>
      <c r="U466" s="486">
        <v>16005</v>
      </c>
    </row>
    <row r="467" spans="17:21" ht="15.75">
      <c r="Q467" s="120">
        <v>44882</v>
      </c>
      <c r="S467" s="131" t="s">
        <v>379</v>
      </c>
      <c r="T467" s="500">
        <v>1000000</v>
      </c>
      <c r="U467" s="124"/>
    </row>
    <row r="468" spans="17:21">
      <c r="Q468" s="120">
        <v>44882</v>
      </c>
      <c r="S468" s="15" t="s">
        <v>375</v>
      </c>
      <c r="T468" s="124"/>
      <c r="U468" s="486">
        <v>1000000</v>
      </c>
    </row>
    <row r="469" spans="17:21">
      <c r="Q469" s="120">
        <v>44882</v>
      </c>
      <c r="S469" s="15" t="s">
        <v>346</v>
      </c>
      <c r="T469" s="124"/>
      <c r="U469" s="486">
        <v>500000</v>
      </c>
    </row>
    <row r="470" spans="17:21">
      <c r="Q470" s="120">
        <v>44882</v>
      </c>
      <c r="S470" s="15" t="s">
        <v>370</v>
      </c>
      <c r="T470" s="124"/>
      <c r="U470" s="486">
        <v>700000</v>
      </c>
    </row>
    <row r="471" spans="17:21" ht="15.75">
      <c r="Q471" s="120">
        <v>44883</v>
      </c>
      <c r="S471" s="131" t="s">
        <v>379</v>
      </c>
      <c r="T471" s="500">
        <v>2000000</v>
      </c>
      <c r="U471" s="497"/>
    </row>
    <row r="472" spans="17:21">
      <c r="Q472" s="120">
        <v>44883</v>
      </c>
      <c r="S472" s="131" t="s">
        <v>346</v>
      </c>
      <c r="T472" s="124"/>
      <c r="U472" s="486">
        <v>419918.37</v>
      </c>
    </row>
    <row r="473" spans="17:21">
      <c r="Q473" s="120">
        <v>44883</v>
      </c>
      <c r="S473" s="15" t="s">
        <v>350</v>
      </c>
      <c r="T473" s="124"/>
      <c r="U473" s="486">
        <v>500000</v>
      </c>
    </row>
    <row r="474" spans="17:21">
      <c r="Q474" s="120">
        <v>44883</v>
      </c>
      <c r="S474" s="15" t="s">
        <v>385</v>
      </c>
      <c r="T474" s="121"/>
      <c r="U474" s="486">
        <v>730000</v>
      </c>
    </row>
    <row r="475" spans="17:21" ht="15.75">
      <c r="Q475" s="120">
        <v>44887</v>
      </c>
      <c r="S475" s="131" t="s">
        <v>379</v>
      </c>
      <c r="T475" s="500">
        <v>800000</v>
      </c>
      <c r="U475" s="124"/>
    </row>
    <row r="476" spans="17:21" ht="15.75">
      <c r="Q476" s="120">
        <v>44887</v>
      </c>
      <c r="S476" s="131" t="s">
        <v>379</v>
      </c>
      <c r="T476" s="500">
        <v>800000</v>
      </c>
      <c r="U476" s="503"/>
    </row>
    <row r="477" spans="17:21" ht="15.75">
      <c r="Q477" s="120">
        <v>44888</v>
      </c>
      <c r="S477" s="15" t="s">
        <v>384</v>
      </c>
      <c r="T477" s="191"/>
      <c r="U477" s="504">
        <v>111991.31</v>
      </c>
    </row>
    <row r="478" spans="17:21" ht="15.75">
      <c r="Q478" s="120">
        <v>44888</v>
      </c>
      <c r="S478" s="131" t="s">
        <v>379</v>
      </c>
      <c r="T478" s="500">
        <v>950000</v>
      </c>
      <c r="U478" s="497"/>
    </row>
    <row r="479" spans="17:21" ht="15.75">
      <c r="Q479" s="120">
        <v>44893</v>
      </c>
      <c r="S479" s="131" t="s">
        <v>379</v>
      </c>
      <c r="T479" s="500">
        <v>900000</v>
      </c>
      <c r="U479" s="497"/>
    </row>
    <row r="480" spans="17:21">
      <c r="Q480" s="120">
        <v>44894</v>
      </c>
      <c r="S480" s="131" t="s">
        <v>375</v>
      </c>
      <c r="T480" s="124"/>
      <c r="U480" s="486">
        <v>1000000</v>
      </c>
    </row>
    <row r="481" spans="17:21">
      <c r="Q481" s="120">
        <v>44894</v>
      </c>
      <c r="S481" s="214" t="s">
        <v>445</v>
      </c>
      <c r="T481" s="124"/>
      <c r="U481">
        <f>750+189700</f>
        <v>190450</v>
      </c>
    </row>
    <row r="482" spans="17:21">
      <c r="Q482" s="120"/>
      <c r="S482" s="15" t="s">
        <v>446</v>
      </c>
      <c r="T482" s="124"/>
    </row>
    <row r="483" spans="17:21">
      <c r="Q483" s="120"/>
      <c r="S483" s="214"/>
      <c r="T483" s="124"/>
    </row>
    <row r="484" spans="17:21">
      <c r="Q484" s="120"/>
      <c r="S484" s="214"/>
      <c r="T484" s="121"/>
    </row>
    <row r="485" spans="17:21">
      <c r="Q485" s="120"/>
      <c r="S485" s="214"/>
      <c r="T485" s="124"/>
    </row>
    <row r="486" spans="17:21">
      <c r="Q486" s="120"/>
      <c r="S486" s="214"/>
      <c r="T486" s="124"/>
    </row>
    <row r="487" spans="17:21">
      <c r="Q487" s="120">
        <v>44880</v>
      </c>
      <c r="S487" s="15" t="s">
        <v>392</v>
      </c>
      <c r="T487" s="124"/>
      <c r="U487" s="486">
        <v>594000</v>
      </c>
    </row>
    <row r="488" spans="17:21">
      <c r="Q488" s="120">
        <v>44881</v>
      </c>
      <c r="S488" s="15" t="s">
        <v>391</v>
      </c>
      <c r="T488" s="124"/>
      <c r="U488" s="486">
        <v>594000</v>
      </c>
    </row>
    <row r="489" spans="17:21">
      <c r="Q489" s="120">
        <v>44883</v>
      </c>
      <c r="S489" s="15" t="s">
        <v>390</v>
      </c>
      <c r="T489" s="486">
        <v>297000</v>
      </c>
      <c r="U489" s="486">
        <v>297000</v>
      </c>
    </row>
    <row r="490" spans="17:21">
      <c r="Q490" s="120">
        <v>44884</v>
      </c>
      <c r="S490" s="15" t="s">
        <v>390</v>
      </c>
      <c r="T490" s="486">
        <v>297000</v>
      </c>
      <c r="U490" s="486">
        <v>297000</v>
      </c>
    </row>
    <row r="491" spans="17:21">
      <c r="Q491" s="120">
        <v>44887</v>
      </c>
      <c r="S491" s="15" t="s">
        <v>370</v>
      </c>
      <c r="T491" s="124"/>
      <c r="U491" s="486">
        <v>706000</v>
      </c>
    </row>
    <row r="492" spans="17:21">
      <c r="Q492" s="120">
        <v>44887</v>
      </c>
      <c r="S492" s="15" t="s">
        <v>385</v>
      </c>
      <c r="T492" s="124"/>
      <c r="U492" s="486">
        <v>730000</v>
      </c>
    </row>
    <row r="493" spans="17:21">
      <c r="Q493" s="120">
        <v>44889</v>
      </c>
      <c r="S493" s="123" t="s">
        <v>385</v>
      </c>
      <c r="T493" s="134"/>
      <c r="U493" s="486">
        <v>730000</v>
      </c>
    </row>
    <row r="494" spans="17:21">
      <c r="Q494" s="505">
        <v>44900</v>
      </c>
      <c r="S494" s="15" t="s">
        <v>386</v>
      </c>
      <c r="T494" s="121"/>
      <c r="U494" s="486">
        <v>9337.14</v>
      </c>
    </row>
    <row r="495" spans="17:21">
      <c r="Q495" s="120">
        <v>44900</v>
      </c>
      <c r="S495" s="15" t="s">
        <v>387</v>
      </c>
      <c r="T495" s="121"/>
      <c r="U495" s="486">
        <v>19272.740000000002</v>
      </c>
    </row>
    <row r="496" spans="17:21">
      <c r="Q496" s="120">
        <v>44900</v>
      </c>
      <c r="S496" s="15" t="s">
        <v>388</v>
      </c>
      <c r="T496" s="121"/>
      <c r="U496" s="486">
        <v>8928.93</v>
      </c>
    </row>
    <row r="497" spans="17:21" ht="15.75">
      <c r="Q497" s="120">
        <v>44902</v>
      </c>
      <c r="S497" s="131" t="s">
        <v>352</v>
      </c>
      <c r="T497" s="486">
        <v>200000</v>
      </c>
      <c r="U497" s="497"/>
    </row>
    <row r="498" spans="17:21" ht="15.75">
      <c r="Q498" s="120">
        <v>44907</v>
      </c>
      <c r="S498" s="131" t="s">
        <v>389</v>
      </c>
      <c r="T498" s="486">
        <v>304471.02</v>
      </c>
      <c r="U498" s="497"/>
    </row>
    <row r="499" spans="17:21" ht="15.75">
      <c r="Q499" s="120">
        <v>44907</v>
      </c>
      <c r="S499" s="131" t="s">
        <v>342</v>
      </c>
      <c r="T499" s="486">
        <f>7490.61+400000</f>
        <v>407490.61</v>
      </c>
      <c r="U499" s="497"/>
    </row>
    <row r="500" spans="17:21" ht="15.75">
      <c r="Q500" s="120"/>
      <c r="S500" s="131"/>
      <c r="T500" s="486"/>
      <c r="U500" s="497"/>
    </row>
    <row r="501" spans="17:21" ht="15.75">
      <c r="Q501" s="120">
        <v>44908</v>
      </c>
      <c r="S501" s="131" t="s">
        <v>352</v>
      </c>
      <c r="T501" s="486">
        <v>350000</v>
      </c>
      <c r="U501" s="497"/>
    </row>
    <row r="502" spans="17:21" ht="15.75">
      <c r="Q502" s="120">
        <v>44908</v>
      </c>
      <c r="S502" s="168" t="s">
        <v>385</v>
      </c>
      <c r="T502" s="124"/>
      <c r="U502" s="486">
        <v>730000</v>
      </c>
    </row>
    <row r="503" spans="17:21">
      <c r="Q503" s="120">
        <v>44909</v>
      </c>
      <c r="S503" s="123" t="s">
        <v>393</v>
      </c>
      <c r="T503" s="134"/>
      <c r="U503" s="486">
        <v>17022.240000000002</v>
      </c>
    </row>
    <row r="504" spans="17:21">
      <c r="Q504" s="120">
        <v>44909</v>
      </c>
      <c r="S504" s="131" t="s">
        <v>352</v>
      </c>
      <c r="T504" s="486">
        <v>800000</v>
      </c>
      <c r="U504" s="124"/>
    </row>
    <row r="505" spans="17:21">
      <c r="Q505" s="120">
        <v>44910</v>
      </c>
      <c r="S505" s="131" t="s">
        <v>352</v>
      </c>
      <c r="T505" s="486">
        <v>650000</v>
      </c>
      <c r="U505" s="506"/>
    </row>
    <row r="506" spans="17:21">
      <c r="Q506" s="120">
        <v>44910</v>
      </c>
      <c r="S506" s="131" t="s">
        <v>352</v>
      </c>
      <c r="T506" s="486">
        <v>650000</v>
      </c>
      <c r="U506" s="506"/>
    </row>
    <row r="507" spans="17:21" ht="15.75">
      <c r="Q507" s="120">
        <v>44910</v>
      </c>
      <c r="S507" s="168" t="s">
        <v>350</v>
      </c>
      <c r="T507" s="124"/>
      <c r="U507" s="486">
        <v>500000</v>
      </c>
    </row>
    <row r="508" spans="17:21" ht="15.75">
      <c r="Q508" s="120"/>
      <c r="S508" s="168"/>
      <c r="T508" s="124"/>
      <c r="U508" s="507"/>
    </row>
    <row r="509" spans="17:21">
      <c r="Q509" s="120">
        <v>44911</v>
      </c>
      <c r="S509" s="131" t="s">
        <v>352</v>
      </c>
      <c r="T509" s="486">
        <v>950000</v>
      </c>
      <c r="U509" s="506"/>
    </row>
    <row r="510" spans="17:21" ht="15.75">
      <c r="Q510" s="120">
        <v>44911</v>
      </c>
      <c r="S510" s="168" t="s">
        <v>350</v>
      </c>
      <c r="T510" s="124"/>
      <c r="U510" s="486">
        <v>500000</v>
      </c>
    </row>
    <row r="511" spans="17:21">
      <c r="Q511" s="120">
        <v>44914</v>
      </c>
      <c r="S511" s="131" t="s">
        <v>394</v>
      </c>
      <c r="T511" s="486">
        <v>240460</v>
      </c>
      <c r="U511" s="506"/>
    </row>
    <row r="512" spans="17:21" ht="15.75">
      <c r="Q512" s="120">
        <v>44915</v>
      </c>
      <c r="S512" s="168" t="s">
        <v>395</v>
      </c>
      <c r="T512" s="486">
        <v>1500000</v>
      </c>
      <c r="U512" s="506"/>
    </row>
    <row r="513" spans="17:25" ht="15.75">
      <c r="Q513" s="120">
        <v>44915</v>
      </c>
      <c r="S513" s="168" t="s">
        <v>350</v>
      </c>
      <c r="T513" s="124"/>
      <c r="U513" s="486">
        <v>500000</v>
      </c>
    </row>
    <row r="514" spans="17:25" ht="15.75">
      <c r="Q514" s="120">
        <v>44915</v>
      </c>
      <c r="S514" s="168" t="s">
        <v>370</v>
      </c>
      <c r="T514" s="124"/>
      <c r="U514" s="486">
        <v>729581.28</v>
      </c>
    </row>
    <row r="515" spans="17:25" ht="15.75">
      <c r="Q515" s="120">
        <v>44916</v>
      </c>
      <c r="S515" s="168" t="s">
        <v>352</v>
      </c>
      <c r="T515" s="486">
        <v>1800000</v>
      </c>
      <c r="U515" s="506"/>
    </row>
    <row r="516" spans="17:25">
      <c r="Q516" s="199">
        <v>44922</v>
      </c>
      <c r="S516" s="15" t="s">
        <v>396</v>
      </c>
      <c r="T516" s="508">
        <f>600000*2</f>
        <v>1200000</v>
      </c>
      <c r="U516" s="211"/>
    </row>
    <row r="517" spans="17:25">
      <c r="Q517" s="120">
        <v>44923</v>
      </c>
      <c r="S517" s="217" t="s">
        <v>397</v>
      </c>
      <c r="T517" s="124"/>
      <c r="U517" s="509">
        <v>51776</v>
      </c>
    </row>
    <row r="518" spans="17:25">
      <c r="Q518" s="120">
        <v>44923</v>
      </c>
      <c r="S518" s="217" t="s">
        <v>398</v>
      </c>
      <c r="T518" s="124"/>
      <c r="U518" s="509">
        <v>16005</v>
      </c>
    </row>
    <row r="519" spans="17:25">
      <c r="Q519" s="199">
        <v>44923</v>
      </c>
      <c r="S519" s="217" t="s">
        <v>399</v>
      </c>
      <c r="T519" s="211"/>
      <c r="U519" s="509">
        <v>122738</v>
      </c>
    </row>
    <row r="520" spans="17:25">
      <c r="Q520" s="199"/>
      <c r="S520" s="131"/>
      <c r="T520" s="124"/>
    </row>
    <row r="521" spans="17:25">
      <c r="Q521" s="199"/>
      <c r="S521" s="131" t="s">
        <v>445</v>
      </c>
      <c r="T521" s="124"/>
      <c r="U521" s="509">
        <v>95605</v>
      </c>
    </row>
    <row r="522" spans="17:25">
      <c r="Q522" s="199"/>
      <c r="S522" s="15" t="s">
        <v>446</v>
      </c>
      <c r="T522" s="124"/>
    </row>
    <row r="523" spans="17:25">
      <c r="Q523" s="531"/>
      <c r="S523" s="532"/>
      <c r="T523" s="533"/>
      <c r="V523" s="533"/>
      <c r="W523" s="346"/>
      <c r="Y523" s="535"/>
    </row>
    <row r="524" spans="17:25">
      <c r="Q524" s="531"/>
      <c r="S524" s="532"/>
      <c r="T524" s="533"/>
      <c r="V524" s="533"/>
      <c r="W524" s="346"/>
      <c r="Y524" s="535"/>
    </row>
    <row r="525" spans="17:25">
      <c r="Q525" s="531"/>
      <c r="S525" s="532"/>
      <c r="T525" s="533"/>
      <c r="V525" s="533"/>
      <c r="W525" s="346"/>
      <c r="Y525" s="535"/>
    </row>
    <row r="526" spans="17:25">
      <c r="Q526" s="531"/>
      <c r="S526" s="532"/>
      <c r="T526" s="533"/>
      <c r="V526" s="533"/>
      <c r="W526" s="346"/>
      <c r="Y526" s="535"/>
    </row>
    <row r="527" spans="17:25">
      <c r="Q527" s="531"/>
      <c r="S527" s="532"/>
      <c r="T527" s="533"/>
      <c r="V527" s="533"/>
      <c r="W527" s="346"/>
      <c r="Y527" s="535"/>
    </row>
    <row r="528" spans="17:25">
      <c r="Q528" s="531"/>
      <c r="S528" s="532"/>
      <c r="T528" s="533"/>
      <c r="V528" s="533"/>
      <c r="W528" s="346"/>
      <c r="Y528" s="535"/>
    </row>
    <row r="529" spans="17:25">
      <c r="Q529" s="531"/>
      <c r="S529" s="532"/>
      <c r="T529" s="533"/>
      <c r="V529" s="533"/>
      <c r="W529" s="346"/>
      <c r="Y529" s="535"/>
    </row>
    <row r="530" spans="17:25">
      <c r="Q530" s="531"/>
      <c r="S530" s="532"/>
      <c r="T530" s="533"/>
      <c r="V530" s="533"/>
      <c r="W530" s="346"/>
      <c r="Y530" s="535"/>
    </row>
    <row r="531" spans="17:25">
      <c r="Q531" s="531"/>
      <c r="S531" s="532"/>
      <c r="T531" s="533"/>
      <c r="V531" s="533"/>
      <c r="W531" s="346"/>
      <c r="Y531" s="535"/>
    </row>
    <row r="532" spans="17:25">
      <c r="Q532" s="531"/>
      <c r="S532" s="532"/>
      <c r="T532" s="533"/>
      <c r="V532" s="533"/>
      <c r="W532" s="346"/>
      <c r="Y532" s="535"/>
    </row>
    <row r="533" spans="17:25">
      <c r="Q533" s="531"/>
      <c r="S533" s="532"/>
      <c r="T533" s="533"/>
      <c r="V533" s="533"/>
      <c r="W533" s="346"/>
      <c r="Y533" s="535"/>
    </row>
    <row r="538" spans="17:25">
      <c r="Q538" s="164" t="s">
        <v>400</v>
      </c>
      <c r="S538" s="15" t="s">
        <v>446</v>
      </c>
      <c r="T538" s="167"/>
      <c r="U538" s="510"/>
      <c r="V538" s="511">
        <f t="shared" ref="V538:V543" si="42">T538*0%</f>
        <v>0</v>
      </c>
      <c r="W538" s="511">
        <f t="shared" ref="W538:W539" si="43">T538*0.006</f>
        <v>0</v>
      </c>
      <c r="X538" s="511">
        <f t="shared" ref="X538:X542" si="44">U538*0.006+V538*0.006</f>
        <v>0</v>
      </c>
      <c r="Y538" s="512"/>
    </row>
    <row r="539" spans="17:25" ht="15.75">
      <c r="Q539" s="120">
        <v>44928</v>
      </c>
      <c r="S539" s="168" t="s">
        <v>401</v>
      </c>
      <c r="T539" s="486">
        <v>257614.75</v>
      </c>
      <c r="U539" s="513"/>
      <c r="V539" s="117">
        <f t="shared" si="42"/>
        <v>0</v>
      </c>
      <c r="W539" s="495">
        <f t="shared" si="43"/>
        <v>1545.6885</v>
      </c>
      <c r="X539" s="118">
        <f t="shared" si="44"/>
        <v>0</v>
      </c>
      <c r="Y539" s="514"/>
    </row>
    <row r="540" spans="17:25" ht="15.75">
      <c r="Q540" s="120">
        <v>44942</v>
      </c>
      <c r="S540" s="168" t="s">
        <v>402</v>
      </c>
      <c r="T540" s="124"/>
      <c r="U540" s="513"/>
      <c r="V540" s="117">
        <f t="shared" si="42"/>
        <v>0</v>
      </c>
      <c r="W540" s="118">
        <f t="shared" ref="W540:W543" si="45">T540*0.006</f>
        <v>0</v>
      </c>
      <c r="X540" s="118">
        <f t="shared" si="44"/>
        <v>0</v>
      </c>
      <c r="Y540" s="119"/>
    </row>
    <row r="541" spans="17:25" ht="15.75">
      <c r="Q541" s="120">
        <v>44956</v>
      </c>
      <c r="S541" s="168" t="s">
        <v>402</v>
      </c>
      <c r="T541" s="124"/>
      <c r="U541" s="513"/>
      <c r="V541" s="117">
        <f t="shared" si="42"/>
        <v>0</v>
      </c>
      <c r="W541" s="118">
        <f t="shared" si="45"/>
        <v>0</v>
      </c>
      <c r="X541" s="118">
        <f t="shared" si="44"/>
        <v>0</v>
      </c>
      <c r="Y541" s="119"/>
    </row>
    <row r="542" spans="17:25">
      <c r="Q542" s="199">
        <v>44925</v>
      </c>
      <c r="S542" s="217" t="s">
        <v>403</v>
      </c>
      <c r="T542" s="486">
        <v>64500</v>
      </c>
      <c r="U542" s="513"/>
      <c r="V542" s="117">
        <f t="shared" si="42"/>
        <v>0</v>
      </c>
      <c r="W542" s="496">
        <f t="shared" si="45"/>
        <v>387</v>
      </c>
      <c r="X542" s="118">
        <f t="shared" si="44"/>
        <v>0</v>
      </c>
      <c r="Y542" s="119"/>
    </row>
    <row r="543" spans="17:25">
      <c r="Q543" s="120">
        <v>44932</v>
      </c>
      <c r="S543" s="217" t="s">
        <v>404</v>
      </c>
      <c r="T543" s="124"/>
      <c r="U543" s="486">
        <v>200000</v>
      </c>
      <c r="V543" s="117">
        <f t="shared" si="42"/>
        <v>0</v>
      </c>
      <c r="W543" s="118">
        <f t="shared" si="45"/>
        <v>0</v>
      </c>
      <c r="X543" s="118"/>
      <c r="Y543" s="119"/>
    </row>
    <row r="544" spans="17:25">
      <c r="Q544" s="199">
        <v>44932</v>
      </c>
      <c r="S544" s="515" t="s">
        <v>403</v>
      </c>
      <c r="T544" s="486">
        <v>64500</v>
      </c>
      <c r="U544" s="513"/>
      <c r="V544" s="117">
        <f>T544*0%</f>
        <v>0</v>
      </c>
      <c r="W544" s="118">
        <f>T544*0.006</f>
        <v>387</v>
      </c>
      <c r="X544" s="118">
        <f>U544*0.006+V544*0.006</f>
        <v>0</v>
      </c>
      <c r="Y544" s="119"/>
    </row>
    <row r="545" spans="17:25">
      <c r="Q545" s="120">
        <v>44935</v>
      </c>
      <c r="S545" s="131" t="s">
        <v>342</v>
      </c>
      <c r="T545" s="486">
        <v>351000</v>
      </c>
      <c r="U545" s="513"/>
      <c r="V545" s="117">
        <f>T545*0%</f>
        <v>0</v>
      </c>
      <c r="W545" s="118">
        <f>T545*0.006</f>
        <v>2106</v>
      </c>
      <c r="X545" s="118">
        <f>U545*0.006+V545*0.006</f>
        <v>0</v>
      </c>
      <c r="Y545" s="119"/>
    </row>
    <row r="546" spans="17:25">
      <c r="Q546" s="120">
        <v>44935</v>
      </c>
      <c r="S546" s="131" t="s">
        <v>342</v>
      </c>
      <c r="T546" s="486">
        <v>85564.65</v>
      </c>
      <c r="U546" s="513"/>
      <c r="V546" s="117">
        <f>T546*0%</f>
        <v>0</v>
      </c>
      <c r="W546" s="496">
        <f>T546*0.006</f>
        <v>513.38789999999995</v>
      </c>
      <c r="X546" s="118">
        <f>U546*0.006+V546*0.006</f>
        <v>0</v>
      </c>
      <c r="Y546" s="119"/>
    </row>
    <row r="547" spans="17:25">
      <c r="Q547" s="120">
        <v>44936</v>
      </c>
      <c r="S547" s="131" t="s">
        <v>389</v>
      </c>
      <c r="T547" s="486">
        <v>326192.39</v>
      </c>
      <c r="U547" s="513"/>
      <c r="V547" s="117">
        <f>T547*0%</f>
        <v>0</v>
      </c>
      <c r="W547" s="118"/>
      <c r="X547" s="118">
        <f>U547*0.006+V547*0.006</f>
        <v>0</v>
      </c>
      <c r="Y547" s="119"/>
    </row>
    <row r="548" spans="17:25" ht="15.75">
      <c r="Q548" s="120">
        <v>44936</v>
      </c>
      <c r="S548" s="168" t="s">
        <v>344</v>
      </c>
      <c r="T548" s="124"/>
      <c r="U548" s="516">
        <v>122738</v>
      </c>
      <c r="V548" s="117">
        <f>T548*0%</f>
        <v>0</v>
      </c>
      <c r="W548" s="118">
        <f>T548*0.006</f>
        <v>0</v>
      </c>
      <c r="X548" s="495">
        <f>U548*0.006+V548*0.006</f>
        <v>736.428</v>
      </c>
      <c r="Y548" s="119"/>
    </row>
    <row r="549" spans="17:25" ht="15.75">
      <c r="Q549" s="120">
        <v>44910</v>
      </c>
      <c r="S549" s="168" t="s">
        <v>385</v>
      </c>
      <c r="T549" s="513"/>
      <c r="U549" s="516">
        <v>730000</v>
      </c>
      <c r="V549" s="117">
        <f t="shared" ref="V549:V568" si="46">T549*0%</f>
        <v>0</v>
      </c>
      <c r="W549" s="118">
        <f t="shared" ref="W549:W568" si="47">T549*0.006</f>
        <v>0</v>
      </c>
      <c r="X549" s="495">
        <f t="shared" ref="X549:X568" si="48">U549*0.006+V549*0.006</f>
        <v>4380</v>
      </c>
      <c r="Y549" s="119"/>
    </row>
    <row r="550" spans="17:25" ht="15.75">
      <c r="Q550" s="120">
        <v>44911</v>
      </c>
      <c r="S550" s="168" t="s">
        <v>370</v>
      </c>
      <c r="T550" s="124"/>
      <c r="U550" s="516">
        <v>700000</v>
      </c>
      <c r="V550" s="117">
        <f t="shared" si="46"/>
        <v>0</v>
      </c>
      <c r="W550" s="118">
        <f t="shared" si="47"/>
        <v>0</v>
      </c>
      <c r="X550" s="495">
        <f t="shared" si="48"/>
        <v>4200</v>
      </c>
      <c r="Y550" s="119"/>
    </row>
    <row r="551" spans="17:25" ht="15.75">
      <c r="Q551" s="120">
        <v>44912</v>
      </c>
      <c r="S551" s="168" t="s">
        <v>370</v>
      </c>
      <c r="T551" s="124"/>
      <c r="U551" s="516">
        <v>700000</v>
      </c>
      <c r="V551" s="117">
        <f t="shared" si="46"/>
        <v>0</v>
      </c>
      <c r="W551" s="118">
        <f t="shared" si="47"/>
        <v>0</v>
      </c>
      <c r="X551" s="495">
        <f t="shared" si="48"/>
        <v>4200</v>
      </c>
      <c r="Y551" s="119"/>
    </row>
    <row r="552" spans="17:25">
      <c r="Q552" s="120">
        <v>44939</v>
      </c>
      <c r="S552" s="131" t="s">
        <v>352</v>
      </c>
      <c r="T552" s="516">
        <v>800000</v>
      </c>
      <c r="U552" s="513"/>
      <c r="V552" s="117">
        <f t="shared" si="46"/>
        <v>0</v>
      </c>
      <c r="W552" s="495">
        <f t="shared" si="47"/>
        <v>4800</v>
      </c>
      <c r="X552" s="118">
        <f t="shared" si="48"/>
        <v>0</v>
      </c>
      <c r="Y552" s="119"/>
    </row>
    <row r="553" spans="17:25">
      <c r="Q553" s="120">
        <v>44942</v>
      </c>
      <c r="S553" s="131" t="s">
        <v>352</v>
      </c>
      <c r="T553" s="516">
        <v>650000</v>
      </c>
      <c r="U553" s="513"/>
      <c r="V553" s="117">
        <f t="shared" si="46"/>
        <v>0</v>
      </c>
      <c r="W553" s="495">
        <f t="shared" si="47"/>
        <v>3900</v>
      </c>
      <c r="X553" s="118">
        <f t="shared" si="48"/>
        <v>0</v>
      </c>
      <c r="Y553" s="119"/>
    </row>
    <row r="554" spans="17:25">
      <c r="Q554" s="120">
        <v>44942</v>
      </c>
      <c r="S554" s="131" t="s">
        <v>352</v>
      </c>
      <c r="T554" s="516">
        <v>650000</v>
      </c>
      <c r="U554" s="513"/>
      <c r="V554" s="117">
        <f t="shared" si="46"/>
        <v>0</v>
      </c>
      <c r="W554" s="495">
        <f t="shared" si="47"/>
        <v>3900</v>
      </c>
      <c r="X554" s="118">
        <f t="shared" si="48"/>
        <v>0</v>
      </c>
      <c r="Y554" s="119"/>
    </row>
    <row r="555" spans="17:25">
      <c r="Q555" s="120">
        <v>44941</v>
      </c>
      <c r="S555" s="217" t="s">
        <v>405</v>
      </c>
      <c r="T555" s="124"/>
      <c r="U555" s="516">
        <v>1191506.9099999999</v>
      </c>
      <c r="V555" s="117">
        <f t="shared" si="46"/>
        <v>0</v>
      </c>
      <c r="W555" s="118">
        <f t="shared" si="47"/>
        <v>0</v>
      </c>
      <c r="X555" s="495">
        <f t="shared" si="48"/>
        <v>7149.0414599999995</v>
      </c>
      <c r="Y555" s="119"/>
    </row>
    <row r="556" spans="17:25" ht="15.75">
      <c r="Q556" s="120">
        <v>44943</v>
      </c>
      <c r="S556" s="131" t="s">
        <v>352</v>
      </c>
      <c r="T556" s="516">
        <v>450000</v>
      </c>
      <c r="U556" s="503"/>
      <c r="V556" s="117">
        <f t="shared" si="46"/>
        <v>0</v>
      </c>
      <c r="W556" s="495">
        <f t="shared" si="47"/>
        <v>2700</v>
      </c>
      <c r="X556" s="495">
        <f t="shared" si="48"/>
        <v>0</v>
      </c>
      <c r="Y556" s="119"/>
    </row>
    <row r="557" spans="17:25" ht="15.75">
      <c r="Q557" s="120">
        <v>44915</v>
      </c>
      <c r="S557" s="168" t="s">
        <v>385</v>
      </c>
      <c r="T557" s="124"/>
      <c r="U557" s="516">
        <v>730000</v>
      </c>
      <c r="V557" s="117">
        <f t="shared" si="46"/>
        <v>0</v>
      </c>
      <c r="W557" s="118">
        <f t="shared" si="47"/>
        <v>0</v>
      </c>
      <c r="X557" s="495">
        <f t="shared" si="48"/>
        <v>4380</v>
      </c>
      <c r="Y557" s="119"/>
    </row>
    <row r="558" spans="17:25" ht="15.75">
      <c r="Q558" s="120">
        <v>44942</v>
      </c>
      <c r="S558" s="168" t="s">
        <v>406</v>
      </c>
      <c r="T558" s="124"/>
      <c r="U558" s="516">
        <v>51776</v>
      </c>
      <c r="V558" s="117">
        <f t="shared" si="46"/>
        <v>0</v>
      </c>
      <c r="W558" s="118">
        <f t="shared" si="47"/>
        <v>0</v>
      </c>
      <c r="X558" s="495">
        <f t="shared" si="48"/>
        <v>310.65600000000001</v>
      </c>
      <c r="Y558" s="517"/>
    </row>
    <row r="559" spans="17:25" ht="15.75">
      <c r="Q559" s="120">
        <v>44944</v>
      </c>
      <c r="S559" s="15" t="s">
        <v>407</v>
      </c>
      <c r="T559" s="516">
        <v>1000000</v>
      </c>
      <c r="U559" s="503"/>
      <c r="V559" s="117">
        <f t="shared" si="46"/>
        <v>0</v>
      </c>
      <c r="W559" s="495">
        <f t="shared" si="47"/>
        <v>6000</v>
      </c>
      <c r="X559" s="495">
        <f t="shared" si="48"/>
        <v>0</v>
      </c>
      <c r="Y559" s="119"/>
    </row>
    <row r="560" spans="17:25">
      <c r="Q560" s="199">
        <v>44916</v>
      </c>
      <c r="S560" s="217" t="s">
        <v>408</v>
      </c>
      <c r="T560" s="211"/>
      <c r="U560" s="518">
        <v>780000</v>
      </c>
      <c r="V560" s="117">
        <f t="shared" si="46"/>
        <v>0</v>
      </c>
      <c r="W560" s="118">
        <f t="shared" si="47"/>
        <v>0</v>
      </c>
      <c r="X560" s="495">
        <f t="shared" si="48"/>
        <v>4680</v>
      </c>
      <c r="Y560" s="119"/>
    </row>
    <row r="561" spans="17:25">
      <c r="Q561" s="199">
        <v>44918</v>
      </c>
      <c r="S561" s="217" t="s">
        <v>408</v>
      </c>
      <c r="T561" s="211"/>
      <c r="U561" s="518">
        <v>780000</v>
      </c>
      <c r="V561" s="117">
        <f t="shared" si="46"/>
        <v>0</v>
      </c>
      <c r="W561" s="118">
        <f t="shared" si="47"/>
        <v>0</v>
      </c>
      <c r="X561" s="495">
        <f t="shared" si="48"/>
        <v>4680</v>
      </c>
      <c r="Y561" s="119"/>
    </row>
    <row r="562" spans="17:25" ht="15.75">
      <c r="Q562" s="120">
        <v>44916</v>
      </c>
      <c r="S562" s="168" t="s">
        <v>350</v>
      </c>
      <c r="T562" s="124"/>
      <c r="U562" s="516">
        <v>279373.92</v>
      </c>
      <c r="V562" s="117">
        <f t="shared" si="46"/>
        <v>0</v>
      </c>
      <c r="W562" s="118">
        <f t="shared" si="47"/>
        <v>0</v>
      </c>
      <c r="X562" s="495">
        <f t="shared" si="48"/>
        <v>1676.24352</v>
      </c>
      <c r="Y562" s="119"/>
    </row>
    <row r="563" spans="17:25" ht="15.75">
      <c r="Q563" s="120">
        <v>44945</v>
      </c>
      <c r="S563" s="15" t="s">
        <v>409</v>
      </c>
      <c r="T563" s="191"/>
      <c r="U563" s="504">
        <v>1000000</v>
      </c>
      <c r="V563" s="117">
        <f t="shared" si="46"/>
        <v>0</v>
      </c>
      <c r="W563" s="118">
        <f t="shared" si="47"/>
        <v>0</v>
      </c>
      <c r="X563" s="118"/>
      <c r="Y563" s="119"/>
    </row>
    <row r="564" spans="17:25" ht="15.75">
      <c r="Q564" s="120">
        <v>44945</v>
      </c>
      <c r="S564" s="168" t="s">
        <v>352</v>
      </c>
      <c r="T564" s="486">
        <v>875000</v>
      </c>
      <c r="U564" s="513"/>
      <c r="V564" s="117">
        <f t="shared" si="46"/>
        <v>0</v>
      </c>
      <c r="W564" s="495">
        <f t="shared" si="47"/>
        <v>5250</v>
      </c>
      <c r="X564" s="118">
        <f t="shared" si="48"/>
        <v>0</v>
      </c>
      <c r="Y564" s="119"/>
    </row>
    <row r="565" spans="17:25" ht="15.75">
      <c r="Q565" s="120">
        <v>44945</v>
      </c>
      <c r="S565" s="168" t="s">
        <v>352</v>
      </c>
      <c r="T565" s="486">
        <v>875000</v>
      </c>
      <c r="U565" s="503"/>
      <c r="V565" s="117">
        <f t="shared" si="46"/>
        <v>0</v>
      </c>
      <c r="W565" s="495">
        <f t="shared" si="47"/>
        <v>5250</v>
      </c>
      <c r="X565" s="118">
        <f t="shared" si="48"/>
        <v>0</v>
      </c>
      <c r="Y565" s="119"/>
    </row>
    <row r="566" spans="17:25" ht="15.75">
      <c r="Q566" s="199">
        <v>44945</v>
      </c>
      <c r="S566" s="15" t="s">
        <v>409</v>
      </c>
      <c r="T566" s="191"/>
      <c r="U566" s="504">
        <v>950000</v>
      </c>
      <c r="V566" s="117">
        <f t="shared" si="46"/>
        <v>0</v>
      </c>
      <c r="W566" s="118">
        <f t="shared" si="47"/>
        <v>0</v>
      </c>
      <c r="X566" s="118"/>
      <c r="Y566" s="119"/>
    </row>
    <row r="567" spans="17:25" ht="15.75">
      <c r="Q567" s="120">
        <v>44946</v>
      </c>
      <c r="S567" s="168" t="s">
        <v>352</v>
      </c>
      <c r="T567" s="486">
        <v>800000</v>
      </c>
      <c r="U567" s="513"/>
      <c r="V567" s="117">
        <f t="shared" si="46"/>
        <v>0</v>
      </c>
      <c r="W567" s="495">
        <f t="shared" si="47"/>
        <v>4800</v>
      </c>
      <c r="X567" s="118">
        <f t="shared" si="48"/>
        <v>0</v>
      </c>
      <c r="Y567" s="119"/>
    </row>
    <row r="568" spans="17:25" ht="15.75">
      <c r="Q568" s="519">
        <v>44946</v>
      </c>
      <c r="S568" s="515" t="s">
        <v>403</v>
      </c>
      <c r="T568" s="520">
        <v>64500</v>
      </c>
      <c r="U568" s="503"/>
      <c r="V568" s="117">
        <f t="shared" si="46"/>
        <v>0</v>
      </c>
      <c r="W568" s="495">
        <f t="shared" si="47"/>
        <v>387</v>
      </c>
      <c r="X568" s="118">
        <f t="shared" si="48"/>
        <v>0</v>
      </c>
      <c r="Y568" s="119"/>
    </row>
    <row r="569" spans="17:25">
      <c r="Q569" s="521">
        <v>44953</v>
      </c>
      <c r="S569" s="522" t="s">
        <v>410</v>
      </c>
      <c r="T569" s="523">
        <v>1288700.6399999999</v>
      </c>
      <c r="U569" s="523">
        <v>1288700.6399999999</v>
      </c>
      <c r="V569" s="117"/>
      <c r="W569" s="118"/>
      <c r="X569" s="118"/>
      <c r="Y569" s="119"/>
    </row>
    <row r="570" spans="17:25">
      <c r="Q570" s="521">
        <v>44984</v>
      </c>
      <c r="S570" s="522" t="s">
        <v>411</v>
      </c>
      <c r="T570" s="523">
        <v>1288700.6399999999</v>
      </c>
      <c r="U570" s="523">
        <v>1288700.6399999999</v>
      </c>
      <c r="V570" s="117"/>
      <c r="W570" s="118"/>
      <c r="X570" s="118"/>
      <c r="Y570" s="119"/>
    </row>
    <row r="571" spans="17:25">
      <c r="Q571" s="521">
        <v>45012</v>
      </c>
      <c r="S571" s="522" t="s">
        <v>412</v>
      </c>
      <c r="T571" s="523">
        <v>1288700.6399999999</v>
      </c>
      <c r="U571" s="523">
        <v>1288700.6399999999</v>
      </c>
      <c r="V571" s="117"/>
      <c r="W571" s="118"/>
      <c r="X571" s="118"/>
      <c r="Y571" s="119"/>
    </row>
    <row r="572" spans="17:25">
      <c r="Q572" s="521" t="s">
        <v>413</v>
      </c>
      <c r="S572" s="522" t="s">
        <v>414</v>
      </c>
      <c r="T572" s="523"/>
      <c r="U572" s="523"/>
      <c r="V572" s="117"/>
      <c r="W572" s="118"/>
      <c r="X572" s="118"/>
      <c r="Y572" s="119"/>
    </row>
    <row r="573" spans="17:25">
      <c r="Q573" s="521" t="s">
        <v>413</v>
      </c>
      <c r="S573" s="522" t="s">
        <v>415</v>
      </c>
      <c r="T573" s="523"/>
      <c r="U573" s="523"/>
      <c r="V573" s="117"/>
      <c r="W573" s="118"/>
      <c r="X573" s="118"/>
      <c r="Y573" s="119"/>
    </row>
    <row r="574" spans="17:25">
      <c r="Q574" s="521" t="s">
        <v>416</v>
      </c>
      <c r="S574" s="522" t="s">
        <v>417</v>
      </c>
      <c r="T574" s="523">
        <v>644000</v>
      </c>
      <c r="U574" s="523">
        <v>644000</v>
      </c>
      <c r="V574" s="117"/>
      <c r="W574" s="118"/>
      <c r="X574" s="118"/>
      <c r="Y574" s="119"/>
    </row>
    <row r="575" spans="17:25">
      <c r="Q575" s="521" t="s">
        <v>418</v>
      </c>
      <c r="S575" s="522" t="s">
        <v>417</v>
      </c>
      <c r="T575" s="523">
        <v>644700.64</v>
      </c>
      <c r="U575" s="523">
        <v>644700.64</v>
      </c>
      <c r="V575" s="117"/>
      <c r="W575" s="118"/>
      <c r="X575" s="118"/>
      <c r="Y575" s="119"/>
    </row>
    <row r="576" spans="17:25">
      <c r="Q576" s="521" t="s">
        <v>419</v>
      </c>
      <c r="S576" s="522" t="s">
        <v>417</v>
      </c>
      <c r="T576" s="523">
        <v>644700.64</v>
      </c>
      <c r="U576" s="523">
        <v>644700.64</v>
      </c>
      <c r="V576" s="117"/>
      <c r="W576" s="118"/>
      <c r="X576" s="118"/>
      <c r="Y576" s="119"/>
    </row>
    <row r="577" spans="17:25">
      <c r="Q577" s="521" t="s">
        <v>420</v>
      </c>
      <c r="S577" s="522" t="s">
        <v>417</v>
      </c>
      <c r="T577" s="523">
        <v>644000</v>
      </c>
      <c r="U577" s="523">
        <v>644000</v>
      </c>
      <c r="V577" s="117"/>
      <c r="W577" s="118"/>
      <c r="X577" s="118"/>
      <c r="Y577" s="119"/>
    </row>
    <row r="578" spans="17:25">
      <c r="Q578" s="521">
        <v>45036</v>
      </c>
      <c r="S578" s="522" t="s">
        <v>421</v>
      </c>
      <c r="T578" s="234">
        <v>781386.67</v>
      </c>
      <c r="U578" s="234">
        <v>781386.67</v>
      </c>
      <c r="V578" s="117"/>
      <c r="W578" s="118"/>
      <c r="X578" s="118"/>
      <c r="Y578" s="119"/>
    </row>
    <row r="579" spans="17:25">
      <c r="Q579" s="521">
        <v>44995</v>
      </c>
      <c r="S579" s="522" t="s">
        <v>422</v>
      </c>
      <c r="T579" s="234">
        <v>728149.33</v>
      </c>
      <c r="U579" s="234">
        <v>728149.33</v>
      </c>
      <c r="V579" s="117"/>
      <c r="W579" s="118"/>
      <c r="X579" s="118"/>
      <c r="Y579" s="119"/>
    </row>
    <row r="580" spans="17:25" ht="15.75">
      <c r="Q580" s="524"/>
      <c r="S580" s="525"/>
      <c r="T580" s="526"/>
      <c r="U580" s="527"/>
      <c r="V580" s="528">
        <f t="shared" ref="V580:V585" si="49">T580*0%</f>
        <v>0</v>
      </c>
      <c r="W580" s="528">
        <f t="shared" ref="W580:W585" si="50">T580*0.006</f>
        <v>0</v>
      </c>
      <c r="X580" s="528">
        <f t="shared" ref="X580:X585" si="51">U580*0.006+V580*0.006</f>
        <v>0</v>
      </c>
      <c r="Y580" s="529"/>
    </row>
    <row r="581" spans="17:25" ht="15.75">
      <c r="Q581" s="199">
        <v>44950</v>
      </c>
      <c r="S581" s="217" t="s">
        <v>423</v>
      </c>
      <c r="T581" s="518">
        <v>179997.97</v>
      </c>
      <c r="U581" s="503"/>
      <c r="V581" s="117">
        <f t="shared" si="49"/>
        <v>0</v>
      </c>
      <c r="W581" s="118">
        <f t="shared" si="50"/>
        <v>1079.9878200000001</v>
      </c>
      <c r="X581" s="118">
        <f t="shared" si="51"/>
        <v>0</v>
      </c>
      <c r="Y581" s="119"/>
    </row>
    <row r="582" spans="17:25" ht="15.75">
      <c r="Q582" s="199">
        <v>44950</v>
      </c>
      <c r="S582" s="217" t="s">
        <v>424</v>
      </c>
      <c r="T582" s="518">
        <v>18692.560000000001</v>
      </c>
      <c r="U582" s="503"/>
      <c r="V582" s="117">
        <f t="shared" si="49"/>
        <v>0</v>
      </c>
      <c r="W582" s="118">
        <f t="shared" si="50"/>
        <v>112.15536000000002</v>
      </c>
      <c r="X582" s="118">
        <f t="shared" si="51"/>
        <v>0</v>
      </c>
      <c r="Y582" s="119"/>
    </row>
    <row r="583" spans="17:25" ht="15.75">
      <c r="Q583" s="199">
        <v>44950</v>
      </c>
      <c r="S583" s="217" t="s">
        <v>425</v>
      </c>
      <c r="T583" s="518">
        <v>65134.18</v>
      </c>
      <c r="U583" s="503"/>
      <c r="V583" s="117">
        <f t="shared" si="49"/>
        <v>0</v>
      </c>
      <c r="W583" s="118">
        <f t="shared" si="50"/>
        <v>390.80508000000003</v>
      </c>
      <c r="X583" s="118">
        <f t="shared" si="51"/>
        <v>0</v>
      </c>
      <c r="Y583" s="119"/>
    </row>
    <row r="584" spans="17:25" ht="15.75">
      <c r="Q584" s="199">
        <v>44950</v>
      </c>
      <c r="S584" s="217" t="s">
        <v>426</v>
      </c>
      <c r="T584" s="516">
        <v>156249.73000000001</v>
      </c>
      <c r="U584" s="503"/>
      <c r="V584" s="117">
        <f t="shared" si="49"/>
        <v>0</v>
      </c>
      <c r="W584" s="118">
        <f t="shared" si="50"/>
        <v>937.49838000000011</v>
      </c>
      <c r="X584" s="118">
        <f t="shared" si="51"/>
        <v>0</v>
      </c>
      <c r="Y584" s="119"/>
    </row>
    <row r="585" spans="17:25" ht="15.75">
      <c r="Q585" s="199">
        <v>44950</v>
      </c>
      <c r="S585" s="217" t="s">
        <v>427</v>
      </c>
      <c r="T585" s="518">
        <v>750000</v>
      </c>
      <c r="U585" s="503"/>
      <c r="V585" s="117">
        <f t="shared" si="49"/>
        <v>0</v>
      </c>
      <c r="W585" s="118">
        <f t="shared" si="50"/>
        <v>4500</v>
      </c>
      <c r="X585" s="118">
        <f t="shared" si="51"/>
        <v>0</v>
      </c>
      <c r="Y585" s="119"/>
    </row>
    <row r="586" spans="17:25">
      <c r="Q586" s="530">
        <v>44953</v>
      </c>
      <c r="S586" s="217" t="s">
        <v>428</v>
      </c>
      <c r="T586" s="211">
        <v>64500</v>
      </c>
      <c r="U586" s="211">
        <v>64500</v>
      </c>
      <c r="V586" s="117"/>
      <c r="W586" s="118"/>
      <c r="X586" s="118"/>
      <c r="Y586" s="119"/>
    </row>
    <row r="587" spans="17:25" ht="15.75">
      <c r="Q587" s="530">
        <v>44950</v>
      </c>
      <c r="S587" s="214" t="s">
        <v>429</v>
      </c>
      <c r="T587" s="191"/>
      <c r="U587" s="504">
        <f>126322.87-942.98-64500</f>
        <v>60879.89</v>
      </c>
      <c r="V587" s="117">
        <f t="shared" ref="V587" si="52">T587*0%</f>
        <v>0</v>
      </c>
      <c r="W587" s="118">
        <f t="shared" ref="W587" si="53">T587*0.006</f>
        <v>0</v>
      </c>
      <c r="X587" s="118">
        <f t="shared" ref="X587" si="54">U587*0.006+V587*0.006</f>
        <v>365.27933999999999</v>
      </c>
      <c r="Y587" s="119"/>
    </row>
    <row r="588" spans="17:25">
      <c r="S588" s="15" t="s">
        <v>446</v>
      </c>
    </row>
    <row r="590" spans="17:25">
      <c r="T590" s="545" t="s">
        <v>444</v>
      </c>
    </row>
    <row r="601" spans="17:25">
      <c r="Q601" s="538">
        <v>44928</v>
      </c>
      <c r="S601" s="539" t="s">
        <v>432</v>
      </c>
      <c r="T601" s="346"/>
      <c r="U601" s="534">
        <v>0.48</v>
      </c>
      <c r="V601" s="533">
        <f t="shared" ref="V601:V620" si="55">T601*0%</f>
        <v>0</v>
      </c>
      <c r="W601" s="346">
        <f t="shared" ref="W601:W620" si="56">T601*0.006</f>
        <v>0</v>
      </c>
      <c r="X601" s="534">
        <f t="shared" ref="X601:X620" si="57">U601*0.006+V601*0.006</f>
        <v>2.8799999999999997E-3</v>
      </c>
      <c r="Y601" s="540"/>
    </row>
    <row r="602" spans="17:25">
      <c r="Q602" s="538">
        <v>44928</v>
      </c>
      <c r="S602" s="539" t="s">
        <v>433</v>
      </c>
      <c r="T602" s="346"/>
      <c r="U602" s="534">
        <v>35.64</v>
      </c>
      <c r="V602" s="533">
        <f t="shared" si="55"/>
        <v>0</v>
      </c>
      <c r="W602" s="346">
        <f t="shared" si="56"/>
        <v>0</v>
      </c>
      <c r="X602" s="534">
        <f t="shared" si="57"/>
        <v>0.21384</v>
      </c>
      <c r="Y602" s="540"/>
    </row>
    <row r="603" spans="17:25">
      <c r="Q603" s="538">
        <v>44928</v>
      </c>
      <c r="S603" s="539" t="s">
        <v>431</v>
      </c>
      <c r="T603" s="346"/>
      <c r="U603" s="534">
        <v>3.74</v>
      </c>
      <c r="V603" s="533">
        <f t="shared" si="55"/>
        <v>0</v>
      </c>
      <c r="W603" s="346">
        <f t="shared" si="56"/>
        <v>0</v>
      </c>
      <c r="X603" s="534">
        <f t="shared" si="57"/>
        <v>2.2440000000000002E-2</v>
      </c>
      <c r="Y603" s="540"/>
    </row>
    <row r="604" spans="17:25">
      <c r="Q604" s="538">
        <v>44930</v>
      </c>
      <c r="S604" s="539" t="s">
        <v>434</v>
      </c>
      <c r="T604" s="346"/>
      <c r="U604" s="346">
        <v>126.45</v>
      </c>
      <c r="V604" s="533"/>
      <c r="W604" s="346"/>
      <c r="X604" s="346"/>
      <c r="Y604" s="540"/>
    </row>
    <row r="605" spans="17:25">
      <c r="Q605" s="538">
        <v>44932</v>
      </c>
      <c r="S605" s="539" t="s">
        <v>435</v>
      </c>
      <c r="T605" s="541">
        <v>200000</v>
      </c>
      <c r="U605" s="346"/>
      <c r="V605" s="533">
        <f t="shared" si="55"/>
        <v>0</v>
      </c>
      <c r="W605" s="346"/>
      <c r="X605" s="346">
        <f t="shared" si="57"/>
        <v>0</v>
      </c>
      <c r="Y605" s="540"/>
    </row>
    <row r="606" spans="17:25">
      <c r="Q606" s="538">
        <v>44935</v>
      </c>
      <c r="S606" s="539" t="s">
        <v>436</v>
      </c>
      <c r="T606" s="346"/>
      <c r="U606" s="534">
        <v>10216.52</v>
      </c>
      <c r="V606" s="533">
        <f t="shared" si="55"/>
        <v>0</v>
      </c>
      <c r="W606" s="346">
        <f t="shared" si="56"/>
        <v>0</v>
      </c>
      <c r="X606" s="534">
        <f t="shared" si="57"/>
        <v>61.299120000000002</v>
      </c>
      <c r="Y606" s="540"/>
    </row>
    <row r="607" spans="17:25">
      <c r="Q607" s="538">
        <v>44935</v>
      </c>
      <c r="S607" s="217" t="s">
        <v>437</v>
      </c>
      <c r="T607" s="234"/>
      <c r="U607" s="534">
        <v>9249.64</v>
      </c>
      <c r="V607" s="536">
        <f t="shared" si="55"/>
        <v>0</v>
      </c>
      <c r="W607" s="537">
        <f t="shared" si="56"/>
        <v>0</v>
      </c>
      <c r="X607" s="534">
        <f t="shared" si="57"/>
        <v>55.497839999999997</v>
      </c>
      <c r="Y607" s="535"/>
    </row>
    <row r="608" spans="17:25" ht="15.75">
      <c r="Q608" s="538">
        <v>44935</v>
      </c>
      <c r="S608" s="168" t="s">
        <v>438</v>
      </c>
      <c r="T608" s="346"/>
      <c r="U608" s="534">
        <v>9894.74</v>
      </c>
      <c r="V608" s="536">
        <f t="shared" si="55"/>
        <v>0</v>
      </c>
      <c r="W608" s="537">
        <f t="shared" si="56"/>
        <v>0</v>
      </c>
      <c r="X608" s="534">
        <f t="shared" si="57"/>
        <v>59.36844</v>
      </c>
      <c r="Y608" s="535"/>
    </row>
    <row r="609" spans="16:25">
      <c r="Q609" s="538">
        <v>44935</v>
      </c>
      <c r="S609" s="539" t="s">
        <v>434</v>
      </c>
      <c r="T609" s="346"/>
      <c r="U609" s="534">
        <v>129</v>
      </c>
      <c r="V609" s="536">
        <f t="shared" si="55"/>
        <v>0</v>
      </c>
      <c r="W609" s="537">
        <f t="shared" si="56"/>
        <v>0</v>
      </c>
      <c r="X609" s="537">
        <f t="shared" si="57"/>
        <v>0.77400000000000002</v>
      </c>
      <c r="Y609" s="535"/>
    </row>
    <row r="610" spans="16:25">
      <c r="Q610" s="519">
        <v>44939</v>
      </c>
      <c r="S610" s="515" t="s">
        <v>430</v>
      </c>
      <c r="T610" s="234"/>
      <c r="U610" s="534">
        <v>27.09</v>
      </c>
      <c r="V610" s="536">
        <f t="shared" si="55"/>
        <v>0</v>
      </c>
      <c r="W610" s="537">
        <f t="shared" si="56"/>
        <v>0</v>
      </c>
      <c r="X610" s="537">
        <f t="shared" si="57"/>
        <v>0.16253999999999999</v>
      </c>
      <c r="Y610" s="535"/>
    </row>
    <row r="611" spans="16:25" ht="15.75">
      <c r="Q611" s="538">
        <v>44939</v>
      </c>
      <c r="S611" s="168" t="s">
        <v>439</v>
      </c>
      <c r="T611" s="346"/>
      <c r="U611" s="534">
        <v>100</v>
      </c>
      <c r="V611" s="536">
        <f t="shared" si="55"/>
        <v>0</v>
      </c>
      <c r="W611" s="537">
        <f t="shared" si="56"/>
        <v>0</v>
      </c>
      <c r="X611" s="534">
        <f t="shared" si="57"/>
        <v>0.6</v>
      </c>
      <c r="Y611" s="535"/>
    </row>
    <row r="612" spans="16:25">
      <c r="Q612" s="538">
        <v>44939</v>
      </c>
      <c r="S612" s="515" t="s">
        <v>430</v>
      </c>
      <c r="T612" s="346"/>
      <c r="U612" s="534">
        <v>21</v>
      </c>
      <c r="V612" s="536">
        <f t="shared" si="55"/>
        <v>0</v>
      </c>
      <c r="W612" s="537">
        <f t="shared" si="56"/>
        <v>0</v>
      </c>
      <c r="X612" s="534">
        <f t="shared" si="57"/>
        <v>0.126</v>
      </c>
      <c r="Y612" s="535"/>
    </row>
    <row r="613" spans="16:25">
      <c r="Q613" s="199">
        <v>44939</v>
      </c>
      <c r="S613" s="217" t="s">
        <v>440</v>
      </c>
      <c r="T613" s="541">
        <v>64500</v>
      </c>
      <c r="U613" s="537"/>
      <c r="V613" s="536">
        <f t="shared" si="55"/>
        <v>0</v>
      </c>
      <c r="W613" s="534">
        <f t="shared" si="56"/>
        <v>387</v>
      </c>
      <c r="X613" s="537">
        <f t="shared" si="57"/>
        <v>0</v>
      </c>
      <c r="Y613" s="535"/>
    </row>
    <row r="614" spans="16:25" ht="15.75">
      <c r="Q614" s="531">
        <v>44945</v>
      </c>
      <c r="S614" s="168" t="s">
        <v>441</v>
      </c>
      <c r="T614" s="534">
        <v>1000000</v>
      </c>
      <c r="U614" s="537"/>
      <c r="V614" s="536">
        <f t="shared" si="55"/>
        <v>0</v>
      </c>
      <c r="W614" s="537"/>
      <c r="X614" s="537">
        <f t="shared" si="57"/>
        <v>0</v>
      </c>
      <c r="Y614" s="535"/>
    </row>
    <row r="615" spans="16:25" ht="15.75">
      <c r="Q615" s="531">
        <v>44945</v>
      </c>
      <c r="S615" s="168" t="s">
        <v>441</v>
      </c>
      <c r="T615" s="534">
        <v>950000</v>
      </c>
      <c r="U615" s="537"/>
      <c r="V615" s="536">
        <f t="shared" si="55"/>
        <v>0</v>
      </c>
      <c r="W615" s="537"/>
      <c r="X615" s="537">
        <f t="shared" si="57"/>
        <v>0</v>
      </c>
      <c r="Y615" s="535"/>
    </row>
    <row r="616" spans="16:25">
      <c r="Q616" s="531">
        <v>44949</v>
      </c>
      <c r="S616" s="200" t="s">
        <v>434</v>
      </c>
      <c r="T616" s="543"/>
      <c r="U616" s="534">
        <v>150</v>
      </c>
      <c r="V616" s="536"/>
      <c r="W616" s="537"/>
      <c r="X616" s="537"/>
      <c r="Y616" s="535"/>
    </row>
    <row r="617" spans="16:25" ht="15.75">
      <c r="Q617" s="531">
        <v>44949</v>
      </c>
      <c r="S617" s="168" t="s">
        <v>442</v>
      </c>
      <c r="T617" s="346"/>
      <c r="U617" s="534">
        <f>644700.64+644000</f>
        <v>1288700.6400000001</v>
      </c>
      <c r="V617" s="536">
        <f t="shared" si="55"/>
        <v>0</v>
      </c>
      <c r="W617" s="537">
        <f t="shared" si="56"/>
        <v>0</v>
      </c>
      <c r="X617" s="534">
        <f t="shared" si="57"/>
        <v>7732.203840000001</v>
      </c>
      <c r="Y617" s="535"/>
    </row>
    <row r="618" spans="16:25">
      <c r="Q618" s="538">
        <v>44949</v>
      </c>
      <c r="S618" s="539" t="s">
        <v>427</v>
      </c>
      <c r="T618" s="534">
        <v>650000</v>
      </c>
      <c r="U618" s="537"/>
      <c r="V618" s="536">
        <f t="shared" si="55"/>
        <v>0</v>
      </c>
      <c r="W618" s="534">
        <f t="shared" si="56"/>
        <v>3900</v>
      </c>
      <c r="X618" s="534">
        <f t="shared" si="57"/>
        <v>0</v>
      </c>
      <c r="Y618" s="535"/>
    </row>
    <row r="619" spans="16:25">
      <c r="Q619" s="538">
        <v>44949</v>
      </c>
      <c r="S619" s="539" t="s">
        <v>427</v>
      </c>
      <c r="T619" s="534">
        <v>650000</v>
      </c>
      <c r="U619" s="537"/>
      <c r="V619" s="536">
        <f t="shared" si="55"/>
        <v>0</v>
      </c>
      <c r="W619" s="534">
        <f t="shared" si="56"/>
        <v>3900</v>
      </c>
      <c r="X619" s="534">
        <f t="shared" si="57"/>
        <v>0</v>
      </c>
      <c r="Y619" s="535"/>
    </row>
    <row r="620" spans="16:25" ht="15.75">
      <c r="Q620" s="538">
        <v>44949</v>
      </c>
      <c r="S620" s="168" t="s">
        <v>443</v>
      </c>
      <c r="T620" s="346"/>
      <c r="U620" s="534">
        <f>300+63</f>
        <v>363</v>
      </c>
      <c r="V620" s="536">
        <f t="shared" si="55"/>
        <v>0</v>
      </c>
      <c r="W620" s="537">
        <f t="shared" si="56"/>
        <v>0</v>
      </c>
      <c r="X620" s="534">
        <f t="shared" si="57"/>
        <v>2.1779999999999999</v>
      </c>
      <c r="Y620" s="535"/>
    </row>
    <row r="621" spans="16:25">
      <c r="P621" s="531"/>
      <c r="Q621" s="542"/>
      <c r="S621" s="200"/>
      <c r="T621" s="543"/>
      <c r="U621" s="346"/>
      <c r="V621" s="536">
        <f>T621*0%</f>
        <v>0</v>
      </c>
      <c r="W621" s="537">
        <f>T621*0.006</f>
        <v>0</v>
      </c>
      <c r="X621" s="537">
        <f>U621*0.006+V621*0.006</f>
        <v>0</v>
      </c>
      <c r="Y621" s="544"/>
    </row>
  </sheetData>
  <sortState ref="A324:N334">
    <sortCondition ref="A324"/>
  </sortState>
  <mergeCells count="38">
    <mergeCell ref="C300:D300"/>
    <mergeCell ref="E300:F300"/>
    <mergeCell ref="H300:I300"/>
    <mergeCell ref="J300:M300"/>
    <mergeCell ref="C229:D229"/>
    <mergeCell ref="E229:F229"/>
    <mergeCell ref="H229:I229"/>
    <mergeCell ref="J229:M229"/>
    <mergeCell ref="C263:D263"/>
    <mergeCell ref="E263:F263"/>
    <mergeCell ref="H263:I263"/>
    <mergeCell ref="J263:M263"/>
    <mergeCell ref="J142:M142"/>
    <mergeCell ref="C188:D188"/>
    <mergeCell ref="E188:F188"/>
    <mergeCell ref="H188:I188"/>
    <mergeCell ref="J188:M188"/>
    <mergeCell ref="B1:H2"/>
    <mergeCell ref="E3:G3"/>
    <mergeCell ref="C5:D5"/>
    <mergeCell ref="E5:F5"/>
    <mergeCell ref="H5:I5"/>
    <mergeCell ref="C350:D350"/>
    <mergeCell ref="E350:F350"/>
    <mergeCell ref="H350:I350"/>
    <mergeCell ref="J350:M350"/>
    <mergeCell ref="J5:M5"/>
    <mergeCell ref="C45:D45"/>
    <mergeCell ref="E45:F45"/>
    <mergeCell ref="H45:I45"/>
    <mergeCell ref="J45:M45"/>
    <mergeCell ref="C82:D82"/>
    <mergeCell ref="E82:F82"/>
    <mergeCell ref="H82:I82"/>
    <mergeCell ref="J82:M82"/>
    <mergeCell ref="C142:D142"/>
    <mergeCell ref="E142:F142"/>
    <mergeCell ref="H142:I142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05"/>
  <sheetViews>
    <sheetView topLeftCell="A157" workbookViewId="0">
      <selection activeCell="F174" sqref="F174"/>
    </sheetView>
  </sheetViews>
  <sheetFormatPr baseColWidth="10" defaultRowHeight="15"/>
  <cols>
    <col min="3" max="3" width="22.85546875" customWidth="1"/>
    <col min="4" max="4" width="0.85546875" customWidth="1"/>
  </cols>
  <sheetData>
    <row r="4" spans="2:4" ht="79.5" thickBot="1">
      <c r="B4" s="419" t="s">
        <v>258</v>
      </c>
      <c r="C4" s="420" t="s">
        <v>259</v>
      </c>
      <c r="D4" s="420" t="s">
        <v>260</v>
      </c>
    </row>
    <row r="5" spans="2:4" ht="15.75" thickBot="1">
      <c r="B5" s="421">
        <v>44783</v>
      </c>
      <c r="C5" s="422">
        <v>285</v>
      </c>
      <c r="D5" s="422">
        <v>295</v>
      </c>
    </row>
    <row r="6" spans="2:4" ht="15.75" thickBot="1">
      <c r="B6" s="423">
        <v>44782</v>
      </c>
      <c r="C6" s="424">
        <v>283</v>
      </c>
      <c r="D6" s="424">
        <v>293</v>
      </c>
    </row>
    <row r="7" spans="2:4" ht="15.75" thickBot="1">
      <c r="B7" s="421">
        <v>44781</v>
      </c>
      <c r="C7" s="422">
        <v>282</v>
      </c>
      <c r="D7" s="422">
        <v>292</v>
      </c>
    </row>
    <row r="8" spans="2:4" ht="15.75" thickBot="1">
      <c r="B8" s="423">
        <v>44778</v>
      </c>
      <c r="C8" s="424">
        <v>283</v>
      </c>
      <c r="D8" s="424">
        <v>293</v>
      </c>
    </row>
    <row r="9" spans="2:4" ht="15.75" thickBot="1">
      <c r="B9" s="421">
        <v>44777</v>
      </c>
      <c r="C9" s="422">
        <v>281</v>
      </c>
      <c r="D9" s="422">
        <v>291</v>
      </c>
    </row>
    <row r="10" spans="2:4" ht="15.75" thickBot="1">
      <c r="B10" s="423">
        <v>44776</v>
      </c>
      <c r="C10" s="424">
        <v>288</v>
      </c>
      <c r="D10" s="424">
        <v>298</v>
      </c>
    </row>
    <row r="11" spans="2:4" ht="15.75" thickBot="1">
      <c r="B11" s="421">
        <v>44775</v>
      </c>
      <c r="C11" s="422">
        <v>281</v>
      </c>
      <c r="D11" s="422">
        <v>291</v>
      </c>
    </row>
    <row r="12" spans="2:4" ht="15.75" thickBot="1">
      <c r="B12" s="423">
        <v>44774</v>
      </c>
      <c r="C12" s="424">
        <v>272</v>
      </c>
      <c r="D12" s="424">
        <v>282</v>
      </c>
    </row>
    <row r="13" spans="2:4" ht="15.75" thickBot="1">
      <c r="B13" s="421">
        <v>44771</v>
      </c>
      <c r="C13" s="422">
        <v>286</v>
      </c>
      <c r="D13" s="422">
        <v>296</v>
      </c>
    </row>
    <row r="14" spans="2:4" ht="15.75" thickBot="1">
      <c r="B14" s="423">
        <v>44770</v>
      </c>
      <c r="C14" s="424">
        <v>304</v>
      </c>
      <c r="D14" s="424">
        <v>314</v>
      </c>
    </row>
    <row r="15" spans="2:4" ht="15.75" thickBot="1">
      <c r="B15" s="421">
        <v>44769</v>
      </c>
      <c r="C15" s="422">
        <v>316</v>
      </c>
      <c r="D15" s="422">
        <v>326</v>
      </c>
    </row>
    <row r="16" spans="2:4" ht="15.75" thickBot="1">
      <c r="B16" s="423">
        <v>44768</v>
      </c>
      <c r="C16" s="424">
        <v>313</v>
      </c>
      <c r="D16" s="424">
        <v>323</v>
      </c>
    </row>
    <row r="17" spans="2:4" ht="15.75" thickBot="1">
      <c r="B17" s="421">
        <v>44767</v>
      </c>
      <c r="C17" s="422">
        <v>312</v>
      </c>
      <c r="D17" s="422">
        <v>322</v>
      </c>
    </row>
    <row r="18" spans="2:4" ht="15.75" thickBot="1">
      <c r="B18" s="423">
        <v>44764</v>
      </c>
      <c r="C18" s="424">
        <v>328</v>
      </c>
      <c r="D18" s="424">
        <v>338</v>
      </c>
    </row>
    <row r="19" spans="2:4" ht="15.75" thickBot="1">
      <c r="B19" s="421">
        <v>44763</v>
      </c>
      <c r="C19" s="422">
        <v>327</v>
      </c>
      <c r="D19" s="422">
        <v>337</v>
      </c>
    </row>
    <row r="20" spans="2:4" ht="15.75" thickBot="1">
      <c r="B20" s="423">
        <v>44762</v>
      </c>
      <c r="C20" s="424">
        <v>307</v>
      </c>
      <c r="D20" s="424">
        <v>317</v>
      </c>
    </row>
    <row r="21" spans="2:4" ht="15.75" thickBot="1">
      <c r="B21" s="421">
        <v>44761</v>
      </c>
      <c r="C21" s="422">
        <v>291</v>
      </c>
      <c r="D21" s="422">
        <v>301</v>
      </c>
    </row>
    <row r="22" spans="2:4" ht="15.75" thickBot="1">
      <c r="B22" s="423">
        <v>44760</v>
      </c>
      <c r="C22" s="424">
        <v>281</v>
      </c>
      <c r="D22" s="424">
        <v>291</v>
      </c>
    </row>
    <row r="23" spans="2:4" ht="15.75" thickBot="1">
      <c r="B23" s="421">
        <v>44757</v>
      </c>
      <c r="C23" s="422">
        <v>283</v>
      </c>
      <c r="D23" s="422">
        <v>293</v>
      </c>
    </row>
    <row r="24" spans="2:4" ht="15.75" thickBot="1">
      <c r="B24" s="423">
        <v>44756</v>
      </c>
      <c r="C24" s="424">
        <v>279</v>
      </c>
      <c r="D24" s="424">
        <v>289</v>
      </c>
    </row>
    <row r="25" spans="2:4" ht="15.75" thickBot="1">
      <c r="B25" s="421">
        <v>44755</v>
      </c>
      <c r="C25" s="422">
        <v>273</v>
      </c>
      <c r="D25" s="422">
        <v>283</v>
      </c>
    </row>
    <row r="26" spans="2:4" ht="15.75" thickBot="1">
      <c r="B26" s="423">
        <v>44754</v>
      </c>
      <c r="C26" s="424">
        <v>262</v>
      </c>
      <c r="D26" s="424">
        <v>272</v>
      </c>
    </row>
    <row r="27" spans="2:4" ht="15.75" thickBot="1">
      <c r="B27" s="421">
        <v>44753</v>
      </c>
      <c r="C27" s="422">
        <v>258</v>
      </c>
      <c r="D27" s="422">
        <v>268</v>
      </c>
    </row>
    <row r="28" spans="2:4" ht="15.75" thickBot="1">
      <c r="B28" s="423">
        <v>44750</v>
      </c>
      <c r="C28" s="424">
        <v>263</v>
      </c>
      <c r="D28" s="424">
        <v>273</v>
      </c>
    </row>
    <row r="29" spans="2:4" ht="15.75" thickBot="1">
      <c r="B29" s="421">
        <v>44749</v>
      </c>
      <c r="C29" s="422">
        <v>247</v>
      </c>
      <c r="D29" s="422">
        <v>257</v>
      </c>
    </row>
    <row r="30" spans="2:4" ht="15.75" thickBot="1">
      <c r="B30" s="423">
        <v>44748</v>
      </c>
      <c r="C30" s="424">
        <v>245</v>
      </c>
      <c r="D30" s="424">
        <v>255</v>
      </c>
    </row>
    <row r="31" spans="2:4" ht="15.75" thickBot="1">
      <c r="B31" s="421">
        <v>44747</v>
      </c>
      <c r="C31" s="422">
        <v>242</v>
      </c>
      <c r="D31" s="422">
        <v>252</v>
      </c>
    </row>
    <row r="32" spans="2:4" ht="15.75" thickBot="1">
      <c r="B32" s="423">
        <v>44746</v>
      </c>
      <c r="C32" s="424">
        <v>250</v>
      </c>
      <c r="D32" s="424">
        <v>260</v>
      </c>
    </row>
    <row r="33" spans="2:4" ht="15.75" thickBot="1">
      <c r="B33" s="421">
        <v>44743</v>
      </c>
      <c r="C33" s="422">
        <v>235</v>
      </c>
      <c r="D33" s="422">
        <v>239</v>
      </c>
    </row>
    <row r="34" spans="2:4" ht="15.75" thickBot="1">
      <c r="B34" s="423">
        <v>44742</v>
      </c>
      <c r="C34" s="424">
        <v>234</v>
      </c>
      <c r="D34" s="424">
        <v>238</v>
      </c>
    </row>
    <row r="35" spans="2:4" ht="15.75" thickBot="1">
      <c r="B35" s="421">
        <v>44741</v>
      </c>
      <c r="C35" s="422">
        <v>235</v>
      </c>
      <c r="D35" s="422">
        <v>239</v>
      </c>
    </row>
    <row r="36" spans="2:4" ht="15.75" thickBot="1">
      <c r="B36" s="423">
        <v>44740</v>
      </c>
      <c r="C36" s="424">
        <v>235</v>
      </c>
      <c r="D36" s="424">
        <v>239</v>
      </c>
    </row>
    <row r="37" spans="2:4" ht="15.75" thickBot="1">
      <c r="B37" s="421">
        <v>44739</v>
      </c>
      <c r="C37" s="422">
        <v>228</v>
      </c>
      <c r="D37" s="422">
        <v>232</v>
      </c>
    </row>
    <row r="38" spans="2:4" ht="15.75" thickBot="1">
      <c r="B38" s="423">
        <v>44736</v>
      </c>
      <c r="C38" s="424">
        <v>222</v>
      </c>
      <c r="D38" s="424">
        <v>226</v>
      </c>
    </row>
    <row r="39" spans="2:4" ht="15.75" thickBot="1">
      <c r="B39" s="421">
        <v>44735</v>
      </c>
      <c r="C39" s="422">
        <v>220</v>
      </c>
      <c r="D39" s="422">
        <v>224</v>
      </c>
    </row>
    <row r="40" spans="2:4" ht="15.75" thickBot="1">
      <c r="B40" s="423">
        <v>44734</v>
      </c>
      <c r="C40" s="424">
        <v>220</v>
      </c>
      <c r="D40" s="424">
        <v>224</v>
      </c>
    </row>
    <row r="41" spans="2:4" ht="15.75" thickBot="1">
      <c r="B41" s="421">
        <v>44733</v>
      </c>
      <c r="C41" s="422">
        <v>216</v>
      </c>
      <c r="D41" s="422">
        <v>220</v>
      </c>
    </row>
    <row r="42" spans="2:4" ht="15.75" thickBot="1">
      <c r="B42" s="423">
        <v>44728</v>
      </c>
      <c r="C42" s="424">
        <v>212</v>
      </c>
      <c r="D42" s="424">
        <v>216</v>
      </c>
    </row>
    <row r="43" spans="2:4" ht="15.75" thickBot="1">
      <c r="B43" s="421">
        <v>44727</v>
      </c>
      <c r="C43" s="422">
        <v>213</v>
      </c>
      <c r="D43" s="422">
        <v>217</v>
      </c>
    </row>
    <row r="44" spans="2:4" ht="15.75" thickBot="1">
      <c r="B44" s="423">
        <v>44726</v>
      </c>
      <c r="C44" s="424">
        <v>220</v>
      </c>
      <c r="D44" s="424">
        <v>224</v>
      </c>
    </row>
    <row r="45" spans="2:4" ht="15.75" thickBot="1">
      <c r="B45" s="421">
        <v>44725</v>
      </c>
      <c r="C45" s="422">
        <v>212</v>
      </c>
      <c r="D45" s="422">
        <v>216</v>
      </c>
    </row>
    <row r="46" spans="2:4" ht="15.75" thickBot="1">
      <c r="B46" s="423">
        <v>44722</v>
      </c>
      <c r="C46" s="424">
        <v>206</v>
      </c>
      <c r="D46" s="424">
        <v>210</v>
      </c>
    </row>
    <row r="47" spans="2:4" ht="15.75" thickBot="1">
      <c r="B47" s="421">
        <v>44721</v>
      </c>
      <c r="C47" s="422">
        <v>204</v>
      </c>
      <c r="D47" s="422">
        <v>208</v>
      </c>
    </row>
    <row r="48" spans="2:4" ht="15.75" thickBot="1">
      <c r="B48" s="423">
        <v>44720</v>
      </c>
      <c r="C48" s="424">
        <v>204</v>
      </c>
      <c r="D48" s="424">
        <v>208</v>
      </c>
    </row>
    <row r="49" spans="2:4" ht="15.75" thickBot="1">
      <c r="B49" s="421">
        <v>44719</v>
      </c>
      <c r="C49" s="422">
        <v>202</v>
      </c>
      <c r="D49" s="422">
        <v>206</v>
      </c>
    </row>
    <row r="50" spans="2:4" ht="15.75" thickBot="1">
      <c r="B50" s="423">
        <v>44718</v>
      </c>
      <c r="C50" s="424">
        <v>201</v>
      </c>
      <c r="D50" s="424">
        <v>205</v>
      </c>
    </row>
    <row r="51" spans="2:4" ht="15.75" thickBot="1">
      <c r="B51" s="421">
        <v>44715</v>
      </c>
      <c r="C51" s="422">
        <v>201</v>
      </c>
      <c r="D51" s="422">
        <v>205</v>
      </c>
    </row>
    <row r="52" spans="2:4" ht="15.75" thickBot="1">
      <c r="B52" s="423">
        <v>44714</v>
      </c>
      <c r="C52" s="424">
        <v>202</v>
      </c>
      <c r="D52" s="424">
        <v>206</v>
      </c>
    </row>
    <row r="53" spans="2:4" ht="15.75" thickBot="1">
      <c r="B53" s="421">
        <v>44713</v>
      </c>
      <c r="C53" s="422">
        <v>202</v>
      </c>
      <c r="D53" s="422">
        <v>206</v>
      </c>
    </row>
    <row r="54" spans="2:4" ht="15.75" thickBot="1">
      <c r="B54" s="423">
        <v>44712</v>
      </c>
      <c r="C54" s="424">
        <v>201</v>
      </c>
      <c r="D54" s="424">
        <v>206</v>
      </c>
    </row>
    <row r="55" spans="2:4" ht="15.75" thickBot="1">
      <c r="B55" s="421">
        <v>44711</v>
      </c>
      <c r="C55" s="422">
        <v>202.5</v>
      </c>
      <c r="D55" s="422">
        <v>206.5</v>
      </c>
    </row>
    <row r="56" spans="2:4" ht="15.75" thickBot="1">
      <c r="B56" s="423">
        <v>44708</v>
      </c>
      <c r="C56" s="424">
        <v>202.5</v>
      </c>
      <c r="D56" s="424">
        <v>206.5</v>
      </c>
    </row>
    <row r="57" spans="2:4" ht="15.75" thickBot="1">
      <c r="B57" s="421">
        <v>44707</v>
      </c>
      <c r="C57" s="422">
        <v>203</v>
      </c>
      <c r="D57" s="422">
        <v>207</v>
      </c>
    </row>
    <row r="58" spans="2:4" ht="15.75" thickBot="1">
      <c r="B58" s="423">
        <v>44705</v>
      </c>
      <c r="C58" s="424">
        <v>204</v>
      </c>
      <c r="D58" s="424">
        <v>208</v>
      </c>
    </row>
    <row r="59" spans="2:4" ht="15.75" thickBot="1">
      <c r="B59" s="421">
        <v>44704</v>
      </c>
      <c r="C59" s="422">
        <v>202.5</v>
      </c>
      <c r="D59" s="422">
        <v>206.5</v>
      </c>
    </row>
    <row r="60" spans="2:4" ht="15.75" thickBot="1">
      <c r="B60" s="423">
        <v>44701</v>
      </c>
      <c r="C60" s="424">
        <v>201</v>
      </c>
      <c r="D60" s="424">
        <v>204</v>
      </c>
    </row>
    <row r="61" spans="2:4" ht="15.75" thickBot="1">
      <c r="B61" s="421">
        <v>44700</v>
      </c>
      <c r="C61" s="422">
        <v>202</v>
      </c>
      <c r="D61" s="422">
        <v>206</v>
      </c>
    </row>
    <row r="62" spans="2:4" ht="15.75" thickBot="1">
      <c r="B62" s="423">
        <v>44698</v>
      </c>
      <c r="C62" s="424">
        <v>204</v>
      </c>
      <c r="D62" s="424">
        <v>208</v>
      </c>
    </row>
    <row r="63" spans="2:4" ht="15.75" thickBot="1">
      <c r="B63" s="421">
        <v>44697</v>
      </c>
      <c r="C63" s="422">
        <v>201</v>
      </c>
      <c r="D63" s="422">
        <v>205</v>
      </c>
    </row>
    <row r="64" spans="2:4" ht="15.75" thickBot="1">
      <c r="B64" s="423">
        <v>44694</v>
      </c>
      <c r="C64" s="424">
        <v>199.5</v>
      </c>
      <c r="D64" s="424">
        <v>203.5</v>
      </c>
    </row>
    <row r="65" spans="2:4" ht="15.75" thickBot="1">
      <c r="B65" s="421">
        <v>44693</v>
      </c>
      <c r="C65" s="422">
        <v>199.5</v>
      </c>
      <c r="D65" s="422">
        <v>203.5</v>
      </c>
    </row>
    <row r="66" spans="2:4" ht="15.75" thickBot="1">
      <c r="B66" s="423">
        <v>44692</v>
      </c>
      <c r="C66" s="424">
        <v>201</v>
      </c>
      <c r="D66" s="424">
        <v>205</v>
      </c>
    </row>
    <row r="67" spans="2:4" ht="15.75" thickBot="1">
      <c r="B67" s="421">
        <v>44691</v>
      </c>
      <c r="C67" s="422">
        <v>198</v>
      </c>
      <c r="D67" s="422">
        <v>202</v>
      </c>
    </row>
    <row r="68" spans="2:4" ht="15.75" thickBot="1">
      <c r="B68" s="423">
        <v>44690</v>
      </c>
      <c r="C68" s="424">
        <v>197.5</v>
      </c>
      <c r="D68" s="424">
        <v>201.5</v>
      </c>
    </row>
    <row r="69" spans="2:4" ht="15.75" thickBot="1">
      <c r="B69" s="421">
        <v>44687</v>
      </c>
      <c r="C69" s="422">
        <v>197</v>
      </c>
      <c r="D69" s="422">
        <v>201</v>
      </c>
    </row>
    <row r="70" spans="2:4" ht="15.75" thickBot="1">
      <c r="B70" s="423">
        <v>44686</v>
      </c>
      <c r="C70" s="424">
        <v>197.5</v>
      </c>
      <c r="D70" s="424">
        <v>201.5</v>
      </c>
    </row>
    <row r="71" spans="2:4" ht="15.75" thickBot="1">
      <c r="B71" s="421">
        <v>44685</v>
      </c>
      <c r="C71" s="422">
        <v>197</v>
      </c>
      <c r="D71" s="422">
        <v>201</v>
      </c>
    </row>
    <row r="72" spans="2:4" ht="15.75" thickBot="1">
      <c r="B72" s="423">
        <v>44684</v>
      </c>
      <c r="C72" s="424">
        <v>199.5</v>
      </c>
      <c r="D72" s="424">
        <v>203.5</v>
      </c>
    </row>
    <row r="73" spans="2:4" ht="15.75" thickBot="1">
      <c r="B73" s="421">
        <v>44683</v>
      </c>
      <c r="C73" s="422">
        <v>197</v>
      </c>
      <c r="D73" s="422">
        <v>201</v>
      </c>
    </row>
    <row r="74" spans="2:4" ht="15.75" thickBot="1">
      <c r="B74" s="423">
        <v>44680</v>
      </c>
      <c r="C74" s="424">
        <v>196.5</v>
      </c>
      <c r="D74" s="424">
        <v>200.5</v>
      </c>
    </row>
    <row r="75" spans="2:4" ht="15.75" thickBot="1">
      <c r="B75" s="421">
        <v>44679</v>
      </c>
      <c r="C75" s="422">
        <v>200</v>
      </c>
      <c r="D75" s="422">
        <v>204</v>
      </c>
    </row>
    <row r="76" spans="2:4" ht="15.75" thickBot="1">
      <c r="B76" s="423">
        <v>44678</v>
      </c>
      <c r="C76" s="424">
        <v>202.5</v>
      </c>
      <c r="D76" s="424">
        <v>206.5</v>
      </c>
    </row>
    <row r="77" spans="2:4" ht="15.75" thickBot="1">
      <c r="B77" s="421">
        <v>44677</v>
      </c>
      <c r="C77" s="422">
        <v>208.5</v>
      </c>
      <c r="D77" s="422">
        <v>212.5</v>
      </c>
    </row>
    <row r="78" spans="2:4" ht="15.75" thickBot="1">
      <c r="B78" s="423">
        <v>44676</v>
      </c>
      <c r="C78" s="424">
        <v>201.5</v>
      </c>
      <c r="D78" s="424">
        <v>205.5</v>
      </c>
    </row>
    <row r="79" spans="2:4" ht="15.75" thickBot="1">
      <c r="B79" s="421">
        <v>44673</v>
      </c>
      <c r="C79" s="422">
        <v>199</v>
      </c>
      <c r="D79" s="422">
        <v>203</v>
      </c>
    </row>
    <row r="80" spans="2:4" ht="15.75" thickBot="1">
      <c r="B80" s="423">
        <v>44672</v>
      </c>
      <c r="C80" s="424">
        <v>198</v>
      </c>
      <c r="D80" s="424">
        <v>202</v>
      </c>
    </row>
    <row r="81" spans="2:4" ht="15.75" thickBot="1">
      <c r="B81" s="421">
        <v>44671</v>
      </c>
      <c r="C81" s="422">
        <v>195.5</v>
      </c>
      <c r="D81" s="422">
        <v>199.5</v>
      </c>
    </row>
    <row r="82" spans="2:4" ht="15.75" thickBot="1">
      <c r="B82" s="423">
        <v>44670</v>
      </c>
      <c r="C82" s="424">
        <v>194</v>
      </c>
      <c r="D82" s="424">
        <v>198</v>
      </c>
    </row>
    <row r="83" spans="2:4" ht="15.75" thickBot="1">
      <c r="B83" s="421">
        <v>44669</v>
      </c>
      <c r="C83" s="422">
        <v>191</v>
      </c>
      <c r="D83" s="422">
        <v>195</v>
      </c>
    </row>
    <row r="84" spans="2:4" ht="15.75" thickBot="1">
      <c r="B84" s="423">
        <v>44664</v>
      </c>
      <c r="C84" s="424">
        <v>191</v>
      </c>
      <c r="D84" s="424">
        <v>195</v>
      </c>
    </row>
    <row r="85" spans="2:4" ht="15.75" thickBot="1">
      <c r="B85" s="421">
        <v>44663</v>
      </c>
      <c r="C85" s="422">
        <v>191</v>
      </c>
      <c r="D85" s="422">
        <v>195</v>
      </c>
    </row>
    <row r="86" spans="2:4" ht="15.75" thickBot="1">
      <c r="B86" s="423">
        <v>44662</v>
      </c>
      <c r="C86" s="424">
        <v>191</v>
      </c>
      <c r="D86" s="424">
        <v>195</v>
      </c>
    </row>
    <row r="87" spans="2:4" ht="15.75" thickBot="1">
      <c r="B87" s="421">
        <v>44659</v>
      </c>
      <c r="C87" s="422">
        <v>192.5</v>
      </c>
      <c r="D87" s="422">
        <v>196.5</v>
      </c>
    </row>
    <row r="88" spans="2:4" ht="15.75" thickBot="1">
      <c r="B88" s="423">
        <v>44658</v>
      </c>
      <c r="C88" s="424">
        <v>192</v>
      </c>
      <c r="D88" s="424">
        <v>196</v>
      </c>
    </row>
    <row r="89" spans="2:4" ht="15.75" thickBot="1">
      <c r="B89" s="421">
        <v>44657</v>
      </c>
      <c r="C89" s="422">
        <v>192</v>
      </c>
      <c r="D89" s="422">
        <v>196</v>
      </c>
    </row>
    <row r="90" spans="2:4" ht="15.75" thickBot="1">
      <c r="B90" s="423">
        <v>44656</v>
      </c>
      <c r="C90" s="424">
        <v>192</v>
      </c>
      <c r="D90" s="424">
        <v>196</v>
      </c>
    </row>
    <row r="91" spans="2:4" ht="15.75" thickBot="1">
      <c r="B91" s="421">
        <v>44655</v>
      </c>
      <c r="C91" s="422">
        <v>195</v>
      </c>
      <c r="D91" s="422">
        <v>199</v>
      </c>
    </row>
    <row r="92" spans="2:4" ht="15.75" thickBot="1">
      <c r="B92" s="423">
        <v>44652</v>
      </c>
      <c r="C92" s="424">
        <v>196</v>
      </c>
      <c r="D92" s="424">
        <v>200</v>
      </c>
    </row>
    <row r="93" spans="2:4" ht="15.75" thickBot="1">
      <c r="B93" s="421">
        <v>44651</v>
      </c>
      <c r="C93" s="422">
        <v>196</v>
      </c>
      <c r="D93" s="422">
        <v>200</v>
      </c>
    </row>
    <row r="94" spans="2:4" ht="15.75" thickBot="1">
      <c r="B94" s="423">
        <v>44650</v>
      </c>
      <c r="C94" s="424">
        <v>197</v>
      </c>
      <c r="D94" s="424">
        <v>201</v>
      </c>
    </row>
    <row r="95" spans="2:4" ht="15.75" thickBot="1">
      <c r="B95" s="421">
        <v>44649</v>
      </c>
      <c r="C95" s="422">
        <v>196</v>
      </c>
      <c r="D95" s="422">
        <v>200</v>
      </c>
    </row>
    <row r="96" spans="2:4" ht="15.75" thickBot="1">
      <c r="B96" s="423">
        <v>44648</v>
      </c>
      <c r="C96" s="424">
        <v>196</v>
      </c>
      <c r="D96" s="424">
        <v>200</v>
      </c>
    </row>
    <row r="97" spans="2:4" ht="15.75" thickBot="1">
      <c r="B97" s="421">
        <v>44645</v>
      </c>
      <c r="C97" s="422">
        <v>198</v>
      </c>
      <c r="D97" s="422">
        <v>202</v>
      </c>
    </row>
    <row r="98" spans="2:4" ht="15.75" thickBot="1">
      <c r="B98" s="423">
        <v>44643</v>
      </c>
      <c r="C98" s="424">
        <v>197</v>
      </c>
      <c r="D98" s="424">
        <v>201</v>
      </c>
    </row>
    <row r="99" spans="2:4" ht="15.75" thickBot="1">
      <c r="B99" s="421">
        <v>44642</v>
      </c>
      <c r="C99" s="422">
        <v>197</v>
      </c>
      <c r="D99" s="422">
        <v>201</v>
      </c>
    </row>
    <row r="100" spans="2:4" ht="15.75" thickBot="1">
      <c r="B100" s="423">
        <v>44641</v>
      </c>
      <c r="C100" s="424">
        <v>198</v>
      </c>
      <c r="D100" s="424">
        <v>202</v>
      </c>
    </row>
    <row r="101" spans="2:4" ht="15.75" thickBot="1">
      <c r="B101" s="421">
        <v>44638</v>
      </c>
      <c r="C101" s="422">
        <v>198.5</v>
      </c>
      <c r="D101" s="422">
        <v>202.5</v>
      </c>
    </row>
    <row r="102" spans="2:4" ht="15.75" thickBot="1">
      <c r="B102" s="423">
        <v>44637</v>
      </c>
      <c r="C102" s="424">
        <v>198</v>
      </c>
      <c r="D102" s="424">
        <v>202</v>
      </c>
    </row>
    <row r="103" spans="2:4" ht="15.75" thickBot="1">
      <c r="B103" s="421">
        <v>44636</v>
      </c>
      <c r="C103" s="422">
        <v>198</v>
      </c>
      <c r="D103" s="422">
        <v>202</v>
      </c>
    </row>
    <row r="104" spans="2:4" ht="15.75" thickBot="1">
      <c r="B104" s="423">
        <v>44635</v>
      </c>
      <c r="C104" s="424">
        <v>196</v>
      </c>
      <c r="D104" s="424">
        <v>200</v>
      </c>
    </row>
    <row r="105" spans="2:4" ht="15.75" thickBot="1">
      <c r="B105" s="421">
        <v>44634</v>
      </c>
      <c r="C105" s="422">
        <v>196</v>
      </c>
      <c r="D105" s="422">
        <v>200</v>
      </c>
    </row>
    <row r="106" spans="2:4" ht="15.75" thickBot="1">
      <c r="B106" s="423">
        <v>44631</v>
      </c>
      <c r="C106" s="424">
        <v>198</v>
      </c>
      <c r="D106" s="424">
        <v>202</v>
      </c>
    </row>
    <row r="107" spans="2:4" ht="15.75" thickBot="1">
      <c r="B107" s="421">
        <v>44630</v>
      </c>
      <c r="C107" s="422">
        <v>199</v>
      </c>
      <c r="D107" s="422">
        <v>203</v>
      </c>
    </row>
    <row r="108" spans="2:4" ht="15.75" thickBot="1">
      <c r="B108" s="423">
        <v>44629</v>
      </c>
      <c r="C108" s="424">
        <v>200.5</v>
      </c>
      <c r="D108" s="424">
        <v>204.5</v>
      </c>
    </row>
    <row r="109" spans="2:4" ht="15.75" thickBot="1">
      <c r="B109" s="421">
        <v>44628</v>
      </c>
      <c r="C109" s="422">
        <v>198</v>
      </c>
      <c r="D109" s="422">
        <v>202</v>
      </c>
    </row>
    <row r="110" spans="2:4" ht="15.75" thickBot="1">
      <c r="B110" s="423">
        <v>44627</v>
      </c>
      <c r="C110" s="424">
        <v>197</v>
      </c>
      <c r="D110" s="424">
        <v>201</v>
      </c>
    </row>
    <row r="111" spans="2:4" ht="15.75" thickBot="1">
      <c r="B111" s="421">
        <v>44627</v>
      </c>
      <c r="C111" s="422">
        <v>197</v>
      </c>
      <c r="D111" s="422">
        <v>201</v>
      </c>
    </row>
    <row r="112" spans="2:4" ht="15.75" thickBot="1">
      <c r="B112" s="423">
        <v>44627</v>
      </c>
      <c r="C112" s="424">
        <v>197</v>
      </c>
      <c r="D112" s="424">
        <v>201</v>
      </c>
    </row>
    <row r="113" spans="2:4" ht="15.75" thickBot="1">
      <c r="B113" s="421">
        <v>44627</v>
      </c>
      <c r="C113" s="422">
        <v>197</v>
      </c>
      <c r="D113" s="422">
        <v>201</v>
      </c>
    </row>
    <row r="114" spans="2:4" ht="15.75" thickBot="1">
      <c r="B114" s="423">
        <v>44624</v>
      </c>
      <c r="C114" s="424">
        <v>197</v>
      </c>
      <c r="D114" s="424">
        <v>201</v>
      </c>
    </row>
    <row r="115" spans="2:4" ht="15.75" thickBot="1">
      <c r="B115" s="421">
        <v>44623</v>
      </c>
      <c r="C115" s="422">
        <v>200</v>
      </c>
      <c r="D115" s="422">
        <v>204</v>
      </c>
    </row>
    <row r="116" spans="2:4" ht="15.75" thickBot="1">
      <c r="B116" s="423">
        <v>44622</v>
      </c>
      <c r="C116" s="424">
        <v>202</v>
      </c>
      <c r="D116" s="424">
        <v>206</v>
      </c>
    </row>
    <row r="117" spans="2:4" ht="15.75" thickBot="1">
      <c r="B117" s="421">
        <v>44617</v>
      </c>
      <c r="C117" s="422">
        <v>207</v>
      </c>
      <c r="D117" s="422">
        <v>211</v>
      </c>
    </row>
    <row r="118" spans="2:4" ht="15.75" thickBot="1">
      <c r="B118" s="423">
        <v>44616</v>
      </c>
      <c r="C118" s="424">
        <v>206.5</v>
      </c>
      <c r="D118" s="424">
        <v>210.5</v>
      </c>
    </row>
    <row r="119" spans="2:4" ht="15.75" thickBot="1">
      <c r="B119" s="421">
        <v>44615</v>
      </c>
      <c r="C119" s="422">
        <v>206</v>
      </c>
      <c r="D119" s="422">
        <v>210</v>
      </c>
    </row>
    <row r="120" spans="2:4" ht="15.75" thickBot="1">
      <c r="B120" s="423">
        <v>44614</v>
      </c>
      <c r="C120" s="424">
        <v>206</v>
      </c>
      <c r="D120" s="424">
        <v>210</v>
      </c>
    </row>
    <row r="121" spans="2:4" ht="15.75" thickBot="1">
      <c r="B121" s="421">
        <v>44613</v>
      </c>
      <c r="C121" s="422">
        <v>207.5</v>
      </c>
      <c r="D121" s="422">
        <v>211.5</v>
      </c>
    </row>
    <row r="122" spans="2:4" ht="15.75" thickBot="1">
      <c r="B122" s="423">
        <v>44610</v>
      </c>
      <c r="C122" s="424">
        <v>207</v>
      </c>
      <c r="D122" s="424">
        <v>211</v>
      </c>
    </row>
    <row r="123" spans="2:4" ht="15.75" thickBot="1">
      <c r="B123" s="421">
        <v>44609</v>
      </c>
      <c r="C123" s="422">
        <v>210</v>
      </c>
      <c r="D123" s="422">
        <v>214</v>
      </c>
    </row>
    <row r="124" spans="2:4" ht="15.75" thickBot="1">
      <c r="B124" s="423">
        <v>44608</v>
      </c>
      <c r="C124" s="424">
        <v>211</v>
      </c>
      <c r="D124" s="424">
        <v>215</v>
      </c>
    </row>
    <row r="125" spans="2:4" ht="15.75" thickBot="1">
      <c r="B125" s="421">
        <v>44607</v>
      </c>
      <c r="C125" s="422">
        <v>211</v>
      </c>
      <c r="D125" s="422">
        <v>215</v>
      </c>
    </row>
    <row r="126" spans="2:4" ht="15.75" thickBot="1">
      <c r="B126" s="423">
        <v>44606</v>
      </c>
      <c r="C126" s="424">
        <v>211</v>
      </c>
      <c r="D126" s="424">
        <v>215</v>
      </c>
    </row>
    <row r="127" spans="2:4" ht="15.75" thickBot="1">
      <c r="B127" s="421">
        <v>44603</v>
      </c>
      <c r="C127" s="422">
        <v>210.5</v>
      </c>
      <c r="D127" s="422">
        <v>215.5</v>
      </c>
    </row>
    <row r="128" spans="2:4" ht="15.75" thickBot="1">
      <c r="B128" s="423">
        <v>44602</v>
      </c>
      <c r="C128" s="424">
        <v>211.5</v>
      </c>
      <c r="D128" s="424">
        <v>215.5</v>
      </c>
    </row>
    <row r="129" spans="2:4" ht="15.75" thickBot="1">
      <c r="B129" s="421">
        <v>44601</v>
      </c>
      <c r="C129" s="422">
        <v>213</v>
      </c>
      <c r="D129" s="422">
        <v>217</v>
      </c>
    </row>
    <row r="130" spans="2:4" ht="15.75" thickBot="1">
      <c r="B130" s="423">
        <v>44600</v>
      </c>
      <c r="C130" s="424">
        <v>211</v>
      </c>
      <c r="D130" s="424">
        <v>215</v>
      </c>
    </row>
    <row r="131" spans="2:4" ht="15.75" thickBot="1">
      <c r="B131" s="421">
        <v>44599</v>
      </c>
      <c r="C131" s="422">
        <v>210</v>
      </c>
      <c r="D131" s="422">
        <v>214</v>
      </c>
    </row>
    <row r="132" spans="2:4" ht="15.75" thickBot="1">
      <c r="B132" s="423">
        <v>44596</v>
      </c>
      <c r="C132" s="424">
        <v>210</v>
      </c>
      <c r="D132" s="424">
        <v>214</v>
      </c>
    </row>
    <row r="133" spans="2:4" ht="15.75" thickBot="1">
      <c r="B133" s="421">
        <v>44595</v>
      </c>
      <c r="C133" s="422">
        <v>212</v>
      </c>
      <c r="D133" s="422">
        <v>216</v>
      </c>
    </row>
    <row r="134" spans="2:4" ht="15.75" thickBot="1">
      <c r="B134" s="423">
        <v>44594</v>
      </c>
      <c r="C134" s="424">
        <v>212.5</v>
      </c>
      <c r="D134" s="424">
        <v>216.5</v>
      </c>
    </row>
    <row r="135" spans="2:4" ht="15.75" thickBot="1">
      <c r="B135" s="421">
        <v>44593</v>
      </c>
      <c r="C135" s="422">
        <v>210</v>
      </c>
      <c r="D135" s="422">
        <v>214</v>
      </c>
    </row>
    <row r="136" spans="2:4" ht="15.75" thickBot="1">
      <c r="B136" s="423">
        <v>44592</v>
      </c>
      <c r="C136" s="424">
        <v>209</v>
      </c>
      <c r="D136" s="424">
        <v>213</v>
      </c>
    </row>
    <row r="137" spans="2:4" ht="15.75" thickBot="1">
      <c r="B137" s="421">
        <v>44589</v>
      </c>
      <c r="C137" s="422">
        <v>208.5</v>
      </c>
      <c r="D137" s="422">
        <v>212.5</v>
      </c>
    </row>
    <row r="138" spans="2:4" ht="15.75" thickBot="1">
      <c r="B138" s="423">
        <v>44588</v>
      </c>
      <c r="C138" s="424">
        <v>218.5</v>
      </c>
      <c r="D138" s="424">
        <v>222.5</v>
      </c>
    </row>
    <row r="139" spans="2:4" ht="15.75" thickBot="1">
      <c r="B139" s="421">
        <v>44587</v>
      </c>
      <c r="C139" s="422">
        <v>217</v>
      </c>
      <c r="D139" s="422">
        <v>221</v>
      </c>
    </row>
    <row r="140" spans="2:4" ht="15.75" thickBot="1">
      <c r="B140" s="423">
        <v>44586</v>
      </c>
      <c r="C140" s="424">
        <v>215.5</v>
      </c>
      <c r="D140" s="424">
        <v>219.5</v>
      </c>
    </row>
    <row r="141" spans="2:4" ht="15.75" thickBot="1">
      <c r="B141" s="421">
        <v>44585</v>
      </c>
      <c r="C141" s="422">
        <v>215</v>
      </c>
      <c r="D141" s="422">
        <v>219</v>
      </c>
    </row>
    <row r="142" spans="2:4" ht="15.75" thickBot="1">
      <c r="B142" s="423">
        <v>44582</v>
      </c>
      <c r="C142" s="424">
        <v>215</v>
      </c>
      <c r="D142" s="424">
        <v>219</v>
      </c>
    </row>
    <row r="143" spans="2:4" ht="15.75" thickBot="1">
      <c r="B143" s="421">
        <v>44581</v>
      </c>
      <c r="C143" s="422">
        <v>210</v>
      </c>
      <c r="D143" s="422">
        <v>214</v>
      </c>
    </row>
    <row r="144" spans="2:4" ht="15.75" thickBot="1">
      <c r="B144" s="423">
        <v>44580</v>
      </c>
      <c r="C144" s="424">
        <v>209</v>
      </c>
      <c r="D144" s="424">
        <v>213</v>
      </c>
    </row>
    <row r="145" spans="2:4" ht="15.75" thickBot="1">
      <c r="B145" s="421">
        <v>44579</v>
      </c>
      <c r="C145" s="422">
        <v>207</v>
      </c>
      <c r="D145" s="422">
        <v>211</v>
      </c>
    </row>
    <row r="146" spans="2:4" ht="15.75" thickBot="1">
      <c r="B146" s="423">
        <v>44578</v>
      </c>
      <c r="C146" s="424">
        <v>205</v>
      </c>
      <c r="D146" s="424">
        <v>209</v>
      </c>
    </row>
    <row r="147" spans="2:4" ht="15.75" thickBot="1">
      <c r="B147" s="421">
        <v>44575</v>
      </c>
      <c r="C147" s="422">
        <v>205.5</v>
      </c>
      <c r="D147" s="422">
        <v>209.5</v>
      </c>
    </row>
    <row r="148" spans="2:4" ht="15.75" thickBot="1">
      <c r="B148" s="423">
        <v>44574</v>
      </c>
      <c r="C148" s="424">
        <v>205.5</v>
      </c>
      <c r="D148" s="424">
        <v>209.5</v>
      </c>
    </row>
    <row r="149" spans="2:4" ht="15.75" thickBot="1">
      <c r="B149" s="421">
        <v>44573</v>
      </c>
      <c r="C149" s="422">
        <v>204.5</v>
      </c>
      <c r="D149" s="422">
        <v>208.5</v>
      </c>
    </row>
    <row r="150" spans="2:4" ht="15.75" thickBot="1">
      <c r="B150" s="423">
        <v>44572</v>
      </c>
      <c r="C150" s="424">
        <v>205</v>
      </c>
      <c r="D150" s="424">
        <v>209</v>
      </c>
    </row>
    <row r="151" spans="2:4" ht="15.75" thickBot="1">
      <c r="B151" s="421">
        <v>44571</v>
      </c>
      <c r="C151" s="422">
        <v>202</v>
      </c>
      <c r="D151" s="422">
        <v>206</v>
      </c>
    </row>
    <row r="152" spans="2:4" ht="15.75" thickBot="1">
      <c r="B152" s="423">
        <v>44568</v>
      </c>
      <c r="C152" s="424">
        <v>204</v>
      </c>
      <c r="D152" s="424">
        <v>208</v>
      </c>
    </row>
    <row r="153" spans="2:4" ht="15.75" thickBot="1">
      <c r="B153" s="421">
        <v>44567</v>
      </c>
      <c r="C153" s="422">
        <v>204.5</v>
      </c>
      <c r="D153" s="422">
        <v>208.5</v>
      </c>
    </row>
    <row r="154" spans="2:4" ht="15.75" thickBot="1">
      <c r="B154" s="423">
        <v>44566</v>
      </c>
      <c r="C154" s="424">
        <v>203.5</v>
      </c>
      <c r="D154" s="424">
        <v>207.5</v>
      </c>
    </row>
    <row r="155" spans="2:4" ht="15.75" thickBot="1">
      <c r="B155" s="421">
        <v>44565</v>
      </c>
      <c r="C155" s="422">
        <v>202.5</v>
      </c>
      <c r="D155" s="422">
        <v>206.5</v>
      </c>
    </row>
    <row r="156" spans="2:4">
      <c r="B156" s="423">
        <v>44564</v>
      </c>
      <c r="C156" s="424">
        <v>202</v>
      </c>
      <c r="D156" s="424">
        <v>206</v>
      </c>
    </row>
    <row r="160" spans="2:4" ht="75">
      <c r="B160" s="601" t="s">
        <v>258</v>
      </c>
      <c r="C160" s="601" t="s">
        <v>259</v>
      </c>
      <c r="D160" s="601" t="s">
        <v>260</v>
      </c>
    </row>
    <row r="161" spans="2:4">
      <c r="B161" s="602">
        <v>44774</v>
      </c>
      <c r="C161" s="603">
        <v>272</v>
      </c>
      <c r="D161" s="603">
        <v>282</v>
      </c>
    </row>
    <row r="162" spans="2:4">
      <c r="B162" s="602">
        <v>44775</v>
      </c>
      <c r="C162" s="603">
        <v>281</v>
      </c>
      <c r="D162" s="603">
        <v>291</v>
      </c>
    </row>
    <row r="163" spans="2:4">
      <c r="B163" s="602">
        <v>44776</v>
      </c>
      <c r="C163" s="603">
        <v>288</v>
      </c>
      <c r="D163" s="603">
        <v>298</v>
      </c>
    </row>
    <row r="164" spans="2:4">
      <c r="B164" s="602">
        <v>44777</v>
      </c>
      <c r="C164" s="603">
        <v>281</v>
      </c>
      <c r="D164" s="603">
        <v>291</v>
      </c>
    </row>
    <row r="165" spans="2:4">
      <c r="B165" s="602">
        <v>44778</v>
      </c>
      <c r="C165" s="603">
        <v>283</v>
      </c>
      <c r="D165" s="603">
        <v>293</v>
      </c>
    </row>
    <row r="166" spans="2:4">
      <c r="B166" s="602">
        <v>44781</v>
      </c>
      <c r="C166" s="603">
        <v>282</v>
      </c>
      <c r="D166" s="603">
        <v>292</v>
      </c>
    </row>
    <row r="167" spans="2:4">
      <c r="B167" s="602">
        <v>44782</v>
      </c>
      <c r="C167" s="603">
        <v>283</v>
      </c>
      <c r="D167" s="603">
        <v>293</v>
      </c>
    </row>
    <row r="168" spans="2:4">
      <c r="B168" s="602">
        <v>44783</v>
      </c>
      <c r="C168" s="603">
        <v>285</v>
      </c>
      <c r="D168" s="603">
        <v>295</v>
      </c>
    </row>
    <row r="169" spans="2:4">
      <c r="B169" s="602">
        <v>44784</v>
      </c>
      <c r="C169" s="603">
        <v>287</v>
      </c>
      <c r="D169" s="603">
        <v>297</v>
      </c>
    </row>
    <row r="170" spans="2:4">
      <c r="B170" s="602">
        <v>44785</v>
      </c>
      <c r="C170" s="603">
        <v>285</v>
      </c>
      <c r="D170" s="603">
        <v>295</v>
      </c>
    </row>
    <row r="171" spans="2:4">
      <c r="B171" s="602">
        <v>44789</v>
      </c>
      <c r="C171" s="603">
        <v>286</v>
      </c>
      <c r="D171" s="603">
        <v>291</v>
      </c>
    </row>
    <row r="172" spans="2:4">
      <c r="B172" s="602">
        <v>44790</v>
      </c>
      <c r="C172" s="603">
        <v>287</v>
      </c>
      <c r="D172" s="603">
        <v>292</v>
      </c>
    </row>
    <row r="173" spans="2:4">
      <c r="B173" s="602">
        <v>44791</v>
      </c>
      <c r="C173" s="603">
        <v>288</v>
      </c>
      <c r="D173" s="603">
        <v>293</v>
      </c>
    </row>
    <row r="174" spans="2:4">
      <c r="B174" s="602">
        <v>44792</v>
      </c>
      <c r="C174" s="603">
        <v>290</v>
      </c>
      <c r="D174" s="603">
        <v>295</v>
      </c>
    </row>
    <row r="175" spans="2:4">
      <c r="B175" s="602">
        <v>44795</v>
      </c>
      <c r="C175" s="603">
        <v>287</v>
      </c>
      <c r="D175" s="603">
        <v>292</v>
      </c>
    </row>
    <row r="176" spans="2:4">
      <c r="B176" s="602">
        <v>44796</v>
      </c>
      <c r="C176" s="603">
        <v>292</v>
      </c>
      <c r="D176" s="603">
        <v>297</v>
      </c>
    </row>
    <row r="177" spans="2:4">
      <c r="B177" s="602">
        <v>44797</v>
      </c>
      <c r="C177" s="603">
        <v>290</v>
      </c>
      <c r="D177" s="603">
        <v>295</v>
      </c>
    </row>
    <row r="178" spans="2:4">
      <c r="B178" s="602">
        <v>44798</v>
      </c>
      <c r="C178" s="603">
        <v>288</v>
      </c>
      <c r="D178" s="603">
        <v>293</v>
      </c>
    </row>
    <row r="179" spans="2:4">
      <c r="B179" s="602">
        <v>44799</v>
      </c>
      <c r="C179" s="603">
        <v>288</v>
      </c>
      <c r="D179" s="603">
        <v>292</v>
      </c>
    </row>
    <row r="180" spans="2:4">
      <c r="B180" s="602">
        <v>44802</v>
      </c>
      <c r="C180" s="603">
        <v>287</v>
      </c>
      <c r="D180" s="603">
        <v>292</v>
      </c>
    </row>
    <row r="181" spans="2:4">
      <c r="B181" s="602">
        <v>44803</v>
      </c>
      <c r="C181" s="603">
        <v>286</v>
      </c>
      <c r="D181" s="603">
        <v>291</v>
      </c>
    </row>
    <row r="182" spans="2:4">
      <c r="B182" s="602">
        <v>44804</v>
      </c>
      <c r="C182" s="603">
        <v>285</v>
      </c>
      <c r="D182" s="603">
        <v>290</v>
      </c>
    </row>
    <row r="183" spans="2:4">
      <c r="B183" s="602">
        <v>44805</v>
      </c>
      <c r="C183" s="603">
        <v>280</v>
      </c>
      <c r="D183" s="603">
        <v>285</v>
      </c>
    </row>
    <row r="184" spans="2:4">
      <c r="B184" s="602">
        <v>44806</v>
      </c>
      <c r="C184" s="603">
        <v>280</v>
      </c>
      <c r="D184" s="603">
        <v>285</v>
      </c>
    </row>
    <row r="185" spans="2:4">
      <c r="B185" s="602">
        <v>44809</v>
      </c>
      <c r="C185" s="603">
        <v>266</v>
      </c>
      <c r="D185" s="603">
        <v>270</v>
      </c>
    </row>
    <row r="186" spans="2:4">
      <c r="B186" s="602">
        <v>44810</v>
      </c>
      <c r="C186" s="603">
        <v>272</v>
      </c>
      <c r="D186" s="603">
        <v>276</v>
      </c>
    </row>
    <row r="187" spans="2:4">
      <c r="B187" s="602">
        <v>44811</v>
      </c>
      <c r="C187" s="603">
        <v>280</v>
      </c>
      <c r="D187" s="603">
        <v>284</v>
      </c>
    </row>
    <row r="188" spans="2:4">
      <c r="B188" s="602">
        <v>44812</v>
      </c>
      <c r="C188" s="603">
        <v>276</v>
      </c>
      <c r="D188" s="603">
        <v>280</v>
      </c>
    </row>
    <row r="189" spans="2:4">
      <c r="B189" s="602">
        <v>44813</v>
      </c>
      <c r="C189" s="603">
        <v>270</v>
      </c>
      <c r="D189" s="603">
        <v>274</v>
      </c>
    </row>
    <row r="190" spans="2:4">
      <c r="B190" s="602">
        <v>44816</v>
      </c>
      <c r="C190" s="603">
        <v>268</v>
      </c>
      <c r="D190" s="603">
        <v>272</v>
      </c>
    </row>
    <row r="191" spans="2:4">
      <c r="B191" s="602">
        <v>44817</v>
      </c>
      <c r="C191" s="603">
        <v>269</v>
      </c>
      <c r="D191" s="603">
        <v>273</v>
      </c>
    </row>
    <row r="192" spans="2:4">
      <c r="B192" s="602">
        <v>44818</v>
      </c>
      <c r="C192" s="603">
        <v>273</v>
      </c>
      <c r="D192" s="603">
        <v>277</v>
      </c>
    </row>
    <row r="193" spans="2:4">
      <c r="B193" s="602">
        <v>44819</v>
      </c>
      <c r="C193" s="603">
        <v>272</v>
      </c>
      <c r="D193" s="603">
        <v>276</v>
      </c>
    </row>
    <row r="194" spans="2:4">
      <c r="B194" s="602">
        <v>44820</v>
      </c>
      <c r="C194" s="603">
        <v>273</v>
      </c>
      <c r="D194" s="603">
        <v>277</v>
      </c>
    </row>
    <row r="195" spans="2:4">
      <c r="B195" s="602">
        <v>44823</v>
      </c>
      <c r="C195" s="603">
        <v>273</v>
      </c>
      <c r="D195" s="603">
        <v>277</v>
      </c>
    </row>
    <row r="196" spans="2:4">
      <c r="B196" s="602">
        <v>44824</v>
      </c>
      <c r="C196" s="603">
        <v>283</v>
      </c>
      <c r="D196" s="603">
        <v>287</v>
      </c>
    </row>
    <row r="197" spans="2:4">
      <c r="B197" s="602">
        <v>44825</v>
      </c>
      <c r="C197" s="603">
        <v>283</v>
      </c>
      <c r="D197" s="603">
        <v>287</v>
      </c>
    </row>
    <row r="198" spans="2:4">
      <c r="B198" s="602">
        <v>44826</v>
      </c>
      <c r="C198" s="603">
        <v>281</v>
      </c>
      <c r="D198" s="603">
        <v>285</v>
      </c>
    </row>
    <row r="199" spans="2:4">
      <c r="B199" s="602">
        <v>44826</v>
      </c>
      <c r="C199" s="603">
        <v>283</v>
      </c>
      <c r="D199" s="603">
        <v>287</v>
      </c>
    </row>
    <row r="200" spans="2:4">
      <c r="B200" s="602">
        <v>44827</v>
      </c>
      <c r="C200" s="603">
        <v>283</v>
      </c>
      <c r="D200" s="603">
        <v>287</v>
      </c>
    </row>
    <row r="201" spans="2:4">
      <c r="B201" s="602">
        <v>44830</v>
      </c>
      <c r="C201" s="603">
        <v>282</v>
      </c>
      <c r="D201" s="603">
        <v>286</v>
      </c>
    </row>
    <row r="202" spans="2:4">
      <c r="B202" s="602">
        <v>44831</v>
      </c>
      <c r="C202" s="603">
        <v>286</v>
      </c>
      <c r="D202" s="603">
        <v>290</v>
      </c>
    </row>
    <row r="203" spans="2:4">
      <c r="B203" s="602">
        <v>44832</v>
      </c>
      <c r="C203" s="603">
        <v>286</v>
      </c>
      <c r="D203" s="603">
        <v>290</v>
      </c>
    </row>
    <row r="204" spans="2:4">
      <c r="B204" s="602">
        <v>44833</v>
      </c>
      <c r="C204" s="603">
        <v>284</v>
      </c>
      <c r="D204" s="603">
        <v>288</v>
      </c>
    </row>
    <row r="205" spans="2:4">
      <c r="B205" s="602">
        <v>44834</v>
      </c>
      <c r="C205" s="603">
        <v>284</v>
      </c>
      <c r="D205" s="603">
        <v>288</v>
      </c>
    </row>
    <row r="206" spans="2:4">
      <c r="B206" s="602">
        <v>44837</v>
      </c>
      <c r="C206" s="603">
        <v>280</v>
      </c>
      <c r="D206" s="603">
        <v>284</v>
      </c>
    </row>
    <row r="207" spans="2:4">
      <c r="B207" s="602">
        <v>44838</v>
      </c>
      <c r="C207" s="603">
        <v>278</v>
      </c>
      <c r="D207" s="603">
        <v>282</v>
      </c>
    </row>
    <row r="208" spans="2:4">
      <c r="B208" s="602">
        <v>44839</v>
      </c>
      <c r="C208" s="603">
        <v>278</v>
      </c>
      <c r="D208" s="603">
        <v>282</v>
      </c>
    </row>
    <row r="209" spans="2:4">
      <c r="B209" s="602">
        <v>44840</v>
      </c>
      <c r="C209" s="603">
        <v>273</v>
      </c>
      <c r="D209" s="603">
        <v>277</v>
      </c>
    </row>
    <row r="210" spans="2:4">
      <c r="B210" s="602">
        <v>44845</v>
      </c>
      <c r="C210" s="603">
        <v>276</v>
      </c>
      <c r="D210" s="603">
        <v>280</v>
      </c>
    </row>
    <row r="211" spans="2:4">
      <c r="B211" s="602">
        <v>44846</v>
      </c>
      <c r="C211" s="603">
        <v>285</v>
      </c>
      <c r="D211" s="603">
        <v>289</v>
      </c>
    </row>
    <row r="212" spans="2:4">
      <c r="B212" s="602">
        <v>44847</v>
      </c>
      <c r="C212" s="603">
        <v>287</v>
      </c>
      <c r="D212" s="603">
        <v>291</v>
      </c>
    </row>
    <row r="213" spans="2:4">
      <c r="B213" s="602">
        <v>44848</v>
      </c>
      <c r="C213" s="603">
        <v>286</v>
      </c>
      <c r="D213" s="603">
        <v>290</v>
      </c>
    </row>
    <row r="214" spans="2:4">
      <c r="B214" s="602">
        <v>44851</v>
      </c>
      <c r="C214" s="603">
        <v>283</v>
      </c>
      <c r="D214" s="603">
        <v>287</v>
      </c>
    </row>
    <row r="215" spans="2:4">
      <c r="B215" s="602">
        <v>44852</v>
      </c>
      <c r="C215" s="603">
        <v>286</v>
      </c>
      <c r="D215" s="603">
        <v>290</v>
      </c>
    </row>
    <row r="216" spans="2:4">
      <c r="B216" s="602">
        <v>44853</v>
      </c>
      <c r="C216" s="603">
        <v>288</v>
      </c>
      <c r="D216" s="603">
        <v>292</v>
      </c>
    </row>
    <row r="217" spans="2:4">
      <c r="B217" s="602">
        <v>44854</v>
      </c>
      <c r="C217" s="603">
        <v>287</v>
      </c>
      <c r="D217" s="603">
        <v>291</v>
      </c>
    </row>
    <row r="218" spans="2:4">
      <c r="B218" s="602">
        <v>44855</v>
      </c>
      <c r="C218" s="603">
        <v>287</v>
      </c>
      <c r="D218" s="603">
        <v>291</v>
      </c>
    </row>
    <row r="219" spans="2:4">
      <c r="B219" s="602">
        <v>44858</v>
      </c>
      <c r="C219" s="603">
        <v>287</v>
      </c>
      <c r="D219" s="603">
        <v>291</v>
      </c>
    </row>
    <row r="220" spans="2:4">
      <c r="B220" s="602">
        <v>44859</v>
      </c>
      <c r="C220" s="603">
        <v>289</v>
      </c>
      <c r="D220" s="603">
        <v>293</v>
      </c>
    </row>
    <row r="221" spans="2:4">
      <c r="B221" s="602">
        <v>44860</v>
      </c>
      <c r="C221" s="603">
        <v>288</v>
      </c>
      <c r="D221" s="603">
        <v>292</v>
      </c>
    </row>
    <row r="222" spans="2:4">
      <c r="B222" s="602">
        <v>44861</v>
      </c>
      <c r="C222" s="603">
        <v>287</v>
      </c>
      <c r="D222" s="603">
        <v>291</v>
      </c>
    </row>
    <row r="223" spans="2:4">
      <c r="B223" s="602">
        <v>44862</v>
      </c>
      <c r="C223" s="603">
        <v>288</v>
      </c>
      <c r="D223" s="603">
        <v>292</v>
      </c>
    </row>
    <row r="224" spans="2:4">
      <c r="B224" s="602">
        <v>44865</v>
      </c>
      <c r="C224" s="603">
        <v>286</v>
      </c>
      <c r="D224" s="603">
        <v>290</v>
      </c>
    </row>
    <row r="225" spans="2:4">
      <c r="B225" s="602">
        <v>44866</v>
      </c>
      <c r="C225" s="603">
        <v>286</v>
      </c>
      <c r="D225" s="603">
        <v>290</v>
      </c>
    </row>
    <row r="226" spans="2:4">
      <c r="B226" s="602">
        <v>44867</v>
      </c>
      <c r="C226" s="603">
        <v>287</v>
      </c>
      <c r="D226" s="603">
        <v>291</v>
      </c>
    </row>
    <row r="227" spans="2:4">
      <c r="B227" s="602">
        <v>44868</v>
      </c>
      <c r="C227" s="603">
        <v>283</v>
      </c>
      <c r="D227" s="603">
        <v>287</v>
      </c>
    </row>
    <row r="228" spans="2:4">
      <c r="B228" s="602">
        <v>44869</v>
      </c>
      <c r="C228" s="603">
        <v>285</v>
      </c>
      <c r="D228" s="603">
        <v>289</v>
      </c>
    </row>
    <row r="229" spans="2:4">
      <c r="B229" s="602">
        <v>44872</v>
      </c>
      <c r="C229" s="603">
        <v>286</v>
      </c>
      <c r="D229" s="603">
        <v>290</v>
      </c>
    </row>
    <row r="230" spans="2:4">
      <c r="B230" s="602">
        <v>44873</v>
      </c>
      <c r="C230" s="603">
        <v>287</v>
      </c>
      <c r="D230" s="603">
        <v>291</v>
      </c>
    </row>
    <row r="231" spans="2:4">
      <c r="B231" s="602">
        <v>44874</v>
      </c>
      <c r="C231" s="603">
        <v>288</v>
      </c>
      <c r="D231" s="603">
        <v>292</v>
      </c>
    </row>
    <row r="232" spans="2:4">
      <c r="B232" s="602">
        <v>44875</v>
      </c>
      <c r="C232" s="603">
        <v>288</v>
      </c>
      <c r="D232" s="603">
        <v>292</v>
      </c>
    </row>
    <row r="233" spans="2:4">
      <c r="B233" s="602">
        <v>44876</v>
      </c>
      <c r="C233" s="603">
        <v>289</v>
      </c>
      <c r="D233" s="603">
        <v>293</v>
      </c>
    </row>
    <row r="234" spans="2:4">
      <c r="B234" s="602">
        <v>44879</v>
      </c>
      <c r="C234" s="603">
        <v>290</v>
      </c>
      <c r="D234" s="603">
        <v>294</v>
      </c>
    </row>
    <row r="235" spans="2:4">
      <c r="B235" s="602">
        <v>44880</v>
      </c>
      <c r="C235" s="603">
        <v>298</v>
      </c>
      <c r="D235" s="603">
        <v>302</v>
      </c>
    </row>
    <row r="236" spans="2:4">
      <c r="B236" s="602">
        <v>44881</v>
      </c>
      <c r="C236" s="603">
        <v>304</v>
      </c>
      <c r="D236" s="603">
        <v>308</v>
      </c>
    </row>
    <row r="237" spans="2:4">
      <c r="B237" s="602">
        <v>44882</v>
      </c>
      <c r="C237" s="603">
        <v>303</v>
      </c>
      <c r="D237" s="603">
        <v>307</v>
      </c>
    </row>
    <row r="238" spans="2:4">
      <c r="B238" s="602">
        <v>44883</v>
      </c>
      <c r="C238" s="603">
        <v>302</v>
      </c>
      <c r="D238" s="603">
        <v>306</v>
      </c>
    </row>
    <row r="239" spans="2:4">
      <c r="B239" s="602">
        <v>44883</v>
      </c>
      <c r="C239" s="603">
        <v>303</v>
      </c>
      <c r="D239" s="603">
        <v>307</v>
      </c>
    </row>
    <row r="240" spans="2:4">
      <c r="B240" s="602">
        <v>44883</v>
      </c>
      <c r="C240" s="603">
        <v>303</v>
      </c>
      <c r="D240" s="603">
        <v>307</v>
      </c>
    </row>
    <row r="241" spans="2:4">
      <c r="B241" s="602">
        <v>44887</v>
      </c>
      <c r="C241" s="603">
        <v>304</v>
      </c>
      <c r="D241" s="603">
        <v>308</v>
      </c>
    </row>
    <row r="242" spans="2:4">
      <c r="B242" s="602">
        <v>44888</v>
      </c>
      <c r="C242" s="603">
        <v>308</v>
      </c>
      <c r="D242" s="603">
        <v>312</v>
      </c>
    </row>
    <row r="243" spans="2:4">
      <c r="B243" s="602">
        <v>44889</v>
      </c>
      <c r="C243" s="603">
        <v>315</v>
      </c>
      <c r="D243" s="603">
        <v>319</v>
      </c>
    </row>
    <row r="244" spans="2:4">
      <c r="B244" s="602">
        <v>44890</v>
      </c>
      <c r="C244" s="603">
        <v>316</v>
      </c>
      <c r="D244" s="603">
        <v>320</v>
      </c>
    </row>
    <row r="245" spans="2:4">
      <c r="B245" s="602">
        <v>44893</v>
      </c>
      <c r="C245" s="603">
        <v>314</v>
      </c>
      <c r="D245" s="603">
        <v>318</v>
      </c>
    </row>
    <row r="246" spans="2:4">
      <c r="B246" s="602">
        <v>44894</v>
      </c>
      <c r="C246" s="603">
        <v>311</v>
      </c>
      <c r="D246" s="603">
        <v>315</v>
      </c>
    </row>
    <row r="247" spans="2:4">
      <c r="B247" s="602">
        <v>44895</v>
      </c>
      <c r="C247" s="603">
        <v>310</v>
      </c>
      <c r="D247" s="603">
        <v>314</v>
      </c>
    </row>
    <row r="248" spans="2:4">
      <c r="B248" s="602">
        <v>44896</v>
      </c>
      <c r="C248" s="603">
        <v>309</v>
      </c>
      <c r="D248" s="603">
        <v>313</v>
      </c>
    </row>
    <row r="249" spans="2:4">
      <c r="B249" s="602">
        <v>44897</v>
      </c>
      <c r="C249" s="603">
        <v>308</v>
      </c>
      <c r="D249" s="603">
        <v>312</v>
      </c>
    </row>
    <row r="250" spans="2:4">
      <c r="B250" s="602">
        <v>44900</v>
      </c>
      <c r="C250" s="603">
        <v>308</v>
      </c>
      <c r="D250" s="603">
        <v>312</v>
      </c>
    </row>
    <row r="251" spans="2:4">
      <c r="B251" s="602">
        <v>44901</v>
      </c>
      <c r="C251" s="603">
        <v>311</v>
      </c>
      <c r="D251" s="603">
        <v>315</v>
      </c>
    </row>
    <row r="252" spans="2:4">
      <c r="B252" s="602">
        <v>44902</v>
      </c>
      <c r="C252" s="603">
        <v>312</v>
      </c>
      <c r="D252" s="603">
        <v>316</v>
      </c>
    </row>
    <row r="253" spans="2:4">
      <c r="B253" s="602">
        <v>44907</v>
      </c>
      <c r="C253" s="603">
        <v>308</v>
      </c>
      <c r="D253" s="603">
        <v>312</v>
      </c>
    </row>
    <row r="254" spans="2:4">
      <c r="B254" s="602">
        <v>44908</v>
      </c>
      <c r="C254" s="603">
        <v>311</v>
      </c>
      <c r="D254" s="603">
        <v>315</v>
      </c>
    </row>
    <row r="255" spans="2:4">
      <c r="B255" s="602">
        <v>44909</v>
      </c>
      <c r="C255" s="603">
        <v>316</v>
      </c>
      <c r="D255" s="603">
        <v>320</v>
      </c>
    </row>
    <row r="256" spans="2:4">
      <c r="B256" s="602">
        <v>44910</v>
      </c>
      <c r="C256" s="603">
        <v>316</v>
      </c>
      <c r="D256" s="603">
        <v>320</v>
      </c>
    </row>
    <row r="257" spans="2:4">
      <c r="B257" s="602">
        <v>44911</v>
      </c>
      <c r="C257" s="603">
        <v>317</v>
      </c>
      <c r="D257" s="603">
        <v>321</v>
      </c>
    </row>
    <row r="258" spans="2:4">
      <c r="B258" s="602">
        <v>44914</v>
      </c>
      <c r="C258" s="603">
        <v>321</v>
      </c>
      <c r="D258" s="603">
        <v>325</v>
      </c>
    </row>
    <row r="259" spans="2:4">
      <c r="B259" s="602">
        <v>44915</v>
      </c>
      <c r="C259" s="603">
        <v>322</v>
      </c>
      <c r="D259" s="603">
        <v>326</v>
      </c>
    </row>
    <row r="260" spans="2:4">
      <c r="B260" s="602">
        <v>44916</v>
      </c>
      <c r="C260" s="603">
        <v>321</v>
      </c>
      <c r="D260" s="603">
        <v>325</v>
      </c>
    </row>
    <row r="261" spans="2:4">
      <c r="B261" s="602">
        <v>44917</v>
      </c>
      <c r="C261" s="603">
        <v>326</v>
      </c>
      <c r="D261" s="603">
        <v>330</v>
      </c>
    </row>
    <row r="262" spans="2:4">
      <c r="B262" s="602">
        <v>44918</v>
      </c>
      <c r="C262" s="603">
        <v>336</v>
      </c>
      <c r="D262" s="603">
        <v>340</v>
      </c>
    </row>
    <row r="263" spans="2:4">
      <c r="B263" s="602">
        <v>44921</v>
      </c>
      <c r="C263" s="603">
        <v>342</v>
      </c>
      <c r="D263" s="603">
        <v>346</v>
      </c>
    </row>
    <row r="264" spans="2:4">
      <c r="B264" s="602">
        <v>44922</v>
      </c>
      <c r="C264" s="603">
        <v>352</v>
      </c>
      <c r="D264" s="603">
        <v>356</v>
      </c>
    </row>
    <row r="265" spans="2:4">
      <c r="B265" s="602">
        <v>44923</v>
      </c>
      <c r="C265" s="603">
        <v>353</v>
      </c>
      <c r="D265" s="603">
        <v>357</v>
      </c>
    </row>
    <row r="266" spans="2:4">
      <c r="B266" s="602">
        <v>44924</v>
      </c>
      <c r="C266" s="603">
        <v>346</v>
      </c>
      <c r="D266" s="603">
        <v>350</v>
      </c>
    </row>
    <row r="267" spans="2:4">
      <c r="B267" s="602">
        <v>44925</v>
      </c>
      <c r="C267" s="603">
        <v>342</v>
      </c>
      <c r="D267" s="603">
        <v>346</v>
      </c>
    </row>
    <row r="268" spans="2:4">
      <c r="B268" s="602">
        <v>44928</v>
      </c>
      <c r="C268" s="603">
        <v>342</v>
      </c>
      <c r="D268" s="603">
        <v>346</v>
      </c>
    </row>
    <row r="269" spans="2:4">
      <c r="B269" s="602">
        <v>44929</v>
      </c>
      <c r="C269" s="603">
        <v>350</v>
      </c>
      <c r="D269" s="603">
        <v>354</v>
      </c>
    </row>
    <row r="270" spans="2:4">
      <c r="B270" s="602">
        <v>44930</v>
      </c>
      <c r="C270" s="603">
        <v>350</v>
      </c>
      <c r="D270" s="603">
        <v>354</v>
      </c>
    </row>
    <row r="271" spans="2:4">
      <c r="B271" s="602">
        <v>44931</v>
      </c>
      <c r="C271" s="603">
        <v>349</v>
      </c>
      <c r="D271" s="603">
        <v>353</v>
      </c>
    </row>
    <row r="272" spans="2:4">
      <c r="B272" s="602">
        <v>44932</v>
      </c>
      <c r="C272" s="603">
        <v>350</v>
      </c>
      <c r="D272" s="603">
        <v>354</v>
      </c>
    </row>
    <row r="273" spans="2:4">
      <c r="B273" s="602">
        <v>44935</v>
      </c>
      <c r="C273" s="603">
        <v>351</v>
      </c>
      <c r="D273" s="603">
        <v>355</v>
      </c>
    </row>
    <row r="274" spans="2:4">
      <c r="B274" s="602">
        <v>44936</v>
      </c>
      <c r="C274" s="603">
        <v>353</v>
      </c>
      <c r="D274" s="603">
        <v>357</v>
      </c>
    </row>
    <row r="275" spans="2:4">
      <c r="B275" s="602">
        <v>44937</v>
      </c>
      <c r="C275" s="603">
        <v>355</v>
      </c>
      <c r="D275" s="603">
        <v>359</v>
      </c>
    </row>
    <row r="276" spans="2:4">
      <c r="B276" s="602">
        <v>44938</v>
      </c>
      <c r="C276" s="603">
        <v>357</v>
      </c>
      <c r="D276" s="603">
        <v>361</v>
      </c>
    </row>
    <row r="277" spans="2:4">
      <c r="B277" s="602">
        <v>44939</v>
      </c>
      <c r="C277" s="603">
        <v>365</v>
      </c>
      <c r="D277" s="603">
        <v>369</v>
      </c>
    </row>
    <row r="278" spans="2:4">
      <c r="B278" s="602">
        <v>44942</v>
      </c>
      <c r="C278" s="603">
        <v>365</v>
      </c>
      <c r="D278" s="603">
        <v>369</v>
      </c>
    </row>
    <row r="279" spans="2:4">
      <c r="B279" s="602">
        <v>44943</v>
      </c>
      <c r="C279" s="603">
        <v>366</v>
      </c>
      <c r="D279" s="603">
        <v>370</v>
      </c>
    </row>
    <row r="280" spans="2:4">
      <c r="B280" s="602">
        <v>44944</v>
      </c>
      <c r="C280" s="603">
        <v>374</v>
      </c>
      <c r="D280" s="603">
        <v>378</v>
      </c>
    </row>
    <row r="281" spans="2:4">
      <c r="B281" s="602">
        <v>44945</v>
      </c>
      <c r="C281" s="603">
        <v>373</v>
      </c>
      <c r="D281" s="603">
        <v>377</v>
      </c>
    </row>
    <row r="282" spans="2:4">
      <c r="B282" s="602">
        <v>44946</v>
      </c>
      <c r="C282" s="603">
        <v>370</v>
      </c>
      <c r="D282" s="603">
        <v>374</v>
      </c>
    </row>
    <row r="283" spans="2:4">
      <c r="B283" s="602">
        <v>44949</v>
      </c>
      <c r="C283" s="603">
        <v>372</v>
      </c>
      <c r="D283" s="603">
        <v>376</v>
      </c>
    </row>
    <row r="284" spans="2:4">
      <c r="B284" s="602">
        <v>44950</v>
      </c>
      <c r="C284" s="603">
        <v>372</v>
      </c>
      <c r="D284" s="603">
        <v>376</v>
      </c>
    </row>
    <row r="285" spans="2:4">
      <c r="B285" s="602">
        <v>44951</v>
      </c>
      <c r="C285" s="603">
        <v>377</v>
      </c>
      <c r="D285" s="603">
        <v>381</v>
      </c>
    </row>
    <row r="286" spans="2:4">
      <c r="B286" s="602">
        <v>44952</v>
      </c>
      <c r="C286" s="603">
        <v>379</v>
      </c>
      <c r="D286" s="603">
        <v>383</v>
      </c>
    </row>
    <row r="287" spans="2:4">
      <c r="B287" s="602">
        <v>44953</v>
      </c>
      <c r="C287" s="603">
        <v>381</v>
      </c>
      <c r="D287" s="603">
        <v>385</v>
      </c>
    </row>
    <row r="288" spans="2:4">
      <c r="B288" s="602">
        <v>44956</v>
      </c>
      <c r="C288" s="603">
        <v>382</v>
      </c>
      <c r="D288" s="603">
        <v>386</v>
      </c>
    </row>
    <row r="289" spans="2:4">
      <c r="B289" s="602">
        <v>44957</v>
      </c>
      <c r="C289" s="603">
        <v>379</v>
      </c>
      <c r="D289" s="603">
        <v>383</v>
      </c>
    </row>
    <row r="290" spans="2:4">
      <c r="B290" s="602">
        <v>44958</v>
      </c>
      <c r="C290" s="603">
        <v>377</v>
      </c>
      <c r="D290" s="603">
        <v>381</v>
      </c>
    </row>
    <row r="291" spans="2:4">
      <c r="B291" s="602">
        <v>44959</v>
      </c>
      <c r="C291" s="603">
        <v>373</v>
      </c>
      <c r="D291" s="603">
        <v>377</v>
      </c>
    </row>
    <row r="292" spans="2:4">
      <c r="B292" s="602">
        <v>44960</v>
      </c>
      <c r="C292" s="603">
        <v>374</v>
      </c>
      <c r="D292" s="603">
        <v>378</v>
      </c>
    </row>
    <row r="293" spans="2:4">
      <c r="B293" s="602">
        <v>44963</v>
      </c>
      <c r="C293" s="603">
        <v>369</v>
      </c>
      <c r="D293" s="603">
        <v>373</v>
      </c>
    </row>
    <row r="294" spans="2:4">
      <c r="B294" s="602">
        <v>44964</v>
      </c>
      <c r="C294" s="603">
        <v>373</v>
      </c>
      <c r="D294" s="603">
        <v>377</v>
      </c>
    </row>
    <row r="295" spans="2:4">
      <c r="B295" s="602">
        <v>44966</v>
      </c>
      <c r="C295" s="603">
        <v>377</v>
      </c>
      <c r="D295" s="603">
        <v>381</v>
      </c>
    </row>
    <row r="296" spans="2:4">
      <c r="B296" s="602">
        <v>44967</v>
      </c>
      <c r="C296" s="603">
        <v>375</v>
      </c>
      <c r="D296" s="603">
        <v>379</v>
      </c>
    </row>
    <row r="297" spans="2:4">
      <c r="B297" s="602">
        <v>44970</v>
      </c>
      <c r="C297" s="603">
        <v>373</v>
      </c>
      <c r="D297" s="603">
        <v>377</v>
      </c>
    </row>
    <row r="298" spans="2:4">
      <c r="B298" s="602">
        <v>44971</v>
      </c>
      <c r="C298" s="603">
        <v>375</v>
      </c>
      <c r="D298" s="603">
        <v>379</v>
      </c>
    </row>
    <row r="299" spans="2:4">
      <c r="B299" s="602">
        <v>44972</v>
      </c>
      <c r="C299" s="603">
        <v>375</v>
      </c>
      <c r="D299" s="603">
        <v>379</v>
      </c>
    </row>
    <row r="300" spans="2:4">
      <c r="B300" s="602">
        <v>44973</v>
      </c>
      <c r="C300" s="603">
        <v>374</v>
      </c>
      <c r="D300" s="603">
        <v>378</v>
      </c>
    </row>
    <row r="301" spans="2:4">
      <c r="B301" s="602">
        <v>44974</v>
      </c>
      <c r="C301" s="603">
        <v>373</v>
      </c>
      <c r="D301" s="603">
        <v>377</v>
      </c>
    </row>
    <row r="302" spans="2:4">
      <c r="B302" s="602">
        <v>44979</v>
      </c>
      <c r="C302" s="603">
        <v>373</v>
      </c>
      <c r="D302" s="603">
        <v>377</v>
      </c>
    </row>
    <row r="303" spans="2:4">
      <c r="B303" s="602">
        <v>44980</v>
      </c>
      <c r="C303" s="603">
        <v>373</v>
      </c>
      <c r="D303" s="603">
        <v>377</v>
      </c>
    </row>
    <row r="304" spans="2:4">
      <c r="B304" s="602">
        <v>44981</v>
      </c>
      <c r="C304" s="603">
        <v>375</v>
      </c>
      <c r="D304" s="603">
        <v>379</v>
      </c>
    </row>
    <row r="305" spans="2:4">
      <c r="B305" s="602">
        <v>44984</v>
      </c>
      <c r="C305" s="603">
        <v>375</v>
      </c>
      <c r="D305" s="603">
        <v>379</v>
      </c>
    </row>
  </sheetData>
  <sortState ref="B161:D305">
    <sortCondition ref="B161:B30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0"/>
  <sheetViews>
    <sheetView topLeftCell="A210" workbookViewId="0">
      <selection activeCell="C332" sqref="C332"/>
    </sheetView>
  </sheetViews>
  <sheetFormatPr baseColWidth="10" defaultRowHeight="15"/>
  <cols>
    <col min="3" max="3" width="55.85546875" customWidth="1"/>
    <col min="4" max="5" width="20.5703125" customWidth="1"/>
    <col min="6" max="6" width="20.5703125" style="204" customWidth="1"/>
    <col min="7" max="8" width="20.5703125" customWidth="1"/>
    <col min="9" max="9" width="13.5703125" bestFit="1" customWidth="1"/>
    <col min="10" max="10" width="37.140625" customWidth="1"/>
    <col min="11" max="11" width="13" bestFit="1" customWidth="1"/>
    <col min="12" max="14" width="13.42578125" customWidth="1"/>
  </cols>
  <sheetData>
    <row r="3" spans="1:9">
      <c r="A3" s="40">
        <v>44572</v>
      </c>
      <c r="B3" s="2"/>
      <c r="C3" s="44" t="s">
        <v>99</v>
      </c>
      <c r="D3" s="191" t="s">
        <v>231</v>
      </c>
      <c r="E3" s="253">
        <v>15674.69</v>
      </c>
      <c r="F3" s="257">
        <v>10077.34</v>
      </c>
    </row>
    <row r="5" spans="1:9">
      <c r="A5" s="40"/>
      <c r="B5" s="2"/>
      <c r="C5" s="181">
        <v>44562</v>
      </c>
      <c r="D5" s="116"/>
      <c r="E5" s="116"/>
      <c r="F5" s="117"/>
      <c r="G5" s="118"/>
      <c r="H5" s="118"/>
      <c r="I5" s="119"/>
    </row>
    <row r="6" spans="1:9">
      <c r="A6" s="330"/>
      <c r="B6" s="331"/>
      <c r="C6" s="294" t="s">
        <v>238</v>
      </c>
      <c r="D6" s="332"/>
      <c r="E6" s="333">
        <v>800000</v>
      </c>
      <c r="F6" s="334"/>
      <c r="I6" s="119"/>
    </row>
    <row r="7" spans="1:9">
      <c r="A7" s="295">
        <v>44567</v>
      </c>
      <c r="B7" s="258"/>
      <c r="C7" s="259" t="s">
        <v>190</v>
      </c>
      <c r="D7" s="147"/>
      <c r="E7" s="203">
        <v>56482.42</v>
      </c>
      <c r="F7" s="335"/>
      <c r="G7" s="118"/>
      <c r="H7" s="118"/>
      <c r="I7" s="119"/>
    </row>
    <row r="8" spans="1:9">
      <c r="A8" s="295">
        <v>44567</v>
      </c>
      <c r="B8" s="255"/>
      <c r="C8" s="256" t="s">
        <v>94</v>
      </c>
      <c r="D8" s="147"/>
      <c r="E8" s="203">
        <v>11718</v>
      </c>
      <c r="F8" s="336"/>
      <c r="I8" s="119"/>
    </row>
    <row r="9" spans="1:9">
      <c r="A9" s="295">
        <v>44567</v>
      </c>
      <c r="B9" s="260"/>
      <c r="C9" s="337" t="s">
        <v>95</v>
      </c>
      <c r="D9" s="211"/>
      <c r="E9" s="203">
        <v>1079.54</v>
      </c>
      <c r="F9" s="335"/>
      <c r="G9" s="118"/>
      <c r="H9" s="118"/>
      <c r="I9" s="119"/>
    </row>
    <row r="10" spans="1:9">
      <c r="A10" s="227">
        <v>44581</v>
      </c>
      <c r="B10" s="235"/>
      <c r="C10" s="232" t="s">
        <v>105</v>
      </c>
      <c r="D10" s="230"/>
      <c r="E10" s="65">
        <v>192258</v>
      </c>
      <c r="F10" s="34"/>
      <c r="I10" s="119"/>
    </row>
    <row r="11" spans="1:9">
      <c r="A11" s="262">
        <v>44586</v>
      </c>
      <c r="B11" s="235"/>
      <c r="C11" s="232" t="s">
        <v>106</v>
      </c>
      <c r="D11" s="65"/>
      <c r="E11" s="65">
        <f>164205.89+5597.35</f>
        <v>169803.24000000002</v>
      </c>
      <c r="F11" s="263" t="s">
        <v>230</v>
      </c>
      <c r="G11" s="118">
        <v>5597.35</v>
      </c>
      <c r="H11" s="118"/>
      <c r="I11" s="119"/>
    </row>
    <row r="12" spans="1:9">
      <c r="A12" s="262">
        <v>44550</v>
      </c>
      <c r="B12" s="228"/>
      <c r="C12" s="229" t="s">
        <v>96</v>
      </c>
      <c r="D12" s="264"/>
      <c r="E12" s="225">
        <v>192258</v>
      </c>
      <c r="F12" s="34"/>
      <c r="I12" s="119"/>
    </row>
    <row r="13" spans="1:9">
      <c r="A13" s="295"/>
      <c r="B13" s="258"/>
      <c r="C13" s="259"/>
      <c r="D13" s="147"/>
      <c r="E13" s="211"/>
      <c r="F13" s="288"/>
      <c r="G13" s="118"/>
      <c r="H13" s="118"/>
      <c r="I13" s="119"/>
    </row>
    <row r="14" spans="1:9">
      <c r="A14" s="295">
        <v>44571</v>
      </c>
      <c r="B14" s="255"/>
      <c r="C14" s="256" t="s">
        <v>98</v>
      </c>
      <c r="D14" s="257">
        <f>130000+1541.49</f>
        <v>131541.49</v>
      </c>
      <c r="E14" s="219"/>
      <c r="F14" s="296"/>
      <c r="G14" s="118"/>
      <c r="I14" s="119"/>
    </row>
    <row r="15" spans="1:9">
      <c r="A15" s="338">
        <v>44572</v>
      </c>
      <c r="B15" s="258"/>
      <c r="C15" s="259" t="s">
        <v>195</v>
      </c>
      <c r="D15" s="257">
        <v>222916</v>
      </c>
      <c r="E15" s="257"/>
      <c r="F15" s="335"/>
      <c r="G15" s="118"/>
      <c r="H15" s="118"/>
      <c r="I15" s="119"/>
    </row>
    <row r="16" spans="1:9">
      <c r="A16" s="295">
        <v>44577</v>
      </c>
      <c r="B16" s="260"/>
      <c r="C16" s="256" t="s">
        <v>103</v>
      </c>
      <c r="D16" s="147"/>
      <c r="E16" s="211">
        <v>1704000</v>
      </c>
      <c r="F16" s="296"/>
      <c r="G16" s="204"/>
      <c r="I16" s="119"/>
    </row>
    <row r="17" spans="1:9" ht="15.75" thickBot="1">
      <c r="A17" s="295">
        <v>44573</v>
      </c>
      <c r="B17" s="269"/>
      <c r="C17" s="256" t="s">
        <v>102</v>
      </c>
      <c r="D17" s="147"/>
      <c r="E17" s="257">
        <v>196890.87</v>
      </c>
      <c r="F17" s="335"/>
      <c r="G17" s="118"/>
      <c r="H17" s="118"/>
      <c r="I17" s="119"/>
    </row>
    <row r="18" spans="1:9">
      <c r="A18" s="295">
        <v>44575</v>
      </c>
      <c r="B18" s="255"/>
      <c r="C18" s="256" t="s">
        <v>101</v>
      </c>
      <c r="D18" s="147"/>
      <c r="E18" s="257">
        <v>226.96</v>
      </c>
      <c r="F18" s="336"/>
      <c r="I18" s="119"/>
    </row>
    <row r="19" spans="1:9">
      <c r="A19" s="339"/>
      <c r="B19" s="204"/>
      <c r="C19" s="204"/>
      <c r="D19" s="219"/>
      <c r="E19" s="219"/>
      <c r="F19" s="335"/>
      <c r="G19" s="118"/>
      <c r="H19" s="118"/>
      <c r="I19" s="119"/>
    </row>
    <row r="20" spans="1:9">
      <c r="A20" s="295">
        <v>44567</v>
      </c>
      <c r="B20" s="258"/>
      <c r="C20" s="259" t="s">
        <v>97</v>
      </c>
      <c r="D20" s="147"/>
      <c r="E20" s="211">
        <f>200000+300000+302793.36+400000</f>
        <v>1202793.3599999999</v>
      </c>
      <c r="F20" s="288"/>
      <c r="I20" s="119"/>
    </row>
    <row r="21" spans="1:9">
      <c r="A21" s="227">
        <v>44574</v>
      </c>
      <c r="B21" s="231"/>
      <c r="C21" s="232" t="s">
        <v>100</v>
      </c>
      <c r="D21" s="230"/>
      <c r="E21" s="225">
        <v>1200000</v>
      </c>
      <c r="F21" s="336" t="s">
        <v>229</v>
      </c>
      <c r="G21" s="118"/>
      <c r="H21" s="118"/>
      <c r="I21" s="119"/>
    </row>
    <row r="22" spans="1:9">
      <c r="A22" s="227">
        <v>44580</v>
      </c>
      <c r="B22" s="231"/>
      <c r="C22" s="232" t="s">
        <v>104</v>
      </c>
      <c r="D22" s="230"/>
      <c r="E22" s="65">
        <v>1300000</v>
      </c>
      <c r="F22" s="336"/>
      <c r="I22" s="119"/>
    </row>
    <row r="23" spans="1:9">
      <c r="A23" s="339"/>
      <c r="B23" s="204"/>
      <c r="C23" s="204"/>
      <c r="D23" s="219"/>
      <c r="E23" s="219"/>
      <c r="F23" s="335"/>
      <c r="G23" s="118"/>
      <c r="H23" s="118"/>
      <c r="I23" s="119"/>
    </row>
    <row r="24" spans="1:9">
      <c r="A24" s="287">
        <v>44566</v>
      </c>
      <c r="B24" s="340"/>
      <c r="C24" s="341" t="s">
        <v>233</v>
      </c>
      <c r="D24" s="147"/>
      <c r="E24" s="211">
        <v>500000</v>
      </c>
      <c r="F24" s="335"/>
      <c r="I24" s="119"/>
    </row>
    <row r="25" spans="1:9">
      <c r="A25" s="287">
        <v>44589</v>
      </c>
      <c r="B25" s="216"/>
      <c r="C25" s="217" t="s">
        <v>232</v>
      </c>
      <c r="D25" s="211"/>
      <c r="E25" s="211">
        <f>97470+17400+594000</f>
        <v>708870</v>
      </c>
      <c r="F25" s="335"/>
      <c r="G25" s="118"/>
      <c r="H25" s="118"/>
      <c r="I25" s="119"/>
    </row>
    <row r="26" spans="1:9">
      <c r="A26" s="342">
        <v>44589</v>
      </c>
      <c r="B26" s="219"/>
      <c r="C26" s="217" t="s">
        <v>236</v>
      </c>
      <c r="D26" s="213">
        <f>150000+150000+150000+144000</f>
        <v>594000</v>
      </c>
      <c r="E26" s="219"/>
      <c r="F26" s="335"/>
      <c r="I26" s="119"/>
    </row>
    <row r="27" spans="1:9">
      <c r="A27" s="343"/>
      <c r="B27" s="204"/>
      <c r="C27" s="256"/>
      <c r="D27" s="213"/>
      <c r="E27" s="219"/>
      <c r="F27" s="335"/>
      <c r="G27" s="118"/>
      <c r="H27" s="118"/>
      <c r="I27" s="119"/>
    </row>
    <row r="28" spans="1:9">
      <c r="A28" s="338">
        <v>44592</v>
      </c>
      <c r="B28" s="204"/>
      <c r="C28" s="204" t="s">
        <v>206</v>
      </c>
      <c r="D28" s="204"/>
      <c r="E28" s="344">
        <v>11223</v>
      </c>
      <c r="F28" s="336"/>
      <c r="I28" s="119"/>
    </row>
    <row r="29" spans="1:9">
      <c r="A29" s="338">
        <v>44592</v>
      </c>
      <c r="B29" s="258"/>
      <c r="C29" s="259" t="s">
        <v>108</v>
      </c>
      <c r="D29" s="261"/>
      <c r="E29" s="257">
        <v>12706</v>
      </c>
      <c r="F29" s="336"/>
      <c r="G29" s="118"/>
      <c r="H29" s="118"/>
      <c r="I29" s="119"/>
    </row>
    <row r="30" spans="1:9">
      <c r="A30" s="338">
        <v>44592</v>
      </c>
      <c r="B30" s="345"/>
      <c r="C30" s="256" t="s">
        <v>196</v>
      </c>
      <c r="D30" s="346">
        <f>120000+9260+10</f>
        <v>129270</v>
      </c>
      <c r="E30" s="211"/>
      <c r="F30" s="336"/>
      <c r="I30" s="119"/>
    </row>
    <row r="31" spans="1:9">
      <c r="A31" s="338">
        <v>44592</v>
      </c>
      <c r="B31" s="345"/>
      <c r="C31" s="256" t="s">
        <v>189</v>
      </c>
      <c r="D31" s="204"/>
      <c r="E31" s="211">
        <f>4127+84514</f>
        <v>88641</v>
      </c>
      <c r="F31" s="336"/>
      <c r="G31" s="118"/>
      <c r="H31" s="118"/>
      <c r="I31" s="119"/>
    </row>
    <row r="32" spans="1:9">
      <c r="A32" s="338">
        <v>44592</v>
      </c>
      <c r="B32" s="204"/>
      <c r="C32" s="256" t="s">
        <v>191</v>
      </c>
      <c r="D32" s="204"/>
      <c r="E32" s="204"/>
      <c r="F32" s="336"/>
      <c r="G32" s="118"/>
    </row>
    <row r="33" spans="1:12">
      <c r="A33" s="338">
        <v>44592</v>
      </c>
      <c r="B33" s="204"/>
      <c r="C33" s="256" t="s">
        <v>192</v>
      </c>
      <c r="D33" s="204"/>
      <c r="E33" s="204"/>
      <c r="F33" s="336"/>
      <c r="G33" s="118"/>
      <c r="H33" s="118"/>
    </row>
    <row r="34" spans="1:12">
      <c r="A34" s="339"/>
      <c r="B34" s="204"/>
      <c r="C34" s="259"/>
      <c r="D34" s="59"/>
      <c r="E34" s="38"/>
      <c r="F34" s="336"/>
      <c r="G34" s="204"/>
    </row>
    <row r="35" spans="1:12">
      <c r="A35" s="339"/>
      <c r="B35" s="204"/>
      <c r="C35" s="180" t="s">
        <v>193</v>
      </c>
      <c r="D35" s="207">
        <v>55500</v>
      </c>
      <c r="E35" s="204" t="s">
        <v>194</v>
      </c>
      <c r="F35" s="336"/>
      <c r="G35" s="118"/>
      <c r="H35" s="118"/>
    </row>
    <row r="36" spans="1:12">
      <c r="A36" s="338">
        <v>44567</v>
      </c>
      <c r="B36" s="204"/>
      <c r="C36" s="204" t="s">
        <v>178</v>
      </c>
      <c r="D36" s="207">
        <v>37600</v>
      </c>
      <c r="E36" s="204"/>
      <c r="F36" s="336"/>
    </row>
    <row r="37" spans="1:12">
      <c r="A37" s="338">
        <v>44613</v>
      </c>
      <c r="B37" s="204"/>
      <c r="C37" s="204" t="s">
        <v>186</v>
      </c>
      <c r="D37" s="207">
        <v>12010</v>
      </c>
      <c r="E37" s="204"/>
      <c r="F37" s="336"/>
      <c r="G37" s="118"/>
      <c r="H37" s="118"/>
    </row>
    <row r="38" spans="1:12">
      <c r="A38" s="339"/>
      <c r="B38" s="204"/>
      <c r="C38" s="204"/>
      <c r="D38" s="204"/>
      <c r="E38" s="204"/>
      <c r="F38" s="336"/>
      <c r="G38" s="118"/>
    </row>
    <row r="39" spans="1:12">
      <c r="A39" s="347"/>
      <c r="B39" s="348"/>
      <c r="C39" s="348"/>
      <c r="D39" s="348"/>
      <c r="E39" s="348"/>
      <c r="F39" s="349"/>
      <c r="G39" s="118"/>
      <c r="H39" s="118"/>
    </row>
    <row r="41" spans="1:12">
      <c r="G41" s="118"/>
      <c r="H41" s="118"/>
    </row>
    <row r="45" spans="1:12">
      <c r="K45" s="184"/>
      <c r="L45" s="184"/>
    </row>
    <row r="46" spans="1:12">
      <c r="A46" s="126" t="s">
        <v>109</v>
      </c>
      <c r="B46" s="127"/>
      <c r="C46" s="128"/>
      <c r="D46" s="129"/>
      <c r="E46" s="125"/>
    </row>
    <row r="47" spans="1:12">
      <c r="A47" s="120"/>
      <c r="B47" s="122"/>
      <c r="C47" s="15"/>
      <c r="D47" s="124"/>
    </row>
    <row r="48" spans="1:12">
      <c r="A48" s="120"/>
      <c r="B48" s="130"/>
      <c r="C48" s="131"/>
      <c r="D48" s="124"/>
      <c r="E48" s="198"/>
    </row>
    <row r="49" spans="1:12">
      <c r="A49" s="293">
        <v>44596</v>
      </c>
      <c r="B49" s="350"/>
      <c r="C49" s="351" t="s">
        <v>111</v>
      </c>
      <c r="D49" s="352">
        <v>227500</v>
      </c>
      <c r="E49" s="353"/>
      <c r="K49" s="184"/>
      <c r="L49" s="184"/>
    </row>
    <row r="50" spans="1:12">
      <c r="A50" s="295"/>
      <c r="B50" s="200"/>
      <c r="C50" s="256" t="s">
        <v>197</v>
      </c>
      <c r="D50" s="202"/>
      <c r="E50" s="354">
        <f>8821+72916</f>
        <v>81737</v>
      </c>
    </row>
    <row r="51" spans="1:12">
      <c r="A51" s="295"/>
      <c r="B51" s="200"/>
      <c r="C51" s="204" t="s">
        <v>215</v>
      </c>
      <c r="D51" s="204"/>
      <c r="E51" s="355">
        <v>11223</v>
      </c>
      <c r="G51" s="118"/>
      <c r="H51" s="118"/>
    </row>
    <row r="52" spans="1:12">
      <c r="A52" s="295"/>
      <c r="B52" s="200"/>
      <c r="C52" s="201"/>
      <c r="D52" s="202"/>
      <c r="E52" s="356"/>
      <c r="G52" s="118"/>
      <c r="H52" s="118"/>
    </row>
    <row r="53" spans="1:12">
      <c r="A53" s="357">
        <v>44595</v>
      </c>
      <c r="B53" s="204"/>
      <c r="C53" s="204" t="s">
        <v>181</v>
      </c>
      <c r="D53" s="346" t="s">
        <v>182</v>
      </c>
      <c r="E53" s="358" t="s">
        <v>183</v>
      </c>
      <c r="G53" s="118"/>
      <c r="H53" s="118"/>
    </row>
    <row r="54" spans="1:12">
      <c r="A54" s="359">
        <v>44608</v>
      </c>
      <c r="B54" s="204"/>
      <c r="C54" s="204" t="s">
        <v>185</v>
      </c>
      <c r="D54" s="346">
        <v>53700</v>
      </c>
      <c r="E54" s="358" t="s">
        <v>194</v>
      </c>
      <c r="G54" s="118"/>
      <c r="H54" s="118"/>
    </row>
    <row r="55" spans="1:12">
      <c r="A55" s="338">
        <v>44618</v>
      </c>
      <c r="B55" s="258"/>
      <c r="C55" s="204" t="s">
        <v>198</v>
      </c>
      <c r="D55" s="346">
        <v>355625.17</v>
      </c>
      <c r="E55" s="358"/>
      <c r="G55" s="118"/>
      <c r="H55" s="118"/>
    </row>
    <row r="56" spans="1:12">
      <c r="A56" s="295">
        <v>44599</v>
      </c>
      <c r="B56" s="267"/>
      <c r="C56" s="204" t="s">
        <v>112</v>
      </c>
      <c r="D56" s="346"/>
      <c r="E56" s="358">
        <v>12116.64</v>
      </c>
      <c r="G56" s="118"/>
      <c r="H56" s="118"/>
    </row>
    <row r="57" spans="1:12">
      <c r="A57" s="295">
        <v>44569</v>
      </c>
      <c r="B57" s="267"/>
      <c r="C57" s="204" t="s">
        <v>113</v>
      </c>
      <c r="D57" s="267"/>
      <c r="E57" s="360">
        <v>609.59</v>
      </c>
      <c r="G57" s="118"/>
      <c r="H57" s="118"/>
    </row>
    <row r="58" spans="1:12">
      <c r="A58" s="295">
        <v>44569</v>
      </c>
      <c r="B58" s="267"/>
      <c r="C58" s="204" t="s">
        <v>114</v>
      </c>
      <c r="D58" s="267"/>
      <c r="E58" s="360">
        <v>1210.93</v>
      </c>
      <c r="G58" s="118"/>
      <c r="H58" s="118"/>
    </row>
    <row r="59" spans="1:12">
      <c r="A59" s="295">
        <v>44569</v>
      </c>
      <c r="B59" s="267"/>
      <c r="C59" s="337" t="s">
        <v>115</v>
      </c>
      <c r="D59" s="266"/>
      <c r="E59" s="361">
        <v>49345.89</v>
      </c>
      <c r="G59" s="118"/>
      <c r="H59" s="118"/>
    </row>
    <row r="60" spans="1:12">
      <c r="A60" s="295">
        <v>44601</v>
      </c>
      <c r="B60" s="267"/>
      <c r="C60" s="267" t="s">
        <v>116</v>
      </c>
      <c r="D60" s="266"/>
      <c r="E60" s="360">
        <v>37976.199999999997</v>
      </c>
      <c r="G60" s="118"/>
      <c r="H60" s="118"/>
    </row>
    <row r="61" spans="1:12">
      <c r="A61" s="295">
        <v>44606</v>
      </c>
      <c r="B61" s="267"/>
      <c r="C61" s="337" t="s">
        <v>119</v>
      </c>
      <c r="D61" s="203">
        <v>134183.18</v>
      </c>
      <c r="E61" s="360"/>
      <c r="G61" s="118"/>
      <c r="H61" s="118"/>
    </row>
    <row r="62" spans="1:12">
      <c r="A62" s="295">
        <v>44602</v>
      </c>
      <c r="B62" s="267"/>
      <c r="C62" s="337" t="s">
        <v>117</v>
      </c>
      <c r="D62" s="203">
        <v>338690.63</v>
      </c>
      <c r="E62" s="360"/>
      <c r="G62" s="118"/>
      <c r="H62" s="118"/>
    </row>
    <row r="63" spans="1:12">
      <c r="A63" s="295">
        <v>44608</v>
      </c>
      <c r="B63" s="200">
        <v>232</v>
      </c>
      <c r="C63" s="256" t="s">
        <v>103</v>
      </c>
      <c r="D63" s="147"/>
      <c r="E63" s="288">
        <v>1704000</v>
      </c>
      <c r="G63" s="118"/>
      <c r="H63" s="118"/>
    </row>
    <row r="64" spans="1:12">
      <c r="A64" s="339"/>
      <c r="B64" s="204"/>
      <c r="C64" s="204"/>
      <c r="D64" s="204"/>
      <c r="E64" s="336"/>
      <c r="G64" s="118"/>
      <c r="H64" s="118"/>
    </row>
    <row r="65" spans="1:9">
      <c r="A65" s="295">
        <v>44599</v>
      </c>
      <c r="B65" s="267">
        <v>190</v>
      </c>
      <c r="C65" s="267" t="s">
        <v>100</v>
      </c>
      <c r="D65" s="266"/>
      <c r="E65" s="360">
        <v>1202793.3600000001</v>
      </c>
      <c r="G65" s="118"/>
      <c r="H65" s="118"/>
    </row>
    <row r="66" spans="1:9">
      <c r="A66" s="295">
        <v>44613</v>
      </c>
      <c r="B66" s="200">
        <v>177</v>
      </c>
      <c r="C66" s="256" t="s">
        <v>104</v>
      </c>
      <c r="D66" s="266"/>
      <c r="E66" s="360">
        <v>1200000</v>
      </c>
      <c r="G66" s="118"/>
      <c r="H66" s="118"/>
    </row>
    <row r="67" spans="1:9">
      <c r="A67" s="295">
        <v>44617</v>
      </c>
      <c r="B67" s="200"/>
      <c r="C67" s="256" t="s">
        <v>121</v>
      </c>
      <c r="D67" s="138"/>
      <c r="E67" s="362">
        <f>2217.43+65575.87+150000+150000</f>
        <v>367793.3</v>
      </c>
      <c r="G67" s="118"/>
      <c r="H67" s="118"/>
      <c r="I67" s="119"/>
    </row>
    <row r="68" spans="1:9">
      <c r="A68" s="295">
        <v>44614</v>
      </c>
      <c r="B68" s="200">
        <v>194</v>
      </c>
      <c r="C68" s="256" t="s">
        <v>122</v>
      </c>
      <c r="D68" s="267"/>
      <c r="E68" s="360">
        <v>1300000</v>
      </c>
      <c r="G68" s="118"/>
      <c r="H68" s="118"/>
      <c r="I68" s="119"/>
    </row>
    <row r="69" spans="1:9">
      <c r="A69" s="295">
        <v>44593</v>
      </c>
      <c r="B69" s="204"/>
      <c r="C69" s="256" t="s">
        <v>234</v>
      </c>
      <c r="D69" s="203">
        <f>297000+297000</f>
        <v>594000</v>
      </c>
      <c r="E69" s="336"/>
      <c r="G69" s="118"/>
      <c r="H69" s="118"/>
      <c r="I69" s="119"/>
    </row>
    <row r="70" spans="1:9">
      <c r="A70" s="295">
        <v>44593</v>
      </c>
      <c r="B70" s="260"/>
      <c r="C70" s="256" t="s">
        <v>235</v>
      </c>
      <c r="D70" s="147"/>
      <c r="E70" s="362">
        <f>160735.65+16271.13+594000</f>
        <v>771006.78</v>
      </c>
      <c r="G70" s="118"/>
      <c r="H70" s="118"/>
      <c r="I70" s="119"/>
    </row>
    <row r="71" spans="1:9">
      <c r="A71" s="339"/>
      <c r="B71" s="204"/>
      <c r="C71" s="204"/>
      <c r="D71" s="204"/>
      <c r="E71" s="336"/>
      <c r="G71" s="118"/>
      <c r="H71" s="118"/>
      <c r="I71" s="119"/>
    </row>
    <row r="72" spans="1:9">
      <c r="A72" s="227">
        <v>44596</v>
      </c>
      <c r="B72" s="236">
        <v>65</v>
      </c>
      <c r="C72" s="236" t="s">
        <v>237</v>
      </c>
      <c r="D72" s="237"/>
      <c r="E72" s="226">
        <v>500000</v>
      </c>
      <c r="H72" s="118"/>
      <c r="I72" s="119"/>
    </row>
    <row r="73" spans="1:9">
      <c r="A73" s="339"/>
      <c r="B73" s="204"/>
      <c r="C73" s="256"/>
      <c r="D73" s="204"/>
      <c r="E73" s="336"/>
      <c r="H73" s="118"/>
      <c r="I73" s="119"/>
    </row>
    <row r="74" spans="1:9">
      <c r="A74" s="297">
        <v>44617</v>
      </c>
      <c r="B74" s="363">
        <v>53</v>
      </c>
      <c r="C74" s="298" t="s">
        <v>120</v>
      </c>
      <c r="D74" s="364"/>
      <c r="E74" s="365">
        <v>192258</v>
      </c>
      <c r="H74" s="118"/>
      <c r="I74" s="119"/>
    </row>
    <row r="75" spans="1:9">
      <c r="H75" s="118"/>
      <c r="I75" s="119"/>
    </row>
    <row r="76" spans="1:9">
      <c r="A76" s="204"/>
      <c r="B76" s="204"/>
      <c r="C76" s="204"/>
      <c r="D76" s="204"/>
      <c r="E76" s="265"/>
      <c r="G76" s="118"/>
      <c r="H76" s="118"/>
      <c r="I76" s="119"/>
    </row>
    <row r="77" spans="1:9">
      <c r="A77" s="120"/>
      <c r="B77" s="122"/>
      <c r="C77" s="204"/>
      <c r="D77" s="121"/>
      <c r="E77" s="124"/>
      <c r="F77" s="265"/>
      <c r="G77" s="118"/>
      <c r="H77" s="118"/>
      <c r="I77" s="119"/>
    </row>
    <row r="78" spans="1:9">
      <c r="F78" s="265"/>
      <c r="G78" s="118"/>
      <c r="H78" s="118"/>
      <c r="I78" s="119"/>
    </row>
    <row r="79" spans="1:9">
      <c r="F79" s="265"/>
      <c r="G79" s="118"/>
      <c r="H79" s="118"/>
      <c r="I79" s="119"/>
    </row>
    <row r="80" spans="1:9">
      <c r="A80" s="199"/>
      <c r="B80" s="200"/>
      <c r="C80" s="256"/>
      <c r="D80" s="267"/>
      <c r="E80" s="265"/>
      <c r="F80" s="265"/>
      <c r="G80" s="118"/>
      <c r="H80" s="118"/>
      <c r="I80" s="119"/>
    </row>
    <row r="81" spans="1:9">
      <c r="A81" s="120"/>
      <c r="B81" s="133"/>
      <c r="C81" s="96"/>
      <c r="D81" s="139"/>
      <c r="E81" s="135"/>
      <c r="F81" s="117"/>
      <c r="G81" s="118"/>
      <c r="H81" s="118"/>
      <c r="I81" s="119"/>
    </row>
    <row r="82" spans="1:9">
      <c r="A82" s="120"/>
      <c r="B82" s="133"/>
      <c r="C82" s="96"/>
      <c r="D82" s="139"/>
      <c r="E82" s="135"/>
      <c r="F82" s="117"/>
      <c r="G82" s="118"/>
      <c r="H82" s="118"/>
      <c r="I82" s="119"/>
    </row>
    <row r="83" spans="1:9">
      <c r="A83" s="140"/>
      <c r="B83" s="141"/>
      <c r="C83" s="141"/>
      <c r="D83" s="141"/>
      <c r="E83" s="142"/>
      <c r="F83" s="143">
        <f t="shared" ref="F83" si="0">D83*0%</f>
        <v>0</v>
      </c>
      <c r="G83" s="143">
        <f t="shared" ref="G83" si="1">D83*0.006</f>
        <v>0</v>
      </c>
      <c r="H83" s="143">
        <f t="shared" ref="H83" si="2">E83*0.006+F83*0.006</f>
        <v>0</v>
      </c>
      <c r="I83" s="119"/>
    </row>
    <row r="84" spans="1:9">
      <c r="A84" s="120"/>
      <c r="B84" s="132"/>
      <c r="C84" s="132"/>
      <c r="D84" s="132"/>
      <c r="E84" s="132"/>
      <c r="I84" s="119"/>
    </row>
    <row r="85" spans="1:9">
      <c r="A85" s="40">
        <v>44627</v>
      </c>
      <c r="B85" s="133"/>
      <c r="C85" s="123" t="s">
        <v>123</v>
      </c>
      <c r="D85" s="208"/>
      <c r="E85" s="135">
        <v>12565.33</v>
      </c>
      <c r="I85" s="119"/>
    </row>
    <row r="86" spans="1:9">
      <c r="A86" s="40">
        <v>44627</v>
      </c>
      <c r="B86" s="133"/>
      <c r="C86" s="123" t="s">
        <v>204</v>
      </c>
      <c r="D86" s="135">
        <v>132238</v>
      </c>
      <c r="E86" s="135"/>
      <c r="I86" s="119"/>
    </row>
    <row r="87" spans="1:9">
      <c r="A87" s="40">
        <v>44629</v>
      </c>
      <c r="B87" s="122" t="s">
        <v>124</v>
      </c>
      <c r="C87" s="123" t="s">
        <v>125</v>
      </c>
      <c r="D87" s="135">
        <v>236000</v>
      </c>
      <c r="E87" s="135"/>
      <c r="I87" s="119"/>
    </row>
    <row r="88" spans="1:9">
      <c r="A88" s="120">
        <v>44630</v>
      </c>
      <c r="B88" s="133"/>
      <c r="C88" s="123" t="s">
        <v>126</v>
      </c>
      <c r="D88" s="145"/>
      <c r="E88" s="124">
        <v>567.32000000000005</v>
      </c>
      <c r="I88" s="119"/>
    </row>
    <row r="89" spans="1:9">
      <c r="A89" s="120">
        <v>44630</v>
      </c>
      <c r="B89" s="133"/>
      <c r="C89" s="123" t="s">
        <v>127</v>
      </c>
      <c r="D89" s="145"/>
      <c r="E89" s="254">
        <v>141229.09</v>
      </c>
      <c r="I89" s="119"/>
    </row>
    <row r="90" spans="1:9">
      <c r="A90" s="40">
        <v>44634</v>
      </c>
      <c r="B90" s="2"/>
      <c r="C90" s="15" t="s">
        <v>128</v>
      </c>
      <c r="D90" s="135">
        <v>139314.39000000001</v>
      </c>
      <c r="E90" s="124"/>
      <c r="I90" s="119"/>
    </row>
    <row r="91" spans="1:9">
      <c r="A91" s="120">
        <v>44631</v>
      </c>
      <c r="B91" s="133"/>
      <c r="C91" s="123" t="s">
        <v>129</v>
      </c>
      <c r="D91" s="135">
        <v>85200</v>
      </c>
      <c r="E91" s="124"/>
      <c r="I91" s="119"/>
    </row>
    <row r="92" spans="1:9">
      <c r="A92" s="120">
        <v>44631</v>
      </c>
      <c r="B92" s="2"/>
      <c r="C92" s="123" t="s">
        <v>130</v>
      </c>
      <c r="D92" s="193"/>
      <c r="E92" s="124">
        <v>90265.89</v>
      </c>
      <c r="I92" s="119"/>
    </row>
    <row r="93" spans="1:9">
      <c r="A93" s="40">
        <v>44638</v>
      </c>
      <c r="B93" s="148"/>
      <c r="C93" s="123" t="s">
        <v>131</v>
      </c>
      <c r="D93" s="145"/>
      <c r="E93" s="135">
        <v>49499.95</v>
      </c>
      <c r="I93" s="119"/>
    </row>
    <row r="94" spans="1:9">
      <c r="I94" s="119"/>
    </row>
    <row r="95" spans="1:9">
      <c r="A95" s="120">
        <v>44648</v>
      </c>
      <c r="B95" s="146"/>
      <c r="C95" s="123" t="s">
        <v>134</v>
      </c>
      <c r="D95" s="145"/>
      <c r="E95" s="124">
        <v>1171276.6000000001</v>
      </c>
      <c r="I95" s="119"/>
    </row>
    <row r="96" spans="1:9">
      <c r="A96" s="120">
        <v>44650</v>
      </c>
      <c r="B96" s="133"/>
      <c r="C96" t="s">
        <v>199</v>
      </c>
      <c r="D96" s="124">
        <v>159996.94</v>
      </c>
      <c r="E96" s="124"/>
      <c r="I96" s="119"/>
    </row>
    <row r="97" spans="1:9">
      <c r="A97" s="120"/>
      <c r="B97" s="133"/>
      <c r="C97" t="s">
        <v>216</v>
      </c>
      <c r="E97" s="184">
        <v>12876</v>
      </c>
      <c r="I97" s="119"/>
    </row>
    <row r="98" spans="1:9">
      <c r="A98" s="120">
        <v>44650</v>
      </c>
      <c r="B98" s="146"/>
      <c r="C98" s="149" t="s">
        <v>41</v>
      </c>
      <c r="D98" s="147"/>
      <c r="E98" s="155">
        <f>87125+11992</f>
        <v>99117</v>
      </c>
      <c r="I98" s="119"/>
    </row>
    <row r="99" spans="1:9">
      <c r="A99" s="199"/>
      <c r="B99" s="209"/>
      <c r="C99" s="210"/>
      <c r="D99" s="211"/>
      <c r="E99" s="136"/>
      <c r="I99" s="119"/>
    </row>
    <row r="100" spans="1:9">
      <c r="A100" s="205">
        <v>44623</v>
      </c>
      <c r="B100" s="206"/>
      <c r="C100" s="206" t="s">
        <v>181</v>
      </c>
      <c r="D100" s="212"/>
      <c r="E100" s="212">
        <v>37600</v>
      </c>
      <c r="I100" s="119"/>
    </row>
    <row r="101" spans="1:9">
      <c r="A101" s="205">
        <v>44636</v>
      </c>
      <c r="B101" s="206"/>
      <c r="C101" s="206" t="s">
        <v>185</v>
      </c>
      <c r="D101" s="212">
        <v>63820</v>
      </c>
      <c r="E101" s="213"/>
      <c r="F101" s="204" t="s">
        <v>194</v>
      </c>
      <c r="I101" s="119"/>
    </row>
    <row r="102" spans="1:9">
      <c r="A102" s="120">
        <v>44635</v>
      </c>
      <c r="B102" s="146">
        <v>215</v>
      </c>
      <c r="C102" s="123" t="s">
        <v>132</v>
      </c>
      <c r="D102" s="145"/>
      <c r="E102" s="124">
        <f>150000+11954.87</f>
        <v>161954.87</v>
      </c>
      <c r="H102" s="194"/>
      <c r="I102" s="119"/>
    </row>
    <row r="103" spans="1:9">
      <c r="A103" s="199">
        <v>44624</v>
      </c>
      <c r="B103" s="200">
        <v>201</v>
      </c>
      <c r="C103" s="337" t="s">
        <v>104</v>
      </c>
      <c r="D103" s="145"/>
      <c r="E103" s="211">
        <v>1002793.36</v>
      </c>
      <c r="I103" s="119"/>
    </row>
    <row r="104" spans="1:9">
      <c r="A104" s="199">
        <v>44634</v>
      </c>
      <c r="B104" s="209">
        <v>200</v>
      </c>
      <c r="C104" s="337" t="s">
        <v>122</v>
      </c>
      <c r="D104" s="145"/>
      <c r="E104" s="211">
        <v>1200000</v>
      </c>
      <c r="H104" s="195"/>
      <c r="I104" s="119"/>
    </row>
    <row r="105" spans="1:9">
      <c r="A105" s="199">
        <v>44636</v>
      </c>
      <c r="B105" s="200">
        <v>235</v>
      </c>
      <c r="C105" s="337" t="s">
        <v>103</v>
      </c>
      <c r="D105" s="145"/>
      <c r="E105" s="211">
        <v>1704000</v>
      </c>
      <c r="I105" s="119"/>
    </row>
    <row r="106" spans="1:9">
      <c r="A106" s="199">
        <v>44640</v>
      </c>
      <c r="B106" s="391">
        <v>54</v>
      </c>
      <c r="C106" s="337" t="s">
        <v>242</v>
      </c>
      <c r="D106" s="147"/>
      <c r="E106" s="211">
        <f>192258+84342.96+84342.96+5597.34+5597.34</f>
        <v>372138.60000000009</v>
      </c>
      <c r="H106" s="195"/>
      <c r="I106" s="119"/>
    </row>
    <row r="107" spans="1:9">
      <c r="I107" s="119"/>
    </row>
    <row r="108" spans="1:9">
      <c r="I108" s="119"/>
    </row>
    <row r="109" spans="1:9">
      <c r="F109" s="211"/>
      <c r="I109" s="119"/>
    </row>
    <row r="110" spans="1:9">
      <c r="A110" s="204"/>
      <c r="B110" s="204"/>
      <c r="C110" s="204"/>
      <c r="D110" s="204"/>
      <c r="E110" s="204"/>
      <c r="I110" s="119"/>
    </row>
    <row r="111" spans="1:9">
      <c r="F111" s="211"/>
      <c r="I111" s="119"/>
    </row>
    <row r="112" spans="1:9">
      <c r="A112" s="204"/>
      <c r="B112" s="204"/>
      <c r="C112" s="204"/>
      <c r="D112" s="204"/>
      <c r="E112" s="204"/>
      <c r="I112" s="119"/>
    </row>
    <row r="113" spans="1:9">
      <c r="A113" s="204"/>
      <c r="B113" s="204"/>
      <c r="C113" s="204"/>
      <c r="D113" s="204"/>
      <c r="E113" s="204"/>
      <c r="I113" s="119"/>
    </row>
    <row r="114" spans="1:9">
      <c r="I114" s="119"/>
    </row>
    <row r="115" spans="1:9">
      <c r="A115" s="199"/>
      <c r="B115" s="209"/>
      <c r="C115" s="337"/>
      <c r="D115" s="145"/>
      <c r="E115" s="203"/>
      <c r="I115" s="119"/>
    </row>
    <row r="116" spans="1:9">
      <c r="A116" s="204"/>
      <c r="B116" s="204"/>
      <c r="C116" s="204"/>
      <c r="D116" s="204"/>
      <c r="E116" s="204"/>
      <c r="I116" s="119"/>
    </row>
    <row r="117" spans="1:9">
      <c r="A117" s="204"/>
      <c r="B117" s="204"/>
      <c r="C117" s="204"/>
      <c r="D117" s="204"/>
      <c r="E117" s="204"/>
      <c r="I117" s="119"/>
    </row>
    <row r="118" spans="1:9">
      <c r="I118" s="119"/>
    </row>
    <row r="119" spans="1:9">
      <c r="A119" s="120"/>
      <c r="B119" s="146"/>
      <c r="C119" s="149"/>
      <c r="D119" s="124"/>
      <c r="E119" s="150"/>
      <c r="G119" s="118"/>
      <c r="I119" s="119"/>
    </row>
    <row r="120" spans="1:9">
      <c r="A120" s="120"/>
      <c r="B120" s="146"/>
      <c r="C120" s="149"/>
      <c r="D120" s="124"/>
      <c r="E120" s="150"/>
      <c r="G120" s="118"/>
      <c r="I120" s="119"/>
    </row>
    <row r="121" spans="1:9">
      <c r="A121" s="120"/>
      <c r="B121" s="146"/>
      <c r="C121" s="149"/>
      <c r="D121" s="124"/>
      <c r="E121" s="150"/>
      <c r="G121" s="118"/>
      <c r="I121" s="119"/>
    </row>
    <row r="122" spans="1:9">
      <c r="A122" s="140" t="s">
        <v>135</v>
      </c>
      <c r="B122" s="151"/>
      <c r="C122" s="152"/>
      <c r="D122" s="153"/>
      <c r="E122" s="154"/>
      <c r="G122" s="118"/>
      <c r="I122" s="119"/>
    </row>
    <row r="123" spans="1:9">
      <c r="A123" s="120">
        <v>44656</v>
      </c>
      <c r="B123" s="146"/>
      <c r="C123" s="149" t="s">
        <v>138</v>
      </c>
      <c r="D123" s="147"/>
      <c r="E123" s="124">
        <v>12878.48</v>
      </c>
      <c r="F123" s="219"/>
      <c r="G123" s="118"/>
      <c r="I123" s="119"/>
    </row>
    <row r="124" spans="1:9">
      <c r="A124" s="204"/>
      <c r="B124" s="204"/>
      <c r="C124" s="256" t="s">
        <v>243</v>
      </c>
      <c r="D124" s="124">
        <f>297000+297000</f>
        <v>594000</v>
      </c>
      <c r="E124" s="124"/>
      <c r="F124" s="219"/>
      <c r="G124" s="118"/>
      <c r="I124" s="119"/>
    </row>
    <row r="125" spans="1:9">
      <c r="A125" s="199">
        <v>44652</v>
      </c>
      <c r="B125" s="209" t="s">
        <v>133</v>
      </c>
      <c r="C125" s="210" t="s">
        <v>136</v>
      </c>
      <c r="D125" s="124"/>
      <c r="E125" s="124">
        <f>97470+17400+594000</f>
        <v>708870</v>
      </c>
      <c r="F125" s="219"/>
      <c r="G125" s="118"/>
      <c r="I125" s="119"/>
    </row>
    <row r="126" spans="1:9">
      <c r="A126" s="199"/>
      <c r="B126" s="209"/>
      <c r="C126" s="256" t="s">
        <v>244</v>
      </c>
      <c r="D126" s="124">
        <f>297000+297000</f>
        <v>594000</v>
      </c>
      <c r="E126" s="211"/>
      <c r="F126" s="219"/>
      <c r="G126" s="118"/>
      <c r="I126" s="119"/>
    </row>
    <row r="127" spans="1:9">
      <c r="A127" s="120">
        <v>44652</v>
      </c>
      <c r="B127" s="146" t="s">
        <v>133</v>
      </c>
      <c r="C127" s="149" t="s">
        <v>137</v>
      </c>
      <c r="D127" s="124"/>
      <c r="E127" s="124">
        <f>58235.65+6271.13+594000</f>
        <v>658506.78</v>
      </c>
      <c r="G127" s="118"/>
      <c r="I127" s="119"/>
    </row>
    <row r="128" spans="1:9">
      <c r="A128" s="199">
        <v>44658</v>
      </c>
      <c r="B128" s="209"/>
      <c r="C128" s="210" t="s">
        <v>139</v>
      </c>
      <c r="D128" s="211">
        <v>247674.26</v>
      </c>
      <c r="E128" s="136"/>
      <c r="F128" s="219"/>
      <c r="G128" s="118"/>
      <c r="I128" s="119"/>
    </row>
    <row r="129" spans="1:9">
      <c r="A129" s="199">
        <v>44662</v>
      </c>
      <c r="B129" s="209"/>
      <c r="C129" s="210" t="s">
        <v>140</v>
      </c>
      <c r="D129" s="211">
        <v>146200</v>
      </c>
      <c r="E129" s="136"/>
      <c r="F129" s="219"/>
      <c r="G129" s="118"/>
      <c r="I129" s="119"/>
    </row>
    <row r="130" spans="1:9">
      <c r="A130" s="199">
        <v>44638</v>
      </c>
      <c r="B130" s="209">
        <v>243</v>
      </c>
      <c r="C130" s="337" t="s">
        <v>132</v>
      </c>
      <c r="D130" s="211"/>
      <c r="E130" s="211">
        <f>150000+144000+150000</f>
        <v>444000</v>
      </c>
      <c r="F130" s="124"/>
      <c r="G130" s="118"/>
      <c r="I130" s="119"/>
    </row>
    <row r="131" spans="1:9">
      <c r="A131" s="204"/>
      <c r="B131" s="204"/>
      <c r="C131" s="204"/>
      <c r="D131" s="204"/>
      <c r="E131" s="204"/>
      <c r="G131" s="118"/>
      <c r="I131" s="119"/>
    </row>
    <row r="132" spans="1:9">
      <c r="A132" s="199">
        <v>44662</v>
      </c>
      <c r="B132" s="209">
        <v>205</v>
      </c>
      <c r="C132" s="256" t="s">
        <v>122</v>
      </c>
      <c r="D132" s="147"/>
      <c r="E132" s="211">
        <v>1002793.36</v>
      </c>
      <c r="G132" s="118"/>
      <c r="I132" s="119"/>
    </row>
    <row r="133" spans="1:9">
      <c r="A133" s="204"/>
      <c r="B133" s="204"/>
      <c r="C133" s="204"/>
      <c r="D133" s="204"/>
      <c r="E133" s="204"/>
      <c r="G133" s="118"/>
      <c r="I133" s="119"/>
    </row>
    <row r="134" spans="1:9">
      <c r="A134" s="204"/>
      <c r="B134" s="204"/>
      <c r="C134" s="204"/>
      <c r="D134" s="204"/>
      <c r="E134" s="204"/>
      <c r="G134" s="118"/>
      <c r="I134" s="119"/>
    </row>
    <row r="135" spans="1:9">
      <c r="A135" s="392">
        <v>44664</v>
      </c>
      <c r="B135" s="204"/>
      <c r="C135" s="256" t="s">
        <v>245</v>
      </c>
      <c r="D135" s="211"/>
      <c r="E135" s="211">
        <f>150000+150000+150000+150000+144000+150000+205687.61</f>
        <v>1099687.6099999999</v>
      </c>
      <c r="G135" s="118"/>
      <c r="I135" s="119"/>
    </row>
    <row r="136" spans="1:9">
      <c r="A136" s="120">
        <v>44671</v>
      </c>
      <c r="B136" s="122">
        <v>55</v>
      </c>
      <c r="C136" s="123" t="s">
        <v>141</v>
      </c>
      <c r="D136" s="134"/>
      <c r="E136" s="124">
        <v>192258</v>
      </c>
      <c r="G136" s="118"/>
      <c r="I136" s="119"/>
    </row>
    <row r="137" spans="1:9">
      <c r="A137" s="120">
        <v>44676</v>
      </c>
      <c r="B137" s="148"/>
      <c r="C137" s="123" t="s">
        <v>142</v>
      </c>
      <c r="D137" s="134"/>
      <c r="E137" s="124">
        <v>174504.22</v>
      </c>
      <c r="G137" s="118"/>
      <c r="I137" s="119"/>
    </row>
    <row r="138" spans="1:9">
      <c r="A138" s="157"/>
      <c r="B138" s="122"/>
      <c r="C138" s="15"/>
      <c r="D138" s="121"/>
      <c r="E138" s="192"/>
      <c r="F138" s="124"/>
      <c r="G138" s="118"/>
      <c r="H138" s="118"/>
      <c r="I138" s="119"/>
    </row>
    <row r="139" spans="1:9">
      <c r="A139" s="157">
        <v>44738</v>
      </c>
      <c r="B139" s="122">
        <v>31333542</v>
      </c>
      <c r="C139" s="15" t="s">
        <v>147</v>
      </c>
      <c r="D139" s="158">
        <v>380000</v>
      </c>
      <c r="E139" s="158">
        <v>380000</v>
      </c>
      <c r="G139" s="118"/>
      <c r="H139" s="118"/>
      <c r="I139" s="119"/>
    </row>
    <row r="140" spans="1:9">
      <c r="A140" s="157">
        <v>44768</v>
      </c>
      <c r="B140" s="122">
        <v>31333543</v>
      </c>
      <c r="C140" s="15" t="s">
        <v>147</v>
      </c>
      <c r="D140" s="158">
        <v>380000</v>
      </c>
      <c r="E140" s="158">
        <v>380000</v>
      </c>
      <c r="G140" s="118"/>
      <c r="H140" s="118"/>
      <c r="I140" s="119"/>
    </row>
    <row r="141" spans="1:9">
      <c r="A141" s="157">
        <v>44799</v>
      </c>
      <c r="B141" s="122">
        <v>31333544</v>
      </c>
      <c r="C141" s="15" t="s">
        <v>147</v>
      </c>
      <c r="D141" s="158">
        <v>380000</v>
      </c>
      <c r="E141" s="158">
        <v>380000</v>
      </c>
      <c r="G141" s="118"/>
      <c r="H141" s="118"/>
      <c r="I141" s="119"/>
    </row>
    <row r="142" spans="1:9">
      <c r="A142" s="157">
        <v>44830</v>
      </c>
      <c r="B142" s="122">
        <v>31333545</v>
      </c>
      <c r="C142" s="15" t="s">
        <v>147</v>
      </c>
      <c r="D142" s="158">
        <v>380000</v>
      </c>
      <c r="E142" s="158">
        <v>380000</v>
      </c>
      <c r="G142" s="118"/>
      <c r="H142" s="118"/>
      <c r="I142" s="119"/>
    </row>
    <row r="143" spans="1:9">
      <c r="A143" s="215"/>
      <c r="B143" s="216"/>
      <c r="C143" s="217" t="s">
        <v>41</v>
      </c>
      <c r="D143" s="147"/>
      <c r="E143" s="136">
        <f>19733+3655</f>
        <v>23388</v>
      </c>
      <c r="F143" s="118"/>
      <c r="H143" s="118"/>
      <c r="I143" s="119"/>
    </row>
    <row r="144" spans="1:9">
      <c r="A144" s="215"/>
      <c r="B144" s="218">
        <v>44655</v>
      </c>
      <c r="C144" s="180" t="s">
        <v>181</v>
      </c>
      <c r="D144" s="212"/>
      <c r="E144" s="212">
        <v>37600</v>
      </c>
      <c r="F144" s="219"/>
      <c r="H144" s="118"/>
      <c r="I144" s="119"/>
    </row>
    <row r="145" spans="1:9">
      <c r="A145" s="215"/>
      <c r="B145" s="218">
        <v>44669</v>
      </c>
      <c r="C145" s="180" t="s">
        <v>185</v>
      </c>
      <c r="D145" s="212">
        <v>74500</v>
      </c>
      <c r="E145" s="213"/>
      <c r="F145" s="219"/>
      <c r="H145" s="118"/>
      <c r="I145" s="119"/>
    </row>
    <row r="146" spans="1:9">
      <c r="A146" s="215"/>
      <c r="B146" s="219"/>
      <c r="C146" s="180" t="s">
        <v>193</v>
      </c>
      <c r="D146" s="213"/>
      <c r="E146" s="213"/>
      <c r="F146" s="219" t="s">
        <v>194</v>
      </c>
      <c r="G146" s="118"/>
      <c r="H146" s="118"/>
      <c r="I146" s="119"/>
    </row>
    <row r="147" spans="1:9">
      <c r="A147" s="215"/>
      <c r="B147" s="216"/>
      <c r="C147" t="s">
        <v>217</v>
      </c>
      <c r="E147" s="184">
        <v>12876</v>
      </c>
      <c r="F147" s="118"/>
      <c r="G147" s="118"/>
      <c r="H147" s="118"/>
      <c r="I147" s="119"/>
    </row>
    <row r="148" spans="1:9">
      <c r="A148" s="120">
        <v>44677</v>
      </c>
      <c r="B148" s="146">
        <v>31333540</v>
      </c>
      <c r="C148" s="15" t="s">
        <v>143</v>
      </c>
      <c r="D148" s="124">
        <v>380000</v>
      </c>
      <c r="E148" s="124"/>
      <c r="F148" s="118"/>
      <c r="G148" s="118"/>
      <c r="H148" s="118"/>
      <c r="I148" s="119"/>
    </row>
    <row r="149" spans="1:9">
      <c r="A149" s="120">
        <v>44677</v>
      </c>
      <c r="B149" s="146"/>
      <c r="C149" s="15" t="s">
        <v>144</v>
      </c>
      <c r="D149" s="121"/>
      <c r="E149" s="124">
        <f>2660+39.9+558.6+79.8</f>
        <v>3338.3</v>
      </c>
      <c r="F149" s="118"/>
      <c r="G149" s="118"/>
      <c r="H149" s="118"/>
      <c r="I149" s="119"/>
    </row>
    <row r="150" spans="1:9">
      <c r="A150" s="120">
        <v>44678</v>
      </c>
      <c r="B150" s="146"/>
      <c r="C150" s="123" t="s">
        <v>145</v>
      </c>
      <c r="D150" s="121"/>
      <c r="E150" s="124">
        <v>20126.21</v>
      </c>
      <c r="G150" s="118"/>
      <c r="H150" s="118"/>
      <c r="I150" s="119"/>
    </row>
    <row r="151" spans="1:9">
      <c r="A151" s="120"/>
      <c r="B151" s="146"/>
      <c r="C151" s="123"/>
      <c r="D151" s="121"/>
      <c r="E151" s="192"/>
      <c r="G151" s="118"/>
      <c r="H151" s="118"/>
      <c r="I151" s="119"/>
    </row>
    <row r="152" spans="1:9">
      <c r="A152" s="120">
        <v>44679</v>
      </c>
      <c r="B152" s="146"/>
      <c r="C152" s="15" t="s">
        <v>146</v>
      </c>
      <c r="D152" s="121"/>
      <c r="E152" s="124">
        <v>500000</v>
      </c>
      <c r="G152" s="118"/>
      <c r="H152" s="118"/>
      <c r="I152" s="119"/>
    </row>
    <row r="153" spans="1:9">
      <c r="G153" s="118"/>
      <c r="H153" s="118"/>
      <c r="I153" s="119"/>
    </row>
    <row r="154" spans="1:9">
      <c r="G154" s="118"/>
      <c r="H154" s="118"/>
      <c r="I154" s="119"/>
    </row>
    <row r="155" spans="1:9">
      <c r="A155" s="159"/>
      <c r="B155" s="160"/>
      <c r="C155" s="161"/>
      <c r="D155" s="162"/>
      <c r="E155" s="163"/>
      <c r="G155" s="118"/>
      <c r="H155" s="118"/>
      <c r="I155" s="119"/>
    </row>
    <row r="156" spans="1:9">
      <c r="A156" s="120">
        <v>44684</v>
      </c>
      <c r="B156" s="148"/>
      <c r="C156" s="15" t="s">
        <v>148</v>
      </c>
      <c r="D156" s="124"/>
      <c r="E156" s="124">
        <v>84342.96</v>
      </c>
      <c r="G156" s="118"/>
      <c r="H156" s="118"/>
      <c r="I156" s="119"/>
    </row>
    <row r="157" spans="1:9">
      <c r="A157" s="120">
        <v>44685</v>
      </c>
      <c r="B157" s="146"/>
      <c r="C157" s="15" t="s">
        <v>149</v>
      </c>
      <c r="D157" s="138"/>
      <c r="E157" s="118">
        <v>567.32000000000005</v>
      </c>
      <c r="G157" s="118"/>
      <c r="H157" s="118"/>
      <c r="I157" s="119"/>
    </row>
    <row r="158" spans="1:9">
      <c r="A158" s="120">
        <v>44685</v>
      </c>
      <c r="B158" s="148"/>
      <c r="C158" s="15" t="s">
        <v>150</v>
      </c>
      <c r="D158" s="124"/>
      <c r="E158" s="124">
        <v>13368.16</v>
      </c>
      <c r="G158" s="118"/>
      <c r="H158" s="118"/>
      <c r="I158" s="119"/>
    </row>
    <row r="159" spans="1:9">
      <c r="A159" s="120">
        <v>44686</v>
      </c>
      <c r="B159" s="148"/>
      <c r="C159" s="15" t="s">
        <v>200</v>
      </c>
      <c r="D159" s="124">
        <v>132158</v>
      </c>
      <c r="E159" s="124"/>
      <c r="G159" s="118"/>
      <c r="H159" s="118"/>
      <c r="I159" s="119"/>
    </row>
    <row r="160" spans="1:9">
      <c r="A160" s="120">
        <v>44686</v>
      </c>
      <c r="B160" s="122"/>
      <c r="C160" s="15" t="s">
        <v>118</v>
      </c>
      <c r="D160" s="134"/>
      <c r="E160" s="124">
        <v>1850.21</v>
      </c>
      <c r="H160" s="118"/>
      <c r="I160" s="119"/>
    </row>
    <row r="161" spans="1:9">
      <c r="A161" s="120">
        <v>44686</v>
      </c>
      <c r="B161" s="122"/>
      <c r="C161" s="15" t="s">
        <v>107</v>
      </c>
      <c r="D161" s="134"/>
      <c r="E161" s="124">
        <v>27.75</v>
      </c>
      <c r="H161" s="118"/>
      <c r="I161" s="119"/>
    </row>
    <row r="162" spans="1:9">
      <c r="A162" s="120">
        <v>44686</v>
      </c>
      <c r="B162" s="122"/>
      <c r="C162" s="15" t="s">
        <v>110</v>
      </c>
      <c r="D162" s="134"/>
      <c r="E162" s="124">
        <v>388.54</v>
      </c>
      <c r="I162" s="119"/>
    </row>
    <row r="163" spans="1:9">
      <c r="A163" s="120"/>
      <c r="B163" s="146"/>
      <c r="C163" s="238" t="s">
        <v>125</v>
      </c>
      <c r="D163" s="124">
        <v>260903.43</v>
      </c>
      <c r="E163" s="124"/>
      <c r="I163" s="119"/>
    </row>
    <row r="164" spans="1:9">
      <c r="A164" s="120"/>
      <c r="B164" s="146"/>
      <c r="C164" s="214"/>
      <c r="D164" s="121"/>
      <c r="E164" s="124"/>
      <c r="I164" s="119"/>
    </row>
    <row r="165" spans="1:9">
      <c r="A165" s="120">
        <v>44697</v>
      </c>
      <c r="B165" s="133">
        <v>9</v>
      </c>
      <c r="C165" s="238" t="s">
        <v>151</v>
      </c>
      <c r="D165" s="124">
        <v>153921.13</v>
      </c>
      <c r="E165" s="124"/>
      <c r="H165" s="118"/>
      <c r="I165" s="119"/>
    </row>
    <row r="166" spans="1:9">
      <c r="A166" s="120">
        <v>44700</v>
      </c>
      <c r="B166" s="133"/>
      <c r="C166" s="15" t="s">
        <v>152</v>
      </c>
      <c r="D166" s="121"/>
      <c r="E166" s="124">
        <v>910.58</v>
      </c>
      <c r="H166" s="118"/>
      <c r="I166" s="119"/>
    </row>
    <row r="167" spans="1:9">
      <c r="A167" s="120">
        <v>44701</v>
      </c>
      <c r="B167" s="133"/>
      <c r="C167" s="15" t="s">
        <v>153</v>
      </c>
      <c r="D167" s="121"/>
      <c r="E167" s="124">
        <v>115856.23</v>
      </c>
      <c r="H167" s="118"/>
      <c r="I167" s="119"/>
    </row>
    <row r="168" spans="1:9">
      <c r="A168" s="120">
        <v>44701</v>
      </c>
      <c r="B168" s="133"/>
      <c r="C168" s="15" t="s">
        <v>154</v>
      </c>
      <c r="D168" s="121"/>
      <c r="E168" s="124">
        <v>5040183.41</v>
      </c>
      <c r="H168" s="118"/>
      <c r="I168" s="119"/>
    </row>
    <row r="169" spans="1:9">
      <c r="A169" s="120">
        <v>44701</v>
      </c>
      <c r="B169" s="146"/>
      <c r="C169" s="15" t="s">
        <v>155</v>
      </c>
      <c r="D169" s="121"/>
      <c r="E169" s="124">
        <v>980</v>
      </c>
      <c r="H169" s="118"/>
      <c r="I169" s="119"/>
    </row>
    <row r="170" spans="1:9">
      <c r="A170" s="120">
        <v>44701</v>
      </c>
      <c r="B170" s="146"/>
      <c r="C170" s="15" t="s">
        <v>107</v>
      </c>
      <c r="D170" s="121"/>
      <c r="E170" s="124">
        <v>14.7</v>
      </c>
      <c r="H170" s="118"/>
      <c r="I170" s="119"/>
    </row>
    <row r="171" spans="1:9">
      <c r="A171" s="120">
        <v>44701</v>
      </c>
      <c r="B171" s="146"/>
      <c r="C171" s="15" t="s">
        <v>156</v>
      </c>
      <c r="D171" s="121"/>
      <c r="E171" s="124">
        <v>205.8</v>
      </c>
      <c r="H171" s="118"/>
      <c r="I171" s="119"/>
    </row>
    <row r="172" spans="1:9">
      <c r="H172" s="118"/>
      <c r="I172" s="119"/>
    </row>
    <row r="173" spans="1:9">
      <c r="A173" s="120">
        <v>44701</v>
      </c>
      <c r="B173" s="148">
        <v>56</v>
      </c>
      <c r="C173" s="123" t="s">
        <v>157</v>
      </c>
      <c r="D173" s="121"/>
      <c r="E173" s="124">
        <v>192258</v>
      </c>
      <c r="H173" s="118"/>
      <c r="I173" s="119"/>
    </row>
    <row r="174" spans="1:9">
      <c r="A174" s="120">
        <v>44708</v>
      </c>
      <c r="B174" s="148"/>
      <c r="C174" s="15" t="s">
        <v>158</v>
      </c>
      <c r="D174" s="124">
        <v>6087878.2999999998</v>
      </c>
      <c r="E174" s="156"/>
      <c r="H174" s="118"/>
      <c r="I174" s="119"/>
    </row>
    <row r="175" spans="1:9">
      <c r="A175" s="120">
        <v>44707</v>
      </c>
      <c r="B175" s="122">
        <v>31333541</v>
      </c>
      <c r="C175" s="15" t="s">
        <v>143</v>
      </c>
      <c r="D175" s="124">
        <v>380000</v>
      </c>
      <c r="E175" s="156"/>
      <c r="H175" s="118"/>
      <c r="I175" s="119"/>
    </row>
    <row r="176" spans="1:9">
      <c r="H176" s="118"/>
      <c r="I176" s="119"/>
    </row>
    <row r="177" spans="1:9">
      <c r="A177" s="120">
        <v>44708</v>
      </c>
      <c r="B177" s="146"/>
      <c r="C177" s="15" t="s">
        <v>159</v>
      </c>
      <c r="D177" s="124">
        <v>4315000</v>
      </c>
      <c r="E177" s="124"/>
      <c r="H177" s="118"/>
      <c r="I177" s="119"/>
    </row>
    <row r="178" spans="1:9">
      <c r="A178" s="120">
        <v>44711</v>
      </c>
      <c r="B178" s="146"/>
      <c r="C178" s="15" t="s">
        <v>160</v>
      </c>
      <c r="D178" s="121"/>
      <c r="E178" s="124">
        <v>10237125.859999999</v>
      </c>
      <c r="H178" s="118"/>
      <c r="I178" s="119"/>
    </row>
    <row r="179" spans="1:9">
      <c r="A179" s="120">
        <v>44712</v>
      </c>
      <c r="B179" s="146"/>
      <c r="C179" s="15" t="s">
        <v>203</v>
      </c>
      <c r="D179" s="124">
        <v>130000</v>
      </c>
      <c r="E179" s="192"/>
      <c r="I179" s="119"/>
    </row>
    <row r="180" spans="1:9">
      <c r="I180" s="119"/>
    </row>
    <row r="181" spans="1:9">
      <c r="A181" s="120"/>
      <c r="B181" s="146"/>
      <c r="C181" t="s">
        <v>218</v>
      </c>
      <c r="E181" s="184">
        <v>12876</v>
      </c>
      <c r="I181" s="119"/>
    </row>
    <row r="182" spans="1:9">
      <c r="A182" s="120"/>
      <c r="C182" s="15" t="s">
        <v>41</v>
      </c>
      <c r="E182">
        <f>60475+197706</f>
        <v>258181</v>
      </c>
      <c r="I182" s="119"/>
    </row>
    <row r="183" spans="1:9">
      <c r="A183" s="120"/>
      <c r="I183" s="119"/>
    </row>
    <row r="184" spans="1:9">
      <c r="A184" s="120"/>
      <c r="B184" s="218">
        <v>44694</v>
      </c>
      <c r="C184" s="180" t="s">
        <v>185</v>
      </c>
      <c r="D184" s="212">
        <v>79630</v>
      </c>
      <c r="E184" s="184"/>
      <c r="I184" s="119"/>
    </row>
    <row r="185" spans="1:9">
      <c r="A185" s="120"/>
      <c r="C185" s="180" t="s">
        <v>193</v>
      </c>
      <c r="D185" s="184"/>
      <c r="E185" s="184"/>
      <c r="F185" s="204" t="s">
        <v>194</v>
      </c>
      <c r="I185" s="119"/>
    </row>
    <row r="186" spans="1:9">
      <c r="A186" s="120"/>
      <c r="B186" s="148"/>
      <c r="C186" s="15"/>
      <c r="D186" s="121"/>
      <c r="E186" s="192"/>
      <c r="I186" s="119"/>
    </row>
    <row r="187" spans="1:9">
      <c r="I187" s="119"/>
    </row>
    <row r="188" spans="1:9">
      <c r="I188" s="119"/>
    </row>
    <row r="189" spans="1:9">
      <c r="I189" s="119"/>
    </row>
    <row r="190" spans="1:9">
      <c r="I190" s="119"/>
    </row>
    <row r="191" spans="1:9">
      <c r="A191" s="164" t="s">
        <v>161</v>
      </c>
      <c r="B191" s="165"/>
      <c r="C191" s="166"/>
      <c r="D191" s="167"/>
      <c r="E191" s="167"/>
    </row>
    <row r="192" spans="1:9">
      <c r="A192" s="120">
        <v>44719</v>
      </c>
      <c r="B192" s="122"/>
      <c r="C192" s="131" t="s">
        <v>162</v>
      </c>
      <c r="D192" s="124"/>
      <c r="E192" s="124">
        <v>13903.39</v>
      </c>
    </row>
    <row r="193" spans="1:9">
      <c r="A193" s="120">
        <v>44722</v>
      </c>
      <c r="B193" s="122"/>
      <c r="C193" s="131" t="s">
        <v>205</v>
      </c>
      <c r="D193" s="124">
        <v>270000</v>
      </c>
      <c r="E193" s="124"/>
    </row>
    <row r="194" spans="1:9">
      <c r="A194" s="120">
        <v>44725</v>
      </c>
      <c r="B194" s="122"/>
      <c r="C194" s="15" t="s">
        <v>163</v>
      </c>
      <c r="D194" s="121"/>
      <c r="E194" s="124">
        <f>567.32-59.57</f>
        <v>507.75000000000006</v>
      </c>
      <c r="I194" s="119"/>
    </row>
    <row r="195" spans="1:9">
      <c r="A195" s="120">
        <v>44733</v>
      </c>
      <c r="B195" s="146"/>
      <c r="C195" s="15" t="s">
        <v>164</v>
      </c>
      <c r="D195" s="124">
        <v>159502.21</v>
      </c>
      <c r="E195" s="124"/>
      <c r="I195" s="119"/>
    </row>
    <row r="196" spans="1:9">
      <c r="A196" s="120">
        <v>44733</v>
      </c>
      <c r="B196" s="148" t="s">
        <v>165</v>
      </c>
      <c r="C196" s="15" t="s">
        <v>166</v>
      </c>
      <c r="D196" s="124"/>
      <c r="E196" s="124">
        <v>51780.51</v>
      </c>
      <c r="I196" s="119"/>
    </row>
    <row r="197" spans="1:9">
      <c r="A197" s="120">
        <v>44735</v>
      </c>
      <c r="B197" s="146"/>
      <c r="C197" s="15" t="s">
        <v>145</v>
      </c>
      <c r="D197" s="121"/>
      <c r="E197" s="124">
        <v>859.56</v>
      </c>
      <c r="I197" s="119"/>
    </row>
    <row r="198" spans="1:9">
      <c r="A198" s="120"/>
      <c r="B198" s="122"/>
      <c r="C198" s="15"/>
      <c r="D198" s="121"/>
      <c r="E198" s="121"/>
      <c r="I198" s="119"/>
    </row>
    <row r="199" spans="1:9">
      <c r="A199" s="120"/>
      <c r="B199" s="146"/>
      <c r="C199" s="15"/>
      <c r="D199" s="121"/>
      <c r="E199" s="121"/>
      <c r="I199" s="119"/>
    </row>
    <row r="200" spans="1:9">
      <c r="A200" s="120">
        <v>44741</v>
      </c>
      <c r="B200" s="146" t="s">
        <v>167</v>
      </c>
      <c r="C200" s="15" t="s">
        <v>168</v>
      </c>
      <c r="D200" s="224"/>
      <c r="E200" s="124">
        <v>90100</v>
      </c>
      <c r="I200" s="119"/>
    </row>
    <row r="201" spans="1:9">
      <c r="A201" s="120"/>
      <c r="B201" s="146"/>
      <c r="C201" s="15"/>
      <c r="D201" s="121"/>
      <c r="E201" s="124"/>
      <c r="I201" s="119"/>
    </row>
    <row r="202" spans="1:9">
      <c r="A202" s="220">
        <v>44742</v>
      </c>
      <c r="C202" s="15" t="s">
        <v>41</v>
      </c>
      <c r="D202" s="192"/>
      <c r="E202" s="124">
        <f>4685+7020</f>
        <v>11705</v>
      </c>
      <c r="I202" s="119"/>
    </row>
    <row r="203" spans="1:9">
      <c r="C203" t="s">
        <v>219</v>
      </c>
      <c r="E203" s="184">
        <v>15185</v>
      </c>
      <c r="I203" s="119"/>
    </row>
    <row r="204" spans="1:9">
      <c r="I204" s="119"/>
    </row>
    <row r="205" spans="1:9">
      <c r="B205" s="218">
        <v>44733</v>
      </c>
      <c r="C205" s="180" t="s">
        <v>185</v>
      </c>
      <c r="D205" s="212">
        <v>82200</v>
      </c>
      <c r="E205" s="213"/>
      <c r="F205" s="219"/>
      <c r="I205" s="119"/>
    </row>
    <row r="206" spans="1:9">
      <c r="B206" s="219"/>
      <c r="C206" s="180" t="s">
        <v>193</v>
      </c>
      <c r="D206" s="219"/>
      <c r="E206" s="219"/>
      <c r="F206" s="219" t="s">
        <v>194</v>
      </c>
      <c r="I206" s="119"/>
    </row>
    <row r="207" spans="1:9">
      <c r="A207" s="120">
        <v>44728</v>
      </c>
      <c r="B207" s="146">
        <v>262</v>
      </c>
      <c r="C207" s="137" t="s">
        <v>246</v>
      </c>
      <c r="D207" s="393"/>
      <c r="E207" s="116">
        <f>150000+147000+31357.84+895.56</f>
        <v>329253.40000000002</v>
      </c>
      <c r="I207" s="119"/>
    </row>
    <row r="208" spans="1:9">
      <c r="A208" s="120"/>
      <c r="B208" s="146"/>
      <c r="C208" s="137"/>
      <c r="D208" s="393"/>
      <c r="E208" s="116"/>
      <c r="I208" s="119"/>
    </row>
    <row r="209" spans="1:9">
      <c r="A209" s="120"/>
      <c r="B209" s="146"/>
      <c r="C209" s="137"/>
      <c r="D209" s="393"/>
      <c r="E209" s="116"/>
      <c r="I209" s="119"/>
    </row>
    <row r="210" spans="1:9">
      <c r="I210" s="119"/>
    </row>
    <row r="211" spans="1:9">
      <c r="I211" s="119"/>
    </row>
    <row r="212" spans="1:9">
      <c r="A212" s="164"/>
      <c r="B212" s="165"/>
      <c r="C212" s="166"/>
      <c r="D212" s="167"/>
      <c r="E212" s="167"/>
      <c r="I212" s="119"/>
    </row>
    <row r="213" spans="1:9">
      <c r="I213" s="119"/>
    </row>
    <row r="214" spans="1:9">
      <c r="I214" s="119"/>
    </row>
    <row r="215" spans="1:9">
      <c r="I215" s="119"/>
    </row>
    <row r="216" spans="1:9">
      <c r="D216" s="192"/>
      <c r="E216" s="192"/>
      <c r="F216" s="219"/>
      <c r="I216" s="155"/>
    </row>
    <row r="217" spans="1:9">
      <c r="D217" s="192"/>
      <c r="E217" s="192"/>
      <c r="F217" s="219"/>
      <c r="I217" s="119"/>
    </row>
    <row r="218" spans="1:9">
      <c r="A218" s="120">
        <v>44748</v>
      </c>
      <c r="B218" s="146"/>
      <c r="C218" s="15" t="s">
        <v>169</v>
      </c>
      <c r="D218" s="121"/>
      <c r="E218" s="124">
        <v>14472.77</v>
      </c>
      <c r="F218" s="118"/>
      <c r="I218" s="119"/>
    </row>
    <row r="219" spans="1:9">
      <c r="A219" s="120">
        <v>44748</v>
      </c>
      <c r="B219" s="146"/>
      <c r="C219" s="15" t="s">
        <v>170</v>
      </c>
      <c r="D219" s="121"/>
      <c r="E219" s="124">
        <v>567.32000000000005</v>
      </c>
      <c r="F219" s="118"/>
      <c r="I219" s="119"/>
    </row>
    <row r="220" spans="1:9">
      <c r="A220" s="120">
        <v>44749</v>
      </c>
      <c r="B220" s="146"/>
      <c r="C220" s="15" t="s">
        <v>171</v>
      </c>
      <c r="D220" s="221">
        <v>10000</v>
      </c>
      <c r="E220" s="191"/>
      <c r="F220" s="118"/>
      <c r="I220" s="119"/>
    </row>
    <row r="221" spans="1:9">
      <c r="A221" s="120">
        <v>44750</v>
      </c>
      <c r="B221" s="146"/>
      <c r="C221" s="15" t="s">
        <v>171</v>
      </c>
      <c r="D221" s="221">
        <v>90000</v>
      </c>
      <c r="E221" s="196"/>
      <c r="F221" s="118"/>
      <c r="I221" s="119"/>
    </row>
    <row r="222" spans="1:9">
      <c r="A222" s="120">
        <v>44750</v>
      </c>
      <c r="B222" s="146"/>
      <c r="C222" s="15" t="s">
        <v>172</v>
      </c>
      <c r="D222" s="196"/>
      <c r="E222" s="196">
        <v>189168</v>
      </c>
      <c r="F222" s="118"/>
      <c r="I222" s="119"/>
    </row>
    <row r="223" spans="1:9">
      <c r="A223" s="120">
        <v>44753</v>
      </c>
      <c r="B223" s="146"/>
      <c r="C223" s="15" t="s">
        <v>173</v>
      </c>
      <c r="D223" s="221">
        <f>269000+19411.34</f>
        <v>288411.34000000003</v>
      </c>
      <c r="E223" s="196"/>
      <c r="F223" s="118"/>
      <c r="I223" s="119"/>
    </row>
    <row r="224" spans="1:9">
      <c r="A224" s="120"/>
      <c r="B224" s="146"/>
      <c r="C224" s="15"/>
      <c r="D224" s="221"/>
      <c r="E224" s="196"/>
      <c r="F224" s="118"/>
      <c r="I224" s="119"/>
    </row>
    <row r="225" spans="1:9">
      <c r="A225" s="120"/>
      <c r="B225" s="146"/>
      <c r="C225" s="144"/>
      <c r="D225" s="221"/>
      <c r="E225" s="196"/>
      <c r="F225" s="118"/>
      <c r="I225" s="119"/>
    </row>
    <row r="226" spans="1:9" ht="15.75">
      <c r="A226" s="120">
        <v>44752</v>
      </c>
      <c r="B226" s="146" t="s">
        <v>165</v>
      </c>
      <c r="C226" s="168" t="s">
        <v>174</v>
      </c>
      <c r="D226" s="121"/>
      <c r="E226" s="196">
        <v>122743.96</v>
      </c>
      <c r="F226" s="118"/>
      <c r="I226" s="119"/>
    </row>
    <row r="227" spans="1:9">
      <c r="A227" s="120">
        <v>44760</v>
      </c>
      <c r="B227" s="146"/>
      <c r="C227" s="123" t="s">
        <v>151</v>
      </c>
      <c r="D227" s="197">
        <v>170014.64</v>
      </c>
      <c r="E227" s="196"/>
      <c r="F227" s="118"/>
      <c r="I227" s="119"/>
    </row>
    <row r="228" spans="1:9">
      <c r="A228" s="120"/>
      <c r="B228" s="146"/>
      <c r="C228" s="15"/>
      <c r="D228" s="222"/>
      <c r="E228" s="196"/>
      <c r="F228" s="118"/>
      <c r="I228" s="119"/>
    </row>
    <row r="229" spans="1:9">
      <c r="A229" s="120">
        <v>44762</v>
      </c>
      <c r="B229" s="148" t="s">
        <v>175</v>
      </c>
      <c r="C229" s="131" t="s">
        <v>176</v>
      </c>
      <c r="D229" s="124"/>
      <c r="E229" s="197">
        <v>51776</v>
      </c>
      <c r="F229" s="118"/>
      <c r="I229" s="119"/>
    </row>
    <row r="230" spans="1:9" ht="15.75">
      <c r="A230" s="120">
        <v>44763</v>
      </c>
      <c r="B230" s="144">
        <v>32168527</v>
      </c>
      <c r="C230" s="168" t="s">
        <v>201</v>
      </c>
      <c r="D230" s="223">
        <v>130000</v>
      </c>
      <c r="E230" s="196"/>
      <c r="F230" s="118"/>
      <c r="I230" s="119"/>
    </row>
    <row r="231" spans="1:9">
      <c r="A231" s="120">
        <v>44767</v>
      </c>
      <c r="B231" s="146">
        <v>34083557</v>
      </c>
      <c r="C231" s="15" t="s">
        <v>177</v>
      </c>
      <c r="D231" s="124">
        <v>92000</v>
      </c>
      <c r="E231" s="124"/>
      <c r="F231" s="233"/>
      <c r="I231" s="119"/>
    </row>
    <row r="232" spans="1:9">
      <c r="A232" s="120"/>
      <c r="B232" s="146"/>
      <c r="C232" s="15"/>
      <c r="D232" s="121"/>
      <c r="E232" s="124"/>
      <c r="F232" s="234"/>
      <c r="I232" s="119"/>
    </row>
    <row r="233" spans="1:9">
      <c r="A233" s="120">
        <v>44753</v>
      </c>
      <c r="B233" s="146"/>
      <c r="C233" s="15" t="s">
        <v>202</v>
      </c>
      <c r="D233" s="121">
        <v>72000</v>
      </c>
      <c r="E233" s="121" t="s">
        <v>194</v>
      </c>
      <c r="F233" s="118"/>
      <c r="I233" s="119"/>
    </row>
    <row r="234" spans="1:9">
      <c r="D234" s="192"/>
      <c r="E234" s="192"/>
      <c r="F234" s="118"/>
      <c r="I234" s="119"/>
    </row>
    <row r="235" spans="1:9">
      <c r="C235" s="15" t="s">
        <v>41</v>
      </c>
      <c r="D235" s="192"/>
      <c r="E235" s="124">
        <f>4870+5990</f>
        <v>10860</v>
      </c>
      <c r="F235" s="211"/>
      <c r="I235" s="119"/>
    </row>
    <row r="236" spans="1:9">
      <c r="C236" t="s">
        <v>214</v>
      </c>
      <c r="E236" s="184">
        <v>15185</v>
      </c>
      <c r="F236" s="118"/>
      <c r="G236" s="192"/>
      <c r="I236" s="119"/>
    </row>
    <row r="237" spans="1:9">
      <c r="A237" s="177">
        <v>44746</v>
      </c>
      <c r="B237" s="178" t="s">
        <v>187</v>
      </c>
      <c r="C237" s="179"/>
      <c r="D237" s="189">
        <v>135400</v>
      </c>
      <c r="F237" s="219"/>
      <c r="G237" s="192"/>
      <c r="I237" s="119"/>
    </row>
    <row r="238" spans="1:9">
      <c r="A238" s="177">
        <v>44749</v>
      </c>
      <c r="B238" s="178" t="s">
        <v>188</v>
      </c>
      <c r="C238" s="170"/>
      <c r="D238" s="189">
        <v>189168</v>
      </c>
      <c r="F238" s="219"/>
      <c r="G238" s="118"/>
      <c r="I238" s="119"/>
    </row>
    <row r="239" spans="1:9">
      <c r="B239" s="180" t="s">
        <v>193</v>
      </c>
      <c r="E239" t="s">
        <v>194</v>
      </c>
      <c r="F239" s="219"/>
      <c r="G239" s="118"/>
      <c r="I239" s="119"/>
    </row>
    <row r="240" spans="1:9">
      <c r="G240" s="118"/>
      <c r="I240" s="119"/>
    </row>
    <row r="241" spans="1:9">
      <c r="G241" s="118"/>
      <c r="I241" s="119"/>
    </row>
    <row r="242" spans="1:9">
      <c r="G242" s="118"/>
      <c r="I242" s="119"/>
    </row>
    <row r="243" spans="1:9">
      <c r="A243" t="s">
        <v>213</v>
      </c>
      <c r="C243" s="184">
        <v>15185</v>
      </c>
      <c r="G243" s="118"/>
      <c r="I243" s="119"/>
    </row>
    <row r="244" spans="1:9">
      <c r="A244" s="61" t="s">
        <v>240</v>
      </c>
      <c r="B244" s="548"/>
      <c r="C244" s="548"/>
      <c r="D244" s="548">
        <v>3845160</v>
      </c>
      <c r="E244" t="s">
        <v>241</v>
      </c>
      <c r="G244" s="118"/>
      <c r="I244" s="119"/>
    </row>
    <row r="245" spans="1:9">
      <c r="I245" s="119"/>
    </row>
    <row r="246" spans="1:9">
      <c r="F246"/>
    </row>
    <row r="247" spans="1:9">
      <c r="F247"/>
    </row>
    <row r="248" spans="1:9">
      <c r="F248"/>
    </row>
    <row r="249" spans="1:9">
      <c r="A249" s="164" t="s">
        <v>447</v>
      </c>
      <c r="B249" s="165"/>
      <c r="C249" s="166"/>
      <c r="D249" s="167"/>
      <c r="E249" s="167"/>
      <c r="F249"/>
    </row>
    <row r="250" spans="1:9">
      <c r="A250" s="120">
        <v>44803</v>
      </c>
      <c r="B250" s="146">
        <v>267</v>
      </c>
      <c r="C250" s="15" t="s">
        <v>339</v>
      </c>
      <c r="D250" s="124"/>
      <c r="E250" s="486">
        <v>150000</v>
      </c>
      <c r="F250"/>
    </row>
    <row r="251" spans="1:9">
      <c r="A251" s="120">
        <v>44809</v>
      </c>
      <c r="B251" s="146"/>
      <c r="C251" s="15" t="s">
        <v>335</v>
      </c>
      <c r="D251" s="124"/>
      <c r="E251" s="486">
        <v>16138.82</v>
      </c>
      <c r="F251"/>
    </row>
    <row r="252" spans="1:9">
      <c r="A252" s="120">
        <v>44810</v>
      </c>
      <c r="B252" s="146"/>
      <c r="C252" s="15" t="s">
        <v>336</v>
      </c>
      <c r="D252" s="486">
        <f>102500+27083.86</f>
        <v>129583.86</v>
      </c>
      <c r="E252" s="124"/>
      <c r="F252"/>
    </row>
    <row r="253" spans="1:9" ht="15" customHeight="1">
      <c r="A253" s="120">
        <v>44810</v>
      </c>
      <c r="B253" s="146" t="s">
        <v>337</v>
      </c>
      <c r="C253" s="144" t="s">
        <v>338</v>
      </c>
      <c r="D253" s="124"/>
      <c r="E253" s="486">
        <v>117873.60000000001</v>
      </c>
      <c r="F253"/>
    </row>
    <row r="254" spans="1:9">
      <c r="A254" s="120">
        <v>44811</v>
      </c>
      <c r="B254" s="146"/>
      <c r="C254" s="15" t="s">
        <v>340</v>
      </c>
      <c r="D254" s="124"/>
      <c r="E254" s="486">
        <v>680.7</v>
      </c>
      <c r="F254"/>
    </row>
    <row r="255" spans="1:9">
      <c r="A255" s="120">
        <v>44811</v>
      </c>
      <c r="B255" s="146"/>
      <c r="C255" s="15" t="s">
        <v>341</v>
      </c>
      <c r="D255" s="124"/>
      <c r="E255" s="486">
        <v>236775</v>
      </c>
      <c r="F255"/>
    </row>
    <row r="256" spans="1:9" ht="15.75" customHeight="1">
      <c r="A256" s="120">
        <v>44813</v>
      </c>
      <c r="B256" s="146"/>
      <c r="C256" s="15" t="s">
        <v>342</v>
      </c>
      <c r="D256" s="486">
        <f>138000+190670</f>
        <v>328670</v>
      </c>
      <c r="E256" s="124"/>
      <c r="F256"/>
    </row>
    <row r="257" spans="1:6" ht="15.75">
      <c r="A257" s="120">
        <v>44818</v>
      </c>
      <c r="B257" s="122" t="s">
        <v>343</v>
      </c>
      <c r="C257" s="168" t="s">
        <v>450</v>
      </c>
      <c r="D257" s="191"/>
      <c r="E257" s="486">
        <v>122738</v>
      </c>
      <c r="F257"/>
    </row>
    <row r="258" spans="1:6">
      <c r="A258" s="120">
        <v>44818</v>
      </c>
      <c r="B258" s="146">
        <v>225</v>
      </c>
      <c r="C258" s="131" t="s">
        <v>346</v>
      </c>
      <c r="D258" s="124"/>
      <c r="E258" s="486">
        <v>500000</v>
      </c>
      <c r="F258"/>
    </row>
    <row r="259" spans="1:6">
      <c r="A259" s="120">
        <v>44818</v>
      </c>
      <c r="B259" s="146">
        <v>217</v>
      </c>
      <c r="C259" s="15" t="s">
        <v>327</v>
      </c>
      <c r="D259" s="124"/>
      <c r="E259" s="486">
        <v>500000</v>
      </c>
      <c r="F259"/>
    </row>
    <row r="260" spans="1:6">
      <c r="A260" s="120">
        <v>44819</v>
      </c>
      <c r="B260" s="146">
        <v>219</v>
      </c>
      <c r="C260" s="15" t="s">
        <v>327</v>
      </c>
      <c r="D260" s="124"/>
      <c r="E260" s="486">
        <v>500000</v>
      </c>
      <c r="F260"/>
    </row>
    <row r="261" spans="1:6">
      <c r="A261" s="120">
        <v>44819</v>
      </c>
      <c r="B261" s="146">
        <v>427</v>
      </c>
      <c r="C261" s="131" t="s">
        <v>346</v>
      </c>
      <c r="D261" s="124"/>
      <c r="E261" s="486">
        <v>500000</v>
      </c>
      <c r="F261"/>
    </row>
    <row r="262" spans="1:6">
      <c r="A262" s="120">
        <v>44820</v>
      </c>
      <c r="B262" s="146">
        <v>428</v>
      </c>
      <c r="C262" s="131" t="s">
        <v>346</v>
      </c>
      <c r="D262" s="124"/>
      <c r="E262" s="486">
        <v>419918.37</v>
      </c>
      <c r="F262"/>
    </row>
    <row r="263" spans="1:6">
      <c r="A263" s="120">
        <v>44821</v>
      </c>
      <c r="B263" s="146" t="s">
        <v>451</v>
      </c>
      <c r="C263" s="131" t="s">
        <v>349</v>
      </c>
      <c r="D263" s="124"/>
      <c r="E263" s="486">
        <v>16006.02</v>
      </c>
      <c r="F263"/>
    </row>
    <row r="264" spans="1:6">
      <c r="A264" s="120">
        <v>44823</v>
      </c>
      <c r="B264" s="146"/>
      <c r="C264" s="131" t="s">
        <v>324</v>
      </c>
      <c r="D264" s="486">
        <v>193942.15</v>
      </c>
      <c r="E264" s="124"/>
      <c r="F264"/>
    </row>
    <row r="265" spans="1:6">
      <c r="A265" s="120">
        <v>44824</v>
      </c>
      <c r="B265" s="146"/>
      <c r="C265" s="131" t="s">
        <v>347</v>
      </c>
      <c r="D265" s="124"/>
      <c r="E265" s="486">
        <v>341664.3</v>
      </c>
      <c r="F265"/>
    </row>
    <row r="266" spans="1:6">
      <c r="A266" s="120">
        <v>44824</v>
      </c>
      <c r="B266" s="146">
        <v>220</v>
      </c>
      <c r="C266" s="15" t="s">
        <v>327</v>
      </c>
      <c r="D266" s="124"/>
      <c r="E266" s="486">
        <v>500000</v>
      </c>
      <c r="F266"/>
    </row>
    <row r="267" spans="1:6">
      <c r="A267" s="120">
        <v>44825</v>
      </c>
      <c r="B267" s="146"/>
      <c r="C267" s="131" t="s">
        <v>348</v>
      </c>
      <c r="D267" s="124"/>
      <c r="E267" s="486">
        <v>51776</v>
      </c>
      <c r="F267"/>
    </row>
    <row r="268" spans="1:6">
      <c r="A268" s="120">
        <v>44826</v>
      </c>
      <c r="B268" s="146">
        <v>221</v>
      </c>
      <c r="C268" s="15" t="s">
        <v>327</v>
      </c>
      <c r="D268" s="124"/>
      <c r="E268" s="486">
        <v>766666.67</v>
      </c>
      <c r="F268"/>
    </row>
    <row r="269" spans="1:6">
      <c r="A269" s="120">
        <v>44826</v>
      </c>
      <c r="B269" s="146">
        <v>437</v>
      </c>
      <c r="C269" s="131" t="s">
        <v>350</v>
      </c>
      <c r="D269" s="124"/>
      <c r="E269" s="486">
        <v>375000</v>
      </c>
      <c r="F269"/>
    </row>
    <row r="270" spans="1:6">
      <c r="A270" s="120">
        <v>44831</v>
      </c>
      <c r="B270" s="146" t="s">
        <v>337</v>
      </c>
      <c r="C270" s="15" t="s">
        <v>351</v>
      </c>
      <c r="D270" s="124"/>
      <c r="E270" s="486">
        <v>54247.24</v>
      </c>
      <c r="F270"/>
    </row>
    <row r="271" spans="1:6">
      <c r="A271" s="120">
        <v>44831</v>
      </c>
      <c r="B271" s="146">
        <v>438</v>
      </c>
      <c r="C271" s="131" t="s">
        <v>350</v>
      </c>
      <c r="D271" s="124"/>
      <c r="E271" s="486">
        <v>375000</v>
      </c>
      <c r="F271"/>
    </row>
    <row r="272" spans="1:6">
      <c r="A272" s="120">
        <v>44833</v>
      </c>
      <c r="B272" s="146"/>
      <c r="C272" s="15" t="s">
        <v>452</v>
      </c>
      <c r="D272" s="121"/>
      <c r="E272" s="486">
        <v>3300</v>
      </c>
      <c r="F272"/>
    </row>
    <row r="273" spans="1:8">
      <c r="A273" s="120"/>
      <c r="B273" s="146"/>
      <c r="C273" s="15"/>
      <c r="F273"/>
    </row>
    <row r="274" spans="1:8">
      <c r="A274" s="120"/>
      <c r="B274" s="146"/>
      <c r="C274" s="15"/>
      <c r="F274"/>
    </row>
    <row r="275" spans="1:8">
      <c r="A275" s="120"/>
      <c r="B275" s="146"/>
      <c r="C275" s="15" t="s">
        <v>41</v>
      </c>
      <c r="D275" s="124"/>
      <c r="E275" s="124">
        <f>2800+67000</f>
        <v>69800</v>
      </c>
      <c r="F275"/>
    </row>
    <row r="276" spans="1:8">
      <c r="A276" s="120"/>
      <c r="B276" s="146"/>
      <c r="C276" s="15"/>
      <c r="F276"/>
    </row>
    <row r="277" spans="1:8">
      <c r="A277" s="164" t="s">
        <v>493</v>
      </c>
      <c r="B277" s="165"/>
      <c r="C277" s="166"/>
      <c r="D277" s="611"/>
      <c r="E277" s="611"/>
      <c r="F277" s="611"/>
    </row>
    <row r="278" spans="1:8">
      <c r="A278" s="120"/>
      <c r="B278" s="146"/>
      <c r="C278" s="15"/>
      <c r="F278"/>
    </row>
    <row r="279" spans="1:8">
      <c r="A279" s="120"/>
      <c r="B279" s="146"/>
      <c r="C279" s="15"/>
      <c r="F279"/>
    </row>
    <row r="280" spans="1:8">
      <c r="A280" s="499">
        <v>44819</v>
      </c>
      <c r="B280" s="604">
        <v>426</v>
      </c>
      <c r="C280" s="605" t="s">
        <v>346</v>
      </c>
      <c r="D280" s="124"/>
      <c r="E280" s="124">
        <v>500000</v>
      </c>
      <c r="F280" s="192"/>
      <c r="G280" s="192"/>
      <c r="H280" s="192"/>
    </row>
    <row r="281" spans="1:8">
      <c r="A281" s="499">
        <v>44837</v>
      </c>
      <c r="B281" s="604">
        <v>439</v>
      </c>
      <c r="C281" s="605" t="s">
        <v>350</v>
      </c>
      <c r="D281" s="124"/>
      <c r="E281" s="124">
        <v>750000</v>
      </c>
      <c r="F281" s="192"/>
      <c r="G281" s="192"/>
      <c r="H281" s="192"/>
    </row>
    <row r="282" spans="1:8">
      <c r="A282" s="499">
        <v>44837</v>
      </c>
      <c r="B282" s="604"/>
      <c r="C282" s="214" t="s">
        <v>354</v>
      </c>
      <c r="D282" s="124">
        <v>200000</v>
      </c>
      <c r="E282" s="124">
        <v>200000</v>
      </c>
      <c r="F282" s="192"/>
      <c r="G282" s="192"/>
      <c r="H282" s="192"/>
    </row>
    <row r="283" spans="1:8" ht="15" customHeight="1">
      <c r="A283" s="499">
        <v>44845</v>
      </c>
      <c r="B283" s="604"/>
      <c r="C283" s="208" t="s">
        <v>355</v>
      </c>
      <c r="D283" s="124">
        <v>262349.7</v>
      </c>
      <c r="E283" s="124"/>
      <c r="F283" s="192"/>
      <c r="G283" s="192"/>
      <c r="H283" s="192"/>
    </row>
    <row r="284" spans="1:8">
      <c r="A284" s="499">
        <v>44846</v>
      </c>
      <c r="B284" s="604"/>
      <c r="C284" s="214" t="s">
        <v>342</v>
      </c>
      <c r="D284" s="124">
        <f>51111.41+300000</f>
        <v>351111.41000000003</v>
      </c>
      <c r="E284" s="124"/>
      <c r="F284" s="192"/>
      <c r="G284" s="192"/>
      <c r="H284" s="192"/>
    </row>
    <row r="285" spans="1:8">
      <c r="A285" s="499">
        <v>44847</v>
      </c>
      <c r="B285" s="604"/>
      <c r="C285" s="214" t="s">
        <v>356</v>
      </c>
      <c r="D285" s="124"/>
      <c r="E285" s="124">
        <v>7400</v>
      </c>
      <c r="F285" s="192"/>
      <c r="G285" s="192"/>
      <c r="H285" s="192"/>
    </row>
    <row r="286" spans="1:8">
      <c r="A286" s="499">
        <v>44847</v>
      </c>
      <c r="B286" s="604"/>
      <c r="C286" s="214" t="s">
        <v>357</v>
      </c>
      <c r="D286" s="124"/>
      <c r="E286" s="124">
        <v>64000</v>
      </c>
      <c r="F286" s="192"/>
      <c r="G286" s="192"/>
      <c r="H286" s="192"/>
    </row>
    <row r="287" spans="1:8" ht="15.75">
      <c r="A287" s="499">
        <v>44847</v>
      </c>
      <c r="B287" s="606" t="s">
        <v>455</v>
      </c>
      <c r="C287" s="607" t="s">
        <v>450</v>
      </c>
      <c r="D287" s="191"/>
      <c r="E287" s="124">
        <v>122738</v>
      </c>
      <c r="F287" s="192"/>
      <c r="G287" s="192"/>
      <c r="H287" s="192"/>
    </row>
    <row r="288" spans="1:8">
      <c r="A288" s="499">
        <v>44847</v>
      </c>
      <c r="B288" s="608"/>
      <c r="C288" s="605" t="s">
        <v>358</v>
      </c>
      <c r="D288" s="124"/>
      <c r="E288" s="124">
        <v>270</v>
      </c>
      <c r="F288" s="192"/>
      <c r="G288" s="192"/>
      <c r="H288" s="192"/>
    </row>
    <row r="289" spans="1:8">
      <c r="A289" s="499">
        <v>44847</v>
      </c>
      <c r="B289" s="606">
        <v>429</v>
      </c>
      <c r="C289" s="605" t="s">
        <v>346</v>
      </c>
      <c r="D289" s="124"/>
      <c r="E289" s="124">
        <v>500000</v>
      </c>
      <c r="F289" s="192"/>
      <c r="G289" s="192"/>
      <c r="H289" s="192"/>
    </row>
    <row r="290" spans="1:8">
      <c r="A290" s="499">
        <v>44848</v>
      </c>
      <c r="B290" s="608"/>
      <c r="C290" s="605" t="s">
        <v>359</v>
      </c>
      <c r="D290" s="124"/>
      <c r="E290" s="124">
        <f>1446.08+19383.97</f>
        <v>20830.050000000003</v>
      </c>
      <c r="F290" s="192"/>
      <c r="G290" s="192"/>
      <c r="H290" s="192"/>
    </row>
    <row r="291" spans="1:8">
      <c r="A291" s="499">
        <v>44848</v>
      </c>
      <c r="B291" s="608"/>
      <c r="C291" s="214" t="s">
        <v>360</v>
      </c>
      <c r="D291" s="138"/>
      <c r="E291" s="124">
        <v>769.13</v>
      </c>
      <c r="F291" s="192"/>
      <c r="G291" s="192"/>
      <c r="H291" s="192"/>
    </row>
    <row r="292" spans="1:8">
      <c r="A292" s="499">
        <v>44848</v>
      </c>
      <c r="B292" s="604">
        <v>271</v>
      </c>
      <c r="C292" s="214" t="s">
        <v>362</v>
      </c>
      <c r="D292" s="224"/>
      <c r="E292" s="191">
        <v>54970</v>
      </c>
      <c r="F292" s="118"/>
      <c r="G292" s="192"/>
      <c r="H292" s="192"/>
    </row>
    <row r="293" spans="1:8" ht="15.75" customHeight="1">
      <c r="A293" s="499">
        <v>44848</v>
      </c>
      <c r="B293" s="604">
        <v>222</v>
      </c>
      <c r="C293" s="214" t="s">
        <v>327</v>
      </c>
      <c r="D293" s="124"/>
      <c r="E293" s="124">
        <v>500000</v>
      </c>
      <c r="F293" s="118"/>
      <c r="G293" s="118"/>
      <c r="H293" s="118"/>
    </row>
    <row r="294" spans="1:8">
      <c r="A294" s="499">
        <v>44848</v>
      </c>
      <c r="B294" s="606">
        <v>430</v>
      </c>
      <c r="C294" s="605" t="s">
        <v>346</v>
      </c>
      <c r="D294" s="124"/>
      <c r="E294" s="124">
        <v>500000</v>
      </c>
      <c r="F294" s="118"/>
      <c r="G294" s="118"/>
      <c r="H294" s="118"/>
    </row>
    <row r="295" spans="1:8">
      <c r="A295" s="499">
        <v>44851</v>
      </c>
      <c r="B295" s="606"/>
      <c r="C295" s="214" t="s">
        <v>363</v>
      </c>
      <c r="D295" s="124">
        <v>207194.14</v>
      </c>
      <c r="E295" s="124"/>
      <c r="F295" s="118"/>
      <c r="G295" s="192"/>
      <c r="H295" s="192"/>
    </row>
    <row r="296" spans="1:8">
      <c r="A296" s="499">
        <v>44852</v>
      </c>
      <c r="B296" s="604">
        <v>223</v>
      </c>
      <c r="C296" s="214" t="s">
        <v>327</v>
      </c>
      <c r="D296" s="124"/>
      <c r="E296" s="124">
        <v>500000</v>
      </c>
      <c r="F296" s="118"/>
      <c r="G296" s="118"/>
      <c r="H296" s="118"/>
    </row>
    <row r="297" spans="1:8">
      <c r="A297" s="499">
        <v>44852</v>
      </c>
      <c r="B297" s="606">
        <v>431</v>
      </c>
      <c r="C297" s="214" t="s">
        <v>346</v>
      </c>
      <c r="D297" s="124"/>
      <c r="E297" s="124">
        <v>500000</v>
      </c>
      <c r="F297" s="118"/>
      <c r="G297" s="118"/>
      <c r="H297" s="118"/>
    </row>
    <row r="298" spans="1:8">
      <c r="A298" s="499">
        <v>44853</v>
      </c>
      <c r="B298" s="604">
        <v>262</v>
      </c>
      <c r="C298" s="214" t="s">
        <v>246</v>
      </c>
      <c r="D298" s="224"/>
      <c r="E298" s="191">
        <v>31357.84</v>
      </c>
      <c r="F298" s="118"/>
      <c r="G298" s="118"/>
      <c r="H298" s="118"/>
    </row>
    <row r="299" spans="1:8">
      <c r="A299" s="499">
        <v>44853</v>
      </c>
      <c r="B299" s="604" t="s">
        <v>457</v>
      </c>
      <c r="C299" s="214" t="s">
        <v>365</v>
      </c>
      <c r="D299" s="124"/>
      <c r="E299" s="124">
        <v>16005</v>
      </c>
      <c r="F299" s="118"/>
      <c r="G299" s="118"/>
      <c r="H299" s="118"/>
    </row>
    <row r="300" spans="1:8">
      <c r="A300" s="499">
        <v>44853</v>
      </c>
      <c r="B300" s="604"/>
      <c r="C300" s="214" t="s">
        <v>344</v>
      </c>
      <c r="D300" s="124"/>
      <c r="E300" s="124">
        <v>51776</v>
      </c>
      <c r="F300" s="118"/>
      <c r="G300" s="118"/>
      <c r="H300" s="118"/>
    </row>
    <row r="301" spans="1:8">
      <c r="A301" s="499">
        <v>44853</v>
      </c>
      <c r="B301" s="606">
        <v>432</v>
      </c>
      <c r="C301" s="605" t="s">
        <v>346</v>
      </c>
      <c r="D301" s="124"/>
      <c r="E301" s="124">
        <v>419918.37</v>
      </c>
      <c r="F301" s="118"/>
      <c r="G301" s="118"/>
      <c r="H301" s="118"/>
    </row>
    <row r="302" spans="1:8">
      <c r="A302" s="499">
        <v>44853</v>
      </c>
      <c r="B302" s="604">
        <v>454</v>
      </c>
      <c r="C302" s="605" t="s">
        <v>370</v>
      </c>
      <c r="D302" s="124"/>
      <c r="E302" s="124">
        <v>660000</v>
      </c>
      <c r="F302" s="118"/>
      <c r="G302" s="118"/>
      <c r="H302" s="118"/>
    </row>
    <row r="303" spans="1:8">
      <c r="A303" s="499">
        <v>44854</v>
      </c>
      <c r="B303" s="604">
        <v>440</v>
      </c>
      <c r="C303" s="214" t="s">
        <v>350</v>
      </c>
      <c r="D303" s="124"/>
      <c r="E303" s="124">
        <v>200000</v>
      </c>
      <c r="F303" s="118"/>
      <c r="G303" s="118"/>
      <c r="H303" s="118"/>
    </row>
    <row r="304" spans="1:8">
      <c r="A304" s="499">
        <v>44855</v>
      </c>
      <c r="B304" s="604">
        <v>224</v>
      </c>
      <c r="C304" s="214" t="s">
        <v>327</v>
      </c>
      <c r="D304" s="124"/>
      <c r="E304" s="124">
        <v>766666.67</v>
      </c>
      <c r="F304" s="118"/>
      <c r="G304" s="118"/>
      <c r="H304" s="118"/>
    </row>
    <row r="305" spans="1:8">
      <c r="A305" s="499">
        <v>44855</v>
      </c>
      <c r="B305" s="604">
        <v>56</v>
      </c>
      <c r="C305" s="214" t="s">
        <v>367</v>
      </c>
      <c r="D305" s="124">
        <f>20763+29283.24+22314.67+75000+21648.53</f>
        <v>169009.44</v>
      </c>
      <c r="E305" s="124"/>
      <c r="F305" s="118"/>
      <c r="G305" s="118"/>
      <c r="H305" s="118"/>
    </row>
    <row r="306" spans="1:8">
      <c r="A306" s="499">
        <v>44858</v>
      </c>
      <c r="B306" s="606"/>
      <c r="C306" s="605" t="s">
        <v>369</v>
      </c>
      <c r="D306" s="124"/>
      <c r="E306" s="124">
        <v>11785.9</v>
      </c>
      <c r="F306" s="118"/>
      <c r="G306" s="118"/>
      <c r="H306" s="118"/>
    </row>
    <row r="307" spans="1:8">
      <c r="A307" s="499">
        <v>44859</v>
      </c>
      <c r="B307" s="604">
        <v>456</v>
      </c>
      <c r="C307" s="605" t="s">
        <v>370</v>
      </c>
      <c r="D307" s="124"/>
      <c r="E307" s="124">
        <v>680000</v>
      </c>
      <c r="F307" s="118"/>
      <c r="G307" s="118"/>
      <c r="H307" s="118"/>
    </row>
    <row r="308" spans="1:8">
      <c r="A308" s="499">
        <v>44864</v>
      </c>
      <c r="B308" s="604"/>
      <c r="C308" s="214" t="s">
        <v>41</v>
      </c>
      <c r="D308" s="121"/>
      <c r="E308" s="124">
        <f>5300+84000+2800</f>
        <v>92100</v>
      </c>
      <c r="F308" s="118"/>
      <c r="G308" s="118"/>
      <c r="H308" s="118"/>
    </row>
    <row r="309" spans="1:8">
      <c r="A309" s="499"/>
      <c r="B309" s="604"/>
      <c r="C309" s="214"/>
      <c r="D309" s="124"/>
      <c r="E309" s="124"/>
      <c r="F309" s="118"/>
      <c r="G309" s="118"/>
      <c r="H309" s="118"/>
    </row>
    <row r="310" spans="1:8">
      <c r="A310" s="499"/>
      <c r="B310" s="604"/>
      <c r="C310" s="214"/>
      <c r="D310" s="124"/>
      <c r="E310" s="124"/>
      <c r="F310" s="118"/>
      <c r="G310" s="118"/>
      <c r="H310" s="118"/>
    </row>
    <row r="311" spans="1:8">
      <c r="A311" s="499"/>
      <c r="B311" s="604"/>
      <c r="C311" s="214"/>
      <c r="D311" s="124"/>
      <c r="E311" s="124"/>
      <c r="F311" s="118"/>
      <c r="G311" s="118"/>
      <c r="H311" s="118"/>
    </row>
    <row r="312" spans="1:8">
      <c r="A312" s="499"/>
      <c r="B312" s="604"/>
      <c r="C312" s="214"/>
      <c r="D312" s="124"/>
      <c r="E312" s="124"/>
      <c r="F312" s="192"/>
      <c r="G312" s="192"/>
      <c r="H312" s="192"/>
    </row>
    <row r="313" spans="1:8">
      <c r="A313" s="499"/>
      <c r="B313" s="604"/>
      <c r="C313" s="214"/>
      <c r="D313" s="192"/>
      <c r="E313" s="192"/>
      <c r="F313" s="192"/>
      <c r="G313" s="192"/>
      <c r="H313" s="192"/>
    </row>
    <row r="314" spans="1:8">
      <c r="A314" s="499"/>
      <c r="B314" s="604"/>
      <c r="C314" s="214"/>
      <c r="D314" s="192"/>
      <c r="E314" s="192"/>
      <c r="F314" s="192"/>
      <c r="G314" s="192"/>
      <c r="H314" s="192"/>
    </row>
    <row r="315" spans="1:8">
      <c r="A315" s="164" t="s">
        <v>494</v>
      </c>
      <c r="B315" s="165"/>
      <c r="C315" s="610"/>
      <c r="D315" s="611"/>
      <c r="E315" s="611"/>
      <c r="F315" s="611"/>
      <c r="G315" s="192"/>
      <c r="H315" s="192"/>
    </row>
    <row r="316" spans="1:8">
      <c r="A316" s="499"/>
      <c r="B316" s="604"/>
      <c r="C316" s="214"/>
      <c r="D316" s="192"/>
      <c r="E316" s="192"/>
      <c r="F316" s="192"/>
      <c r="G316" s="192"/>
      <c r="H316" s="192"/>
    </row>
    <row r="317" spans="1:8" ht="15.75">
      <c r="A317" s="499">
        <v>44854</v>
      </c>
      <c r="B317" s="604">
        <v>450</v>
      </c>
      <c r="C317" s="605" t="s">
        <v>375</v>
      </c>
      <c r="D317" s="124"/>
      <c r="E317" s="609">
        <v>1000000</v>
      </c>
      <c r="F317" s="118"/>
      <c r="G317" s="118"/>
      <c r="H317" s="118"/>
    </row>
    <row r="318" spans="1:8" ht="15.75">
      <c r="A318" s="499">
        <v>44855</v>
      </c>
      <c r="B318" s="604">
        <v>455</v>
      </c>
      <c r="C318" s="605" t="s">
        <v>370</v>
      </c>
      <c r="D318" s="124"/>
      <c r="E318" s="609">
        <v>660000</v>
      </c>
      <c r="F318" s="118"/>
      <c r="G318" s="118"/>
      <c r="H318" s="118"/>
    </row>
    <row r="319" spans="1:8" ht="15.75">
      <c r="A319" s="499">
        <v>44867</v>
      </c>
      <c r="B319" s="604"/>
      <c r="C319" s="605" t="s">
        <v>371</v>
      </c>
      <c r="D319" s="124"/>
      <c r="E319" s="609">
        <f>3000000+3000000</f>
        <v>6000000</v>
      </c>
      <c r="F319" s="118"/>
      <c r="G319" s="118"/>
      <c r="H319" s="118"/>
    </row>
    <row r="320" spans="1:8" ht="15.75">
      <c r="A320" s="499">
        <v>44867</v>
      </c>
      <c r="B320" s="604"/>
      <c r="C320" s="238" t="s">
        <v>372</v>
      </c>
      <c r="D320" s="121"/>
      <c r="E320" s="609">
        <v>728.86</v>
      </c>
      <c r="F320" s="118"/>
      <c r="G320" s="118"/>
      <c r="H320" s="118"/>
    </row>
    <row r="321" spans="1:8" ht="15.75">
      <c r="A321" s="499">
        <v>44868</v>
      </c>
      <c r="B321" s="604"/>
      <c r="C321" s="605" t="s">
        <v>373</v>
      </c>
      <c r="D321" s="124"/>
      <c r="E321" s="609">
        <v>9440.3700000000008</v>
      </c>
      <c r="F321" s="118"/>
      <c r="G321" s="118"/>
      <c r="H321" s="118"/>
    </row>
    <row r="322" spans="1:8" ht="15.75">
      <c r="A322" s="499">
        <v>44868</v>
      </c>
      <c r="B322" s="604"/>
      <c r="C322" s="605" t="s">
        <v>374</v>
      </c>
      <c r="D322" s="124"/>
      <c r="E322" s="609">
        <v>17894.82</v>
      </c>
      <c r="F322" s="118"/>
      <c r="G322" s="118"/>
      <c r="H322" s="118"/>
    </row>
    <row r="323" spans="1:8" ht="15.75">
      <c r="A323" s="499">
        <v>44870</v>
      </c>
      <c r="B323" s="604"/>
      <c r="C323" s="897" t="s">
        <v>376</v>
      </c>
      <c r="D323" s="609">
        <f>150000+8020+220000</f>
        <v>378020</v>
      </c>
      <c r="E323" s="609"/>
      <c r="F323" s="118"/>
      <c r="G323" s="118"/>
      <c r="H323" s="118"/>
    </row>
    <row r="324" spans="1:8" ht="15.75">
      <c r="A324" s="499">
        <v>44872</v>
      </c>
      <c r="B324" s="604">
        <v>451</v>
      </c>
      <c r="C324" s="502" t="s">
        <v>375</v>
      </c>
      <c r="D324" s="124"/>
      <c r="E324" s="609">
        <v>1000000</v>
      </c>
      <c r="F324" s="118"/>
      <c r="G324" s="118"/>
      <c r="H324" s="118"/>
    </row>
    <row r="325" spans="1:8" ht="15.75" customHeight="1">
      <c r="A325" s="499">
        <v>44875</v>
      </c>
      <c r="B325" s="604"/>
      <c r="C325" s="208" t="s">
        <v>355</v>
      </c>
      <c r="D325" s="609">
        <v>282446.78999999998</v>
      </c>
      <c r="E325" s="124"/>
      <c r="F325" s="118"/>
      <c r="G325" s="118"/>
      <c r="H325" s="118"/>
    </row>
    <row r="326" spans="1:8" ht="15.75">
      <c r="A326" s="499">
        <v>44875</v>
      </c>
      <c r="B326" s="606" t="s">
        <v>461</v>
      </c>
      <c r="C326" s="607" t="s">
        <v>450</v>
      </c>
      <c r="D326" s="124"/>
      <c r="E326" s="609">
        <v>122738</v>
      </c>
      <c r="F326" s="118"/>
      <c r="G326" s="118"/>
      <c r="H326" s="118"/>
    </row>
    <row r="327" spans="1:8" ht="15.75">
      <c r="A327" s="499">
        <v>44880</v>
      </c>
      <c r="B327" s="606">
        <v>433</v>
      </c>
      <c r="C327" s="605" t="s">
        <v>346</v>
      </c>
      <c r="D327" s="124"/>
      <c r="E327" s="609">
        <v>500000</v>
      </c>
      <c r="F327" s="118"/>
      <c r="G327" s="118"/>
      <c r="H327" s="118"/>
    </row>
    <row r="328" spans="1:8" ht="15.75">
      <c r="A328" s="499">
        <v>44881</v>
      </c>
      <c r="B328" s="604"/>
      <c r="C328" s="605" t="s">
        <v>380</v>
      </c>
      <c r="D328" s="609">
        <v>223066.09</v>
      </c>
      <c r="E328" s="124"/>
      <c r="F328" s="118"/>
      <c r="G328" s="118"/>
      <c r="H328" s="118"/>
    </row>
    <row r="329" spans="1:8" ht="15.75">
      <c r="A329" s="499">
        <v>44881</v>
      </c>
      <c r="B329" s="604"/>
      <c r="C329" s="607" t="s">
        <v>381</v>
      </c>
      <c r="D329" s="124"/>
      <c r="E329" s="609">
        <v>60455.040000000001</v>
      </c>
      <c r="F329" s="118"/>
      <c r="G329" s="118"/>
      <c r="H329" s="118"/>
    </row>
    <row r="330" spans="1:8" ht="15.75">
      <c r="A330" s="499">
        <v>44881</v>
      </c>
      <c r="B330" s="606">
        <v>434</v>
      </c>
      <c r="C330" s="605" t="s">
        <v>346</v>
      </c>
      <c r="D330" s="124"/>
      <c r="E330" s="609">
        <v>500000</v>
      </c>
      <c r="F330" s="118"/>
      <c r="G330" s="118"/>
      <c r="H330" s="118"/>
    </row>
    <row r="331" spans="1:8">
      <c r="A331" s="499">
        <v>44882</v>
      </c>
      <c r="B331" s="604"/>
      <c r="C331" s="605" t="s">
        <v>382</v>
      </c>
      <c r="D331" s="124"/>
      <c r="E331" s="124">
        <v>51776</v>
      </c>
      <c r="F331" s="118"/>
      <c r="G331" s="118"/>
      <c r="H331" s="118"/>
    </row>
    <row r="332" spans="1:8">
      <c r="A332" s="499">
        <v>44882</v>
      </c>
      <c r="B332" s="604" t="s">
        <v>462</v>
      </c>
      <c r="C332" s="605" t="s">
        <v>383</v>
      </c>
      <c r="D332" s="124"/>
      <c r="E332" s="124">
        <v>16005</v>
      </c>
      <c r="F332" s="118"/>
      <c r="G332" s="118"/>
      <c r="H332" s="118"/>
    </row>
    <row r="333" spans="1:8">
      <c r="A333" s="499">
        <v>44882</v>
      </c>
      <c r="B333" s="604">
        <v>452</v>
      </c>
      <c r="C333" s="214" t="s">
        <v>375</v>
      </c>
      <c r="D333" s="124"/>
      <c r="E333" s="124">
        <v>1000000</v>
      </c>
      <c r="F333" s="118"/>
      <c r="G333" s="118"/>
      <c r="H333" s="118"/>
    </row>
    <row r="334" spans="1:8">
      <c r="A334" s="499">
        <v>44882</v>
      </c>
      <c r="B334" s="606">
        <v>435</v>
      </c>
      <c r="C334" s="214" t="s">
        <v>346</v>
      </c>
      <c r="D334" s="124"/>
      <c r="E334" s="124">
        <v>500000</v>
      </c>
      <c r="F334" s="118"/>
      <c r="G334" s="118"/>
      <c r="H334" s="118"/>
    </row>
    <row r="335" spans="1:8">
      <c r="A335" s="499">
        <v>44882</v>
      </c>
      <c r="B335" s="604">
        <v>457</v>
      </c>
      <c r="C335" s="214" t="s">
        <v>370</v>
      </c>
      <c r="D335" s="124"/>
      <c r="E335" s="124">
        <v>700000</v>
      </c>
      <c r="F335" s="118"/>
      <c r="G335" s="118"/>
      <c r="H335" s="118"/>
    </row>
    <row r="336" spans="1:8" ht="16.5" customHeight="1">
      <c r="A336" s="499">
        <v>44883</v>
      </c>
      <c r="B336" s="606">
        <v>436</v>
      </c>
      <c r="C336" s="605" t="s">
        <v>346</v>
      </c>
      <c r="D336" s="124"/>
      <c r="E336" s="124">
        <v>419918.37</v>
      </c>
      <c r="F336" s="118"/>
      <c r="G336" s="118"/>
      <c r="H336" s="118"/>
    </row>
    <row r="337" spans="1:8">
      <c r="A337" s="499">
        <v>44883</v>
      </c>
      <c r="B337" s="604">
        <v>441</v>
      </c>
      <c r="C337" s="214" t="s">
        <v>350</v>
      </c>
      <c r="D337" s="124"/>
      <c r="E337" s="124">
        <v>500000</v>
      </c>
      <c r="F337" s="118"/>
      <c r="G337" s="118"/>
      <c r="H337" s="118"/>
    </row>
    <row r="338" spans="1:8">
      <c r="A338" s="499">
        <v>44883</v>
      </c>
      <c r="B338" s="608">
        <v>462</v>
      </c>
      <c r="C338" s="214" t="s">
        <v>385</v>
      </c>
      <c r="D338" s="121"/>
      <c r="E338" s="124">
        <v>730000</v>
      </c>
      <c r="F338" s="118"/>
      <c r="G338" s="118"/>
      <c r="H338" s="118"/>
    </row>
    <row r="339" spans="1:8" ht="15.75">
      <c r="A339" s="499">
        <v>44888</v>
      </c>
      <c r="B339" s="604" t="s">
        <v>337</v>
      </c>
      <c r="C339" s="214" t="s">
        <v>384</v>
      </c>
      <c r="D339" s="191"/>
      <c r="E339" s="614">
        <v>111991.31</v>
      </c>
      <c r="F339" s="118"/>
      <c r="G339" s="118"/>
      <c r="H339" s="118"/>
    </row>
    <row r="340" spans="1:8">
      <c r="A340" s="499">
        <v>44894</v>
      </c>
      <c r="B340" s="604">
        <v>453</v>
      </c>
      <c r="C340" s="605" t="s">
        <v>375</v>
      </c>
      <c r="D340" s="124"/>
      <c r="E340" s="124">
        <v>1000000</v>
      </c>
      <c r="F340" s="118"/>
      <c r="G340" s="118"/>
      <c r="H340" s="118"/>
    </row>
    <row r="341" spans="1:8">
      <c r="A341" s="499">
        <v>45260</v>
      </c>
      <c r="B341" s="604"/>
      <c r="C341" s="605" t="s">
        <v>41</v>
      </c>
      <c r="D341" s="124"/>
      <c r="E341" s="124">
        <f>190000+5200</f>
        <v>195200</v>
      </c>
      <c r="F341" s="118"/>
      <c r="G341" s="118"/>
      <c r="H341" s="118"/>
    </row>
    <row r="342" spans="1:8">
      <c r="A342" s="120"/>
      <c r="B342" s="146"/>
      <c r="C342" s="131"/>
      <c r="D342" s="124"/>
      <c r="E342" s="124"/>
      <c r="F342" s="118"/>
      <c r="G342" s="118"/>
      <c r="H342" s="118"/>
    </row>
    <row r="343" spans="1:8">
      <c r="A343" s="120"/>
      <c r="B343" s="146"/>
      <c r="C343" s="131"/>
      <c r="D343" s="124"/>
      <c r="E343" s="124"/>
      <c r="F343" s="118"/>
      <c r="G343" s="118"/>
      <c r="H343" s="118"/>
    </row>
    <row r="344" spans="1:8">
      <c r="A344" s="164" t="s">
        <v>497</v>
      </c>
      <c r="B344" s="165"/>
      <c r="C344" s="610"/>
      <c r="D344" s="167"/>
      <c r="E344" s="167"/>
      <c r="F344" s="511"/>
      <c r="G344" s="118"/>
      <c r="H344" s="118"/>
    </row>
    <row r="345" spans="1:8">
      <c r="A345" s="120"/>
      <c r="B345" s="146"/>
      <c r="C345" s="131"/>
      <c r="D345" s="124"/>
      <c r="E345" s="124"/>
      <c r="F345" s="118"/>
      <c r="G345" s="118"/>
      <c r="H345" s="118"/>
    </row>
    <row r="346" spans="1:8">
      <c r="A346" s="499">
        <v>44880</v>
      </c>
      <c r="B346" s="604">
        <v>266</v>
      </c>
      <c r="C346" s="214" t="s">
        <v>392</v>
      </c>
      <c r="D346" s="124"/>
      <c r="E346" s="124">
        <v>594000</v>
      </c>
      <c r="F346" s="118"/>
      <c r="G346" s="118"/>
      <c r="H346" s="118"/>
    </row>
    <row r="347" spans="1:8">
      <c r="A347" s="499">
        <v>44881</v>
      </c>
      <c r="B347" s="604">
        <v>265</v>
      </c>
      <c r="C347" s="214" t="s">
        <v>391</v>
      </c>
      <c r="D347" s="124"/>
      <c r="E347" s="124">
        <v>594000</v>
      </c>
      <c r="F347" s="118"/>
      <c r="G347" s="118"/>
      <c r="H347" s="118"/>
    </row>
    <row r="348" spans="1:8">
      <c r="A348" s="499">
        <v>44883</v>
      </c>
      <c r="B348" s="604">
        <v>269</v>
      </c>
      <c r="C348" s="214" t="s">
        <v>390</v>
      </c>
      <c r="D348" s="124">
        <v>297000</v>
      </c>
      <c r="E348" s="124">
        <v>297000</v>
      </c>
      <c r="F348" s="118"/>
      <c r="G348" s="118"/>
      <c r="H348" s="118"/>
    </row>
    <row r="349" spans="1:8">
      <c r="A349" s="499">
        <v>44884</v>
      </c>
      <c r="B349" s="604">
        <v>270</v>
      </c>
      <c r="C349" s="214" t="s">
        <v>390</v>
      </c>
      <c r="D349" s="124">
        <v>297000</v>
      </c>
      <c r="E349" s="124">
        <v>297000</v>
      </c>
      <c r="F349" s="118"/>
      <c r="G349" s="118"/>
      <c r="H349" s="118"/>
    </row>
    <row r="350" spans="1:8">
      <c r="A350" s="499">
        <v>44887</v>
      </c>
      <c r="B350" s="604">
        <v>458</v>
      </c>
      <c r="C350" s="214" t="s">
        <v>370</v>
      </c>
      <c r="D350" s="124"/>
      <c r="E350" s="124">
        <v>706000</v>
      </c>
      <c r="F350" s="118"/>
      <c r="G350" s="118"/>
      <c r="H350" s="118"/>
    </row>
    <row r="351" spans="1:8">
      <c r="A351" s="499">
        <v>44887</v>
      </c>
      <c r="B351" s="608">
        <v>463</v>
      </c>
      <c r="C351" s="214" t="s">
        <v>385</v>
      </c>
      <c r="D351" s="124"/>
      <c r="E351" s="124">
        <v>730000</v>
      </c>
      <c r="F351" s="118"/>
      <c r="G351" s="118"/>
      <c r="H351" s="118"/>
    </row>
    <row r="352" spans="1:8">
      <c r="A352" s="499">
        <v>44889</v>
      </c>
      <c r="B352" s="608">
        <v>464</v>
      </c>
      <c r="C352" s="238" t="s">
        <v>385</v>
      </c>
      <c r="D352" s="121"/>
      <c r="E352" s="124">
        <v>730000</v>
      </c>
      <c r="F352" s="118"/>
      <c r="G352" s="118"/>
      <c r="H352" s="118"/>
    </row>
    <row r="353" spans="1:8">
      <c r="A353" s="612">
        <v>44900</v>
      </c>
      <c r="B353" s="608"/>
      <c r="C353" s="214" t="s">
        <v>386</v>
      </c>
      <c r="D353" s="121"/>
      <c r="E353" s="124">
        <v>9337.14</v>
      </c>
      <c r="F353" s="118"/>
      <c r="G353" s="118"/>
      <c r="H353" s="118"/>
    </row>
    <row r="354" spans="1:8">
      <c r="A354" s="499">
        <v>44900</v>
      </c>
      <c r="B354" s="608"/>
      <c r="C354" s="214" t="s">
        <v>387</v>
      </c>
      <c r="D354" s="121"/>
      <c r="E354" s="124">
        <v>19272.740000000002</v>
      </c>
      <c r="F354" s="118"/>
      <c r="G354" s="118"/>
      <c r="H354" s="118"/>
    </row>
    <row r="355" spans="1:8">
      <c r="A355" s="499">
        <v>44900</v>
      </c>
      <c r="B355" s="608"/>
      <c r="C355" s="214" t="s">
        <v>388</v>
      </c>
      <c r="D355" s="121"/>
      <c r="E355" s="124">
        <v>8928.93</v>
      </c>
      <c r="F355" s="118"/>
      <c r="G355" s="118"/>
      <c r="H355" s="118"/>
    </row>
    <row r="356" spans="1:8" ht="15.75" customHeight="1">
      <c r="A356" s="499">
        <v>44907</v>
      </c>
      <c r="B356" s="608"/>
      <c r="C356" s="605" t="s">
        <v>389</v>
      </c>
      <c r="D356" s="124">
        <v>304471.02</v>
      </c>
      <c r="E356" s="609"/>
      <c r="F356" s="118"/>
      <c r="G356" s="118"/>
      <c r="H356" s="118"/>
    </row>
    <row r="357" spans="1:8" ht="15.75">
      <c r="A357" s="499">
        <v>44907</v>
      </c>
      <c r="B357" s="608"/>
      <c r="C357" s="605" t="s">
        <v>342</v>
      </c>
      <c r="D357" s="124">
        <f>7490.61+400000</f>
        <v>407490.61</v>
      </c>
      <c r="E357" s="609"/>
      <c r="F357" s="118"/>
      <c r="G357" s="118"/>
      <c r="H357" s="118"/>
    </row>
    <row r="358" spans="1:8" ht="15.75">
      <c r="A358" s="499">
        <v>44908</v>
      </c>
      <c r="B358" s="608">
        <v>465</v>
      </c>
      <c r="C358" s="607" t="s">
        <v>385</v>
      </c>
      <c r="D358" s="124"/>
      <c r="E358" s="124">
        <v>730000</v>
      </c>
      <c r="F358" s="118"/>
      <c r="G358" s="118"/>
      <c r="H358" s="118"/>
    </row>
    <row r="359" spans="1:8">
      <c r="A359" s="499">
        <v>44909</v>
      </c>
      <c r="B359" s="604"/>
      <c r="C359" s="238" t="s">
        <v>393</v>
      </c>
      <c r="D359" s="121"/>
      <c r="E359" s="124">
        <v>17022.240000000002</v>
      </c>
      <c r="F359" s="118"/>
      <c r="G359" s="118"/>
      <c r="H359" s="118"/>
    </row>
    <row r="360" spans="1:8" ht="15.75">
      <c r="A360" s="499">
        <v>44910</v>
      </c>
      <c r="B360" s="604">
        <v>442</v>
      </c>
      <c r="C360" s="607" t="s">
        <v>350</v>
      </c>
      <c r="D360" s="124"/>
      <c r="E360" s="124">
        <v>500000</v>
      </c>
      <c r="F360" s="118"/>
      <c r="G360" s="118"/>
      <c r="H360" s="118"/>
    </row>
    <row r="361" spans="1:8" ht="16.5" customHeight="1">
      <c r="A361" s="499">
        <v>44911</v>
      </c>
      <c r="B361" s="608"/>
      <c r="C361" s="607" t="s">
        <v>464</v>
      </c>
      <c r="D361" s="124"/>
      <c r="E361" s="196">
        <v>50000</v>
      </c>
      <c r="F361" s="118"/>
      <c r="G361" s="118"/>
      <c r="H361" s="118"/>
    </row>
    <row r="362" spans="1:8" ht="15.75">
      <c r="A362" s="499">
        <v>44911</v>
      </c>
      <c r="B362" s="604">
        <v>443</v>
      </c>
      <c r="C362" s="607" t="s">
        <v>350</v>
      </c>
      <c r="D362" s="124"/>
      <c r="E362" s="124">
        <v>500000</v>
      </c>
      <c r="F362"/>
    </row>
    <row r="363" spans="1:8" ht="18.75" customHeight="1">
      <c r="A363" s="499">
        <v>44914</v>
      </c>
      <c r="B363" s="608"/>
      <c r="C363" s="605" t="s">
        <v>394</v>
      </c>
      <c r="D363" s="124">
        <v>240460</v>
      </c>
      <c r="E363" s="196"/>
      <c r="F363"/>
    </row>
    <row r="364" spans="1:8" ht="15.75">
      <c r="A364" s="499">
        <v>44915</v>
      </c>
      <c r="B364" s="604">
        <v>444</v>
      </c>
      <c r="C364" s="607" t="s">
        <v>350</v>
      </c>
      <c r="D364" s="124"/>
      <c r="E364" s="124">
        <v>500000</v>
      </c>
      <c r="F364"/>
    </row>
    <row r="365" spans="1:8" ht="15.75">
      <c r="A365" s="499">
        <v>44915</v>
      </c>
      <c r="B365" s="604">
        <v>461</v>
      </c>
      <c r="C365" s="607" t="s">
        <v>370</v>
      </c>
      <c r="D365" s="124"/>
      <c r="E365" s="124">
        <v>729581.28</v>
      </c>
      <c r="F365"/>
    </row>
    <row r="366" spans="1:8">
      <c r="A366" s="499">
        <v>44923</v>
      </c>
      <c r="B366" s="606"/>
      <c r="C366" s="214" t="s">
        <v>397</v>
      </c>
      <c r="D366" s="124"/>
      <c r="E366" s="211">
        <v>51776</v>
      </c>
      <c r="F366"/>
    </row>
    <row r="367" spans="1:8">
      <c r="A367" s="499">
        <v>44923</v>
      </c>
      <c r="B367" s="604" t="s">
        <v>465</v>
      </c>
      <c r="C367" s="214" t="s">
        <v>398</v>
      </c>
      <c r="D367" s="124"/>
      <c r="E367" s="211">
        <v>16005</v>
      </c>
      <c r="F367"/>
    </row>
    <row r="368" spans="1:8">
      <c r="A368" s="499">
        <v>44923</v>
      </c>
      <c r="B368" s="613"/>
      <c r="C368" s="214" t="s">
        <v>399</v>
      </c>
      <c r="D368" s="211"/>
      <c r="E368" s="211">
        <v>122738</v>
      </c>
      <c r="F368"/>
    </row>
    <row r="369" spans="1:8" ht="15.75">
      <c r="A369" s="499"/>
      <c r="B369" s="606"/>
      <c r="C369" s="605" t="s">
        <v>41</v>
      </c>
      <c r="D369" s="121"/>
      <c r="E369" s="609">
        <f>5200+90427</f>
        <v>95627</v>
      </c>
      <c r="F369"/>
    </row>
    <row r="370" spans="1:8">
      <c r="A370" s="499"/>
      <c r="B370" s="606"/>
      <c r="C370" s="214"/>
      <c r="D370" s="124"/>
      <c r="E370" s="124"/>
      <c r="F370"/>
    </row>
    <row r="371" spans="1:8">
      <c r="A371" s="499"/>
      <c r="B371" s="604"/>
      <c r="C371" s="214"/>
      <c r="D371" s="124"/>
      <c r="E371" s="124"/>
      <c r="F371"/>
    </row>
    <row r="372" spans="1:8">
      <c r="A372" s="164"/>
      <c r="B372" s="165"/>
      <c r="C372" s="166"/>
      <c r="D372" s="167"/>
      <c r="E372" s="167"/>
      <c r="F372"/>
    </row>
    <row r="373" spans="1:8" ht="15.75">
      <c r="A373" s="164" t="s">
        <v>400</v>
      </c>
      <c r="B373" s="569"/>
      <c r="C373" s="570"/>
      <c r="D373" s="167"/>
      <c r="E373" s="510"/>
      <c r="F373"/>
    </row>
    <row r="374" spans="1:8" ht="15.75">
      <c r="A374" s="499">
        <v>44910</v>
      </c>
      <c r="B374" s="608">
        <v>466</v>
      </c>
      <c r="C374" s="607" t="s">
        <v>385</v>
      </c>
      <c r="D374" s="615"/>
      <c r="E374" s="615">
        <v>730000</v>
      </c>
      <c r="F374"/>
    </row>
    <row r="375" spans="1:8" ht="15.75">
      <c r="A375" s="499">
        <v>44911</v>
      </c>
      <c r="B375" s="604">
        <v>459</v>
      </c>
      <c r="C375" s="607" t="s">
        <v>370</v>
      </c>
      <c r="D375" s="124"/>
      <c r="E375" s="615">
        <v>700000</v>
      </c>
      <c r="F375"/>
    </row>
    <row r="376" spans="1:8" ht="15.75">
      <c r="A376" s="499">
        <v>44912</v>
      </c>
      <c r="B376" s="604">
        <v>460</v>
      </c>
      <c r="C376" s="607" t="s">
        <v>370</v>
      </c>
      <c r="D376" s="124"/>
      <c r="E376" s="615">
        <v>700000</v>
      </c>
      <c r="F376"/>
    </row>
    <row r="377" spans="1:8" ht="15.75">
      <c r="A377" s="499">
        <v>44915</v>
      </c>
      <c r="B377" s="608">
        <v>467</v>
      </c>
      <c r="C377" s="607" t="s">
        <v>385</v>
      </c>
      <c r="D377" s="124"/>
      <c r="E377" s="615">
        <v>730000</v>
      </c>
      <c r="F377"/>
    </row>
    <row r="378" spans="1:8">
      <c r="A378" s="499">
        <v>44916</v>
      </c>
      <c r="B378" s="613">
        <v>277</v>
      </c>
      <c r="C378" s="214" t="s">
        <v>408</v>
      </c>
      <c r="D378" s="211"/>
      <c r="E378" s="211">
        <v>780000</v>
      </c>
      <c r="F378"/>
    </row>
    <row r="379" spans="1:8" ht="18.75" customHeight="1">
      <c r="A379" s="499">
        <v>44916</v>
      </c>
      <c r="B379" s="604">
        <v>445</v>
      </c>
      <c r="C379" s="607" t="s">
        <v>350</v>
      </c>
      <c r="D379" s="124"/>
      <c r="E379" s="615">
        <v>279373.92</v>
      </c>
      <c r="F379"/>
    </row>
    <row r="380" spans="1:8" ht="18.75" customHeight="1">
      <c r="A380" s="499">
        <v>44918</v>
      </c>
      <c r="B380" s="613">
        <v>278</v>
      </c>
      <c r="C380" s="214" t="s">
        <v>408</v>
      </c>
      <c r="D380" s="211"/>
      <c r="E380" s="211">
        <v>780000</v>
      </c>
      <c r="F380"/>
    </row>
    <row r="381" spans="1:8" ht="15.75" customHeight="1">
      <c r="A381" s="499">
        <v>44922</v>
      </c>
      <c r="B381" s="613">
        <v>289</v>
      </c>
      <c r="C381" s="214" t="s">
        <v>408</v>
      </c>
      <c r="D381" s="138"/>
      <c r="E381" s="211">
        <v>811341.28</v>
      </c>
      <c r="F381" s="192"/>
      <c r="G381" s="192"/>
      <c r="H381" s="192"/>
    </row>
    <row r="382" spans="1:8" ht="16.5" customHeight="1">
      <c r="A382" s="499">
        <v>44925</v>
      </c>
      <c r="B382" s="613">
        <v>30600755</v>
      </c>
      <c r="C382" s="214" t="s">
        <v>403</v>
      </c>
      <c r="D382" s="124">
        <f>64500*5</f>
        <v>322500</v>
      </c>
      <c r="E382" s="615"/>
      <c r="F382" s="192"/>
      <c r="G382" s="192"/>
      <c r="H382" s="192"/>
    </row>
    <row r="383" spans="1:8" ht="18.75" customHeight="1">
      <c r="A383" s="499">
        <v>44928</v>
      </c>
      <c r="B383" s="608"/>
      <c r="C383" s="607" t="s">
        <v>401</v>
      </c>
      <c r="D383" s="124">
        <v>257614.75</v>
      </c>
      <c r="E383" s="615"/>
      <c r="F383" s="192"/>
      <c r="G383" s="192"/>
      <c r="H383" s="192"/>
    </row>
    <row r="384" spans="1:8" ht="16.5" customHeight="1">
      <c r="A384" s="499">
        <v>44932</v>
      </c>
      <c r="B384" s="608"/>
      <c r="C384" s="214" t="s">
        <v>404</v>
      </c>
      <c r="D384" s="124"/>
      <c r="E384" s="124">
        <v>200000</v>
      </c>
      <c r="F384" s="118"/>
      <c r="G384" s="118"/>
      <c r="H384" s="118"/>
    </row>
    <row r="385" spans="1:8" ht="18.75" customHeight="1">
      <c r="A385" s="499">
        <v>44935</v>
      </c>
      <c r="B385" s="608"/>
      <c r="C385" s="605" t="s">
        <v>342</v>
      </c>
      <c r="D385" s="124">
        <f>85564.65+351000</f>
        <v>436564.65</v>
      </c>
      <c r="E385" s="615"/>
      <c r="F385" s="118"/>
      <c r="G385" s="118"/>
      <c r="H385" s="118"/>
    </row>
    <row r="386" spans="1:8" ht="16.5" customHeight="1">
      <c r="A386" s="499">
        <v>44936</v>
      </c>
      <c r="B386" s="608"/>
      <c r="C386" s="605" t="s">
        <v>389</v>
      </c>
      <c r="D386" s="124">
        <v>326192.39</v>
      </c>
      <c r="E386" s="615"/>
      <c r="F386" s="118"/>
      <c r="G386" s="118"/>
      <c r="H386" s="118"/>
    </row>
    <row r="387" spans="1:8" ht="16.5" customHeight="1">
      <c r="A387" s="499">
        <v>44936</v>
      </c>
      <c r="B387" s="606" t="s">
        <v>466</v>
      </c>
      <c r="C387" s="607" t="s">
        <v>450</v>
      </c>
      <c r="D387" s="124"/>
      <c r="E387" s="615">
        <v>122738</v>
      </c>
      <c r="F387" s="118"/>
      <c r="G387" s="118"/>
      <c r="H387" s="118"/>
    </row>
    <row r="388" spans="1:8" ht="15.75" customHeight="1">
      <c r="A388" s="499">
        <v>44941</v>
      </c>
      <c r="B388" s="606">
        <v>473</v>
      </c>
      <c r="C388" s="214" t="s">
        <v>405</v>
      </c>
      <c r="D388" s="124"/>
      <c r="E388" s="615">
        <v>1191506.9099999999</v>
      </c>
      <c r="F388" s="118"/>
      <c r="G388" s="118"/>
      <c r="H388" s="118"/>
    </row>
    <row r="389" spans="1:8" ht="15.75" customHeight="1">
      <c r="A389" s="499">
        <v>44942</v>
      </c>
      <c r="B389" s="606"/>
      <c r="C389" s="607" t="s">
        <v>406</v>
      </c>
      <c r="D389" s="124"/>
      <c r="E389" s="615">
        <v>51776</v>
      </c>
      <c r="F389" s="118"/>
      <c r="G389" s="118"/>
      <c r="H389" s="118"/>
    </row>
    <row r="390" spans="1:8" ht="15" customHeight="1">
      <c r="A390" s="499">
        <v>44942</v>
      </c>
      <c r="B390" s="613">
        <v>276</v>
      </c>
      <c r="C390" s="214" t="s">
        <v>468</v>
      </c>
      <c r="D390" s="124"/>
      <c r="E390" s="615">
        <v>1000000</v>
      </c>
      <c r="F390" s="118"/>
      <c r="G390" s="118"/>
      <c r="H390" s="118"/>
    </row>
    <row r="391" spans="1:8" ht="15" customHeight="1">
      <c r="A391" s="499">
        <v>44943</v>
      </c>
      <c r="B391" s="613">
        <v>468</v>
      </c>
      <c r="C391" s="607" t="s">
        <v>385</v>
      </c>
      <c r="D391" s="124"/>
      <c r="E391" s="615">
        <v>730000</v>
      </c>
      <c r="F391" s="118"/>
      <c r="G391" s="118"/>
      <c r="H391" s="118"/>
    </row>
    <row r="392" spans="1:8" ht="15" customHeight="1">
      <c r="A392" s="499">
        <v>44945</v>
      </c>
      <c r="B392" s="608"/>
      <c r="C392" s="214" t="s">
        <v>409</v>
      </c>
      <c r="D392" s="191"/>
      <c r="E392" s="614">
        <v>1000000</v>
      </c>
      <c r="F392" s="118"/>
      <c r="G392" s="118"/>
      <c r="H392" s="118"/>
    </row>
    <row r="393" spans="1:8" ht="16.5" customHeight="1">
      <c r="A393" s="499">
        <v>44945</v>
      </c>
      <c r="B393" s="613"/>
      <c r="C393" s="214" t="s">
        <v>409</v>
      </c>
      <c r="D393" s="191"/>
      <c r="E393" s="614">
        <v>950000</v>
      </c>
      <c r="F393" s="118"/>
      <c r="G393" s="118"/>
      <c r="H393" s="118"/>
    </row>
    <row r="394" spans="1:8">
      <c r="A394" s="499">
        <v>44950</v>
      </c>
      <c r="B394" s="604"/>
      <c r="C394" s="214" t="s">
        <v>495</v>
      </c>
      <c r="D394" s="211"/>
      <c r="E394" s="211">
        <f>18692.56+65134.18+156249.73+179997.97</f>
        <v>420074.44000000006</v>
      </c>
      <c r="F394"/>
      <c r="G394" s="118"/>
      <c r="H394" s="118"/>
    </row>
    <row r="395" spans="1:8" ht="15" customHeight="1">
      <c r="A395" s="499">
        <v>44950</v>
      </c>
      <c r="B395" s="608" t="s">
        <v>133</v>
      </c>
      <c r="C395" s="214" t="s">
        <v>429</v>
      </c>
      <c r="D395" s="191"/>
      <c r="E395" s="614">
        <f>126322.87-942.98-64500</f>
        <v>60879.89</v>
      </c>
      <c r="F395"/>
      <c r="G395" s="192"/>
      <c r="H395" s="192"/>
    </row>
    <row r="396" spans="1:8" ht="15" customHeight="1">
      <c r="A396" s="499">
        <v>44956</v>
      </c>
      <c r="B396" s="606"/>
      <c r="C396" s="607" t="s">
        <v>41</v>
      </c>
      <c r="D396" s="124"/>
      <c r="E396" s="615">
        <f>7200+127000</f>
        <v>134200</v>
      </c>
      <c r="F396"/>
      <c r="G396" s="192"/>
      <c r="H396" s="192"/>
    </row>
    <row r="397" spans="1:8" ht="15" customHeight="1">
      <c r="A397" s="499">
        <v>44956</v>
      </c>
      <c r="B397" s="606">
        <v>474</v>
      </c>
      <c r="C397" s="607" t="s">
        <v>405</v>
      </c>
      <c r="D397" s="197"/>
      <c r="E397" s="615">
        <v>1191506.9099999999</v>
      </c>
      <c r="F397"/>
      <c r="G397" s="192"/>
      <c r="H397" s="192"/>
    </row>
    <row r="398" spans="1:8" ht="15.75" customHeight="1">
      <c r="A398" s="499"/>
      <c r="B398" s="613"/>
      <c r="C398" s="617"/>
      <c r="D398" s="124"/>
      <c r="E398" s="615"/>
      <c r="F398"/>
    </row>
    <row r="399" spans="1:8" ht="15.75">
      <c r="A399" s="572"/>
      <c r="B399" s="568"/>
      <c r="C399" s="571"/>
      <c r="D399" s="191"/>
      <c r="E399" s="503"/>
      <c r="F399"/>
    </row>
    <row r="400" spans="1:8" ht="15.75" customHeight="1">
      <c r="A400" s="120"/>
      <c r="B400" s="146"/>
      <c r="C400" s="15"/>
      <c r="D400" s="211"/>
      <c r="E400" s="211"/>
      <c r="F400" s="192"/>
    </row>
    <row r="401" spans="1:6" ht="15.75" customHeight="1">
      <c r="A401" s="120"/>
      <c r="B401" s="148"/>
      <c r="C401" s="168"/>
      <c r="D401" s="124"/>
      <c r="E401" s="513"/>
      <c r="F401"/>
    </row>
    <row r="402" spans="1:6" ht="16.5" customHeight="1">
      <c r="A402" s="120"/>
      <c r="B402" s="561"/>
      <c r="C402" s="168"/>
      <c r="D402" s="124"/>
      <c r="E402" s="503"/>
      <c r="F402"/>
    </row>
    <row r="403" spans="1:6" ht="15.75" customHeight="1">
      <c r="A403" s="120"/>
      <c r="B403" s="561"/>
      <c r="C403" s="168"/>
      <c r="D403" s="124"/>
      <c r="E403" s="513"/>
      <c r="F403"/>
    </row>
    <row r="404" spans="1:6">
      <c r="A404" s="573">
        <v>44953</v>
      </c>
      <c r="B404" s="574">
        <v>38683289</v>
      </c>
      <c r="C404" s="575" t="s">
        <v>410</v>
      </c>
      <c r="D404" s="576">
        <v>1288700.6399999999</v>
      </c>
      <c r="E404" s="576">
        <v>1288700.6399999999</v>
      </c>
      <c r="F404"/>
    </row>
    <row r="405" spans="1:6">
      <c r="A405" s="573">
        <v>44984</v>
      </c>
      <c r="B405" s="574">
        <v>38683318</v>
      </c>
      <c r="C405" s="575" t="s">
        <v>411</v>
      </c>
      <c r="D405" s="576">
        <v>1288700.6399999999</v>
      </c>
      <c r="E405" s="576">
        <v>1288700.6399999999</v>
      </c>
      <c r="F405"/>
    </row>
    <row r="406" spans="1:6">
      <c r="A406" s="573">
        <v>45012</v>
      </c>
      <c r="B406" s="574">
        <v>36683365</v>
      </c>
      <c r="C406" s="575" t="s">
        <v>412</v>
      </c>
      <c r="D406" s="576">
        <v>1288700.6399999999</v>
      </c>
      <c r="E406" s="576">
        <v>1288700.6399999999</v>
      </c>
      <c r="F406"/>
    </row>
    <row r="407" spans="1:6">
      <c r="A407" s="573" t="s">
        <v>413</v>
      </c>
      <c r="B407" s="575">
        <v>22</v>
      </c>
      <c r="C407" s="575" t="s">
        <v>414</v>
      </c>
      <c r="D407" s="576"/>
      <c r="E407" s="576"/>
      <c r="F407"/>
    </row>
    <row r="408" spans="1:6">
      <c r="A408" s="573" t="s">
        <v>413</v>
      </c>
      <c r="B408" s="575">
        <v>25</v>
      </c>
      <c r="C408" s="575" t="s">
        <v>415</v>
      </c>
      <c r="D408" s="576"/>
      <c r="E408" s="576"/>
      <c r="F408"/>
    </row>
    <row r="409" spans="1:6">
      <c r="A409" s="573" t="s">
        <v>416</v>
      </c>
      <c r="B409" s="575">
        <v>20</v>
      </c>
      <c r="C409" s="575" t="s">
        <v>417</v>
      </c>
      <c r="D409" s="576">
        <v>644000</v>
      </c>
      <c r="E409" s="576">
        <v>644000</v>
      </c>
      <c r="F409"/>
    </row>
    <row r="410" spans="1:6">
      <c r="A410" s="573" t="s">
        <v>418</v>
      </c>
      <c r="B410" s="575">
        <v>21</v>
      </c>
      <c r="C410" s="575" t="s">
        <v>417</v>
      </c>
      <c r="D410" s="576">
        <v>644700.64</v>
      </c>
      <c r="E410" s="576">
        <v>644700.64</v>
      </c>
      <c r="F410"/>
    </row>
    <row r="411" spans="1:6">
      <c r="A411" s="573" t="s">
        <v>419</v>
      </c>
      <c r="B411" s="575">
        <v>23</v>
      </c>
      <c r="C411" s="575" t="s">
        <v>417</v>
      </c>
      <c r="D411" s="576">
        <v>644700.64</v>
      </c>
      <c r="E411" s="576">
        <v>644700.64</v>
      </c>
      <c r="F411"/>
    </row>
    <row r="412" spans="1:6">
      <c r="A412" s="573" t="s">
        <v>420</v>
      </c>
      <c r="B412" s="575">
        <v>24</v>
      </c>
      <c r="C412" s="575" t="s">
        <v>417</v>
      </c>
      <c r="D412" s="576">
        <v>644000</v>
      </c>
      <c r="E412" s="576">
        <v>644000</v>
      </c>
      <c r="F412"/>
    </row>
    <row r="413" spans="1:6">
      <c r="A413" s="573">
        <v>45036</v>
      </c>
      <c r="B413" s="578">
        <v>28</v>
      </c>
      <c r="C413" s="575" t="s">
        <v>421</v>
      </c>
      <c r="D413" s="579">
        <v>781386.67</v>
      </c>
      <c r="E413" s="579">
        <v>781386.67</v>
      </c>
      <c r="F413"/>
    </row>
    <row r="414" spans="1:6">
      <c r="A414" s="573">
        <v>44995</v>
      </c>
      <c r="B414" s="578">
        <v>29</v>
      </c>
      <c r="C414" s="575" t="s">
        <v>422</v>
      </c>
      <c r="D414" s="579">
        <v>728149.33</v>
      </c>
      <c r="E414" s="579">
        <v>728149.33</v>
      </c>
      <c r="F414"/>
    </row>
    <row r="415" spans="1:6" ht="15.75">
      <c r="A415" s="580"/>
      <c r="B415" s="578"/>
      <c r="C415" s="581"/>
      <c r="D415" s="579"/>
      <c r="E415" s="582"/>
      <c r="F415"/>
    </row>
    <row r="416" spans="1:6">
      <c r="F416"/>
    </row>
    <row r="417" spans="1:6" ht="15" customHeight="1">
      <c r="A417" s="611"/>
      <c r="B417" s="611"/>
      <c r="C417" s="611"/>
      <c r="D417" s="611"/>
      <c r="E417" s="611"/>
      <c r="F417" s="611"/>
    </row>
    <row r="418" spans="1:6" ht="15" customHeight="1">
      <c r="A418" s="499">
        <v>44939</v>
      </c>
      <c r="B418" s="604">
        <v>280</v>
      </c>
      <c r="C418" s="214" t="s">
        <v>408</v>
      </c>
      <c r="D418" s="211"/>
      <c r="E418" s="211">
        <v>780000</v>
      </c>
      <c r="F418"/>
    </row>
    <row r="419" spans="1:6" ht="15.75" customHeight="1">
      <c r="A419" s="499">
        <v>44945</v>
      </c>
      <c r="B419" s="613">
        <v>469</v>
      </c>
      <c r="C419" s="607" t="s">
        <v>385</v>
      </c>
      <c r="D419" s="124"/>
      <c r="E419" s="211">
        <v>730000</v>
      </c>
      <c r="F419"/>
    </row>
    <row r="420" spans="1:6" ht="15" customHeight="1">
      <c r="A420" s="499">
        <v>44946</v>
      </c>
      <c r="B420" s="606">
        <v>475</v>
      </c>
      <c r="C420" s="214" t="s">
        <v>390</v>
      </c>
      <c r="D420" s="615"/>
      <c r="E420" s="211">
        <f>297000*2</f>
        <v>594000</v>
      </c>
      <c r="F420"/>
    </row>
    <row r="421" spans="1:6">
      <c r="A421" s="618">
        <v>44946</v>
      </c>
      <c r="B421" s="619">
        <v>281</v>
      </c>
      <c r="C421" s="214" t="s">
        <v>408</v>
      </c>
      <c r="D421" s="257"/>
      <c r="E421" s="257">
        <v>780000</v>
      </c>
      <c r="F421"/>
    </row>
    <row r="422" spans="1:6" ht="15.75" customHeight="1">
      <c r="A422" s="499">
        <v>44950</v>
      </c>
      <c r="B422" s="608">
        <v>470</v>
      </c>
      <c r="C422" s="607" t="s">
        <v>385</v>
      </c>
      <c r="D422" s="124"/>
      <c r="E422" s="615">
        <v>759423.81</v>
      </c>
      <c r="F422"/>
    </row>
    <row r="423" spans="1:6">
      <c r="A423" s="499">
        <v>44959</v>
      </c>
      <c r="B423" s="613"/>
      <c r="C423" s="214" t="s">
        <v>469</v>
      </c>
      <c r="D423" s="211"/>
      <c r="E423" s="211">
        <v>803807.73</v>
      </c>
      <c r="F423"/>
    </row>
    <row r="424" spans="1:6" ht="15" customHeight="1">
      <c r="A424" s="499"/>
      <c r="B424" s="604"/>
      <c r="C424" s="607"/>
      <c r="D424" s="257"/>
      <c r="E424" s="615"/>
      <c r="F424"/>
    </row>
    <row r="425" spans="1:6" ht="15" customHeight="1">
      <c r="A425" s="499">
        <v>44964</v>
      </c>
      <c r="B425" s="606"/>
      <c r="C425" s="214" t="s">
        <v>473</v>
      </c>
      <c r="D425" s="191"/>
      <c r="E425" s="620">
        <v>9767.86</v>
      </c>
      <c r="F425"/>
    </row>
    <row r="426" spans="1:6" ht="16.5" customHeight="1">
      <c r="A426" s="499">
        <v>44964</v>
      </c>
      <c r="B426" s="621"/>
      <c r="C426" s="214" t="s">
        <v>474</v>
      </c>
      <c r="D426" s="257"/>
      <c r="E426" s="620">
        <v>5134.42</v>
      </c>
      <c r="F426"/>
    </row>
    <row r="427" spans="1:6">
      <c r="A427" s="499">
        <v>44964</v>
      </c>
      <c r="B427" s="621"/>
      <c r="C427" s="214" t="s">
        <v>475</v>
      </c>
      <c r="D427" s="257"/>
      <c r="E427" s="620">
        <v>10216.52</v>
      </c>
      <c r="F427"/>
    </row>
    <row r="428" spans="1:6" ht="15" customHeight="1">
      <c r="A428" s="618">
        <v>44965</v>
      </c>
      <c r="B428" s="621"/>
      <c r="C428" s="214" t="s">
        <v>476</v>
      </c>
      <c r="D428" s="211"/>
      <c r="E428" s="615">
        <f>1085+227.85</f>
        <v>1312.85</v>
      </c>
      <c r="F428"/>
    </row>
    <row r="429" spans="1:6">
      <c r="A429" s="618">
        <v>44965</v>
      </c>
      <c r="B429" s="619"/>
      <c r="C429" s="214" t="s">
        <v>478</v>
      </c>
      <c r="D429" s="257">
        <v>470210</v>
      </c>
      <c r="E429" s="257"/>
      <c r="F429"/>
    </row>
    <row r="430" spans="1:6">
      <c r="A430" s="618">
        <v>44966</v>
      </c>
      <c r="B430" s="619"/>
      <c r="C430" s="622" t="s">
        <v>479</v>
      </c>
      <c r="D430" s="191"/>
      <c r="E430" s="620">
        <v>639509.18000000005</v>
      </c>
      <c r="F430"/>
    </row>
    <row r="431" spans="1:6">
      <c r="A431" s="618">
        <v>44966</v>
      </c>
      <c r="B431" s="619"/>
      <c r="C431" s="214" t="s">
        <v>389</v>
      </c>
      <c r="D431" s="257">
        <v>351326.53</v>
      </c>
      <c r="E431" s="257"/>
      <c r="F431"/>
    </row>
    <row r="432" spans="1:6">
      <c r="A432" s="618">
        <v>44967</v>
      </c>
      <c r="B432" s="621" t="s">
        <v>482</v>
      </c>
      <c r="C432" s="622" t="s">
        <v>483</v>
      </c>
      <c r="D432" s="191"/>
      <c r="E432" s="620">
        <v>122738</v>
      </c>
      <c r="F432"/>
    </row>
    <row r="433" spans="1:6" ht="16.5" customHeight="1">
      <c r="A433" s="618">
        <v>44971</v>
      </c>
      <c r="B433" s="619"/>
      <c r="C433" s="214" t="s">
        <v>481</v>
      </c>
      <c r="D433" s="257"/>
      <c r="E433" s="257">
        <v>49702.73</v>
      </c>
      <c r="F433"/>
    </row>
    <row r="434" spans="1:6" ht="15.75" customHeight="1">
      <c r="A434" s="618">
        <v>44979</v>
      </c>
      <c r="B434" s="619"/>
      <c r="C434" s="214" t="s">
        <v>485</v>
      </c>
      <c r="D434" s="191">
        <v>277465.56</v>
      </c>
      <c r="E434" s="211"/>
      <c r="F434"/>
    </row>
    <row r="435" spans="1:6">
      <c r="A435" s="623">
        <v>44980</v>
      </c>
      <c r="B435" s="613">
        <v>30600942</v>
      </c>
      <c r="C435" s="617" t="s">
        <v>496</v>
      </c>
      <c r="D435" s="624">
        <f>100000*3</f>
        <v>300000</v>
      </c>
      <c r="E435" s="124"/>
      <c r="F435"/>
    </row>
    <row r="436" spans="1:6">
      <c r="A436" s="499">
        <v>44981</v>
      </c>
      <c r="B436" s="613">
        <v>283</v>
      </c>
      <c r="C436" s="214" t="s">
        <v>486</v>
      </c>
      <c r="D436" s="211"/>
      <c r="E436" s="211">
        <v>780000</v>
      </c>
      <c r="F436"/>
    </row>
    <row r="437" spans="1:6">
      <c r="A437" s="618">
        <v>44981</v>
      </c>
      <c r="B437" s="619">
        <v>282</v>
      </c>
      <c r="C437" s="217" t="s">
        <v>487</v>
      </c>
      <c r="D437" s="598"/>
      <c r="E437" s="257">
        <v>811341.28</v>
      </c>
      <c r="F437"/>
    </row>
    <row r="438" spans="1:6" ht="15.75" customHeight="1">
      <c r="A438" s="623"/>
      <c r="B438" s="613"/>
      <c r="C438" s="617"/>
      <c r="D438" s="598"/>
      <c r="E438" s="211"/>
      <c r="F438"/>
    </row>
    <row r="439" spans="1:6" ht="16.5" customHeight="1">
      <c r="A439" s="499">
        <v>44984</v>
      </c>
      <c r="B439" s="625">
        <v>476</v>
      </c>
      <c r="C439" s="214" t="s">
        <v>488</v>
      </c>
      <c r="D439" s="124"/>
      <c r="E439" s="124">
        <v>954000</v>
      </c>
      <c r="F439"/>
    </row>
    <row r="440" spans="1:6" ht="15.75">
      <c r="A440" s="499">
        <v>44984</v>
      </c>
      <c r="B440" s="626">
        <v>494</v>
      </c>
      <c r="C440" s="607" t="s">
        <v>489</v>
      </c>
      <c r="D440" s="124"/>
      <c r="E440" s="615">
        <f>460000*2</f>
        <v>920000</v>
      </c>
      <c r="F440"/>
    </row>
    <row r="441" spans="1:6" ht="15.75">
      <c r="A441" s="499"/>
      <c r="B441" s="606"/>
      <c r="C441" s="131" t="s">
        <v>41</v>
      </c>
      <c r="E441" s="500">
        <f>7600+102000</f>
        <v>109600</v>
      </c>
      <c r="F441"/>
    </row>
    <row r="442" spans="1:6">
      <c r="A442" s="192"/>
      <c r="B442" s="192"/>
      <c r="C442" s="192"/>
      <c r="D442" s="192"/>
      <c r="E442" s="192"/>
      <c r="F442"/>
    </row>
    <row r="443" spans="1:6">
      <c r="A443" s="192"/>
      <c r="B443" s="192"/>
      <c r="C443" s="192"/>
      <c r="D443" s="192"/>
      <c r="E443" s="192"/>
      <c r="F443"/>
    </row>
    <row r="444" spans="1:6">
      <c r="A444" s="192"/>
      <c r="B444" s="192"/>
      <c r="C444" s="192"/>
      <c r="D444" s="192"/>
      <c r="E444" s="192"/>
      <c r="F444"/>
    </row>
    <row r="445" spans="1:6">
      <c r="F445"/>
    </row>
    <row r="446" spans="1:6">
      <c r="F446"/>
    </row>
    <row r="447" spans="1:6">
      <c r="A447" s="120"/>
      <c r="B447" s="146"/>
      <c r="C447" s="15"/>
      <c r="F447"/>
    </row>
    <row r="448" spans="1:6">
      <c r="A448" s="120"/>
      <c r="B448" s="146"/>
      <c r="C448" s="15"/>
      <c r="F448"/>
    </row>
    <row r="449" spans="1:6">
      <c r="A449" s="120"/>
      <c r="B449" s="146"/>
      <c r="C449" s="15"/>
      <c r="F449"/>
    </row>
    <row r="450" spans="1:6" ht="15.75" customHeight="1">
      <c r="A450" s="120"/>
      <c r="B450" s="146"/>
      <c r="C450" s="15"/>
      <c r="F450"/>
    </row>
    <row r="451" spans="1:6" ht="15.75" customHeight="1">
      <c r="A451" s="572"/>
      <c r="B451" s="568"/>
      <c r="C451" s="571"/>
      <c r="F451"/>
    </row>
    <row r="452" spans="1:6">
      <c r="A452" s="120"/>
      <c r="B452" s="568"/>
      <c r="C452" s="571"/>
      <c r="F452"/>
    </row>
    <row r="453" spans="1:6">
      <c r="F453"/>
    </row>
    <row r="454" spans="1:6">
      <c r="F454"/>
    </row>
    <row r="455" spans="1:6">
      <c r="F455"/>
    </row>
    <row r="456" spans="1:6">
      <c r="F456"/>
    </row>
    <row r="457" spans="1:6">
      <c r="F457"/>
    </row>
    <row r="458" spans="1:6">
      <c r="F458"/>
    </row>
    <row r="459" spans="1:6">
      <c r="F459"/>
    </row>
    <row r="460" spans="1:6" ht="15" customHeight="1">
      <c r="F460"/>
    </row>
    <row r="461" spans="1:6">
      <c r="F461"/>
    </row>
    <row r="462" spans="1:6" ht="15.75" customHeight="1">
      <c r="F462"/>
    </row>
    <row r="463" spans="1:6">
      <c r="F463"/>
    </row>
    <row r="464" spans="1:6">
      <c r="F464"/>
    </row>
    <row r="465" spans="6:6" ht="15" customHeight="1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 ht="16.5" customHeight="1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</sheetData>
  <sortState ref="A305:E312">
    <sortCondition ref="A305:A31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95"/>
  <sheetViews>
    <sheetView workbookViewId="0">
      <selection activeCell="C27" sqref="C27"/>
    </sheetView>
  </sheetViews>
  <sheetFormatPr baseColWidth="10" defaultColWidth="11.42578125" defaultRowHeight="12"/>
  <cols>
    <col min="1" max="1" width="13.140625" style="133" customWidth="1"/>
    <col min="2" max="2" width="9.5703125" style="148" customWidth="1"/>
    <col min="3" max="3" width="75.28515625" style="133" bestFit="1" customWidth="1"/>
    <col min="4" max="4" width="21.85546875" style="134" customWidth="1"/>
    <col min="5" max="5" width="22.140625" style="133" customWidth="1"/>
    <col min="6" max="6" width="13.28515625" style="133" customWidth="1"/>
    <col min="7" max="7" width="14.140625" style="133" customWidth="1"/>
    <col min="8" max="8" width="13" style="133" customWidth="1"/>
    <col min="9" max="9" width="16" style="133" customWidth="1"/>
    <col min="10" max="10" width="15" style="501" customWidth="1"/>
    <col min="11" max="11" width="15" style="119" customWidth="1"/>
    <col min="12" max="12" width="15" style="133" customWidth="1"/>
    <col min="13" max="13" width="11.42578125" style="133"/>
    <col min="14" max="14" width="13.85546875" style="133" bestFit="1" customWidth="1"/>
    <col min="15" max="16" width="11.85546875" style="133" bestFit="1" customWidth="1"/>
    <col min="17" max="18" width="11.42578125" style="133"/>
    <col min="19" max="19" width="13" style="133" bestFit="1" customWidth="1"/>
    <col min="20" max="16384" width="11.42578125" style="133"/>
  </cols>
  <sheetData>
    <row r="1" spans="1:16" ht="43.5" customHeight="1" thickBot="1">
      <c r="A1" s="921" t="s">
        <v>498</v>
      </c>
      <c r="B1" s="922"/>
      <c r="C1" s="922"/>
      <c r="D1" s="922"/>
      <c r="E1" s="922"/>
      <c r="F1" s="922"/>
      <c r="G1" s="922"/>
      <c r="H1" s="922"/>
      <c r="I1" s="923"/>
    </row>
    <row r="2" spans="1:16" ht="15" customHeight="1">
      <c r="A2" s="924" t="s">
        <v>499</v>
      </c>
      <c r="B2" s="924"/>
      <c r="D2" s="627"/>
      <c r="E2" s="628"/>
      <c r="F2" s="629"/>
      <c r="G2" s="629"/>
      <c r="H2" s="629"/>
      <c r="I2" s="629"/>
      <c r="N2" s="630" t="s">
        <v>68</v>
      </c>
      <c r="O2" s="134">
        <v>6000000</v>
      </c>
      <c r="P2" s="134"/>
    </row>
    <row r="3" spans="1:16" ht="15" customHeight="1">
      <c r="A3" s="925" t="s">
        <v>500</v>
      </c>
      <c r="B3" s="925"/>
      <c r="D3" s="631"/>
      <c r="E3" s="134"/>
      <c r="F3" s="632"/>
      <c r="G3" s="633"/>
      <c r="H3" s="633"/>
      <c r="I3" s="634"/>
      <c r="O3" s="134"/>
      <c r="P3" s="134">
        <v>6000000</v>
      </c>
    </row>
    <row r="4" spans="1:16" ht="15" customHeight="1">
      <c r="A4" s="926" t="s">
        <v>501</v>
      </c>
      <c r="B4" s="926"/>
      <c r="C4" s="635"/>
      <c r="D4" s="636"/>
      <c r="E4" s="134"/>
      <c r="F4" s="632"/>
      <c r="G4" s="633"/>
      <c r="H4" s="637"/>
      <c r="I4" s="634"/>
      <c r="O4" s="134">
        <v>6000000</v>
      </c>
      <c r="P4" s="134"/>
    </row>
    <row r="5" spans="1:16" ht="15" customHeight="1" thickBot="1">
      <c r="A5" s="926" t="s">
        <v>502</v>
      </c>
      <c r="B5" s="926"/>
      <c r="C5" s="635"/>
      <c r="E5" s="628"/>
      <c r="F5" s="638"/>
      <c r="G5" s="633"/>
      <c r="H5" s="633"/>
      <c r="I5" s="634"/>
      <c r="J5" s="628"/>
      <c r="P5" s="134">
        <v>6000000</v>
      </c>
    </row>
    <row r="6" spans="1:16" ht="21" customHeight="1" thickBot="1">
      <c r="A6" s="639" t="s">
        <v>7</v>
      </c>
      <c r="B6" s="640" t="s">
        <v>503</v>
      </c>
      <c r="C6" s="641" t="s">
        <v>8</v>
      </c>
      <c r="D6" s="642" t="s">
        <v>504</v>
      </c>
      <c r="E6" s="642" t="s">
        <v>505</v>
      </c>
      <c r="F6" s="643" t="s">
        <v>506</v>
      </c>
      <c r="G6" s="643" t="s">
        <v>507</v>
      </c>
      <c r="H6" s="643" t="s">
        <v>507</v>
      </c>
      <c r="I6" s="644" t="s">
        <v>508</v>
      </c>
    </row>
    <row r="7" spans="1:16" ht="21" customHeight="1">
      <c r="A7" s="645"/>
      <c r="B7" s="646"/>
      <c r="C7" s="647" t="s">
        <v>509</v>
      </c>
      <c r="D7" s="648"/>
      <c r="E7" s="648"/>
      <c r="F7" s="649"/>
      <c r="G7" s="649"/>
      <c r="H7" s="649"/>
      <c r="I7" s="650">
        <v>0</v>
      </c>
      <c r="J7" s="133"/>
    </row>
    <row r="8" spans="1:16" ht="21" customHeight="1">
      <c r="A8" s="629">
        <v>43748</v>
      </c>
      <c r="B8" s="651"/>
      <c r="C8" s="652" t="s">
        <v>510</v>
      </c>
      <c r="D8" s="653">
        <v>26527</v>
      </c>
      <c r="E8" s="654"/>
      <c r="F8" s="653">
        <f t="shared" ref="F8:F64" si="0">D8*0%</f>
        <v>0</v>
      </c>
      <c r="G8" s="654">
        <f t="shared" ref="G8:G64" si="1">D8*0.006</f>
        <v>159.16200000000001</v>
      </c>
      <c r="H8" s="655">
        <f t="shared" ref="H8:H71" si="2">E8*0.006+F8*0.006</f>
        <v>0</v>
      </c>
      <c r="I8" s="656">
        <f t="shared" ref="I8:I71" si="3">I7+D8-E8-F8-G8-H8</f>
        <v>26367.838</v>
      </c>
      <c r="J8" s="638"/>
    </row>
    <row r="9" spans="1:16" ht="21" customHeight="1">
      <c r="A9" s="629">
        <v>43756</v>
      </c>
      <c r="B9" s="651"/>
      <c r="C9" s="652" t="s">
        <v>511</v>
      </c>
      <c r="D9" s="653"/>
      <c r="E9" s="654">
        <f>1446.08*0</f>
        <v>0</v>
      </c>
      <c r="F9" s="657">
        <f t="shared" si="0"/>
        <v>0</v>
      </c>
      <c r="G9" s="655">
        <f t="shared" si="1"/>
        <v>0</v>
      </c>
      <c r="H9" s="655">
        <f t="shared" si="2"/>
        <v>0</v>
      </c>
      <c r="I9" s="656">
        <f t="shared" si="3"/>
        <v>26367.838</v>
      </c>
      <c r="J9" s="658"/>
    </row>
    <row r="10" spans="1:16" ht="21" customHeight="1">
      <c r="A10" s="629">
        <v>43759</v>
      </c>
      <c r="B10" s="651"/>
      <c r="C10" s="652" t="s">
        <v>512</v>
      </c>
      <c r="D10" s="657"/>
      <c r="E10" s="655">
        <v>3321.73</v>
      </c>
      <c r="F10" s="657">
        <f t="shared" si="0"/>
        <v>0</v>
      </c>
      <c r="G10" s="655">
        <f t="shared" si="1"/>
        <v>0</v>
      </c>
      <c r="H10" s="655">
        <f t="shared" si="2"/>
        <v>19.93038</v>
      </c>
      <c r="I10" s="656">
        <f t="shared" si="3"/>
        <v>23026.177619999999</v>
      </c>
      <c r="J10" s="658"/>
    </row>
    <row r="11" spans="1:16" ht="21" customHeight="1">
      <c r="A11" s="629">
        <v>43766</v>
      </c>
      <c r="B11" s="651"/>
      <c r="C11" s="659" t="s">
        <v>513</v>
      </c>
      <c r="D11" s="653">
        <f>2530+3430+64490</f>
        <v>70450</v>
      </c>
      <c r="E11" s="654"/>
      <c r="F11" s="657">
        <f t="shared" si="0"/>
        <v>0</v>
      </c>
      <c r="G11" s="655">
        <f t="shared" si="1"/>
        <v>422.7</v>
      </c>
      <c r="H11" s="655">
        <f t="shared" si="2"/>
        <v>0</v>
      </c>
      <c r="I11" s="656">
        <f t="shared" si="3"/>
        <v>93053.477620000005</v>
      </c>
      <c r="J11" s="658"/>
    </row>
    <row r="12" spans="1:16" ht="21" customHeight="1">
      <c r="A12" s="629">
        <v>43766</v>
      </c>
      <c r="B12" s="660"/>
      <c r="C12" s="659" t="s">
        <v>513</v>
      </c>
      <c r="D12" s="653">
        <v>4830</v>
      </c>
      <c r="E12" s="654"/>
      <c r="F12" s="657">
        <f t="shared" si="0"/>
        <v>0</v>
      </c>
      <c r="G12" s="655">
        <f t="shared" si="1"/>
        <v>28.98</v>
      </c>
      <c r="H12" s="655">
        <f t="shared" si="2"/>
        <v>0</v>
      </c>
      <c r="I12" s="656">
        <f t="shared" si="3"/>
        <v>97854.497620000009</v>
      </c>
      <c r="J12" s="658"/>
    </row>
    <row r="13" spans="1:16" ht="21" customHeight="1">
      <c r="A13" s="629">
        <v>43766</v>
      </c>
      <c r="B13" s="661"/>
      <c r="C13" s="133" t="s">
        <v>514</v>
      </c>
      <c r="D13" s="654"/>
      <c r="E13" s="654">
        <v>60000</v>
      </c>
      <c r="F13" s="657">
        <f t="shared" si="0"/>
        <v>0</v>
      </c>
      <c r="G13" s="655">
        <f t="shared" si="1"/>
        <v>0</v>
      </c>
      <c r="H13" s="655">
        <f t="shared" si="2"/>
        <v>360</v>
      </c>
      <c r="I13" s="656">
        <f t="shared" si="3"/>
        <v>37494.497620000009</v>
      </c>
      <c r="J13" s="658"/>
    </row>
    <row r="14" spans="1:16" ht="21" customHeight="1">
      <c r="A14" s="662">
        <v>43766</v>
      </c>
      <c r="B14" s="663">
        <v>4</v>
      </c>
      <c r="C14" s="363" t="s">
        <v>515</v>
      </c>
      <c r="D14" s="664"/>
      <c r="E14" s="664">
        <v>24200</v>
      </c>
      <c r="F14" s="665">
        <f t="shared" si="0"/>
        <v>0</v>
      </c>
      <c r="G14" s="666">
        <f t="shared" si="1"/>
        <v>0</v>
      </c>
      <c r="H14" s="666">
        <f t="shared" si="2"/>
        <v>145.20000000000002</v>
      </c>
      <c r="I14" s="667">
        <f t="shared" si="3"/>
        <v>13149.297620000008</v>
      </c>
      <c r="J14" s="656"/>
    </row>
    <row r="15" spans="1:16" ht="21" customHeight="1">
      <c r="A15" s="629">
        <v>43776</v>
      </c>
      <c r="B15" s="661"/>
      <c r="C15" s="133" t="s">
        <v>516</v>
      </c>
      <c r="D15" s="655"/>
      <c r="E15" s="655">
        <v>6020.44</v>
      </c>
      <c r="F15" s="657">
        <f t="shared" si="0"/>
        <v>0</v>
      </c>
      <c r="G15" s="655">
        <f t="shared" si="1"/>
        <v>0</v>
      </c>
      <c r="H15" s="655">
        <f t="shared" si="2"/>
        <v>36.122639999999997</v>
      </c>
      <c r="I15" s="656">
        <f t="shared" si="3"/>
        <v>7092.7349800000093</v>
      </c>
    </row>
    <row r="16" spans="1:16" ht="21" customHeight="1">
      <c r="A16" s="629">
        <v>43776</v>
      </c>
      <c r="B16" s="661"/>
      <c r="C16" s="133" t="s">
        <v>512</v>
      </c>
      <c r="D16" s="655"/>
      <c r="E16" s="655">
        <v>3184.17</v>
      </c>
      <c r="F16" s="657">
        <f t="shared" si="0"/>
        <v>0</v>
      </c>
      <c r="G16" s="655">
        <f t="shared" si="1"/>
        <v>0</v>
      </c>
      <c r="H16" s="655">
        <f t="shared" si="2"/>
        <v>19.10502</v>
      </c>
      <c r="I16" s="656">
        <f t="shared" si="3"/>
        <v>3889.4599600000092</v>
      </c>
    </row>
    <row r="17" spans="1:10" ht="21" customHeight="1">
      <c r="A17" s="629">
        <v>43780</v>
      </c>
      <c r="B17" s="661">
        <v>6</v>
      </c>
      <c r="C17" s="133" t="s">
        <v>517</v>
      </c>
      <c r="D17" s="655"/>
      <c r="E17" s="655">
        <v>23000</v>
      </c>
      <c r="F17" s="657">
        <f t="shared" si="0"/>
        <v>0</v>
      </c>
      <c r="G17" s="655">
        <f t="shared" si="1"/>
        <v>0</v>
      </c>
      <c r="H17" s="655">
        <f t="shared" si="2"/>
        <v>138</v>
      </c>
      <c r="I17" s="656">
        <f t="shared" si="3"/>
        <v>-19248.540039999993</v>
      </c>
    </row>
    <row r="18" spans="1:10" ht="21" customHeight="1">
      <c r="A18" s="629">
        <v>43781</v>
      </c>
      <c r="B18" s="661"/>
      <c r="C18" s="133" t="s">
        <v>518</v>
      </c>
      <c r="D18" s="655">
        <v>96744</v>
      </c>
      <c r="E18" s="655"/>
      <c r="F18" s="657">
        <f t="shared" si="0"/>
        <v>0</v>
      </c>
      <c r="G18" s="655">
        <f t="shared" si="1"/>
        <v>580.46400000000006</v>
      </c>
      <c r="H18" s="655">
        <f t="shared" si="2"/>
        <v>0</v>
      </c>
      <c r="I18" s="656">
        <f t="shared" si="3"/>
        <v>76914.99596</v>
      </c>
      <c r="J18" s="656"/>
    </row>
    <row r="19" spans="1:10" ht="21" customHeight="1">
      <c r="A19" s="629">
        <v>43781</v>
      </c>
      <c r="B19" s="661">
        <v>2</v>
      </c>
      <c r="C19" s="133" t="s">
        <v>519</v>
      </c>
      <c r="D19" s="655"/>
      <c r="E19" s="655">
        <v>4970</v>
      </c>
      <c r="F19" s="657">
        <f t="shared" si="0"/>
        <v>0</v>
      </c>
      <c r="G19" s="655">
        <f t="shared" si="1"/>
        <v>0</v>
      </c>
      <c r="H19" s="655">
        <f t="shared" si="2"/>
        <v>29.82</v>
      </c>
      <c r="I19" s="656">
        <f t="shared" si="3"/>
        <v>71915.175959999993</v>
      </c>
    </row>
    <row r="20" spans="1:10" ht="21" customHeight="1">
      <c r="A20" s="629">
        <v>43784</v>
      </c>
      <c r="B20" s="661">
        <v>3</v>
      </c>
      <c r="C20" s="133" t="s">
        <v>520</v>
      </c>
      <c r="D20" s="655"/>
      <c r="E20" s="655">
        <v>4960</v>
      </c>
      <c r="F20" s="657">
        <f t="shared" si="0"/>
        <v>0</v>
      </c>
      <c r="G20" s="655">
        <f t="shared" si="1"/>
        <v>0</v>
      </c>
      <c r="H20" s="655">
        <f t="shared" si="2"/>
        <v>29.76</v>
      </c>
      <c r="I20" s="656">
        <f t="shared" si="3"/>
        <v>66925.415959999998</v>
      </c>
    </row>
    <row r="21" spans="1:10" ht="21" customHeight="1">
      <c r="A21" s="629">
        <v>43788</v>
      </c>
      <c r="B21" s="661">
        <v>9</v>
      </c>
      <c r="C21" s="133" t="s">
        <v>514</v>
      </c>
      <c r="D21" s="655"/>
      <c r="E21" s="655">
        <v>50000</v>
      </c>
      <c r="F21" s="657">
        <f t="shared" si="0"/>
        <v>0</v>
      </c>
      <c r="G21" s="655">
        <f t="shared" si="1"/>
        <v>0</v>
      </c>
      <c r="H21" s="655">
        <f t="shared" si="2"/>
        <v>300</v>
      </c>
      <c r="I21" s="656">
        <f t="shared" si="3"/>
        <v>16625.415959999998</v>
      </c>
    </row>
    <row r="22" spans="1:10" ht="21" customHeight="1">
      <c r="A22" s="629">
        <v>43789</v>
      </c>
      <c r="B22" s="661">
        <v>5</v>
      </c>
      <c r="C22" s="133" t="s">
        <v>521</v>
      </c>
      <c r="D22" s="655"/>
      <c r="E22" s="655">
        <v>4830</v>
      </c>
      <c r="F22" s="657">
        <f t="shared" si="0"/>
        <v>0</v>
      </c>
      <c r="G22" s="655">
        <f t="shared" si="1"/>
        <v>0</v>
      </c>
      <c r="H22" s="655">
        <f t="shared" si="2"/>
        <v>28.98</v>
      </c>
      <c r="I22" s="656">
        <f t="shared" si="3"/>
        <v>11766.435959999999</v>
      </c>
    </row>
    <row r="23" spans="1:10" ht="21" customHeight="1">
      <c r="A23" s="629">
        <v>43789</v>
      </c>
      <c r="B23" s="661"/>
      <c r="C23" s="133" t="s">
        <v>522</v>
      </c>
      <c r="D23" s="655"/>
      <c r="E23" s="655">
        <v>2784.87</v>
      </c>
      <c r="F23" s="657">
        <f t="shared" si="0"/>
        <v>0</v>
      </c>
      <c r="G23" s="655">
        <f t="shared" si="1"/>
        <v>0</v>
      </c>
      <c r="H23" s="655">
        <f t="shared" si="2"/>
        <v>16.709219999999998</v>
      </c>
      <c r="I23" s="656">
        <f t="shared" si="3"/>
        <v>8964.8567399999993</v>
      </c>
    </row>
    <row r="24" spans="1:10" ht="21" customHeight="1">
      <c r="A24" s="629">
        <v>43794</v>
      </c>
      <c r="B24" s="661"/>
      <c r="C24" s="133" t="s">
        <v>513</v>
      </c>
      <c r="D24" s="654">
        <v>66690</v>
      </c>
      <c r="E24" s="655"/>
      <c r="F24" s="657">
        <f t="shared" si="0"/>
        <v>0</v>
      </c>
      <c r="G24" s="655">
        <f t="shared" si="1"/>
        <v>400.14</v>
      </c>
      <c r="H24" s="655">
        <f t="shared" si="2"/>
        <v>0</v>
      </c>
      <c r="I24" s="656">
        <f t="shared" si="3"/>
        <v>75254.716740000003</v>
      </c>
    </row>
    <row r="25" spans="1:10" ht="21" customHeight="1">
      <c r="A25" s="629">
        <v>43794</v>
      </c>
      <c r="B25" s="661"/>
      <c r="C25" s="133" t="s">
        <v>523</v>
      </c>
      <c r="D25" s="654"/>
      <c r="E25" s="655">
        <v>33962.9</v>
      </c>
      <c r="F25" s="657">
        <f t="shared" si="0"/>
        <v>0</v>
      </c>
      <c r="G25" s="655">
        <f t="shared" si="1"/>
        <v>0</v>
      </c>
      <c r="H25" s="655">
        <f t="shared" si="2"/>
        <v>203.7774</v>
      </c>
      <c r="I25" s="656">
        <f t="shared" si="3"/>
        <v>41088.039340000003</v>
      </c>
    </row>
    <row r="26" spans="1:10" ht="21" customHeight="1">
      <c r="A26" s="629">
        <v>43794</v>
      </c>
      <c r="B26" s="661">
        <v>8</v>
      </c>
      <c r="C26" s="133" t="s">
        <v>524</v>
      </c>
      <c r="D26" s="654"/>
      <c r="E26" s="655">
        <v>39325</v>
      </c>
      <c r="F26" s="657">
        <f t="shared" si="0"/>
        <v>0</v>
      </c>
      <c r="G26" s="655">
        <f t="shared" si="1"/>
        <v>0</v>
      </c>
      <c r="H26" s="655">
        <f t="shared" si="2"/>
        <v>235.95000000000002</v>
      </c>
      <c r="I26" s="656">
        <f t="shared" si="3"/>
        <v>1527.0893400000029</v>
      </c>
    </row>
    <row r="27" spans="1:10" ht="21" customHeight="1">
      <c r="A27" s="629">
        <v>43795</v>
      </c>
      <c r="B27" s="661"/>
      <c r="C27" s="133" t="s">
        <v>513</v>
      </c>
      <c r="D27" s="654">
        <v>40000</v>
      </c>
      <c r="E27" s="655"/>
      <c r="F27" s="657">
        <f t="shared" si="0"/>
        <v>0</v>
      </c>
      <c r="G27" s="655">
        <f t="shared" si="1"/>
        <v>240</v>
      </c>
      <c r="H27" s="655">
        <f t="shared" si="2"/>
        <v>0</v>
      </c>
      <c r="I27" s="656">
        <f t="shared" si="3"/>
        <v>41287.089340000006</v>
      </c>
    </row>
    <row r="28" spans="1:10" ht="21" customHeight="1">
      <c r="A28" s="668">
        <v>43795</v>
      </c>
      <c r="B28" s="669"/>
      <c r="C28" s="670" t="s">
        <v>525</v>
      </c>
      <c r="D28" s="671"/>
      <c r="E28" s="672">
        <v>10986.689999999999</v>
      </c>
      <c r="F28" s="657">
        <f t="shared" si="0"/>
        <v>0</v>
      </c>
      <c r="G28" s="655">
        <f t="shared" si="1"/>
        <v>0</v>
      </c>
      <c r="H28" s="655">
        <f t="shared" si="2"/>
        <v>65.920139999999989</v>
      </c>
      <c r="I28" s="656">
        <f t="shared" si="3"/>
        <v>30234.479200000009</v>
      </c>
    </row>
    <row r="29" spans="1:10" ht="21" customHeight="1">
      <c r="A29" s="629">
        <v>43796</v>
      </c>
      <c r="B29" s="661"/>
      <c r="C29" s="133" t="s">
        <v>526</v>
      </c>
      <c r="D29" s="654"/>
      <c r="E29" s="655">
        <v>1469.62</v>
      </c>
      <c r="F29" s="657">
        <f t="shared" si="0"/>
        <v>0</v>
      </c>
      <c r="G29" s="655">
        <f t="shared" si="1"/>
        <v>0</v>
      </c>
      <c r="H29" s="655">
        <f t="shared" si="2"/>
        <v>8.8177199999999996</v>
      </c>
      <c r="I29" s="656">
        <f t="shared" si="3"/>
        <v>28756.041480000011</v>
      </c>
    </row>
    <row r="30" spans="1:10" ht="21" customHeight="1">
      <c r="A30" s="629">
        <v>43797</v>
      </c>
      <c r="B30" s="661"/>
      <c r="C30" s="133" t="s">
        <v>513</v>
      </c>
      <c r="D30" s="654">
        <v>64490</v>
      </c>
      <c r="E30" s="655"/>
      <c r="F30" s="657">
        <f t="shared" si="0"/>
        <v>0</v>
      </c>
      <c r="G30" s="655">
        <f t="shared" si="1"/>
        <v>386.94</v>
      </c>
      <c r="H30" s="655">
        <f t="shared" si="2"/>
        <v>0</v>
      </c>
      <c r="I30" s="656">
        <f t="shared" si="3"/>
        <v>92859.101480000012</v>
      </c>
    </row>
    <row r="31" spans="1:10" ht="21" customHeight="1">
      <c r="A31" s="662">
        <v>43797</v>
      </c>
      <c r="B31" s="663"/>
      <c r="C31" s="363" t="s">
        <v>527</v>
      </c>
      <c r="D31" s="666"/>
      <c r="E31" s="666">
        <v>2719.34</v>
      </c>
      <c r="F31" s="665">
        <f t="shared" si="0"/>
        <v>0</v>
      </c>
      <c r="G31" s="666">
        <f t="shared" si="1"/>
        <v>0</v>
      </c>
      <c r="H31" s="666">
        <f t="shared" si="2"/>
        <v>16.316040000000001</v>
      </c>
      <c r="I31" s="667">
        <f t="shared" si="3"/>
        <v>90123.44544000001</v>
      </c>
      <c r="J31" s="656"/>
    </row>
    <row r="32" spans="1:10" ht="21" customHeight="1">
      <c r="A32" s="629">
        <v>43804</v>
      </c>
      <c r="B32" s="673">
        <v>10</v>
      </c>
      <c r="C32" s="133" t="s">
        <v>514</v>
      </c>
      <c r="D32" s="674"/>
      <c r="E32" s="655">
        <v>50000</v>
      </c>
      <c r="F32" s="657">
        <f t="shared" si="0"/>
        <v>0</v>
      </c>
      <c r="G32" s="655">
        <f t="shared" si="1"/>
        <v>0</v>
      </c>
      <c r="H32" s="655">
        <f t="shared" si="2"/>
        <v>300</v>
      </c>
      <c r="I32" s="656">
        <f t="shared" si="3"/>
        <v>39823.44544000001</v>
      </c>
    </row>
    <row r="33" spans="1:13" ht="21" customHeight="1">
      <c r="A33" s="629">
        <v>43808</v>
      </c>
      <c r="B33" s="675"/>
      <c r="C33" s="133" t="s">
        <v>528</v>
      </c>
      <c r="D33" s="674"/>
      <c r="E33" s="655">
        <v>6020.44</v>
      </c>
      <c r="F33" s="657">
        <f t="shared" si="0"/>
        <v>0</v>
      </c>
      <c r="G33" s="655">
        <f t="shared" si="1"/>
        <v>0</v>
      </c>
      <c r="H33" s="655">
        <f t="shared" si="2"/>
        <v>36.122639999999997</v>
      </c>
      <c r="I33" s="656">
        <f t="shared" si="3"/>
        <v>33766.882800000007</v>
      </c>
    </row>
    <row r="34" spans="1:13" ht="21" customHeight="1">
      <c r="A34" s="629">
        <v>43810</v>
      </c>
      <c r="B34" s="673"/>
      <c r="C34" s="133" t="s">
        <v>529</v>
      </c>
      <c r="D34" s="654">
        <f>70000+32682-D33-D32-D31</f>
        <v>102682</v>
      </c>
      <c r="E34" s="655"/>
      <c r="F34" s="657">
        <f t="shared" si="0"/>
        <v>0</v>
      </c>
      <c r="G34" s="655">
        <f t="shared" si="1"/>
        <v>616.09199999999998</v>
      </c>
      <c r="H34" s="655">
        <f t="shared" si="2"/>
        <v>0</v>
      </c>
      <c r="I34" s="656">
        <f t="shared" si="3"/>
        <v>135832.79080000002</v>
      </c>
      <c r="J34" s="676"/>
      <c r="L34" s="677"/>
    </row>
    <row r="35" spans="1:13" ht="21" customHeight="1">
      <c r="A35" s="629">
        <v>43811</v>
      </c>
      <c r="B35" s="675"/>
      <c r="C35" s="133" t="s">
        <v>512</v>
      </c>
      <c r="D35" s="655"/>
      <c r="E35" s="655">
        <v>1952.36</v>
      </c>
      <c r="F35" s="657">
        <f t="shared" si="0"/>
        <v>0</v>
      </c>
      <c r="G35" s="655">
        <f t="shared" si="1"/>
        <v>0</v>
      </c>
      <c r="H35" s="655">
        <f t="shared" si="2"/>
        <v>11.71416</v>
      </c>
      <c r="I35" s="656">
        <f t="shared" si="3"/>
        <v>133868.71664000003</v>
      </c>
      <c r="J35" s="676"/>
    </row>
    <row r="36" spans="1:13" ht="21" customHeight="1">
      <c r="A36" s="629">
        <v>43815</v>
      </c>
      <c r="B36" s="675"/>
      <c r="C36" s="133" t="s">
        <v>530</v>
      </c>
      <c r="D36" s="678"/>
      <c r="E36" s="655">
        <v>1999.5</v>
      </c>
      <c r="F36" s="657">
        <f t="shared" si="0"/>
        <v>0</v>
      </c>
      <c r="G36" s="655">
        <f t="shared" si="1"/>
        <v>0</v>
      </c>
      <c r="H36" s="655">
        <f t="shared" si="2"/>
        <v>11.997</v>
      </c>
      <c r="I36" s="656">
        <f t="shared" si="3"/>
        <v>131857.21964000002</v>
      </c>
      <c r="J36" s="676"/>
    </row>
    <row r="37" spans="1:13" ht="21" customHeight="1">
      <c r="A37" s="629">
        <v>43819</v>
      </c>
      <c r="B37" s="675"/>
      <c r="C37" s="133" t="s">
        <v>531</v>
      </c>
      <c r="D37" s="678"/>
      <c r="E37" s="655">
        <v>21159.599999999999</v>
      </c>
      <c r="F37" s="657">
        <f t="shared" si="0"/>
        <v>0</v>
      </c>
      <c r="G37" s="655">
        <f t="shared" si="1"/>
        <v>0</v>
      </c>
      <c r="H37" s="655">
        <f t="shared" si="2"/>
        <v>126.9576</v>
      </c>
      <c r="I37" s="656">
        <f t="shared" si="3"/>
        <v>110570.66204000002</v>
      </c>
    </row>
    <row r="38" spans="1:13" ht="21" customHeight="1">
      <c r="A38" s="629">
        <v>43823</v>
      </c>
      <c r="B38" s="675"/>
      <c r="C38" s="133" t="s">
        <v>532</v>
      </c>
      <c r="D38" s="678"/>
      <c r="E38" s="655">
        <f>2400+1599</f>
        <v>3999</v>
      </c>
      <c r="F38" s="657">
        <f>D38*0%</f>
        <v>0</v>
      </c>
      <c r="G38" s="655">
        <f>D38*0.006</f>
        <v>0</v>
      </c>
      <c r="H38" s="655">
        <f>E38*0.006+F38*0.006</f>
        <v>23.994</v>
      </c>
      <c r="I38" s="656">
        <f t="shared" si="3"/>
        <v>106547.66804000002</v>
      </c>
      <c r="J38" s="679"/>
    </row>
    <row r="39" spans="1:13" ht="21" customHeight="1">
      <c r="A39" s="662">
        <v>43829</v>
      </c>
      <c r="B39" s="680" t="s">
        <v>533</v>
      </c>
      <c r="C39" s="363" t="s">
        <v>534</v>
      </c>
      <c r="D39" s="666">
        <v>33160</v>
      </c>
      <c r="E39" s="681"/>
      <c r="F39" s="665">
        <f>D39*0%</f>
        <v>0</v>
      </c>
      <c r="G39" s="666">
        <f>D39*0.006</f>
        <v>198.96</v>
      </c>
      <c r="H39" s="666">
        <f>E39*0.006+F39*0.006</f>
        <v>0</v>
      </c>
      <c r="I39" s="667">
        <f t="shared" si="3"/>
        <v>139508.70804000003</v>
      </c>
    </row>
    <row r="40" spans="1:13" ht="21" customHeight="1">
      <c r="A40" s="629">
        <v>43836</v>
      </c>
      <c r="B40" s="675"/>
      <c r="C40" s="133" t="s">
        <v>512</v>
      </c>
      <c r="D40" s="537"/>
      <c r="E40" s="537">
        <v>1864.84</v>
      </c>
      <c r="F40" s="536">
        <f>D40*0%</f>
        <v>0</v>
      </c>
      <c r="G40" s="537">
        <f>D40*0.006</f>
        <v>0</v>
      </c>
      <c r="H40" s="537">
        <f>E40*0.006+F40*0.006</f>
        <v>11.18904</v>
      </c>
      <c r="I40" s="656">
        <f>I39+D40-E40-F40-G40-H40</f>
        <v>137632.67900000003</v>
      </c>
      <c r="J40" s="679"/>
    </row>
    <row r="41" spans="1:13" ht="21" customHeight="1">
      <c r="A41" s="629" t="s">
        <v>535</v>
      </c>
      <c r="B41" s="675">
        <v>11</v>
      </c>
      <c r="C41" s="133" t="s">
        <v>536</v>
      </c>
      <c r="D41" s="678"/>
      <c r="E41" s="655">
        <v>14745.65</v>
      </c>
      <c r="F41" s="536">
        <f t="shared" ref="F41:F48" si="4">D41*0%</f>
        <v>0</v>
      </c>
      <c r="G41" s="537">
        <f t="shared" ref="G41:G48" si="5">D41*0.006</f>
        <v>0</v>
      </c>
      <c r="H41" s="537">
        <f t="shared" ref="H41:H48" si="6">E41*0.006+F41*0.006</f>
        <v>88.4739</v>
      </c>
      <c r="I41" s="656">
        <f t="shared" ref="I41:I44" si="7">I40+D41-E41-F41-G41-H41</f>
        <v>122798.55510000004</v>
      </c>
      <c r="J41" s="679"/>
    </row>
    <row r="42" spans="1:13" ht="21" customHeight="1">
      <c r="A42" s="629">
        <v>43846</v>
      </c>
      <c r="B42" s="675"/>
      <c r="C42" s="133" t="s">
        <v>537</v>
      </c>
      <c r="D42" s="537">
        <f>96800-48400</f>
        <v>48400</v>
      </c>
      <c r="E42" s="537"/>
      <c r="F42" s="536">
        <f t="shared" si="4"/>
        <v>0</v>
      </c>
      <c r="G42" s="537">
        <f t="shared" si="5"/>
        <v>290.40000000000003</v>
      </c>
      <c r="H42" s="537">
        <f t="shared" si="6"/>
        <v>0</v>
      </c>
      <c r="I42" s="656">
        <f t="shared" si="7"/>
        <v>170908.15510000006</v>
      </c>
    </row>
    <row r="43" spans="1:13" ht="21" customHeight="1">
      <c r="A43" s="629">
        <v>43847</v>
      </c>
      <c r="B43" s="675"/>
      <c r="C43" s="133" t="s">
        <v>538</v>
      </c>
      <c r="D43" s="537"/>
      <c r="E43" s="537">
        <v>1999.5</v>
      </c>
      <c r="F43" s="536">
        <f t="shared" si="4"/>
        <v>0</v>
      </c>
      <c r="G43" s="537">
        <f t="shared" si="5"/>
        <v>0</v>
      </c>
      <c r="H43" s="537">
        <f t="shared" si="6"/>
        <v>11.997</v>
      </c>
      <c r="I43" s="656">
        <f t="shared" si="7"/>
        <v>168896.65810000006</v>
      </c>
      <c r="J43" s="679"/>
    </row>
    <row r="44" spans="1:13" ht="21" customHeight="1">
      <c r="A44" s="629">
        <v>43851</v>
      </c>
      <c r="B44" s="675"/>
      <c r="C44" s="133" t="s">
        <v>539</v>
      </c>
      <c r="D44" s="537"/>
      <c r="E44" s="537">
        <v>17000</v>
      </c>
      <c r="F44" s="536">
        <f t="shared" si="4"/>
        <v>0</v>
      </c>
      <c r="G44" s="537">
        <f t="shared" si="5"/>
        <v>0</v>
      </c>
      <c r="H44" s="537">
        <f t="shared" si="6"/>
        <v>102</v>
      </c>
      <c r="I44" s="656">
        <f t="shared" si="7"/>
        <v>151794.65810000006</v>
      </c>
    </row>
    <row r="45" spans="1:13" ht="21" customHeight="1">
      <c r="A45" s="629">
        <v>43853</v>
      </c>
      <c r="B45" s="675"/>
      <c r="C45" s="133" t="s">
        <v>540</v>
      </c>
      <c r="D45" s="537"/>
      <c r="E45" s="537">
        <f>2400+1599</f>
        <v>3999</v>
      </c>
      <c r="F45" s="536">
        <f t="shared" si="4"/>
        <v>0</v>
      </c>
      <c r="G45" s="537">
        <f t="shared" si="5"/>
        <v>0</v>
      </c>
      <c r="H45" s="537">
        <f t="shared" si="6"/>
        <v>23.994</v>
      </c>
      <c r="I45" s="656">
        <f t="shared" si="3"/>
        <v>147771.66410000005</v>
      </c>
    </row>
    <row r="46" spans="1:13" ht="21" customHeight="1">
      <c r="A46" s="662">
        <v>43853</v>
      </c>
      <c r="B46" s="682"/>
      <c r="C46" s="363" t="s">
        <v>541</v>
      </c>
      <c r="D46" s="666"/>
      <c r="E46" s="666">
        <v>1656.6</v>
      </c>
      <c r="F46" s="665">
        <f t="shared" si="4"/>
        <v>0</v>
      </c>
      <c r="G46" s="666">
        <f t="shared" si="5"/>
        <v>0</v>
      </c>
      <c r="H46" s="666">
        <f t="shared" si="6"/>
        <v>9.9396000000000004</v>
      </c>
      <c r="I46" s="667">
        <f t="shared" si="3"/>
        <v>146105.12450000003</v>
      </c>
    </row>
    <row r="47" spans="1:13" ht="21" customHeight="1">
      <c r="A47" s="629">
        <v>43854</v>
      </c>
      <c r="B47" s="675"/>
      <c r="C47" s="133" t="s">
        <v>542</v>
      </c>
      <c r="D47" s="537"/>
      <c r="E47" s="537">
        <v>0</v>
      </c>
      <c r="F47" s="536">
        <f t="shared" si="4"/>
        <v>0</v>
      </c>
      <c r="G47" s="537">
        <f t="shared" si="5"/>
        <v>0</v>
      </c>
      <c r="H47" s="537">
        <f t="shared" si="6"/>
        <v>0</v>
      </c>
      <c r="I47" s="656">
        <f t="shared" si="3"/>
        <v>146105.12450000003</v>
      </c>
      <c r="J47" s="683"/>
      <c r="L47" s="679"/>
      <c r="M47" s="157"/>
    </row>
    <row r="48" spans="1:13" ht="21" customHeight="1">
      <c r="A48" s="629">
        <v>43854</v>
      </c>
      <c r="B48" s="675"/>
      <c r="C48" s="133" t="s">
        <v>513</v>
      </c>
      <c r="D48" s="346">
        <f>64493+1736</f>
        <v>66229</v>
      </c>
      <c r="E48" s="537"/>
      <c r="F48" s="536">
        <f t="shared" si="4"/>
        <v>0</v>
      </c>
      <c r="G48" s="537">
        <f t="shared" si="5"/>
        <v>397.37400000000002</v>
      </c>
      <c r="H48" s="537">
        <f t="shared" si="6"/>
        <v>0</v>
      </c>
      <c r="I48" s="656">
        <f t="shared" si="3"/>
        <v>211936.75050000002</v>
      </c>
      <c r="J48" s="679"/>
    </row>
    <row r="49" spans="1:10" ht="21" customHeight="1">
      <c r="A49" s="629">
        <v>43857</v>
      </c>
      <c r="B49" s="675">
        <v>12</v>
      </c>
      <c r="C49" s="133" t="s">
        <v>543</v>
      </c>
      <c r="D49" s="678"/>
      <c r="E49" s="655">
        <v>179843.4</v>
      </c>
      <c r="F49" s="536">
        <f t="shared" si="0"/>
        <v>0</v>
      </c>
      <c r="G49" s="537">
        <f t="shared" si="1"/>
        <v>0</v>
      </c>
      <c r="H49" s="537">
        <f t="shared" si="2"/>
        <v>1079.0604000000001</v>
      </c>
      <c r="I49" s="656">
        <f t="shared" si="3"/>
        <v>31014.290100000031</v>
      </c>
      <c r="J49" s="679"/>
    </row>
    <row r="50" spans="1:10" ht="21" customHeight="1">
      <c r="A50" s="629">
        <v>43861</v>
      </c>
      <c r="B50" s="675"/>
      <c r="C50" s="133" t="s">
        <v>544</v>
      </c>
      <c r="D50" s="678"/>
      <c r="E50" s="655">
        <v>5602.63</v>
      </c>
      <c r="F50" s="536">
        <f t="shared" si="0"/>
        <v>0</v>
      </c>
      <c r="G50" s="537">
        <f t="shared" si="1"/>
        <v>0</v>
      </c>
      <c r="H50" s="537">
        <f t="shared" si="2"/>
        <v>33.615780000000001</v>
      </c>
      <c r="I50" s="656">
        <f t="shared" si="3"/>
        <v>25378.04432000003</v>
      </c>
      <c r="J50" s="679"/>
    </row>
    <row r="51" spans="1:10" ht="21" customHeight="1">
      <c r="A51" s="662">
        <v>43861</v>
      </c>
      <c r="B51" s="682"/>
      <c r="C51" s="363" t="s">
        <v>545</v>
      </c>
      <c r="D51" s="664"/>
      <c r="E51" s="666">
        <v>55.66</v>
      </c>
      <c r="F51" s="665">
        <f t="shared" si="0"/>
        <v>0</v>
      </c>
      <c r="G51" s="666">
        <f t="shared" si="1"/>
        <v>0</v>
      </c>
      <c r="H51" s="666">
        <f t="shared" si="2"/>
        <v>0.33395999999999998</v>
      </c>
      <c r="I51" s="667">
        <f t="shared" si="3"/>
        <v>25322.05036000003</v>
      </c>
      <c r="J51" s="679"/>
    </row>
    <row r="52" spans="1:10" ht="21" customHeight="1">
      <c r="A52" s="629">
        <v>43867</v>
      </c>
      <c r="B52" s="684"/>
      <c r="C52" s="133" t="s">
        <v>513</v>
      </c>
      <c r="D52" s="346">
        <f>53300*1.21+1661.17-154.17</f>
        <v>66000</v>
      </c>
      <c r="E52" s="685"/>
      <c r="F52" s="536">
        <f t="shared" si="0"/>
        <v>0</v>
      </c>
      <c r="G52" s="537">
        <f t="shared" si="1"/>
        <v>396</v>
      </c>
      <c r="H52" s="537">
        <f t="shared" si="2"/>
        <v>0</v>
      </c>
      <c r="I52" s="656">
        <f t="shared" si="3"/>
        <v>90926.050360000023</v>
      </c>
      <c r="J52" s="679"/>
    </row>
    <row r="53" spans="1:10" ht="21" customHeight="1">
      <c r="A53" s="629">
        <v>43867</v>
      </c>
      <c r="B53" s="684"/>
      <c r="C53" s="133" t="s">
        <v>546</v>
      </c>
      <c r="D53" s="686"/>
      <c r="E53" s="346">
        <v>23880.12</v>
      </c>
      <c r="F53" s="536">
        <f t="shared" si="0"/>
        <v>0</v>
      </c>
      <c r="G53" s="537">
        <f t="shared" si="1"/>
        <v>0</v>
      </c>
      <c r="H53" s="537">
        <f t="shared" si="2"/>
        <v>143.28072</v>
      </c>
      <c r="I53" s="656">
        <f t="shared" si="3"/>
        <v>66902.649640000032</v>
      </c>
      <c r="J53" s="679"/>
    </row>
    <row r="54" spans="1:10" ht="21" customHeight="1">
      <c r="A54" s="629">
        <v>43867</v>
      </c>
      <c r="B54" s="675"/>
      <c r="C54" s="133" t="s">
        <v>547</v>
      </c>
      <c r="D54" s="686"/>
      <c r="E54" s="346">
        <v>5878.96</v>
      </c>
      <c r="F54" s="536">
        <f t="shared" si="0"/>
        <v>0</v>
      </c>
      <c r="G54" s="537">
        <f t="shared" si="1"/>
        <v>0</v>
      </c>
      <c r="H54" s="537">
        <f t="shared" si="2"/>
        <v>35.273760000000003</v>
      </c>
      <c r="I54" s="656">
        <f t="shared" si="3"/>
        <v>60988.415880000037</v>
      </c>
      <c r="J54" s="679"/>
    </row>
    <row r="55" spans="1:10" ht="21" customHeight="1">
      <c r="A55" s="629">
        <v>43871</v>
      </c>
      <c r="B55" s="675"/>
      <c r="C55" s="133" t="s">
        <v>548</v>
      </c>
      <c r="D55" s="346">
        <f>48400+1700</f>
        <v>50100</v>
      </c>
      <c r="E55" s="685"/>
      <c r="F55" s="536">
        <f t="shared" si="0"/>
        <v>0</v>
      </c>
      <c r="G55" s="537">
        <f t="shared" si="1"/>
        <v>300.60000000000002</v>
      </c>
      <c r="H55" s="537">
        <f t="shared" si="2"/>
        <v>0</v>
      </c>
      <c r="I55" s="656">
        <f t="shared" si="3"/>
        <v>110787.81588000004</v>
      </c>
      <c r="J55" s="679"/>
    </row>
    <row r="56" spans="1:10" ht="21" customHeight="1">
      <c r="A56" s="629">
        <v>43878</v>
      </c>
      <c r="B56" s="675" t="s">
        <v>549</v>
      </c>
      <c r="C56" s="133" t="s">
        <v>550</v>
      </c>
      <c r="D56" s="346"/>
      <c r="E56" s="655">
        <v>1399.5</v>
      </c>
      <c r="F56" s="536">
        <f t="shared" si="0"/>
        <v>0</v>
      </c>
      <c r="G56" s="537">
        <f t="shared" si="1"/>
        <v>0</v>
      </c>
      <c r="H56" s="537">
        <f t="shared" si="2"/>
        <v>8.3970000000000002</v>
      </c>
      <c r="I56" s="656">
        <f t="shared" si="3"/>
        <v>109379.91888000004</v>
      </c>
      <c r="J56" s="679"/>
    </row>
    <row r="57" spans="1:10" ht="21" customHeight="1">
      <c r="A57" s="629">
        <v>43882</v>
      </c>
      <c r="B57" s="675">
        <v>14</v>
      </c>
      <c r="C57" s="133" t="s">
        <v>551</v>
      </c>
      <c r="D57" s="346"/>
      <c r="E57" s="346">
        <v>38163.4</v>
      </c>
      <c r="F57" s="536">
        <f t="shared" si="0"/>
        <v>0</v>
      </c>
      <c r="G57" s="537">
        <f t="shared" si="1"/>
        <v>0</v>
      </c>
      <c r="H57" s="537">
        <f t="shared" si="2"/>
        <v>228.9804</v>
      </c>
      <c r="I57" s="656">
        <f t="shared" si="3"/>
        <v>70987.538480000047</v>
      </c>
      <c r="J57" s="679"/>
    </row>
    <row r="58" spans="1:10" ht="21" customHeight="1">
      <c r="A58" s="629">
        <v>43883</v>
      </c>
      <c r="B58" s="675">
        <v>13</v>
      </c>
      <c r="C58" s="133" t="s">
        <v>552</v>
      </c>
      <c r="D58" s="537"/>
      <c r="E58" s="655">
        <v>15382.29</v>
      </c>
      <c r="F58" s="536">
        <f t="shared" si="0"/>
        <v>0</v>
      </c>
      <c r="G58" s="537">
        <f t="shared" si="1"/>
        <v>0</v>
      </c>
      <c r="H58" s="537">
        <f t="shared" si="2"/>
        <v>92.293740000000014</v>
      </c>
      <c r="I58" s="656">
        <f t="shared" si="3"/>
        <v>55512.954740000045</v>
      </c>
      <c r="J58" s="679"/>
    </row>
    <row r="59" spans="1:10" ht="21" customHeight="1">
      <c r="A59" s="629">
        <v>43887</v>
      </c>
      <c r="B59" s="675"/>
      <c r="C59" s="133" t="s">
        <v>513</v>
      </c>
      <c r="D59" s="346">
        <f>65500+500</f>
        <v>66000</v>
      </c>
      <c r="E59" s="346"/>
      <c r="F59" s="536">
        <f t="shared" si="0"/>
        <v>0</v>
      </c>
      <c r="G59" s="537">
        <f t="shared" si="1"/>
        <v>396</v>
      </c>
      <c r="H59" s="537">
        <f t="shared" si="2"/>
        <v>0</v>
      </c>
      <c r="I59" s="656">
        <f t="shared" si="3"/>
        <v>121116.95474000004</v>
      </c>
      <c r="J59" s="679"/>
    </row>
    <row r="60" spans="1:10" ht="21" customHeight="1">
      <c r="A60" s="629">
        <v>43887</v>
      </c>
      <c r="B60" s="675" t="s">
        <v>549</v>
      </c>
      <c r="C60" s="133" t="s">
        <v>541</v>
      </c>
      <c r="D60" s="685"/>
      <c r="E60" s="346">
        <v>1656.6</v>
      </c>
      <c r="F60" s="536">
        <f t="shared" si="0"/>
        <v>0</v>
      </c>
      <c r="G60" s="537">
        <f t="shared" si="1"/>
        <v>0</v>
      </c>
      <c r="H60" s="537">
        <f t="shared" si="2"/>
        <v>9.9396000000000004</v>
      </c>
      <c r="I60" s="656">
        <f t="shared" si="3"/>
        <v>119450.41514000004</v>
      </c>
      <c r="J60" s="679"/>
    </row>
    <row r="61" spans="1:10" ht="21" customHeight="1">
      <c r="A61" s="629">
        <v>43889</v>
      </c>
      <c r="B61" s="675"/>
      <c r="C61" s="133" t="s">
        <v>545</v>
      </c>
      <c r="D61" s="685"/>
      <c r="E61" s="346">
        <f>23+4.83</f>
        <v>27.83</v>
      </c>
      <c r="F61" s="536">
        <f t="shared" si="0"/>
        <v>0</v>
      </c>
      <c r="G61" s="537">
        <f t="shared" si="1"/>
        <v>0</v>
      </c>
      <c r="H61" s="537">
        <f t="shared" si="2"/>
        <v>0.16697999999999999</v>
      </c>
      <c r="I61" s="656">
        <f t="shared" si="3"/>
        <v>119422.41816000004</v>
      </c>
      <c r="J61" s="679"/>
    </row>
    <row r="62" spans="1:10" ht="21" customHeight="1">
      <c r="A62" s="662">
        <v>43889</v>
      </c>
      <c r="B62" s="682"/>
      <c r="C62" s="363" t="s">
        <v>513</v>
      </c>
      <c r="D62" s="664">
        <v>35000</v>
      </c>
      <c r="E62" s="687"/>
      <c r="F62" s="665">
        <f t="shared" si="0"/>
        <v>0</v>
      </c>
      <c r="G62" s="666">
        <f t="shared" si="1"/>
        <v>210</v>
      </c>
      <c r="H62" s="666">
        <f t="shared" si="2"/>
        <v>0</v>
      </c>
      <c r="I62" s="667">
        <f t="shared" si="3"/>
        <v>154212.41816000006</v>
      </c>
      <c r="J62" s="133"/>
    </row>
    <row r="63" spans="1:10" ht="21" customHeight="1">
      <c r="A63" s="629">
        <v>43895</v>
      </c>
      <c r="B63" s="675"/>
      <c r="C63" s="133" t="s">
        <v>513</v>
      </c>
      <c r="D63" s="346">
        <v>35000</v>
      </c>
      <c r="E63" s="688"/>
      <c r="F63" s="536">
        <f t="shared" si="0"/>
        <v>0</v>
      </c>
      <c r="G63" s="537">
        <f t="shared" si="1"/>
        <v>210</v>
      </c>
      <c r="H63" s="537">
        <f t="shared" si="2"/>
        <v>0</v>
      </c>
      <c r="I63" s="656">
        <f t="shared" si="3"/>
        <v>189002.41816000006</v>
      </c>
      <c r="J63" s="679"/>
    </row>
    <row r="64" spans="1:10" ht="21" customHeight="1">
      <c r="A64" s="629">
        <v>43895</v>
      </c>
      <c r="B64" s="675" t="s">
        <v>549</v>
      </c>
      <c r="C64" s="133" t="s">
        <v>553</v>
      </c>
      <c r="D64" s="689"/>
      <c r="E64" s="346">
        <v>4487.7</v>
      </c>
      <c r="F64" s="536">
        <f t="shared" si="0"/>
        <v>0</v>
      </c>
      <c r="G64" s="537">
        <f t="shared" si="1"/>
        <v>0</v>
      </c>
      <c r="H64" s="537">
        <f t="shared" si="2"/>
        <v>26.926199999999998</v>
      </c>
      <c r="I64" s="656">
        <f t="shared" si="3"/>
        <v>184487.79196000006</v>
      </c>
      <c r="J64" s="679"/>
    </row>
    <row r="65" spans="1:10" ht="21" customHeight="1">
      <c r="A65" s="629">
        <v>43895</v>
      </c>
      <c r="B65" s="675"/>
      <c r="C65" s="133" t="s">
        <v>554</v>
      </c>
      <c r="D65" s="689"/>
      <c r="E65" s="346">
        <v>25832.47</v>
      </c>
      <c r="F65" s="536">
        <f>D65*0%</f>
        <v>0</v>
      </c>
      <c r="G65" s="537">
        <f>D65*0.006</f>
        <v>0</v>
      </c>
      <c r="H65" s="537">
        <f t="shared" si="2"/>
        <v>154.99482</v>
      </c>
      <c r="I65" s="656">
        <f t="shared" si="3"/>
        <v>158500.32714000007</v>
      </c>
      <c r="J65" s="679"/>
    </row>
    <row r="66" spans="1:10" ht="21" customHeight="1">
      <c r="A66" s="629">
        <v>43899</v>
      </c>
      <c r="B66" s="675" t="s">
        <v>555</v>
      </c>
      <c r="C66" s="133" t="s">
        <v>556</v>
      </c>
      <c r="D66" s="689"/>
      <c r="E66" s="346">
        <v>6046.93</v>
      </c>
      <c r="F66" s="536">
        <f t="shared" ref="F66:F115" si="8">D66*0%</f>
        <v>0</v>
      </c>
      <c r="G66" s="537">
        <f t="shared" ref="G66:G129" si="9">D66*0.006</f>
        <v>0</v>
      </c>
      <c r="H66" s="537">
        <f t="shared" si="2"/>
        <v>36.281580000000005</v>
      </c>
      <c r="I66" s="656">
        <f t="shared" si="3"/>
        <v>152417.11556000006</v>
      </c>
      <c r="J66" s="679"/>
    </row>
    <row r="67" spans="1:10" ht="21" customHeight="1">
      <c r="A67" s="629">
        <v>43900</v>
      </c>
      <c r="B67" s="675" t="s">
        <v>555</v>
      </c>
      <c r="C67" s="652" t="s">
        <v>557</v>
      </c>
      <c r="D67" s="346">
        <v>50100</v>
      </c>
      <c r="E67" s="689"/>
      <c r="F67" s="536">
        <f t="shared" si="8"/>
        <v>0</v>
      </c>
      <c r="G67" s="537">
        <f t="shared" si="9"/>
        <v>300.60000000000002</v>
      </c>
      <c r="H67" s="537">
        <f t="shared" si="2"/>
        <v>0</v>
      </c>
      <c r="I67" s="656">
        <f t="shared" si="3"/>
        <v>202216.51556000006</v>
      </c>
      <c r="J67" s="133"/>
    </row>
    <row r="68" spans="1:10" ht="21" customHeight="1">
      <c r="A68" s="690" t="s">
        <v>558</v>
      </c>
      <c r="B68" s="675">
        <v>16</v>
      </c>
      <c r="C68" s="133" t="s">
        <v>559</v>
      </c>
      <c r="E68" s="655">
        <v>148343.4</v>
      </c>
      <c r="F68" s="536">
        <f t="shared" si="8"/>
        <v>0</v>
      </c>
      <c r="G68" s="537">
        <f t="shared" si="9"/>
        <v>0</v>
      </c>
      <c r="H68" s="537">
        <f t="shared" si="2"/>
        <v>890.06039999999996</v>
      </c>
      <c r="I68" s="656">
        <f t="shared" si="3"/>
        <v>52983.055160000062</v>
      </c>
      <c r="J68" s="691"/>
    </row>
    <row r="69" spans="1:10" ht="21" customHeight="1">
      <c r="A69" s="690">
        <v>43908</v>
      </c>
      <c r="B69" s="692"/>
      <c r="C69" s="133" t="s">
        <v>513</v>
      </c>
      <c r="D69" s="346">
        <v>170000</v>
      </c>
      <c r="E69" s="689"/>
      <c r="F69" s="536">
        <f t="shared" si="8"/>
        <v>0</v>
      </c>
      <c r="G69" s="537">
        <f t="shared" si="9"/>
        <v>1020</v>
      </c>
      <c r="H69" s="537">
        <v>274.69</v>
      </c>
      <c r="I69" s="656">
        <f t="shared" si="3"/>
        <v>221688.36516000004</v>
      </c>
      <c r="J69" s="679"/>
    </row>
    <row r="70" spans="1:10" ht="21" customHeight="1">
      <c r="A70" s="690">
        <v>43909</v>
      </c>
      <c r="B70" s="693"/>
      <c r="C70" s="133" t="s">
        <v>513</v>
      </c>
      <c r="D70" s="346">
        <f>64493+1661.17-154.17</f>
        <v>66000</v>
      </c>
      <c r="E70" s="689"/>
      <c r="F70" s="536">
        <f t="shared" si="8"/>
        <v>0</v>
      </c>
      <c r="G70" s="537">
        <f t="shared" si="9"/>
        <v>396</v>
      </c>
      <c r="H70" s="537">
        <f t="shared" si="2"/>
        <v>0</v>
      </c>
      <c r="I70" s="656">
        <f t="shared" si="3"/>
        <v>287292.36516000004</v>
      </c>
      <c r="J70" s="691"/>
    </row>
    <row r="71" spans="1:10" ht="21" customHeight="1">
      <c r="A71" s="690">
        <v>43910</v>
      </c>
      <c r="B71" s="675">
        <v>15</v>
      </c>
      <c r="C71" s="133" t="s">
        <v>560</v>
      </c>
      <c r="D71" s="694"/>
      <c r="E71" s="346">
        <v>31500</v>
      </c>
      <c r="F71" s="536">
        <f t="shared" si="8"/>
        <v>0</v>
      </c>
      <c r="G71" s="537">
        <f t="shared" si="9"/>
        <v>0</v>
      </c>
      <c r="H71" s="537">
        <f t="shared" si="2"/>
        <v>189</v>
      </c>
      <c r="I71" s="656">
        <f t="shared" si="3"/>
        <v>255603.36516000004</v>
      </c>
      <c r="J71" s="691"/>
    </row>
    <row r="72" spans="1:10" ht="21" customHeight="1">
      <c r="A72" s="695">
        <v>43920</v>
      </c>
      <c r="B72" s="696"/>
      <c r="C72" s="363" t="s">
        <v>545</v>
      </c>
      <c r="D72" s="697"/>
      <c r="E72" s="664">
        <v>83.49</v>
      </c>
      <c r="F72" s="665">
        <f t="shared" si="8"/>
        <v>0</v>
      </c>
      <c r="G72" s="666">
        <f t="shared" si="9"/>
        <v>0</v>
      </c>
      <c r="H72" s="666">
        <f t="shared" ref="H72:H135" si="10">E72*0.006+F72*0.006</f>
        <v>0.50093999999999994</v>
      </c>
      <c r="I72" s="667">
        <f t="shared" ref="I72:I135" si="11">I71+D72-E72-F72-G72-H72</f>
        <v>255519.37422000006</v>
      </c>
      <c r="J72" s="679"/>
    </row>
    <row r="73" spans="1:10" ht="21" customHeight="1">
      <c r="A73" s="698">
        <v>43927</v>
      </c>
      <c r="B73" s="699"/>
      <c r="C73" s="700" t="s">
        <v>561</v>
      </c>
      <c r="D73" s="701"/>
      <c r="E73" s="702">
        <v>25000</v>
      </c>
      <c r="F73" s="536">
        <f t="shared" si="8"/>
        <v>0</v>
      </c>
      <c r="G73" s="537">
        <f t="shared" si="9"/>
        <v>0</v>
      </c>
      <c r="H73" s="537">
        <f t="shared" si="10"/>
        <v>150</v>
      </c>
      <c r="I73" s="656">
        <f t="shared" si="11"/>
        <v>230369.37422000006</v>
      </c>
      <c r="J73" s="679"/>
    </row>
    <row r="74" spans="1:10" ht="21" customHeight="1">
      <c r="A74" s="690">
        <v>43937</v>
      </c>
      <c r="B74" s="703"/>
      <c r="C74" s="133" t="s">
        <v>562</v>
      </c>
      <c r="D74" s="704"/>
      <c r="E74" s="346">
        <v>1432.67</v>
      </c>
      <c r="F74" s="536">
        <f t="shared" si="8"/>
        <v>0</v>
      </c>
      <c r="G74" s="537">
        <f t="shared" si="9"/>
        <v>0</v>
      </c>
      <c r="H74" s="537">
        <f t="shared" si="10"/>
        <v>8.5960200000000011</v>
      </c>
      <c r="I74" s="656">
        <f t="shared" si="11"/>
        <v>228928.10820000005</v>
      </c>
      <c r="J74" s="679"/>
    </row>
    <row r="75" spans="1:10" ht="21" customHeight="1">
      <c r="A75" s="690">
        <v>43937</v>
      </c>
      <c r="B75" s="693"/>
      <c r="C75" s="133" t="s">
        <v>563</v>
      </c>
      <c r="D75" s="704"/>
      <c r="E75" s="346">
        <v>155935.49</v>
      </c>
      <c r="F75" s="536">
        <f t="shared" si="8"/>
        <v>0</v>
      </c>
      <c r="G75" s="537">
        <f t="shared" si="9"/>
        <v>0</v>
      </c>
      <c r="H75" s="537">
        <f t="shared" si="10"/>
        <v>935.61293999999998</v>
      </c>
      <c r="I75" s="656">
        <f t="shared" si="11"/>
        <v>72057.005260000049</v>
      </c>
      <c r="J75" s="691"/>
    </row>
    <row r="76" spans="1:10" ht="21" customHeight="1">
      <c r="A76" s="690">
        <v>43937</v>
      </c>
      <c r="B76" s="693"/>
      <c r="C76" s="133" t="s">
        <v>564</v>
      </c>
      <c r="D76" s="704"/>
      <c r="E76" s="346">
        <v>33126.879999999997</v>
      </c>
      <c r="F76" s="536">
        <f t="shared" si="8"/>
        <v>0</v>
      </c>
      <c r="G76" s="537">
        <f t="shared" si="9"/>
        <v>0</v>
      </c>
      <c r="H76" s="537">
        <f t="shared" si="10"/>
        <v>198.76128</v>
      </c>
      <c r="I76" s="656">
        <f t="shared" si="11"/>
        <v>38731.363980000053</v>
      </c>
      <c r="J76" s="679"/>
    </row>
    <row r="77" spans="1:10" ht="21" customHeight="1">
      <c r="A77" s="629">
        <v>43943</v>
      </c>
      <c r="B77" s="675"/>
      <c r="C77" s="652" t="s">
        <v>565</v>
      </c>
      <c r="D77" s="346">
        <v>42000</v>
      </c>
      <c r="E77" s="655"/>
      <c r="F77" s="536">
        <f t="shared" si="8"/>
        <v>0</v>
      </c>
      <c r="G77" s="537">
        <f t="shared" si="9"/>
        <v>252</v>
      </c>
      <c r="H77" s="537">
        <f t="shared" si="10"/>
        <v>0</v>
      </c>
      <c r="I77" s="656">
        <f t="shared" si="11"/>
        <v>80479.363980000053</v>
      </c>
      <c r="J77" s="679"/>
    </row>
    <row r="78" spans="1:10" ht="21" customHeight="1">
      <c r="A78" s="662">
        <v>43951</v>
      </c>
      <c r="B78" s="682"/>
      <c r="C78" s="363" t="s">
        <v>545</v>
      </c>
      <c r="D78" s="705"/>
      <c r="E78" s="666">
        <v>1347.5</v>
      </c>
      <c r="F78" s="665">
        <f t="shared" si="8"/>
        <v>0</v>
      </c>
      <c r="G78" s="666">
        <f t="shared" si="9"/>
        <v>0</v>
      </c>
      <c r="H78" s="666">
        <f t="shared" si="10"/>
        <v>8.0850000000000009</v>
      </c>
      <c r="I78" s="667">
        <f t="shared" si="11"/>
        <v>79123.778980000046</v>
      </c>
      <c r="J78" s="679"/>
    </row>
    <row r="79" spans="1:10" ht="21" customHeight="1">
      <c r="A79" s="629">
        <v>43956</v>
      </c>
      <c r="B79" s="675"/>
      <c r="C79" s="133" t="s">
        <v>566</v>
      </c>
      <c r="D79" s="678"/>
      <c r="E79" s="654">
        <v>5888.74</v>
      </c>
      <c r="F79" s="536">
        <f t="shared" si="8"/>
        <v>0</v>
      </c>
      <c r="G79" s="537">
        <f t="shared" si="9"/>
        <v>0</v>
      </c>
      <c r="H79" s="537">
        <f t="shared" si="10"/>
        <v>35.332439999999998</v>
      </c>
      <c r="I79" s="656">
        <f t="shared" si="11"/>
        <v>73199.706540000043</v>
      </c>
    </row>
    <row r="80" spans="1:10" ht="21" customHeight="1">
      <c r="A80" s="629">
        <v>43957</v>
      </c>
      <c r="B80" s="675"/>
      <c r="C80" s="133" t="s">
        <v>567</v>
      </c>
      <c r="D80" s="678"/>
      <c r="E80" s="654">
        <f>3150.85+400</f>
        <v>3550.85</v>
      </c>
      <c r="F80" s="536">
        <f t="shared" si="8"/>
        <v>0</v>
      </c>
      <c r="G80" s="537">
        <f t="shared" si="9"/>
        <v>0</v>
      </c>
      <c r="H80" s="537">
        <f t="shared" si="10"/>
        <v>21.305099999999999</v>
      </c>
      <c r="I80" s="656">
        <f t="shared" si="11"/>
        <v>69627.551440000039</v>
      </c>
      <c r="J80" s="679"/>
    </row>
    <row r="81" spans="1:12" ht="21" customHeight="1">
      <c r="A81" s="629">
        <v>43957</v>
      </c>
      <c r="B81" s="675"/>
      <c r="C81" s="133" t="s">
        <v>568</v>
      </c>
      <c r="D81" s="346"/>
      <c r="E81" s="654">
        <f>1399.5+4.2</f>
        <v>1403.7</v>
      </c>
      <c r="F81" s="536">
        <f t="shared" si="8"/>
        <v>0</v>
      </c>
      <c r="G81" s="537">
        <f t="shared" si="9"/>
        <v>0</v>
      </c>
      <c r="H81" s="537">
        <f t="shared" si="10"/>
        <v>8.4222000000000001</v>
      </c>
      <c r="I81" s="656">
        <f t="shared" si="11"/>
        <v>68215.429240000041</v>
      </c>
      <c r="J81" s="679"/>
    </row>
    <row r="82" spans="1:12" ht="21" customHeight="1">
      <c r="A82" s="690">
        <v>43963</v>
      </c>
      <c r="B82" s="706"/>
      <c r="C82" s="652" t="s">
        <v>569</v>
      </c>
      <c r="D82" s="707"/>
      <c r="E82" s="533">
        <v>55000</v>
      </c>
      <c r="F82" s="536">
        <f t="shared" si="8"/>
        <v>0</v>
      </c>
      <c r="G82" s="537">
        <f t="shared" si="9"/>
        <v>0</v>
      </c>
      <c r="H82" s="537">
        <f t="shared" si="10"/>
        <v>330</v>
      </c>
      <c r="I82" s="656">
        <f t="shared" si="11"/>
        <v>12885.429240000041</v>
      </c>
      <c r="J82" s="679"/>
    </row>
    <row r="83" spans="1:12" ht="21" customHeight="1">
      <c r="A83" s="629">
        <v>43964</v>
      </c>
      <c r="B83" s="675"/>
      <c r="C83" s="652" t="s">
        <v>570</v>
      </c>
      <c r="D83" s="346">
        <v>42000</v>
      </c>
      <c r="E83" s="655"/>
      <c r="F83" s="536">
        <f t="shared" si="8"/>
        <v>0</v>
      </c>
      <c r="G83" s="537">
        <f t="shared" si="9"/>
        <v>252</v>
      </c>
      <c r="H83" s="537">
        <f t="shared" si="10"/>
        <v>0</v>
      </c>
      <c r="I83" s="656">
        <f t="shared" si="11"/>
        <v>54633.429240000041</v>
      </c>
      <c r="J83" s="679"/>
    </row>
    <row r="84" spans="1:12" ht="21" customHeight="1">
      <c r="A84" s="629">
        <v>43965</v>
      </c>
      <c r="B84" s="675"/>
      <c r="C84" s="133" t="s">
        <v>571</v>
      </c>
      <c r="D84" s="346"/>
      <c r="E84" s="655">
        <v>27572.58</v>
      </c>
      <c r="F84" s="536">
        <f t="shared" si="8"/>
        <v>0</v>
      </c>
      <c r="G84" s="537">
        <f t="shared" si="9"/>
        <v>0</v>
      </c>
      <c r="H84" s="537">
        <f t="shared" si="10"/>
        <v>165.43548000000001</v>
      </c>
      <c r="I84" s="656">
        <f t="shared" si="11"/>
        <v>26895.413760000039</v>
      </c>
      <c r="J84" s="708"/>
    </row>
    <row r="85" spans="1:12" ht="21" customHeight="1">
      <c r="A85" s="629">
        <v>43965</v>
      </c>
      <c r="B85" s="675"/>
      <c r="C85" s="133" t="s">
        <v>572</v>
      </c>
      <c r="D85" s="346"/>
      <c r="E85" s="655">
        <v>23125.119999999999</v>
      </c>
      <c r="F85" s="536">
        <f t="shared" si="8"/>
        <v>0</v>
      </c>
      <c r="G85" s="537">
        <f t="shared" si="9"/>
        <v>0</v>
      </c>
      <c r="H85" s="537">
        <f t="shared" si="10"/>
        <v>138.75072</v>
      </c>
      <c r="I85" s="656">
        <f t="shared" si="11"/>
        <v>3631.5430400000405</v>
      </c>
      <c r="J85" s="679"/>
    </row>
    <row r="86" spans="1:12" ht="21" customHeight="1">
      <c r="A86" s="629">
        <v>43972</v>
      </c>
      <c r="B86" s="675"/>
      <c r="C86" s="652" t="s">
        <v>573</v>
      </c>
      <c r="D86" s="346">
        <v>14800</v>
      </c>
      <c r="E86" s="655"/>
      <c r="F86" s="536">
        <f t="shared" si="8"/>
        <v>0</v>
      </c>
      <c r="G86" s="537">
        <f t="shared" si="9"/>
        <v>88.8</v>
      </c>
      <c r="H86" s="537">
        <f t="shared" si="10"/>
        <v>0</v>
      </c>
      <c r="I86" s="656">
        <f t="shared" si="11"/>
        <v>18342.743040000041</v>
      </c>
      <c r="J86" s="679"/>
    </row>
    <row r="87" spans="1:12" ht="21" customHeight="1">
      <c r="A87" s="662">
        <v>43980</v>
      </c>
      <c r="B87" s="709"/>
      <c r="C87" s="363" t="s">
        <v>545</v>
      </c>
      <c r="D87" s="710"/>
      <c r="E87" s="664">
        <f>1100+16.5+231</f>
        <v>1347.5</v>
      </c>
      <c r="F87" s="665">
        <f t="shared" si="8"/>
        <v>0</v>
      </c>
      <c r="G87" s="666">
        <f t="shared" si="9"/>
        <v>0</v>
      </c>
      <c r="H87" s="666">
        <f t="shared" si="10"/>
        <v>8.0850000000000009</v>
      </c>
      <c r="I87" s="667">
        <f t="shared" si="11"/>
        <v>16987.158040000042</v>
      </c>
      <c r="J87" s="679"/>
    </row>
    <row r="88" spans="1:12" ht="21" customHeight="1">
      <c r="A88" s="690">
        <v>43993</v>
      </c>
      <c r="B88" s="692"/>
      <c r="C88" s="133" t="s">
        <v>574</v>
      </c>
      <c r="D88" s="704"/>
      <c r="E88" s="346">
        <v>1280</v>
      </c>
      <c r="F88" s="536">
        <f t="shared" si="8"/>
        <v>0</v>
      </c>
      <c r="G88" s="537">
        <f t="shared" si="9"/>
        <v>0</v>
      </c>
      <c r="H88" s="537">
        <f t="shared" si="10"/>
        <v>7.68</v>
      </c>
      <c r="I88" s="656">
        <f t="shared" si="11"/>
        <v>15699.478040000042</v>
      </c>
      <c r="J88" s="679"/>
    </row>
    <row r="89" spans="1:12" ht="21" customHeight="1">
      <c r="A89" s="629">
        <v>43999</v>
      </c>
      <c r="B89" s="675"/>
      <c r="C89" s="652" t="s">
        <v>575</v>
      </c>
      <c r="D89" s="346">
        <v>42000</v>
      </c>
      <c r="E89" s="346"/>
      <c r="F89" s="536">
        <f t="shared" si="8"/>
        <v>0</v>
      </c>
      <c r="G89" s="537">
        <f t="shared" si="9"/>
        <v>252</v>
      </c>
      <c r="H89" s="537">
        <f t="shared" si="10"/>
        <v>0</v>
      </c>
      <c r="I89" s="656">
        <f t="shared" si="11"/>
        <v>57447.478040000045</v>
      </c>
      <c r="J89" s="679"/>
    </row>
    <row r="90" spans="1:12" ht="21" customHeight="1">
      <c r="A90" s="629">
        <v>44000</v>
      </c>
      <c r="B90" s="675"/>
      <c r="C90" s="133" t="s">
        <v>576</v>
      </c>
      <c r="D90" s="537"/>
      <c r="E90" s="537">
        <v>32400</v>
      </c>
      <c r="F90" s="536">
        <f t="shared" si="8"/>
        <v>0</v>
      </c>
      <c r="G90" s="537">
        <f t="shared" si="9"/>
        <v>0</v>
      </c>
      <c r="H90" s="537">
        <f t="shared" si="10"/>
        <v>194.4</v>
      </c>
      <c r="I90" s="535">
        <f t="shared" si="11"/>
        <v>24853.078040000044</v>
      </c>
      <c r="J90" s="679"/>
    </row>
    <row r="91" spans="1:12" ht="21" customHeight="1">
      <c r="A91" s="662">
        <v>44012</v>
      </c>
      <c r="B91" s="682"/>
      <c r="C91" s="363" t="s">
        <v>545</v>
      </c>
      <c r="D91" s="666"/>
      <c r="E91" s="666">
        <v>1347.5</v>
      </c>
      <c r="F91" s="665">
        <f t="shared" si="8"/>
        <v>0</v>
      </c>
      <c r="G91" s="666">
        <f t="shared" si="9"/>
        <v>0</v>
      </c>
      <c r="H91" s="666">
        <f t="shared" si="10"/>
        <v>8.0850000000000009</v>
      </c>
      <c r="I91" s="667">
        <f t="shared" si="11"/>
        <v>23497.493040000045</v>
      </c>
      <c r="J91" s="679"/>
    </row>
    <row r="92" spans="1:12" ht="21" customHeight="1">
      <c r="A92" s="629">
        <v>44028</v>
      </c>
      <c r="B92" s="675"/>
      <c r="C92" s="652" t="s">
        <v>577</v>
      </c>
      <c r="D92" s="346">
        <v>42000</v>
      </c>
      <c r="E92" s="685"/>
      <c r="F92" s="536">
        <f t="shared" si="8"/>
        <v>0</v>
      </c>
      <c r="G92" s="537">
        <f t="shared" si="9"/>
        <v>252</v>
      </c>
      <c r="H92" s="537">
        <f t="shared" si="10"/>
        <v>0</v>
      </c>
      <c r="I92" s="535">
        <f t="shared" si="11"/>
        <v>65245.493040000045</v>
      </c>
      <c r="J92" s="679"/>
      <c r="L92" s="691"/>
    </row>
    <row r="93" spans="1:12" ht="21" customHeight="1">
      <c r="A93" s="662">
        <v>44042</v>
      </c>
      <c r="B93" s="682"/>
      <c r="C93" s="363" t="s">
        <v>545</v>
      </c>
      <c r="D93" s="687"/>
      <c r="E93" s="664">
        <v>1347.5</v>
      </c>
      <c r="F93" s="665">
        <f t="shared" si="8"/>
        <v>0</v>
      </c>
      <c r="G93" s="666">
        <f t="shared" si="9"/>
        <v>0</v>
      </c>
      <c r="H93" s="666">
        <f t="shared" si="10"/>
        <v>8.0850000000000009</v>
      </c>
      <c r="I93" s="667">
        <f t="shared" si="11"/>
        <v>63889.908040000046</v>
      </c>
      <c r="J93" s="679"/>
    </row>
    <row r="94" spans="1:12" ht="21" customHeight="1">
      <c r="A94" s="629">
        <v>44057</v>
      </c>
      <c r="B94" s="684"/>
      <c r="C94" s="652" t="s">
        <v>578</v>
      </c>
      <c r="D94" s="346">
        <v>42000</v>
      </c>
      <c r="E94" s="346"/>
      <c r="F94" s="536">
        <f t="shared" si="8"/>
        <v>0</v>
      </c>
      <c r="G94" s="537">
        <f t="shared" si="9"/>
        <v>252</v>
      </c>
      <c r="H94" s="537">
        <f t="shared" si="10"/>
        <v>0</v>
      </c>
      <c r="I94" s="656">
        <f t="shared" si="11"/>
        <v>105637.90804000004</v>
      </c>
      <c r="J94" s="133" t="s">
        <v>579</v>
      </c>
      <c r="K94" s="119">
        <v>111120.26</v>
      </c>
    </row>
    <row r="95" spans="1:12" ht="21" customHeight="1">
      <c r="A95" s="629">
        <v>44057</v>
      </c>
      <c r="B95" s="684"/>
      <c r="C95" s="652" t="s">
        <v>580</v>
      </c>
      <c r="D95" s="346">
        <v>5230</v>
      </c>
      <c r="E95" s="346"/>
      <c r="F95" s="536">
        <f t="shared" si="8"/>
        <v>0</v>
      </c>
      <c r="G95" s="537">
        <f t="shared" si="9"/>
        <v>31.38</v>
      </c>
      <c r="H95" s="537">
        <f t="shared" si="10"/>
        <v>0</v>
      </c>
      <c r="I95" s="656">
        <f t="shared" si="11"/>
        <v>110836.52804000003</v>
      </c>
      <c r="J95" s="670" t="s">
        <v>581</v>
      </c>
      <c r="K95" s="711">
        <f>+K94-I95</f>
        <v>283.73195999996096</v>
      </c>
    </row>
    <row r="96" spans="1:12" ht="21" customHeight="1">
      <c r="A96" s="629">
        <v>44062</v>
      </c>
      <c r="B96" s="675"/>
      <c r="C96" s="133" t="s">
        <v>582</v>
      </c>
      <c r="D96" s="655"/>
      <c r="E96" s="346">
        <f>1120.66+103.1</f>
        <v>1223.76</v>
      </c>
      <c r="F96" s="536">
        <f t="shared" si="8"/>
        <v>0</v>
      </c>
      <c r="G96" s="537">
        <f t="shared" si="9"/>
        <v>0</v>
      </c>
      <c r="H96" s="537">
        <f t="shared" si="10"/>
        <v>7.3425599999999998</v>
      </c>
      <c r="I96" s="656">
        <f t="shared" si="11"/>
        <v>109605.42548000003</v>
      </c>
    </row>
    <row r="97" spans="1:12" ht="21" customHeight="1">
      <c r="A97" s="629">
        <v>44062</v>
      </c>
      <c r="B97" s="675"/>
      <c r="C97" s="133" t="s">
        <v>583</v>
      </c>
      <c r="D97" s="655"/>
      <c r="E97" s="346">
        <f>1120.66+65</f>
        <v>1185.6600000000001</v>
      </c>
      <c r="F97" s="536">
        <f t="shared" si="8"/>
        <v>0</v>
      </c>
      <c r="G97" s="537">
        <f t="shared" si="9"/>
        <v>0</v>
      </c>
      <c r="H97" s="537">
        <f t="shared" si="10"/>
        <v>7.1139600000000005</v>
      </c>
      <c r="I97" s="656">
        <f t="shared" si="11"/>
        <v>108412.65152000003</v>
      </c>
    </row>
    <row r="98" spans="1:12" ht="21" customHeight="1">
      <c r="A98" s="629">
        <v>44062</v>
      </c>
      <c r="B98" s="675"/>
      <c r="C98" s="133" t="s">
        <v>584</v>
      </c>
      <c r="D98" s="655"/>
      <c r="E98" s="346">
        <f>867.77+28.64</f>
        <v>896.41</v>
      </c>
      <c r="F98" s="536">
        <f t="shared" si="8"/>
        <v>0</v>
      </c>
      <c r="G98" s="537">
        <f t="shared" si="9"/>
        <v>0</v>
      </c>
      <c r="H98" s="537">
        <f t="shared" si="10"/>
        <v>5.3784599999999996</v>
      </c>
      <c r="I98" s="656">
        <f t="shared" si="11"/>
        <v>107510.86306000002</v>
      </c>
    </row>
    <row r="99" spans="1:12" ht="21" customHeight="1">
      <c r="A99" s="629">
        <v>44062</v>
      </c>
      <c r="B99" s="675"/>
      <c r="C99" s="133" t="s">
        <v>585</v>
      </c>
      <c r="E99" s="346">
        <v>36293.1</v>
      </c>
      <c r="F99" s="536">
        <f t="shared" si="8"/>
        <v>0</v>
      </c>
      <c r="G99" s="537">
        <f t="shared" si="9"/>
        <v>0</v>
      </c>
      <c r="H99" s="537">
        <f t="shared" si="10"/>
        <v>217.7586</v>
      </c>
      <c r="I99" s="656">
        <f t="shared" si="11"/>
        <v>71000.004460000026</v>
      </c>
    </row>
    <row r="100" spans="1:12" ht="21" customHeight="1">
      <c r="A100" s="629">
        <v>44062</v>
      </c>
      <c r="B100" s="675"/>
      <c r="C100" s="652" t="s">
        <v>586</v>
      </c>
      <c r="D100" s="712"/>
      <c r="E100" s="533">
        <v>28500</v>
      </c>
      <c r="F100" s="536">
        <f t="shared" si="8"/>
        <v>0</v>
      </c>
      <c r="G100" s="537">
        <f t="shared" si="9"/>
        <v>0</v>
      </c>
      <c r="H100" s="537">
        <f t="shared" si="10"/>
        <v>171</v>
      </c>
      <c r="I100" s="656">
        <f t="shared" si="11"/>
        <v>42329.004460000026</v>
      </c>
    </row>
    <row r="101" spans="1:12" ht="21" customHeight="1">
      <c r="A101" s="629">
        <v>44068</v>
      </c>
      <c r="B101" s="675"/>
      <c r="C101" s="652" t="s">
        <v>587</v>
      </c>
      <c r="D101" s="655">
        <v>26600</v>
      </c>
      <c r="E101" s="346"/>
      <c r="F101" s="536">
        <f t="shared" si="8"/>
        <v>0</v>
      </c>
      <c r="G101" s="537">
        <f t="shared" si="9"/>
        <v>159.6</v>
      </c>
      <c r="H101" s="537">
        <f t="shared" si="10"/>
        <v>0</v>
      </c>
      <c r="I101" s="656">
        <f t="shared" si="11"/>
        <v>68769.40446000002</v>
      </c>
      <c r="J101" s="133" t="s">
        <v>588</v>
      </c>
      <c r="K101" s="119">
        <v>66910.67</v>
      </c>
    </row>
    <row r="102" spans="1:12" ht="21" customHeight="1">
      <c r="A102" s="629">
        <v>44069</v>
      </c>
      <c r="B102" s="675"/>
      <c r="C102" s="133" t="s">
        <v>589</v>
      </c>
      <c r="E102" s="346">
        <v>1848</v>
      </c>
      <c r="F102" s="536">
        <f t="shared" si="8"/>
        <v>0</v>
      </c>
      <c r="G102" s="537">
        <f t="shared" si="9"/>
        <v>0</v>
      </c>
      <c r="H102" s="537">
        <f t="shared" si="10"/>
        <v>11.088000000000001</v>
      </c>
      <c r="I102" s="656">
        <f t="shared" si="11"/>
        <v>66910.316460000016</v>
      </c>
      <c r="J102" s="670" t="s">
        <v>581</v>
      </c>
      <c r="K102" s="711">
        <f>+K101-I102</f>
        <v>0.35353999998187646</v>
      </c>
    </row>
    <row r="103" spans="1:12" ht="21" customHeight="1">
      <c r="A103" s="629">
        <v>44074</v>
      </c>
      <c r="B103" s="675"/>
      <c r="C103" s="133" t="s">
        <v>590</v>
      </c>
      <c r="E103" s="346">
        <v>5544</v>
      </c>
      <c r="F103" s="536">
        <f t="shared" si="8"/>
        <v>0</v>
      </c>
      <c r="G103" s="537">
        <f t="shared" si="9"/>
        <v>0</v>
      </c>
      <c r="H103" s="537">
        <f t="shared" si="10"/>
        <v>33.264000000000003</v>
      </c>
      <c r="I103" s="656">
        <f t="shared" si="11"/>
        <v>61333.052460000014</v>
      </c>
      <c r="J103" s="133"/>
      <c r="L103" s="691"/>
    </row>
    <row r="104" spans="1:12" ht="21" customHeight="1">
      <c r="A104" s="629">
        <v>44074</v>
      </c>
      <c r="B104" s="675"/>
      <c r="C104" s="133" t="s">
        <v>591</v>
      </c>
      <c r="D104" s="655"/>
      <c r="E104" s="346">
        <v>526.36</v>
      </c>
      <c r="F104" s="536">
        <f t="shared" si="8"/>
        <v>0</v>
      </c>
      <c r="G104" s="537">
        <f t="shared" si="9"/>
        <v>0</v>
      </c>
      <c r="H104" s="537">
        <f t="shared" si="10"/>
        <v>3.1581600000000001</v>
      </c>
      <c r="I104" s="656">
        <f t="shared" si="11"/>
        <v>60803.534300000014</v>
      </c>
      <c r="J104" s="133"/>
      <c r="L104" s="713"/>
    </row>
    <row r="105" spans="1:12" ht="21" customHeight="1">
      <c r="A105" s="662">
        <v>44074</v>
      </c>
      <c r="B105" s="682"/>
      <c r="C105" s="363" t="s">
        <v>545</v>
      </c>
      <c r="D105" s="666"/>
      <c r="E105" s="664">
        <f>1100+16.5+231</f>
        <v>1347.5</v>
      </c>
      <c r="F105" s="665">
        <f t="shared" si="8"/>
        <v>0</v>
      </c>
      <c r="G105" s="666">
        <f t="shared" si="9"/>
        <v>0</v>
      </c>
      <c r="H105" s="666">
        <f t="shared" si="10"/>
        <v>8.0850000000000009</v>
      </c>
      <c r="I105" s="667">
        <f t="shared" si="11"/>
        <v>59447.949300000015</v>
      </c>
      <c r="J105" s="133"/>
      <c r="L105" s="713"/>
    </row>
    <row r="106" spans="1:12" ht="21" customHeight="1">
      <c r="A106" s="629">
        <v>44084</v>
      </c>
      <c r="B106" s="675"/>
      <c r="C106" s="652" t="s">
        <v>592</v>
      </c>
      <c r="D106" s="655">
        <v>42000</v>
      </c>
      <c r="E106" s="346"/>
      <c r="F106" s="536">
        <f t="shared" si="8"/>
        <v>0</v>
      </c>
      <c r="G106" s="714">
        <f t="shared" si="9"/>
        <v>252</v>
      </c>
      <c r="H106" s="714">
        <f t="shared" si="10"/>
        <v>0</v>
      </c>
      <c r="I106" s="656">
        <f t="shared" si="11"/>
        <v>101195.94930000001</v>
      </c>
      <c r="J106" s="133" t="s">
        <v>593</v>
      </c>
      <c r="K106" s="119">
        <v>106464.47</v>
      </c>
      <c r="L106" s="713"/>
    </row>
    <row r="107" spans="1:12" ht="21" customHeight="1">
      <c r="A107" s="629">
        <v>44084</v>
      </c>
      <c r="B107" s="675"/>
      <c r="C107" s="652" t="s">
        <v>594</v>
      </c>
      <c r="D107" s="655">
        <v>5300</v>
      </c>
      <c r="E107" s="346"/>
      <c r="F107" s="536">
        <f t="shared" si="8"/>
        <v>0</v>
      </c>
      <c r="G107" s="714">
        <f t="shared" si="9"/>
        <v>31.8</v>
      </c>
      <c r="H107" s="714">
        <f t="shared" si="10"/>
        <v>0</v>
      </c>
      <c r="I107" s="656">
        <f t="shared" si="11"/>
        <v>106464.1493</v>
      </c>
      <c r="J107" s="670" t="s">
        <v>581</v>
      </c>
      <c r="K107" s="711">
        <f>+K106-I107</f>
        <v>0.32069999999657739</v>
      </c>
      <c r="L107" s="713"/>
    </row>
    <row r="108" spans="1:12" ht="21" customHeight="1">
      <c r="A108" s="629">
        <v>44098</v>
      </c>
      <c r="B108" s="675"/>
      <c r="C108" s="133" t="s">
        <v>595</v>
      </c>
      <c r="D108" s="655"/>
      <c r="E108" s="346">
        <v>74601.38</v>
      </c>
      <c r="F108" s="536">
        <f t="shared" si="8"/>
        <v>0</v>
      </c>
      <c r="G108" s="714">
        <f t="shared" si="9"/>
        <v>0</v>
      </c>
      <c r="H108" s="714">
        <f t="shared" si="10"/>
        <v>447.60828000000004</v>
      </c>
      <c r="I108" s="656">
        <f t="shared" si="11"/>
        <v>31415.16102</v>
      </c>
      <c r="J108" s="133" t="s">
        <v>596</v>
      </c>
      <c r="K108" s="119">
        <v>30067.98</v>
      </c>
      <c r="L108" s="713"/>
    </row>
    <row r="109" spans="1:12" ht="21" customHeight="1">
      <c r="A109" s="629">
        <v>44103</v>
      </c>
      <c r="B109" s="675"/>
      <c r="C109" s="133" t="s">
        <v>597</v>
      </c>
      <c r="D109" s="655"/>
      <c r="E109" s="346">
        <v>526.39</v>
      </c>
      <c r="F109" s="536">
        <f t="shared" si="8"/>
        <v>0</v>
      </c>
      <c r="G109" s="714">
        <f t="shared" si="9"/>
        <v>0</v>
      </c>
      <c r="H109" s="714">
        <f t="shared" si="10"/>
        <v>3.1583399999999999</v>
      </c>
      <c r="I109" s="656">
        <f t="shared" si="11"/>
        <v>30885.612679999998</v>
      </c>
      <c r="J109" s="670" t="s">
        <v>581</v>
      </c>
      <c r="K109" s="119">
        <f>+K108-I110</f>
        <v>537.95232000000033</v>
      </c>
      <c r="L109" s="713"/>
    </row>
    <row r="110" spans="1:12" ht="21" customHeight="1">
      <c r="A110" s="662">
        <v>44103</v>
      </c>
      <c r="B110" s="682"/>
      <c r="C110" s="363" t="s">
        <v>545</v>
      </c>
      <c r="D110" s="666"/>
      <c r="E110" s="664">
        <f>1100+16.5+231</f>
        <v>1347.5</v>
      </c>
      <c r="F110" s="665">
        <f t="shared" si="8"/>
        <v>0</v>
      </c>
      <c r="G110" s="666">
        <f t="shared" si="9"/>
        <v>0</v>
      </c>
      <c r="H110" s="715">
        <f t="shared" si="10"/>
        <v>8.0850000000000009</v>
      </c>
      <c r="I110" s="667">
        <f t="shared" si="11"/>
        <v>29530.027679999999</v>
      </c>
      <c r="J110" s="133"/>
      <c r="L110" s="713"/>
    </row>
    <row r="111" spans="1:12" ht="21" customHeight="1">
      <c r="A111" s="629">
        <v>44111</v>
      </c>
      <c r="B111" s="675"/>
      <c r="C111" s="133" t="s">
        <v>598</v>
      </c>
      <c r="D111" s="655"/>
      <c r="E111" s="346">
        <v>23123.1</v>
      </c>
      <c r="F111" s="536">
        <f t="shared" si="8"/>
        <v>0</v>
      </c>
      <c r="G111" s="537">
        <f t="shared" si="9"/>
        <v>0</v>
      </c>
      <c r="H111" s="714">
        <f t="shared" si="10"/>
        <v>138.73859999999999</v>
      </c>
      <c r="I111" s="656">
        <f t="shared" si="11"/>
        <v>6268.189080000001</v>
      </c>
      <c r="J111" s="133"/>
      <c r="L111" s="713"/>
    </row>
    <row r="112" spans="1:12" ht="21" customHeight="1">
      <c r="A112" s="629">
        <v>44117</v>
      </c>
      <c r="B112" s="675"/>
      <c r="C112" s="652" t="s">
        <v>599</v>
      </c>
      <c r="D112" s="655">
        <v>42000</v>
      </c>
      <c r="E112" s="346"/>
      <c r="F112" s="536">
        <f t="shared" si="8"/>
        <v>0</v>
      </c>
      <c r="G112" s="714">
        <f t="shared" si="9"/>
        <v>252</v>
      </c>
      <c r="H112" s="537">
        <f t="shared" si="10"/>
        <v>0</v>
      </c>
      <c r="I112" s="656">
        <f t="shared" si="11"/>
        <v>48016.189080000004</v>
      </c>
      <c r="J112" s="133"/>
      <c r="L112" s="713"/>
    </row>
    <row r="113" spans="1:12" ht="21" customHeight="1">
      <c r="A113" s="629">
        <v>44117</v>
      </c>
      <c r="B113" s="675"/>
      <c r="C113" s="652" t="s">
        <v>600</v>
      </c>
      <c r="D113" s="655">
        <v>1490</v>
      </c>
      <c r="E113" s="346"/>
      <c r="F113" s="536">
        <f t="shared" si="8"/>
        <v>0</v>
      </c>
      <c r="G113" s="714">
        <f t="shared" si="9"/>
        <v>8.94</v>
      </c>
      <c r="H113" s="537">
        <f t="shared" si="10"/>
        <v>0</v>
      </c>
      <c r="I113" s="656">
        <f t="shared" si="11"/>
        <v>49497.249080000001</v>
      </c>
      <c r="J113" s="133" t="s">
        <v>601</v>
      </c>
      <c r="K113" s="119">
        <v>46228.06</v>
      </c>
      <c r="L113" s="713"/>
    </row>
    <row r="114" spans="1:12" ht="21" customHeight="1">
      <c r="A114" s="629">
        <v>44123</v>
      </c>
      <c r="B114" s="675"/>
      <c r="C114" s="133" t="s">
        <v>602</v>
      </c>
      <c r="D114" s="655"/>
      <c r="E114" s="346">
        <v>3250</v>
      </c>
      <c r="F114" s="536">
        <f t="shared" si="8"/>
        <v>0</v>
      </c>
      <c r="G114" s="537">
        <f t="shared" si="9"/>
        <v>0</v>
      </c>
      <c r="H114" s="714">
        <f t="shared" si="10"/>
        <v>19.5</v>
      </c>
      <c r="I114" s="656">
        <f t="shared" si="11"/>
        <v>46227.749080000001</v>
      </c>
      <c r="J114" s="670" t="s">
        <v>581</v>
      </c>
      <c r="K114" s="711">
        <f>+K113-I114</f>
        <v>0.31091999999625841</v>
      </c>
      <c r="L114" s="713"/>
    </row>
    <row r="115" spans="1:12" ht="21" customHeight="1">
      <c r="A115" s="629">
        <v>44133</v>
      </c>
      <c r="B115" s="675"/>
      <c r="C115" s="133" t="s">
        <v>603</v>
      </c>
      <c r="D115" s="655"/>
      <c r="E115" s="346">
        <f>1100+16.5+231</f>
        <v>1347.5</v>
      </c>
      <c r="F115" s="536">
        <f t="shared" si="8"/>
        <v>0</v>
      </c>
      <c r="G115" s="537">
        <f t="shared" si="9"/>
        <v>0</v>
      </c>
      <c r="H115" s="714">
        <f t="shared" si="10"/>
        <v>8.0850000000000009</v>
      </c>
      <c r="I115" s="656">
        <f t="shared" si="11"/>
        <v>44872.164080000002</v>
      </c>
      <c r="J115" s="133" t="s">
        <v>604</v>
      </c>
      <c r="K115" s="119">
        <v>4632.47</v>
      </c>
      <c r="L115" s="713"/>
    </row>
    <row r="116" spans="1:12" ht="21" customHeight="1">
      <c r="A116" s="662">
        <v>44134</v>
      </c>
      <c r="B116" s="709"/>
      <c r="C116" s="363" t="s">
        <v>605</v>
      </c>
      <c r="D116" s="710"/>
      <c r="E116" s="664">
        <v>40000</v>
      </c>
      <c r="F116" s="665">
        <f>D119*0%</f>
        <v>0</v>
      </c>
      <c r="G116" s="666">
        <f t="shared" si="9"/>
        <v>0</v>
      </c>
      <c r="H116" s="715">
        <f t="shared" si="10"/>
        <v>240</v>
      </c>
      <c r="I116" s="667">
        <f t="shared" si="11"/>
        <v>4632.1640800000023</v>
      </c>
      <c r="J116" s="670" t="s">
        <v>581</v>
      </c>
      <c r="K116" s="711">
        <f>+K115-I116</f>
        <v>0.30591999999796826</v>
      </c>
      <c r="L116" s="713"/>
    </row>
    <row r="117" spans="1:12" ht="21" customHeight="1">
      <c r="A117" s="629"/>
      <c r="E117" s="346"/>
      <c r="F117" s="536">
        <f>D120*0%</f>
        <v>0</v>
      </c>
      <c r="G117" s="537">
        <f t="shared" si="9"/>
        <v>0</v>
      </c>
      <c r="H117" s="537">
        <f t="shared" si="10"/>
        <v>0</v>
      </c>
      <c r="I117" s="656">
        <f t="shared" si="11"/>
        <v>4632.1640800000023</v>
      </c>
      <c r="J117" s="133"/>
      <c r="L117" s="713"/>
    </row>
    <row r="118" spans="1:12" ht="21" customHeight="1">
      <c r="A118" s="629">
        <v>44140</v>
      </c>
      <c r="C118" s="133" t="s">
        <v>606</v>
      </c>
      <c r="D118" s="655">
        <v>60000</v>
      </c>
      <c r="F118" s="536">
        <f t="shared" ref="F118:F181" si="12">D118*0%</f>
        <v>0</v>
      </c>
      <c r="G118" s="714">
        <f t="shared" si="9"/>
        <v>360</v>
      </c>
      <c r="H118" s="537">
        <f t="shared" si="10"/>
        <v>0</v>
      </c>
      <c r="I118" s="656">
        <f t="shared" si="11"/>
        <v>64272.164080000002</v>
      </c>
      <c r="J118" s="133" t="s">
        <v>607</v>
      </c>
      <c r="K118" s="119">
        <v>63761.22</v>
      </c>
      <c r="L118" s="713"/>
    </row>
    <row r="119" spans="1:12" ht="21" customHeight="1">
      <c r="A119" s="629">
        <v>44140</v>
      </c>
      <c r="B119" s="675"/>
      <c r="C119" s="133" t="s">
        <v>603</v>
      </c>
      <c r="D119" s="655"/>
      <c r="E119" s="346">
        <f>88.2+420</f>
        <v>508.2</v>
      </c>
      <c r="F119" s="536">
        <f t="shared" si="12"/>
        <v>0</v>
      </c>
      <c r="G119" s="537">
        <f t="shared" si="9"/>
        <v>0</v>
      </c>
      <c r="H119" s="714">
        <f t="shared" si="10"/>
        <v>3.0491999999999999</v>
      </c>
      <c r="I119" s="656">
        <f t="shared" si="11"/>
        <v>63760.914880000004</v>
      </c>
      <c r="J119" s="670" t="s">
        <v>581</v>
      </c>
      <c r="K119" s="711">
        <f>+K118-I119</f>
        <v>0.30511999999725958</v>
      </c>
      <c r="L119" s="713"/>
    </row>
    <row r="120" spans="1:12" ht="21" customHeight="1">
      <c r="A120" s="629">
        <v>44144</v>
      </c>
      <c r="B120" s="675"/>
      <c r="C120" s="133" t="s">
        <v>605</v>
      </c>
      <c r="D120" s="655"/>
      <c r="E120" s="346">
        <f>48600-40000</f>
        <v>8600</v>
      </c>
      <c r="F120" s="536">
        <f t="shared" si="12"/>
        <v>0</v>
      </c>
      <c r="G120" s="537">
        <f t="shared" si="9"/>
        <v>0</v>
      </c>
      <c r="H120" s="714">
        <f t="shared" si="10"/>
        <v>51.6</v>
      </c>
      <c r="I120" s="656">
        <f t="shared" si="11"/>
        <v>55109.314880000005</v>
      </c>
      <c r="J120" s="133"/>
      <c r="L120" s="713"/>
    </row>
    <row r="121" spans="1:12" ht="21" customHeight="1">
      <c r="A121" s="629">
        <v>44145</v>
      </c>
      <c r="B121" s="675"/>
      <c r="C121" s="123" t="s">
        <v>608</v>
      </c>
      <c r="D121" s="156"/>
      <c r="E121" s="156">
        <v>7798.53</v>
      </c>
      <c r="F121" s="536">
        <f t="shared" si="12"/>
        <v>0</v>
      </c>
      <c r="G121" s="537">
        <f t="shared" si="9"/>
        <v>0</v>
      </c>
      <c r="H121" s="714">
        <f t="shared" si="10"/>
        <v>46.791179999999997</v>
      </c>
      <c r="I121" s="656">
        <f t="shared" si="11"/>
        <v>47263.993700000006</v>
      </c>
      <c r="J121" s="133"/>
      <c r="L121" s="713"/>
    </row>
    <row r="122" spans="1:12" ht="21" customHeight="1">
      <c r="A122" s="629">
        <v>44145</v>
      </c>
      <c r="B122" s="675"/>
      <c r="C122" s="123" t="s">
        <v>609</v>
      </c>
      <c r="D122" s="156"/>
      <c r="E122" s="156">
        <v>7876.69</v>
      </c>
      <c r="F122" s="536">
        <f t="shared" si="12"/>
        <v>0</v>
      </c>
      <c r="G122" s="537">
        <f t="shared" si="9"/>
        <v>0</v>
      </c>
      <c r="H122" s="714">
        <f t="shared" si="10"/>
        <v>47.26014</v>
      </c>
      <c r="I122" s="656">
        <f t="shared" si="11"/>
        <v>39340.043560000006</v>
      </c>
      <c r="J122" s="133"/>
      <c r="L122" s="713"/>
    </row>
    <row r="123" spans="1:12" ht="21" customHeight="1">
      <c r="A123" s="629">
        <v>44145</v>
      </c>
      <c r="B123" s="675"/>
      <c r="C123" s="123" t="s">
        <v>610</v>
      </c>
      <c r="D123" s="156"/>
      <c r="E123" s="156">
        <v>7865.54</v>
      </c>
      <c r="F123" s="536">
        <f t="shared" si="12"/>
        <v>0</v>
      </c>
      <c r="G123" s="537">
        <f t="shared" si="9"/>
        <v>0</v>
      </c>
      <c r="H123" s="714">
        <f t="shared" si="10"/>
        <v>47.193240000000003</v>
      </c>
      <c r="I123" s="656">
        <f t="shared" si="11"/>
        <v>31427.310320000004</v>
      </c>
      <c r="J123" s="133"/>
      <c r="L123" s="713"/>
    </row>
    <row r="124" spans="1:12" ht="21" customHeight="1">
      <c r="A124" s="629">
        <v>44145</v>
      </c>
      <c r="B124" s="675"/>
      <c r="C124" s="123" t="s">
        <v>611</v>
      </c>
      <c r="D124" s="156"/>
      <c r="E124" s="156">
        <v>7803.28</v>
      </c>
      <c r="F124" s="536">
        <f t="shared" si="12"/>
        <v>0</v>
      </c>
      <c r="G124" s="537">
        <f t="shared" si="9"/>
        <v>0</v>
      </c>
      <c r="H124" s="714">
        <f t="shared" si="10"/>
        <v>46.819679999999998</v>
      </c>
      <c r="I124" s="656">
        <f t="shared" si="11"/>
        <v>23577.210640000005</v>
      </c>
      <c r="J124" s="133"/>
      <c r="L124" s="713"/>
    </row>
    <row r="125" spans="1:12" ht="21" customHeight="1">
      <c r="A125" s="629">
        <v>44145</v>
      </c>
      <c r="B125" s="675"/>
      <c r="C125" s="123" t="s">
        <v>612</v>
      </c>
      <c r="D125" s="156"/>
      <c r="E125" s="156">
        <v>7805.44</v>
      </c>
      <c r="F125" s="536">
        <f t="shared" si="12"/>
        <v>0</v>
      </c>
      <c r="G125" s="537">
        <f t="shared" si="9"/>
        <v>0</v>
      </c>
      <c r="H125" s="714">
        <f t="shared" si="10"/>
        <v>46.832639999999998</v>
      </c>
      <c r="I125" s="656">
        <f t="shared" si="11"/>
        <v>15724.938000000006</v>
      </c>
      <c r="J125" s="133"/>
      <c r="L125" s="713"/>
    </row>
    <row r="126" spans="1:12" ht="21" customHeight="1">
      <c r="A126" s="629">
        <v>44145</v>
      </c>
      <c r="B126" s="675"/>
      <c r="C126" s="123" t="s">
        <v>613</v>
      </c>
      <c r="D126" s="156"/>
      <c r="E126" s="156">
        <v>7748.16</v>
      </c>
      <c r="F126" s="536">
        <f t="shared" si="12"/>
        <v>0</v>
      </c>
      <c r="G126" s="537">
        <f t="shared" si="9"/>
        <v>0</v>
      </c>
      <c r="H126" s="714">
        <f t="shared" si="10"/>
        <v>46.488959999999999</v>
      </c>
      <c r="I126" s="656">
        <f t="shared" si="11"/>
        <v>7930.289040000006</v>
      </c>
      <c r="J126" s="133"/>
      <c r="L126" s="713"/>
    </row>
    <row r="127" spans="1:12" ht="21" customHeight="1">
      <c r="A127" s="629">
        <v>44145</v>
      </c>
      <c r="B127" s="675"/>
      <c r="C127" s="123" t="s">
        <v>614</v>
      </c>
      <c r="D127" s="156"/>
      <c r="E127" s="156">
        <v>7610.14</v>
      </c>
      <c r="F127" s="536">
        <f t="shared" si="12"/>
        <v>0</v>
      </c>
      <c r="G127" s="537">
        <f t="shared" si="9"/>
        <v>0</v>
      </c>
      <c r="H127" s="714">
        <f t="shared" si="10"/>
        <v>45.66084</v>
      </c>
      <c r="I127" s="656">
        <f t="shared" si="11"/>
        <v>274.48820000000569</v>
      </c>
      <c r="J127" s="133"/>
      <c r="L127" s="713"/>
    </row>
    <row r="128" spans="1:12" ht="21" customHeight="1">
      <c r="A128" s="629">
        <v>44145</v>
      </c>
      <c r="B128" s="675"/>
      <c r="C128" s="133" t="s">
        <v>615</v>
      </c>
      <c r="D128" s="655">
        <v>39209</v>
      </c>
      <c r="E128" s="346"/>
      <c r="F128" s="536">
        <f t="shared" si="12"/>
        <v>0</v>
      </c>
      <c r="G128" s="714">
        <f t="shared" si="9"/>
        <v>235.25400000000002</v>
      </c>
      <c r="H128" s="714">
        <f t="shared" si="10"/>
        <v>0</v>
      </c>
      <c r="I128" s="656">
        <f t="shared" si="11"/>
        <v>39248.234200000006</v>
      </c>
      <c r="J128" s="133" t="s">
        <v>616</v>
      </c>
      <c r="K128" s="119">
        <v>38914.449999999997</v>
      </c>
      <c r="L128" s="713"/>
    </row>
    <row r="129" spans="1:12" ht="21" customHeight="1">
      <c r="A129" s="629">
        <v>44145</v>
      </c>
      <c r="B129" s="675"/>
      <c r="C129" s="133" t="s">
        <v>603</v>
      </c>
      <c r="D129" s="655"/>
      <c r="E129" s="346">
        <f>274.46+57.64</f>
        <v>332.09999999999997</v>
      </c>
      <c r="F129" s="536">
        <f t="shared" si="12"/>
        <v>0</v>
      </c>
      <c r="G129" s="537">
        <f t="shared" si="9"/>
        <v>0</v>
      </c>
      <c r="H129" s="714">
        <f t="shared" si="10"/>
        <v>1.9925999999999999</v>
      </c>
      <c r="I129" s="656">
        <f t="shared" si="11"/>
        <v>38914.14160000001</v>
      </c>
      <c r="J129" s="670" t="s">
        <v>581</v>
      </c>
      <c r="K129" s="711">
        <f>+K128-I129</f>
        <v>0.30839999998715939</v>
      </c>
      <c r="L129" s="713"/>
    </row>
    <row r="130" spans="1:12" ht="21" customHeight="1">
      <c r="A130" s="629">
        <v>44147</v>
      </c>
      <c r="B130" s="675"/>
      <c r="C130" s="652" t="s">
        <v>617</v>
      </c>
      <c r="D130" s="655">
        <v>42000</v>
      </c>
      <c r="E130" s="346"/>
      <c r="F130" s="536">
        <f>D130*2%*0</f>
        <v>0</v>
      </c>
      <c r="G130" s="714">
        <f t="shared" ref="G130:G157" si="13">D130*0.006</f>
        <v>252</v>
      </c>
      <c r="H130" s="533">
        <f t="shared" si="10"/>
        <v>0</v>
      </c>
      <c r="I130" s="656">
        <f t="shared" si="11"/>
        <v>80662.141600000003</v>
      </c>
      <c r="J130" s="133" t="s">
        <v>618</v>
      </c>
      <c r="K130" s="119">
        <v>74662.45</v>
      </c>
      <c r="L130" s="713"/>
    </row>
    <row r="131" spans="1:12" ht="21" customHeight="1">
      <c r="A131" s="629">
        <v>44148</v>
      </c>
      <c r="B131" s="675"/>
      <c r="C131" s="133" t="s">
        <v>619</v>
      </c>
      <c r="D131" s="655"/>
      <c r="E131" s="346">
        <v>6000</v>
      </c>
      <c r="F131" s="536">
        <f t="shared" si="12"/>
        <v>0</v>
      </c>
      <c r="G131" s="537">
        <f t="shared" si="13"/>
        <v>0</v>
      </c>
      <c r="H131" s="714">
        <f t="shared" si="10"/>
        <v>36</v>
      </c>
      <c r="I131" s="656">
        <f t="shared" si="11"/>
        <v>74626.141600000003</v>
      </c>
      <c r="J131" s="670" t="s">
        <v>581</v>
      </c>
      <c r="K131" s="711">
        <f>+K130-I131</f>
        <v>36.308399999994435</v>
      </c>
      <c r="L131" s="713"/>
    </row>
    <row r="132" spans="1:12" ht="21" customHeight="1">
      <c r="A132" s="629">
        <v>44148</v>
      </c>
      <c r="B132" s="675"/>
      <c r="C132" s="133" t="s">
        <v>620</v>
      </c>
      <c r="D132" s="655"/>
      <c r="E132" s="346">
        <v>5973.15</v>
      </c>
      <c r="F132" s="536">
        <f t="shared" si="12"/>
        <v>0</v>
      </c>
      <c r="G132" s="537">
        <f t="shared" si="13"/>
        <v>0</v>
      </c>
      <c r="H132" s="714">
        <f t="shared" si="10"/>
        <v>35.838899999999995</v>
      </c>
      <c r="I132" s="656">
        <f t="shared" si="11"/>
        <v>68617.152700000006</v>
      </c>
      <c r="J132" s="133"/>
      <c r="L132" s="713"/>
    </row>
    <row r="133" spans="1:12" ht="21" customHeight="1">
      <c r="A133" s="716">
        <v>44148</v>
      </c>
      <c r="B133" s="717"/>
      <c r="C133" s="130"/>
      <c r="D133" s="718"/>
      <c r="E133" s="719">
        <v>19553.7</v>
      </c>
      <c r="F133" s="536">
        <f t="shared" si="12"/>
        <v>0</v>
      </c>
      <c r="G133" s="537">
        <f t="shared" si="13"/>
        <v>0</v>
      </c>
      <c r="H133" s="714">
        <f t="shared" si="10"/>
        <v>117.32220000000001</v>
      </c>
      <c r="I133" s="656">
        <f t="shared" si="11"/>
        <v>48946.130500000007</v>
      </c>
      <c r="J133" s="133"/>
      <c r="L133" s="713"/>
    </row>
    <row r="134" spans="1:12" ht="21" customHeight="1">
      <c r="A134" s="629">
        <v>44159</v>
      </c>
      <c r="B134" s="675"/>
      <c r="C134" s="133" t="s">
        <v>621</v>
      </c>
      <c r="D134" s="655"/>
      <c r="E134" s="346">
        <v>580.39</v>
      </c>
      <c r="F134" s="536">
        <f t="shared" si="12"/>
        <v>0</v>
      </c>
      <c r="G134" s="537">
        <f t="shared" si="13"/>
        <v>0</v>
      </c>
      <c r="H134" s="714">
        <f t="shared" si="10"/>
        <v>3.4823399999999998</v>
      </c>
      <c r="I134" s="656">
        <f t="shared" si="11"/>
        <v>48362.258160000005</v>
      </c>
      <c r="J134" s="133" t="s">
        <v>622</v>
      </c>
      <c r="K134" s="119">
        <v>21321.29</v>
      </c>
      <c r="L134" s="713"/>
    </row>
    <row r="135" spans="1:12" ht="21" customHeight="1">
      <c r="A135" s="629">
        <v>44160</v>
      </c>
      <c r="B135" s="675"/>
      <c r="C135" s="133" t="s">
        <v>623</v>
      </c>
      <c r="D135" s="133"/>
      <c r="E135" s="346">
        <v>26880</v>
      </c>
      <c r="F135" s="536">
        <f t="shared" si="12"/>
        <v>0</v>
      </c>
      <c r="G135" s="537">
        <f t="shared" si="13"/>
        <v>0</v>
      </c>
      <c r="H135" s="714">
        <f t="shared" si="10"/>
        <v>161.28</v>
      </c>
      <c r="I135" s="656">
        <f t="shared" si="11"/>
        <v>21320.978160000006</v>
      </c>
      <c r="J135" s="670" t="s">
        <v>581</v>
      </c>
      <c r="K135" s="711">
        <f>+K134-I135</f>
        <v>0.31183999999484513</v>
      </c>
      <c r="L135" s="713"/>
    </row>
    <row r="136" spans="1:12" ht="21" customHeight="1">
      <c r="A136" s="629">
        <v>44161</v>
      </c>
      <c r="B136" s="133"/>
      <c r="C136" s="133" t="s">
        <v>624</v>
      </c>
      <c r="D136" s="346">
        <v>40000</v>
      </c>
      <c r="E136" s="346"/>
      <c r="F136" s="536">
        <f t="shared" si="12"/>
        <v>0</v>
      </c>
      <c r="G136" s="714">
        <f t="shared" si="13"/>
        <v>240</v>
      </c>
      <c r="H136" s="533">
        <f t="shared" ref="H136:H165" si="14">E136*0.006+F136*0.006</f>
        <v>0</v>
      </c>
      <c r="I136" s="656">
        <f t="shared" ref="I136:I199" si="15">I135+D136-E136-F136-G136-H136</f>
        <v>61080.978160000006</v>
      </c>
      <c r="J136" s="133"/>
      <c r="L136" s="713"/>
    </row>
    <row r="137" spans="1:12" ht="21" customHeight="1">
      <c r="A137" s="629">
        <v>44161</v>
      </c>
      <c r="B137" s="133"/>
      <c r="C137" s="133" t="s">
        <v>625</v>
      </c>
      <c r="D137" s="346"/>
      <c r="E137" s="346">
        <v>8571.42</v>
      </c>
      <c r="F137" s="536">
        <f t="shared" si="12"/>
        <v>0</v>
      </c>
      <c r="G137" s="537">
        <f t="shared" si="13"/>
        <v>0</v>
      </c>
      <c r="H137" s="714">
        <f t="shared" si="14"/>
        <v>51.428519999999999</v>
      </c>
      <c r="I137" s="656">
        <f t="shared" si="15"/>
        <v>52458.129640000006</v>
      </c>
      <c r="J137" s="133"/>
      <c r="L137" s="713"/>
    </row>
    <row r="138" spans="1:12" ht="21" customHeight="1">
      <c r="A138" s="629">
        <v>44161</v>
      </c>
      <c r="B138" s="133"/>
      <c r="C138" s="133" t="s">
        <v>626</v>
      </c>
      <c r="D138" s="346"/>
      <c r="E138" s="346">
        <v>13547.94</v>
      </c>
      <c r="F138" s="536">
        <f t="shared" si="12"/>
        <v>0</v>
      </c>
      <c r="G138" s="537">
        <f t="shared" si="13"/>
        <v>0</v>
      </c>
      <c r="H138" s="714">
        <f t="shared" si="14"/>
        <v>81.28764000000001</v>
      </c>
      <c r="I138" s="656">
        <f t="shared" si="15"/>
        <v>38828.902000000002</v>
      </c>
      <c r="J138" s="133"/>
      <c r="L138" s="713"/>
    </row>
    <row r="139" spans="1:12" ht="21" customHeight="1">
      <c r="A139" s="629">
        <v>44162</v>
      </c>
      <c r="B139" s="133"/>
      <c r="C139" s="133" t="s">
        <v>603</v>
      </c>
      <c r="D139" s="346"/>
      <c r="E139" s="346">
        <f>1100+16.5+231</f>
        <v>1347.5</v>
      </c>
      <c r="F139" s="536">
        <f t="shared" si="12"/>
        <v>0</v>
      </c>
      <c r="G139" s="537">
        <f t="shared" si="13"/>
        <v>0</v>
      </c>
      <c r="H139" s="714">
        <f t="shared" si="14"/>
        <v>8.0850000000000009</v>
      </c>
      <c r="I139" s="656">
        <f t="shared" si="15"/>
        <v>37473.317000000003</v>
      </c>
      <c r="J139" s="133"/>
      <c r="L139" s="713"/>
    </row>
    <row r="140" spans="1:12" ht="21" customHeight="1">
      <c r="A140" s="629">
        <v>44162</v>
      </c>
      <c r="B140" s="133"/>
      <c r="C140" s="133" t="s">
        <v>627</v>
      </c>
      <c r="D140" s="346"/>
      <c r="E140" s="346">
        <v>539.94000000000005</v>
      </c>
      <c r="F140" s="536">
        <f t="shared" si="12"/>
        <v>0</v>
      </c>
      <c r="G140" s="537">
        <f t="shared" si="13"/>
        <v>0</v>
      </c>
      <c r="H140" s="714">
        <f t="shared" si="14"/>
        <v>3.2396400000000005</v>
      </c>
      <c r="I140" s="656">
        <f t="shared" si="15"/>
        <v>36930.137360000001</v>
      </c>
      <c r="J140" s="133"/>
      <c r="L140" s="713"/>
    </row>
    <row r="141" spans="1:12" ht="21" customHeight="1">
      <c r="A141" s="662">
        <v>44162</v>
      </c>
      <c r="B141" s="682"/>
      <c r="C141" s="363" t="s">
        <v>628</v>
      </c>
      <c r="D141" s="664"/>
      <c r="E141" s="664">
        <v>1734.43</v>
      </c>
      <c r="F141" s="665">
        <f t="shared" si="12"/>
        <v>0</v>
      </c>
      <c r="G141" s="666">
        <f t="shared" si="13"/>
        <v>0</v>
      </c>
      <c r="H141" s="715">
        <f t="shared" si="14"/>
        <v>10.40658</v>
      </c>
      <c r="I141" s="667">
        <f t="shared" si="15"/>
        <v>35185.300779999998</v>
      </c>
      <c r="J141" s="133"/>
      <c r="L141" s="713"/>
    </row>
    <row r="142" spans="1:12" ht="21" customHeight="1">
      <c r="A142" s="629">
        <v>44168</v>
      </c>
      <c r="B142" s="675"/>
      <c r="C142" s="133" t="s">
        <v>629</v>
      </c>
      <c r="D142" s="346">
        <v>30000</v>
      </c>
      <c r="E142" s="346"/>
      <c r="F142" s="536">
        <f t="shared" si="12"/>
        <v>0</v>
      </c>
      <c r="G142" s="714">
        <f t="shared" si="13"/>
        <v>180</v>
      </c>
      <c r="H142" s="714">
        <f t="shared" si="14"/>
        <v>0</v>
      </c>
      <c r="I142" s="656">
        <f t="shared" si="15"/>
        <v>65005.300779999998</v>
      </c>
      <c r="J142" s="133"/>
      <c r="L142" s="713"/>
    </row>
    <row r="143" spans="1:12" ht="21" customHeight="1">
      <c r="A143" s="629">
        <v>44168</v>
      </c>
      <c r="B143" s="675"/>
      <c r="C143" s="133" t="s">
        <v>603</v>
      </c>
      <c r="D143" s="346"/>
      <c r="E143" s="346">
        <f>210+4.1</f>
        <v>214.1</v>
      </c>
      <c r="F143" s="536">
        <f t="shared" si="12"/>
        <v>0</v>
      </c>
      <c r="G143" s="714">
        <f t="shared" si="13"/>
        <v>0</v>
      </c>
      <c r="H143" s="714">
        <f t="shared" si="14"/>
        <v>1.2846</v>
      </c>
      <c r="I143" s="656">
        <f t="shared" si="15"/>
        <v>64789.91618</v>
      </c>
      <c r="J143" s="133"/>
      <c r="L143" s="713"/>
    </row>
    <row r="144" spans="1:12" ht="21" customHeight="1">
      <c r="A144" s="629">
        <v>44168</v>
      </c>
      <c r="B144" s="675"/>
      <c r="C144" s="133" t="s">
        <v>513</v>
      </c>
      <c r="D144" s="346">
        <v>950000</v>
      </c>
      <c r="E144" s="346"/>
      <c r="F144" s="536">
        <f t="shared" si="12"/>
        <v>0</v>
      </c>
      <c r="G144" s="714">
        <f t="shared" si="13"/>
        <v>5700</v>
      </c>
      <c r="H144" s="533">
        <f t="shared" si="14"/>
        <v>0</v>
      </c>
      <c r="I144" s="656">
        <f t="shared" si="15"/>
        <v>1009089.9161799999</v>
      </c>
      <c r="J144" s="133"/>
      <c r="L144" s="713"/>
    </row>
    <row r="145" spans="1:12" ht="21" customHeight="1">
      <c r="A145" s="629">
        <v>44168</v>
      </c>
      <c r="B145" s="675"/>
      <c r="C145" s="133" t="s">
        <v>513</v>
      </c>
      <c r="D145" s="346">
        <v>100000</v>
      </c>
      <c r="E145" s="346"/>
      <c r="F145" s="536">
        <f t="shared" si="12"/>
        <v>0</v>
      </c>
      <c r="G145" s="714">
        <f t="shared" si="13"/>
        <v>600</v>
      </c>
      <c r="H145" s="533">
        <f t="shared" si="14"/>
        <v>0</v>
      </c>
      <c r="I145" s="656">
        <f t="shared" si="15"/>
        <v>1108489.9161799999</v>
      </c>
      <c r="J145" s="133"/>
      <c r="L145" s="713"/>
    </row>
    <row r="146" spans="1:12" ht="21" customHeight="1">
      <c r="A146" s="629">
        <v>44168</v>
      </c>
      <c r="B146" s="675"/>
      <c r="C146" s="133" t="s">
        <v>513</v>
      </c>
      <c r="D146" s="346">
        <v>100000</v>
      </c>
      <c r="E146" s="346"/>
      <c r="F146" s="536">
        <f t="shared" si="12"/>
        <v>0</v>
      </c>
      <c r="G146" s="714">
        <f t="shared" si="13"/>
        <v>600</v>
      </c>
      <c r="H146" s="533">
        <f t="shared" si="14"/>
        <v>0</v>
      </c>
      <c r="I146" s="656">
        <f t="shared" si="15"/>
        <v>1207889.9161799999</v>
      </c>
      <c r="J146" s="133"/>
      <c r="L146" s="713"/>
    </row>
    <row r="147" spans="1:12" ht="21" customHeight="1">
      <c r="A147" s="629">
        <v>44168</v>
      </c>
      <c r="B147" s="675"/>
      <c r="C147" s="133" t="s">
        <v>513</v>
      </c>
      <c r="D147" s="346">
        <v>20000</v>
      </c>
      <c r="E147" s="346"/>
      <c r="F147" s="536">
        <f t="shared" si="12"/>
        <v>0</v>
      </c>
      <c r="G147" s="714">
        <f t="shared" si="13"/>
        <v>120</v>
      </c>
      <c r="H147" s="533">
        <f t="shared" si="14"/>
        <v>0</v>
      </c>
      <c r="I147" s="656">
        <f t="shared" si="15"/>
        <v>1227769.9161799999</v>
      </c>
      <c r="J147" s="133"/>
      <c r="L147" s="713"/>
    </row>
    <row r="148" spans="1:12" ht="21" customHeight="1">
      <c r="A148" s="629">
        <v>44168</v>
      </c>
      <c r="B148" s="675"/>
      <c r="C148" s="133" t="s">
        <v>630</v>
      </c>
      <c r="D148" s="346"/>
      <c r="E148" s="346">
        <v>1127128.48</v>
      </c>
      <c r="F148" s="536">
        <f t="shared" si="12"/>
        <v>0</v>
      </c>
      <c r="G148" s="537">
        <f t="shared" si="13"/>
        <v>0</v>
      </c>
      <c r="H148" s="714">
        <f t="shared" si="14"/>
        <v>6762.77088</v>
      </c>
      <c r="I148" s="656">
        <f t="shared" si="15"/>
        <v>93878.665299999964</v>
      </c>
      <c r="J148" s="133"/>
      <c r="L148" s="713"/>
    </row>
    <row r="149" spans="1:12" ht="21" customHeight="1">
      <c r="A149" s="629">
        <v>44168</v>
      </c>
      <c r="B149" s="675"/>
      <c r="C149" s="133" t="s">
        <v>631</v>
      </c>
      <c r="D149" s="346"/>
      <c r="E149" s="346">
        <v>27000</v>
      </c>
      <c r="F149" s="536">
        <f t="shared" si="12"/>
        <v>0</v>
      </c>
      <c r="G149" s="537">
        <f t="shared" si="13"/>
        <v>0</v>
      </c>
      <c r="H149" s="714">
        <f t="shared" si="14"/>
        <v>162</v>
      </c>
      <c r="I149" s="656">
        <f t="shared" si="15"/>
        <v>66716.665299999964</v>
      </c>
      <c r="J149" s="133" t="s">
        <v>632</v>
      </c>
      <c r="K149" s="119">
        <v>66555</v>
      </c>
      <c r="L149" s="713"/>
    </row>
    <row r="150" spans="1:12" ht="21" customHeight="1">
      <c r="A150" s="629">
        <v>44168</v>
      </c>
      <c r="B150" s="675"/>
      <c r="C150" s="133" t="s">
        <v>603</v>
      </c>
      <c r="D150" s="346"/>
      <c r="E150" s="346">
        <f>100+21</f>
        <v>121</v>
      </c>
      <c r="F150" s="536">
        <f t="shared" si="12"/>
        <v>0</v>
      </c>
      <c r="G150" s="537">
        <f t="shared" si="13"/>
        <v>0</v>
      </c>
      <c r="H150" s="714">
        <f t="shared" si="14"/>
        <v>0.72599999999999998</v>
      </c>
      <c r="I150" s="656">
        <f t="shared" si="15"/>
        <v>66594.939299999969</v>
      </c>
      <c r="J150" s="670" t="s">
        <v>581</v>
      </c>
      <c r="K150" s="711">
        <f>+K149-I150</f>
        <v>-39.93929999996908</v>
      </c>
      <c r="L150" s="713"/>
    </row>
    <row r="151" spans="1:12" ht="21" customHeight="1">
      <c r="A151" s="629">
        <v>44175</v>
      </c>
      <c r="B151" s="675"/>
      <c r="C151" s="133" t="s">
        <v>633</v>
      </c>
      <c r="D151" s="655"/>
      <c r="E151" s="346">
        <v>7617.99</v>
      </c>
      <c r="F151" s="536">
        <f t="shared" si="12"/>
        <v>0</v>
      </c>
      <c r="G151" s="537">
        <f t="shared" si="13"/>
        <v>0</v>
      </c>
      <c r="H151" s="714">
        <f t="shared" si="14"/>
        <v>45.707940000000001</v>
      </c>
      <c r="I151" s="656">
        <f t="shared" si="15"/>
        <v>58931.241359999971</v>
      </c>
      <c r="J151" s="133"/>
      <c r="L151" s="713"/>
    </row>
    <row r="152" spans="1:12" ht="21" customHeight="1">
      <c r="A152" s="629">
        <v>44175</v>
      </c>
      <c r="B152" s="675"/>
      <c r="C152" s="133" t="s">
        <v>633</v>
      </c>
      <c r="D152" s="655"/>
      <c r="E152" s="346">
        <v>7716.97</v>
      </c>
      <c r="F152" s="536">
        <f t="shared" si="12"/>
        <v>0</v>
      </c>
      <c r="G152" s="537">
        <f t="shared" si="13"/>
        <v>0</v>
      </c>
      <c r="H152" s="714">
        <f t="shared" si="14"/>
        <v>46.301819999999999</v>
      </c>
      <c r="I152" s="656">
        <f t="shared" si="15"/>
        <v>51167.969539999969</v>
      </c>
      <c r="J152" s="133"/>
      <c r="L152" s="713"/>
    </row>
    <row r="153" spans="1:12" s="123" customFormat="1" ht="21" customHeight="1">
      <c r="A153" s="120">
        <v>44175</v>
      </c>
      <c r="B153" s="720"/>
      <c r="C153" s="721" t="s">
        <v>634</v>
      </c>
      <c r="D153" s="156">
        <v>42000</v>
      </c>
      <c r="E153" s="211"/>
      <c r="F153" s="117">
        <f t="shared" si="12"/>
        <v>0</v>
      </c>
      <c r="G153" s="722">
        <f t="shared" si="13"/>
        <v>252</v>
      </c>
      <c r="H153" s="118">
        <f t="shared" si="14"/>
        <v>0</v>
      </c>
      <c r="I153" s="119">
        <f t="shared" si="15"/>
        <v>92915.969539999962</v>
      </c>
      <c r="K153" s="119"/>
      <c r="L153" s="723"/>
    </row>
    <row r="154" spans="1:12" s="123" customFormat="1" ht="21" customHeight="1">
      <c r="A154" s="120">
        <v>44180</v>
      </c>
      <c r="B154" s="720"/>
      <c r="C154" s="123" t="s">
        <v>635</v>
      </c>
      <c r="D154" s="156"/>
      <c r="E154" s="211">
        <v>1700</v>
      </c>
      <c r="F154" s="117">
        <f t="shared" si="12"/>
        <v>0</v>
      </c>
      <c r="G154" s="724">
        <f t="shared" si="13"/>
        <v>0</v>
      </c>
      <c r="H154" s="722">
        <f t="shared" si="14"/>
        <v>10.200000000000001</v>
      </c>
      <c r="I154" s="119">
        <f t="shared" si="15"/>
        <v>91205.769539999965</v>
      </c>
      <c r="J154" s="123" t="s">
        <v>636</v>
      </c>
      <c r="K154" s="119">
        <v>105280.63</v>
      </c>
      <c r="L154" s="723"/>
    </row>
    <row r="155" spans="1:12" s="123" customFormat="1" ht="21" customHeight="1">
      <c r="A155" s="120">
        <v>44184</v>
      </c>
      <c r="B155" s="720"/>
      <c r="C155" s="721" t="s">
        <v>637</v>
      </c>
      <c r="D155" s="156">
        <v>14200</v>
      </c>
      <c r="E155" s="211"/>
      <c r="F155" s="117">
        <f t="shared" si="12"/>
        <v>0</v>
      </c>
      <c r="G155" s="722">
        <f t="shared" si="13"/>
        <v>85.2</v>
      </c>
      <c r="H155" s="118">
        <f t="shared" si="14"/>
        <v>0</v>
      </c>
      <c r="I155" s="119">
        <f t="shared" si="15"/>
        <v>105320.56953999997</v>
      </c>
      <c r="J155" s="725" t="s">
        <v>581</v>
      </c>
      <c r="K155" s="711">
        <f>+K154-I155</f>
        <v>-39.939539999963017</v>
      </c>
      <c r="L155" s="723"/>
    </row>
    <row r="156" spans="1:12" s="123" customFormat="1" ht="21" customHeight="1">
      <c r="A156" s="120">
        <v>44187</v>
      </c>
      <c r="B156" s="720"/>
      <c r="C156" s="123" t="s">
        <v>638</v>
      </c>
      <c r="D156" s="156"/>
      <c r="E156" s="211">
        <v>39325</v>
      </c>
      <c r="F156" s="117">
        <f t="shared" si="12"/>
        <v>0</v>
      </c>
      <c r="G156" s="724">
        <f t="shared" si="13"/>
        <v>0</v>
      </c>
      <c r="H156" s="722">
        <f t="shared" si="14"/>
        <v>235.95000000000002</v>
      </c>
      <c r="I156" s="119">
        <f t="shared" si="15"/>
        <v>65759.619539999971</v>
      </c>
      <c r="J156" s="123" t="s">
        <v>639</v>
      </c>
      <c r="K156" s="119">
        <v>63943.43</v>
      </c>
      <c r="L156" s="723"/>
    </row>
    <row r="157" spans="1:12" s="123" customFormat="1" ht="21" customHeight="1">
      <c r="A157" s="726">
        <v>44195</v>
      </c>
      <c r="B157" s="727"/>
      <c r="C157" s="728" t="s">
        <v>603</v>
      </c>
      <c r="D157" s="729"/>
      <c r="E157" s="364">
        <f>304.5+21.75+1450</f>
        <v>1776.25</v>
      </c>
      <c r="F157" s="730">
        <f t="shared" si="12"/>
        <v>0</v>
      </c>
      <c r="G157" s="729">
        <f t="shared" si="13"/>
        <v>0</v>
      </c>
      <c r="H157" s="731">
        <f t="shared" si="14"/>
        <v>10.657500000000001</v>
      </c>
      <c r="I157" s="732">
        <f t="shared" si="15"/>
        <v>63972.712039999969</v>
      </c>
      <c r="J157" s="725" t="s">
        <v>581</v>
      </c>
      <c r="K157" s="711">
        <f>+K156-I157</f>
        <v>-29.282039999969129</v>
      </c>
      <c r="L157" s="723"/>
    </row>
    <row r="158" spans="1:12" s="123" customFormat="1" ht="21" customHeight="1">
      <c r="A158" s="120">
        <v>44199</v>
      </c>
      <c r="B158" s="720"/>
      <c r="C158" s="123" t="s">
        <v>640</v>
      </c>
      <c r="D158" s="156"/>
      <c r="E158" s="211">
        <v>42350</v>
      </c>
      <c r="F158" s="117">
        <f t="shared" si="12"/>
        <v>0</v>
      </c>
      <c r="G158" s="724">
        <v>39.950000000000003</v>
      </c>
      <c r="H158" s="722">
        <f t="shared" si="14"/>
        <v>254.1</v>
      </c>
      <c r="I158" s="119">
        <f t="shared" si="15"/>
        <v>21328.66203999997</v>
      </c>
      <c r="K158" s="119"/>
      <c r="L158" s="723"/>
    </row>
    <row r="159" spans="1:12" s="123" customFormat="1" ht="21" customHeight="1">
      <c r="A159" s="120">
        <v>44202</v>
      </c>
      <c r="B159" s="720"/>
      <c r="C159" s="123" t="s">
        <v>641</v>
      </c>
      <c r="D159" s="156"/>
      <c r="E159" s="211">
        <v>9322.98</v>
      </c>
      <c r="F159" s="117">
        <f t="shared" si="12"/>
        <v>0</v>
      </c>
      <c r="G159" s="724">
        <f t="shared" ref="G159:G222" si="16">D159*0.006</f>
        <v>0</v>
      </c>
      <c r="H159" s="722">
        <f t="shared" si="14"/>
        <v>55.93788</v>
      </c>
      <c r="I159" s="119">
        <f t="shared" si="15"/>
        <v>11949.744159999971</v>
      </c>
      <c r="K159" s="119"/>
      <c r="L159" s="723"/>
    </row>
    <row r="160" spans="1:12" s="123" customFormat="1" ht="21" customHeight="1">
      <c r="A160" s="120">
        <v>44202</v>
      </c>
      <c r="B160" s="720"/>
      <c r="C160" s="133" t="s">
        <v>642</v>
      </c>
      <c r="D160" s="156"/>
      <c r="E160" s="211">
        <v>1708.55</v>
      </c>
      <c r="F160" s="117">
        <f t="shared" si="12"/>
        <v>0</v>
      </c>
      <c r="G160" s="724">
        <f t="shared" si="16"/>
        <v>0</v>
      </c>
      <c r="H160" s="722">
        <f t="shared" si="14"/>
        <v>10.251300000000001</v>
      </c>
      <c r="I160" s="119">
        <f t="shared" si="15"/>
        <v>10230.942859999972</v>
      </c>
      <c r="K160" s="119"/>
      <c r="L160" s="723"/>
    </row>
    <row r="161" spans="1:12" s="123" customFormat="1" ht="21" customHeight="1">
      <c r="A161" s="120">
        <v>44202</v>
      </c>
      <c r="B161" s="720"/>
      <c r="C161" s="133" t="s">
        <v>643</v>
      </c>
      <c r="D161" s="156">
        <v>50518</v>
      </c>
      <c r="E161" s="211"/>
      <c r="F161" s="117">
        <f t="shared" si="12"/>
        <v>0</v>
      </c>
      <c r="G161" s="722">
        <f t="shared" si="16"/>
        <v>303.108</v>
      </c>
      <c r="H161" s="118">
        <f t="shared" si="14"/>
        <v>0</v>
      </c>
      <c r="I161" s="119">
        <f t="shared" si="15"/>
        <v>60445.834859999974</v>
      </c>
      <c r="K161" s="119"/>
      <c r="L161" s="723"/>
    </row>
    <row r="162" spans="1:12" s="123" customFormat="1" ht="21" customHeight="1">
      <c r="A162" s="120">
        <v>44202</v>
      </c>
      <c r="B162" s="720"/>
      <c r="C162" s="123" t="s">
        <v>603</v>
      </c>
      <c r="D162" s="156"/>
      <c r="E162" s="211">
        <f>353.63+74.26</f>
        <v>427.89</v>
      </c>
      <c r="F162" s="117">
        <f t="shared" si="12"/>
        <v>0</v>
      </c>
      <c r="G162" s="724">
        <f t="shared" si="16"/>
        <v>0</v>
      </c>
      <c r="H162" s="722">
        <f t="shared" si="14"/>
        <v>2.5673400000000002</v>
      </c>
      <c r="I162" s="119">
        <f t="shared" si="15"/>
        <v>60015.377519999973</v>
      </c>
      <c r="K162" s="119"/>
      <c r="L162" s="723"/>
    </row>
    <row r="163" spans="1:12" s="123" customFormat="1" ht="21" customHeight="1">
      <c r="A163" s="120">
        <v>44203</v>
      </c>
      <c r="B163" s="720"/>
      <c r="C163" s="123" t="s">
        <v>644</v>
      </c>
      <c r="D163" s="156"/>
      <c r="E163" s="211">
        <v>1205.2</v>
      </c>
      <c r="F163" s="117">
        <f t="shared" si="12"/>
        <v>0</v>
      </c>
      <c r="G163" s="724">
        <f t="shared" si="16"/>
        <v>0</v>
      </c>
      <c r="H163" s="722">
        <f t="shared" si="14"/>
        <v>7.2312000000000003</v>
      </c>
      <c r="I163" s="119">
        <f t="shared" si="15"/>
        <v>58802.946319999974</v>
      </c>
      <c r="J163" s="123" t="s">
        <v>645</v>
      </c>
      <c r="K163" s="119">
        <v>50331.14</v>
      </c>
      <c r="L163" s="723"/>
    </row>
    <row r="164" spans="1:12" s="123" customFormat="1" ht="21" customHeight="1">
      <c r="A164" s="120">
        <v>44203</v>
      </c>
      <c r="B164" s="720"/>
      <c r="C164" s="123" t="s">
        <v>646</v>
      </c>
      <c r="D164" s="156"/>
      <c r="E164" s="211">
        <v>8421.2800000000007</v>
      </c>
      <c r="F164" s="117">
        <f t="shared" si="12"/>
        <v>0</v>
      </c>
      <c r="G164" s="724">
        <f t="shared" si="16"/>
        <v>0</v>
      </c>
      <c r="H164" s="722">
        <f t="shared" si="14"/>
        <v>50.527680000000004</v>
      </c>
      <c r="I164" s="119">
        <f t="shared" si="15"/>
        <v>50331.138639999976</v>
      </c>
      <c r="J164" s="725" t="s">
        <v>581</v>
      </c>
      <c r="K164" s="711">
        <f>+K163-I164</f>
        <v>1.3600000238511711E-3</v>
      </c>
      <c r="L164" s="723"/>
    </row>
    <row r="165" spans="1:12" s="123" customFormat="1" ht="21" customHeight="1">
      <c r="A165" s="120">
        <v>44209</v>
      </c>
      <c r="B165" s="720"/>
      <c r="C165" s="721" t="s">
        <v>647</v>
      </c>
      <c r="D165" s="211">
        <v>42000</v>
      </c>
      <c r="E165" s="733"/>
      <c r="F165" s="117">
        <f t="shared" si="12"/>
        <v>0</v>
      </c>
      <c r="G165" s="722">
        <f t="shared" si="16"/>
        <v>252</v>
      </c>
      <c r="H165" s="118">
        <f t="shared" si="14"/>
        <v>0</v>
      </c>
      <c r="I165" s="119">
        <f t="shared" si="15"/>
        <v>92079.138639999976</v>
      </c>
      <c r="J165" s="725"/>
      <c r="K165" s="119"/>
      <c r="L165" s="723"/>
    </row>
    <row r="166" spans="1:12" s="123" customFormat="1" ht="21" customHeight="1">
      <c r="A166" s="120">
        <v>44209</v>
      </c>
      <c r="B166" s="720"/>
      <c r="C166" s="721" t="s">
        <v>648</v>
      </c>
      <c r="D166" s="211">
        <v>1920</v>
      </c>
      <c r="E166" s="211"/>
      <c r="F166" s="117">
        <f t="shared" si="12"/>
        <v>0</v>
      </c>
      <c r="G166" s="722">
        <f t="shared" si="16"/>
        <v>11.52</v>
      </c>
      <c r="H166" s="528">
        <v>72.58</v>
      </c>
      <c r="I166" s="119">
        <f t="shared" si="15"/>
        <v>93915.03863999997</v>
      </c>
      <c r="J166" s="725"/>
      <c r="K166" s="119"/>
      <c r="L166" s="723"/>
    </row>
    <row r="167" spans="1:12" s="123" customFormat="1" ht="21" customHeight="1">
      <c r="A167" s="120">
        <v>44211</v>
      </c>
      <c r="B167" s="122"/>
      <c r="C167" s="123" t="s">
        <v>649</v>
      </c>
      <c r="D167" s="734"/>
      <c r="E167" s="156">
        <v>2800.56</v>
      </c>
      <c r="F167" s="117">
        <f t="shared" si="12"/>
        <v>0</v>
      </c>
      <c r="G167" s="724">
        <f t="shared" si="16"/>
        <v>0</v>
      </c>
      <c r="H167" s="722">
        <f t="shared" ref="H167:H230" si="17">E167*0.006+F167*0.006</f>
        <v>16.803360000000001</v>
      </c>
      <c r="I167" s="119">
        <f t="shared" si="15"/>
        <v>91097.675279999967</v>
      </c>
      <c r="J167" s="123" t="s">
        <v>650</v>
      </c>
      <c r="K167" s="119">
        <v>58600.97</v>
      </c>
      <c r="L167" s="723"/>
    </row>
    <row r="168" spans="1:12" s="123" customFormat="1" ht="21" customHeight="1">
      <c r="A168" s="120">
        <v>44211</v>
      </c>
      <c r="B168" s="122"/>
      <c r="C168" s="123" t="s">
        <v>651</v>
      </c>
      <c r="D168" s="734"/>
      <c r="E168" s="156">
        <v>32302.89</v>
      </c>
      <c r="F168" s="117">
        <f t="shared" si="12"/>
        <v>0</v>
      </c>
      <c r="G168" s="724">
        <f t="shared" si="16"/>
        <v>0</v>
      </c>
      <c r="H168" s="722">
        <f t="shared" si="17"/>
        <v>193.81734</v>
      </c>
      <c r="I168" s="119">
        <f t="shared" si="15"/>
        <v>58600.967939999966</v>
      </c>
      <c r="J168" s="725" t="s">
        <v>581</v>
      </c>
      <c r="K168" s="711">
        <f>+I168-K167</f>
        <v>-2.0600000352715142E-3</v>
      </c>
      <c r="L168" s="723"/>
    </row>
    <row r="169" spans="1:12" s="123" customFormat="1" ht="21" customHeight="1">
      <c r="A169" s="120">
        <v>44215</v>
      </c>
      <c r="B169" s="721"/>
      <c r="C169" s="721" t="s">
        <v>652</v>
      </c>
      <c r="D169" s="735">
        <v>570000</v>
      </c>
      <c r="F169" s="117">
        <f t="shared" si="12"/>
        <v>0</v>
      </c>
      <c r="G169" s="722">
        <f t="shared" si="16"/>
        <v>3420</v>
      </c>
      <c r="H169" s="722">
        <f t="shared" si="17"/>
        <v>0</v>
      </c>
      <c r="I169" s="119">
        <f t="shared" si="15"/>
        <v>625180.96794</v>
      </c>
      <c r="K169" s="119"/>
      <c r="L169" s="723"/>
    </row>
    <row r="170" spans="1:12" s="123" customFormat="1" ht="21" customHeight="1">
      <c r="A170" s="120">
        <v>44215</v>
      </c>
      <c r="B170" s="122">
        <v>32</v>
      </c>
      <c r="C170" s="123" t="s">
        <v>653</v>
      </c>
      <c r="D170" s="734"/>
      <c r="E170" s="156">
        <v>289250</v>
      </c>
      <c r="F170" s="117">
        <f t="shared" si="12"/>
        <v>0</v>
      </c>
      <c r="G170" s="722">
        <f t="shared" si="16"/>
        <v>0</v>
      </c>
      <c r="H170" s="722">
        <f t="shared" si="17"/>
        <v>1735.5</v>
      </c>
      <c r="I170" s="119">
        <f t="shared" si="15"/>
        <v>334195.46794</v>
      </c>
      <c r="K170" s="119"/>
      <c r="L170" s="723"/>
    </row>
    <row r="171" spans="1:12" s="123" customFormat="1" ht="21" customHeight="1">
      <c r="A171" s="120">
        <v>44215</v>
      </c>
      <c r="B171" s="122">
        <v>31</v>
      </c>
      <c r="C171" s="123" t="s">
        <v>653</v>
      </c>
      <c r="D171" s="734"/>
      <c r="E171" s="156">
        <v>289250</v>
      </c>
      <c r="F171" s="117">
        <f t="shared" si="12"/>
        <v>0</v>
      </c>
      <c r="G171" s="722">
        <f t="shared" si="16"/>
        <v>0</v>
      </c>
      <c r="H171" s="722">
        <f t="shared" si="17"/>
        <v>1735.5</v>
      </c>
      <c r="I171" s="119">
        <f t="shared" si="15"/>
        <v>43209.967940000002</v>
      </c>
      <c r="K171" s="119"/>
      <c r="L171" s="723"/>
    </row>
    <row r="172" spans="1:12" s="123" customFormat="1" ht="21" customHeight="1">
      <c r="A172" s="120">
        <v>44215</v>
      </c>
      <c r="B172" s="720"/>
      <c r="C172" s="123" t="s">
        <v>654</v>
      </c>
      <c r="D172" s="156"/>
      <c r="E172" s="211">
        <v>40000</v>
      </c>
      <c r="F172" s="117">
        <f t="shared" si="12"/>
        <v>0</v>
      </c>
      <c r="G172" s="722">
        <f t="shared" si="16"/>
        <v>0</v>
      </c>
      <c r="H172" s="722">
        <f t="shared" si="17"/>
        <v>240</v>
      </c>
      <c r="I172" s="119">
        <f t="shared" si="15"/>
        <v>2969.9679400000023</v>
      </c>
      <c r="K172" s="119"/>
      <c r="L172" s="723"/>
    </row>
    <row r="173" spans="1:12" s="123" customFormat="1" ht="21" customHeight="1">
      <c r="A173" s="120">
        <v>44216</v>
      </c>
      <c r="B173" s="720"/>
      <c r="C173" s="721" t="s">
        <v>652</v>
      </c>
      <c r="D173" s="735">
        <v>550000</v>
      </c>
      <c r="E173" s="211"/>
      <c r="F173" s="117">
        <f t="shared" si="12"/>
        <v>0</v>
      </c>
      <c r="G173" s="722">
        <f t="shared" si="16"/>
        <v>3300</v>
      </c>
      <c r="H173" s="118">
        <f t="shared" si="17"/>
        <v>0</v>
      </c>
      <c r="I173" s="119">
        <f t="shared" si="15"/>
        <v>549669.96794</v>
      </c>
      <c r="K173" s="119"/>
      <c r="L173" s="723"/>
    </row>
    <row r="174" spans="1:12" s="123" customFormat="1" ht="21" customHeight="1">
      <c r="A174" s="120">
        <v>44216</v>
      </c>
      <c r="B174" s="122">
        <v>33</v>
      </c>
      <c r="C174" s="123" t="s">
        <v>653</v>
      </c>
      <c r="D174" s="734"/>
      <c r="E174" s="156">
        <v>289250</v>
      </c>
      <c r="F174" s="117">
        <f t="shared" si="12"/>
        <v>0</v>
      </c>
      <c r="G174" s="724">
        <f t="shared" si="16"/>
        <v>0</v>
      </c>
      <c r="H174" s="722">
        <f t="shared" si="17"/>
        <v>1735.5</v>
      </c>
      <c r="I174" s="119">
        <f t="shared" si="15"/>
        <v>258684.46794</v>
      </c>
      <c r="K174" s="119"/>
      <c r="L174" s="723"/>
    </row>
    <row r="175" spans="1:12" s="123" customFormat="1" ht="21" customHeight="1">
      <c r="A175" s="120">
        <v>44216</v>
      </c>
      <c r="B175" s="122">
        <v>34</v>
      </c>
      <c r="C175" s="123" t="s">
        <v>653</v>
      </c>
      <c r="D175" s="734"/>
      <c r="E175" s="156">
        <v>256947.11</v>
      </c>
      <c r="F175" s="117">
        <f t="shared" si="12"/>
        <v>0</v>
      </c>
      <c r="G175" s="724">
        <f t="shared" si="16"/>
        <v>0</v>
      </c>
      <c r="H175" s="722">
        <f t="shared" si="17"/>
        <v>1541.6826599999999</v>
      </c>
      <c r="I175" s="119">
        <f t="shared" si="15"/>
        <v>195.6752800000163</v>
      </c>
      <c r="K175" s="119"/>
      <c r="L175" s="723"/>
    </row>
    <row r="176" spans="1:12" s="123" customFormat="1" ht="21" customHeight="1">
      <c r="A176" s="120">
        <v>44218</v>
      </c>
      <c r="B176" s="720"/>
      <c r="C176" s="123" t="s">
        <v>603</v>
      </c>
      <c r="D176" s="156"/>
      <c r="E176" s="211">
        <f>420+88.2</f>
        <v>508.2</v>
      </c>
      <c r="F176" s="117">
        <f t="shared" si="12"/>
        <v>0</v>
      </c>
      <c r="G176" s="724">
        <f t="shared" si="16"/>
        <v>0</v>
      </c>
      <c r="H176" s="722">
        <f t="shared" si="17"/>
        <v>3.0491999999999999</v>
      </c>
      <c r="I176" s="119">
        <f t="shared" si="15"/>
        <v>-315.57391999998367</v>
      </c>
      <c r="J176" s="123" t="s">
        <v>655</v>
      </c>
      <c r="K176" s="119">
        <v>7139.43</v>
      </c>
      <c r="L176" s="723"/>
    </row>
    <row r="177" spans="1:12" s="123" customFormat="1" ht="21" customHeight="1">
      <c r="A177" s="120">
        <v>44218</v>
      </c>
      <c r="B177" s="720"/>
      <c r="C177" s="123" t="s">
        <v>513</v>
      </c>
      <c r="D177" s="156">
        <v>7500</v>
      </c>
      <c r="E177" s="211"/>
      <c r="F177" s="117">
        <f t="shared" si="12"/>
        <v>0</v>
      </c>
      <c r="G177" s="722">
        <f t="shared" si="16"/>
        <v>45</v>
      </c>
      <c r="H177" s="118">
        <f t="shared" si="17"/>
        <v>0</v>
      </c>
      <c r="I177" s="119">
        <f t="shared" si="15"/>
        <v>7139.4260800000166</v>
      </c>
      <c r="J177" s="725" t="s">
        <v>581</v>
      </c>
      <c r="K177" s="711">
        <f>+K176-I177</f>
        <v>3.9199999837364885E-3</v>
      </c>
      <c r="L177" s="723"/>
    </row>
    <row r="178" spans="1:12" s="123" customFormat="1" ht="21" customHeight="1">
      <c r="A178" s="120">
        <v>44221</v>
      </c>
      <c r="B178" s="720"/>
      <c r="C178" s="721" t="s">
        <v>656</v>
      </c>
      <c r="D178" s="735">
        <v>215000</v>
      </c>
      <c r="E178" s="211"/>
      <c r="F178" s="117">
        <f t="shared" si="12"/>
        <v>0</v>
      </c>
      <c r="G178" s="722">
        <f t="shared" si="16"/>
        <v>1290</v>
      </c>
      <c r="H178" s="118">
        <f t="shared" si="17"/>
        <v>0</v>
      </c>
      <c r="I178" s="119">
        <f t="shared" si="15"/>
        <v>220849.42608</v>
      </c>
      <c r="J178" s="725"/>
      <c r="K178" s="119"/>
      <c r="L178" s="723"/>
    </row>
    <row r="179" spans="1:12" s="123" customFormat="1" ht="21" customHeight="1">
      <c r="A179" s="120">
        <v>44221</v>
      </c>
      <c r="B179" s="122">
        <v>26</v>
      </c>
      <c r="C179" s="123" t="s">
        <v>653</v>
      </c>
      <c r="D179" s="734"/>
      <c r="E179" s="156">
        <v>213673</v>
      </c>
      <c r="F179" s="117">
        <f t="shared" si="12"/>
        <v>0</v>
      </c>
      <c r="G179" s="724">
        <f t="shared" si="16"/>
        <v>0</v>
      </c>
      <c r="H179" s="722">
        <f t="shared" si="17"/>
        <v>1282.038</v>
      </c>
      <c r="I179" s="119">
        <f t="shared" si="15"/>
        <v>5894.3880800000043</v>
      </c>
      <c r="J179" s="123" t="s">
        <v>657</v>
      </c>
      <c r="K179" s="119">
        <v>5383.14</v>
      </c>
      <c r="L179" s="723"/>
    </row>
    <row r="180" spans="1:12" s="123" customFormat="1" ht="21" customHeight="1">
      <c r="A180" s="120">
        <v>44221</v>
      </c>
      <c r="B180" s="720"/>
      <c r="C180" s="123" t="s">
        <v>603</v>
      </c>
      <c r="D180" s="156"/>
      <c r="E180" s="211">
        <f>420+88.2</f>
        <v>508.2</v>
      </c>
      <c r="F180" s="117">
        <f t="shared" si="12"/>
        <v>0</v>
      </c>
      <c r="G180" s="724">
        <f t="shared" si="16"/>
        <v>0</v>
      </c>
      <c r="H180" s="722">
        <f t="shared" si="17"/>
        <v>3.0491999999999999</v>
      </c>
      <c r="I180" s="119">
        <f t="shared" si="15"/>
        <v>5383.1388800000041</v>
      </c>
      <c r="J180" s="725" t="s">
        <v>581</v>
      </c>
      <c r="K180" s="711">
        <f>+K179-I180</f>
        <v>1.1199999962627771E-3</v>
      </c>
      <c r="L180" s="723"/>
    </row>
    <row r="181" spans="1:12" s="123" customFormat="1" ht="21" customHeight="1">
      <c r="A181" s="726">
        <v>44224</v>
      </c>
      <c r="B181" s="727"/>
      <c r="C181" s="728" t="s">
        <v>603</v>
      </c>
      <c r="D181" s="729"/>
      <c r="E181" s="364">
        <f>420+88.2+1450+21.75+304.5+150+31.5</f>
        <v>2465.9499999999998</v>
      </c>
      <c r="F181" s="730">
        <f t="shared" si="12"/>
        <v>0</v>
      </c>
      <c r="G181" s="729">
        <f t="shared" si="16"/>
        <v>0</v>
      </c>
      <c r="H181" s="731">
        <f t="shared" si="17"/>
        <v>14.7957</v>
      </c>
      <c r="I181" s="732">
        <f t="shared" si="15"/>
        <v>2902.3931800000041</v>
      </c>
      <c r="K181" s="119"/>
      <c r="L181" s="723"/>
    </row>
    <row r="182" spans="1:12" s="123" customFormat="1" ht="21" customHeight="1">
      <c r="A182" s="120">
        <v>44228</v>
      </c>
      <c r="B182" s="720"/>
      <c r="C182" s="133" t="s">
        <v>658</v>
      </c>
      <c r="D182" s="734"/>
      <c r="E182" s="156">
        <v>1136.3499999999999</v>
      </c>
      <c r="F182" s="117">
        <f t="shared" ref="F182:F245" si="18">D182*0%</f>
        <v>0</v>
      </c>
      <c r="G182" s="724">
        <f t="shared" si="16"/>
        <v>0</v>
      </c>
      <c r="H182" s="722">
        <f t="shared" si="17"/>
        <v>6.8180999999999994</v>
      </c>
      <c r="I182" s="119">
        <f t="shared" si="15"/>
        <v>1759.2250800000043</v>
      </c>
      <c r="J182" s="123" t="s">
        <v>659</v>
      </c>
      <c r="K182" s="119">
        <v>43507.22</v>
      </c>
      <c r="L182" s="723"/>
    </row>
    <row r="183" spans="1:12" s="123" customFormat="1" ht="21" customHeight="1">
      <c r="A183" s="120">
        <v>44237</v>
      </c>
      <c r="B183" s="720"/>
      <c r="C183" s="721" t="s">
        <v>660</v>
      </c>
      <c r="D183" s="156">
        <v>42000</v>
      </c>
      <c r="E183" s="156"/>
      <c r="F183" s="117">
        <f t="shared" si="18"/>
        <v>0</v>
      </c>
      <c r="G183" s="722">
        <f t="shared" si="16"/>
        <v>252</v>
      </c>
      <c r="H183" s="118">
        <f t="shared" si="17"/>
        <v>0</v>
      </c>
      <c r="I183" s="119">
        <f t="shared" si="15"/>
        <v>43507.225080000004</v>
      </c>
      <c r="J183" s="725" t="s">
        <v>581</v>
      </c>
      <c r="K183" s="711">
        <f>+K182-I183</f>
        <v>-5.0800000026356429E-3</v>
      </c>
      <c r="L183" s="723"/>
    </row>
    <row r="184" spans="1:12" s="123" customFormat="1" ht="21" customHeight="1">
      <c r="A184" s="120">
        <v>44245</v>
      </c>
      <c r="B184" s="720"/>
      <c r="C184" s="123" t="s">
        <v>661</v>
      </c>
      <c r="D184" s="734"/>
      <c r="E184" s="156">
        <v>8821.7900000000009</v>
      </c>
      <c r="F184" s="117">
        <f t="shared" si="18"/>
        <v>0</v>
      </c>
      <c r="G184" s="724">
        <f t="shared" si="16"/>
        <v>0</v>
      </c>
      <c r="H184" s="722">
        <f t="shared" si="17"/>
        <v>52.930740000000007</v>
      </c>
      <c r="I184" s="119">
        <f t="shared" si="15"/>
        <v>34632.50434</v>
      </c>
      <c r="K184" s="119"/>
      <c r="L184" s="723"/>
    </row>
    <row r="185" spans="1:12" s="123" customFormat="1" ht="21" customHeight="1">
      <c r="A185" s="120">
        <v>44245</v>
      </c>
      <c r="B185" s="720"/>
      <c r="C185" s="123" t="s">
        <v>662</v>
      </c>
      <c r="D185" s="734"/>
      <c r="E185" s="156">
        <v>1662.99</v>
      </c>
      <c r="F185" s="117">
        <f t="shared" si="18"/>
        <v>0</v>
      </c>
      <c r="G185" s="724">
        <f t="shared" si="16"/>
        <v>0</v>
      </c>
      <c r="H185" s="722">
        <f t="shared" si="17"/>
        <v>9.9779400000000003</v>
      </c>
      <c r="I185" s="119">
        <f t="shared" si="15"/>
        <v>32959.536400000005</v>
      </c>
      <c r="K185" s="119"/>
      <c r="L185" s="723"/>
    </row>
    <row r="186" spans="1:12" s="123" customFormat="1" ht="21" customHeight="1">
      <c r="A186" s="120">
        <v>44245</v>
      </c>
      <c r="B186" s="720"/>
      <c r="C186" s="123" t="s">
        <v>663</v>
      </c>
      <c r="D186" s="734"/>
      <c r="E186" s="156">
        <v>567.32000000000005</v>
      </c>
      <c r="F186" s="117">
        <f t="shared" si="18"/>
        <v>0</v>
      </c>
      <c r="G186" s="724">
        <f t="shared" si="16"/>
        <v>0</v>
      </c>
      <c r="H186" s="722">
        <f t="shared" si="17"/>
        <v>3.4039200000000003</v>
      </c>
      <c r="I186" s="119">
        <f t="shared" si="15"/>
        <v>32388.812480000004</v>
      </c>
      <c r="K186" s="119"/>
      <c r="L186" s="723"/>
    </row>
    <row r="187" spans="1:12" s="123" customFormat="1" ht="21" customHeight="1">
      <c r="A187" s="456">
        <v>44245</v>
      </c>
      <c r="B187" s="736"/>
      <c r="C187" s="737"/>
      <c r="D187" s="738"/>
      <c r="E187" s="254">
        <v>584.5</v>
      </c>
      <c r="F187" s="117">
        <f t="shared" si="18"/>
        <v>0</v>
      </c>
      <c r="G187" s="724">
        <f t="shared" si="16"/>
        <v>0</v>
      </c>
      <c r="H187" s="722">
        <f t="shared" si="17"/>
        <v>3.5070000000000001</v>
      </c>
      <c r="I187" s="119">
        <f t="shared" si="15"/>
        <v>31800.805480000003</v>
      </c>
      <c r="K187" s="119"/>
      <c r="L187" s="723"/>
    </row>
    <row r="188" spans="1:12" s="123" customFormat="1" ht="21" customHeight="1">
      <c r="A188" s="120">
        <v>44250</v>
      </c>
      <c r="B188" s="122">
        <v>27</v>
      </c>
      <c r="C188" s="123" t="s">
        <v>653</v>
      </c>
      <c r="D188" s="734"/>
      <c r="E188" s="156">
        <v>213673</v>
      </c>
      <c r="F188" s="117">
        <f t="shared" si="18"/>
        <v>0</v>
      </c>
      <c r="G188" s="724">
        <f t="shared" si="16"/>
        <v>0</v>
      </c>
      <c r="H188" s="722">
        <f t="shared" si="17"/>
        <v>1282.038</v>
      </c>
      <c r="I188" s="119">
        <f t="shared" si="15"/>
        <v>-183154.23251999999</v>
      </c>
      <c r="K188" s="119"/>
      <c r="L188" s="723"/>
    </row>
    <row r="189" spans="1:12" s="123" customFormat="1" ht="21" customHeight="1">
      <c r="A189" s="120">
        <v>44250</v>
      </c>
      <c r="B189" s="122">
        <v>27</v>
      </c>
      <c r="C189" s="123" t="s">
        <v>664</v>
      </c>
      <c r="D189" s="156">
        <v>213673</v>
      </c>
      <c r="E189" s="156"/>
      <c r="F189" s="117">
        <f t="shared" si="18"/>
        <v>0</v>
      </c>
      <c r="G189" s="724">
        <f>D189*0.006*0</f>
        <v>0</v>
      </c>
      <c r="H189" s="118">
        <f t="shared" si="17"/>
        <v>0</v>
      </c>
      <c r="I189" s="119">
        <f t="shared" si="15"/>
        <v>30518.76748000001</v>
      </c>
      <c r="K189" s="119"/>
      <c r="L189" s="723"/>
    </row>
    <row r="190" spans="1:12" s="123" customFormat="1" ht="21" customHeight="1">
      <c r="A190" s="120">
        <v>44250</v>
      </c>
      <c r="B190" s="720"/>
      <c r="C190" s="123" t="s">
        <v>665</v>
      </c>
      <c r="D190" s="156"/>
      <c r="E190" s="156">
        <v>8546.92</v>
      </c>
      <c r="F190" s="117">
        <f t="shared" si="18"/>
        <v>0</v>
      </c>
      <c r="G190" s="724">
        <f t="shared" si="16"/>
        <v>0</v>
      </c>
      <c r="H190" s="722">
        <f t="shared" si="17"/>
        <v>51.28152</v>
      </c>
      <c r="I190" s="119">
        <f t="shared" si="15"/>
        <v>21920.565960000011</v>
      </c>
      <c r="J190" s="123" t="s">
        <v>666</v>
      </c>
      <c r="K190" s="119">
        <v>23202.6</v>
      </c>
      <c r="L190" s="723"/>
    </row>
    <row r="191" spans="1:12" s="123" customFormat="1" ht="21" customHeight="1">
      <c r="A191" s="120">
        <v>44250</v>
      </c>
      <c r="B191" s="720"/>
      <c r="C191" s="123" t="s">
        <v>667</v>
      </c>
      <c r="D191" s="156">
        <v>1282.04</v>
      </c>
      <c r="E191" s="156"/>
      <c r="F191" s="117">
        <f t="shared" si="18"/>
        <v>0</v>
      </c>
      <c r="G191" s="724">
        <f>D191*0.006*0</f>
        <v>0</v>
      </c>
      <c r="H191" s="118">
        <v>0</v>
      </c>
      <c r="I191" s="119">
        <f t="shared" si="15"/>
        <v>23202.605960000012</v>
      </c>
      <c r="J191" s="725" t="s">
        <v>581</v>
      </c>
      <c r="K191" s="711">
        <f>+K190-I191</f>
        <v>-5.9600000131467823E-3</v>
      </c>
      <c r="L191" s="723"/>
    </row>
    <row r="192" spans="1:12" s="123" customFormat="1" ht="21" customHeight="1">
      <c r="A192" s="120">
        <v>44252</v>
      </c>
      <c r="B192" s="720"/>
      <c r="C192" s="133" t="s">
        <v>668</v>
      </c>
      <c r="D192" s="734"/>
      <c r="E192" s="156">
        <v>1121.78</v>
      </c>
      <c r="F192" s="117">
        <f t="shared" si="18"/>
        <v>0</v>
      </c>
      <c r="G192" s="724">
        <f t="shared" si="16"/>
        <v>0</v>
      </c>
      <c r="H192" s="722">
        <f t="shared" si="17"/>
        <v>6.7306799999999996</v>
      </c>
      <c r="I192" s="119">
        <f t="shared" si="15"/>
        <v>22074.095280000012</v>
      </c>
      <c r="K192" s="119"/>
      <c r="L192" s="723"/>
    </row>
    <row r="193" spans="1:12" s="123" customFormat="1" ht="21" customHeight="1">
      <c r="A193" s="120">
        <v>44252</v>
      </c>
      <c r="B193" s="720"/>
      <c r="C193" s="133" t="s">
        <v>603</v>
      </c>
      <c r="D193" s="734"/>
      <c r="E193" s="156">
        <f>192.31+381.64+2692.28+12820.38</f>
        <v>16086.61</v>
      </c>
      <c r="F193" s="117">
        <f t="shared" si="18"/>
        <v>0</v>
      </c>
      <c r="G193" s="724">
        <f t="shared" si="16"/>
        <v>0</v>
      </c>
      <c r="H193" s="722">
        <f t="shared" si="17"/>
        <v>96.519660000000002</v>
      </c>
      <c r="I193" s="119">
        <f t="shared" si="15"/>
        <v>5890.9656200000118</v>
      </c>
      <c r="J193" s="123" t="s">
        <v>669</v>
      </c>
      <c r="K193" s="119">
        <v>4064.55</v>
      </c>
      <c r="L193" s="723"/>
    </row>
    <row r="194" spans="1:12" s="123" customFormat="1" ht="21" customHeight="1">
      <c r="A194" s="726">
        <v>44252</v>
      </c>
      <c r="B194" s="727"/>
      <c r="C194" s="363" t="s">
        <v>603</v>
      </c>
      <c r="D194" s="739"/>
      <c r="E194" s="729">
        <f>1450+21.75+304.5+30+6.3</f>
        <v>1812.55</v>
      </c>
      <c r="F194" s="730">
        <f t="shared" si="18"/>
        <v>0</v>
      </c>
      <c r="G194" s="729">
        <v>2.99</v>
      </c>
      <c r="H194" s="731">
        <f t="shared" si="17"/>
        <v>10.875299999999999</v>
      </c>
      <c r="I194" s="732">
        <f t="shared" si="15"/>
        <v>4064.5503200000117</v>
      </c>
      <c r="J194" s="725" t="s">
        <v>581</v>
      </c>
      <c r="K194" s="711">
        <f>+K193-I194</f>
        <v>-3.2000001147025614E-4</v>
      </c>
      <c r="L194" s="723"/>
    </row>
    <row r="195" spans="1:12" s="123" customFormat="1" ht="21" customHeight="1">
      <c r="A195" s="120">
        <v>44264</v>
      </c>
      <c r="B195" s="720"/>
      <c r="C195" s="721" t="s">
        <v>670</v>
      </c>
      <c r="D195" s="156">
        <v>43800</v>
      </c>
      <c r="E195" s="156"/>
      <c r="F195" s="117">
        <f t="shared" si="18"/>
        <v>0</v>
      </c>
      <c r="G195" s="722">
        <f t="shared" si="16"/>
        <v>262.8</v>
      </c>
      <c r="H195" s="118">
        <f t="shared" si="17"/>
        <v>0</v>
      </c>
      <c r="I195" s="119">
        <f t="shared" si="15"/>
        <v>47601.750320000006</v>
      </c>
      <c r="K195" s="119"/>
      <c r="L195" s="723"/>
    </row>
    <row r="196" spans="1:12" s="123" customFormat="1" ht="21" customHeight="1">
      <c r="A196" s="120">
        <v>44267</v>
      </c>
      <c r="B196" s="720"/>
      <c r="C196" s="123" t="s">
        <v>671</v>
      </c>
      <c r="D196" s="734"/>
      <c r="E196" s="156">
        <v>16998.060000000001</v>
      </c>
      <c r="F196" s="117">
        <f t="shared" si="18"/>
        <v>0</v>
      </c>
      <c r="G196" s="724">
        <f t="shared" si="16"/>
        <v>0</v>
      </c>
      <c r="H196" s="722">
        <f t="shared" si="17"/>
        <v>101.98836000000001</v>
      </c>
      <c r="I196" s="119">
        <f t="shared" si="15"/>
        <v>30501.701960000006</v>
      </c>
      <c r="K196" s="119"/>
      <c r="L196" s="723"/>
    </row>
    <row r="197" spans="1:12" s="123" customFormat="1" ht="21" customHeight="1">
      <c r="A197" s="120">
        <v>44267</v>
      </c>
      <c r="B197" s="720"/>
      <c r="C197" s="123" t="s">
        <v>672</v>
      </c>
      <c r="D197" s="734"/>
      <c r="E197" s="156">
        <v>6328.2</v>
      </c>
      <c r="F197" s="117">
        <f t="shared" si="18"/>
        <v>0</v>
      </c>
      <c r="G197" s="724">
        <f t="shared" si="16"/>
        <v>0</v>
      </c>
      <c r="H197" s="722">
        <f t="shared" si="17"/>
        <v>37.969200000000001</v>
      </c>
      <c r="I197" s="119">
        <f t="shared" si="15"/>
        <v>24135.532760000006</v>
      </c>
      <c r="K197" s="119"/>
      <c r="L197" s="723"/>
    </row>
    <row r="198" spans="1:12" s="123" customFormat="1" ht="21" customHeight="1">
      <c r="A198" s="120">
        <v>44267</v>
      </c>
      <c r="B198" s="720"/>
      <c r="C198" s="123" t="s">
        <v>513</v>
      </c>
      <c r="D198" s="156">
        <v>100000</v>
      </c>
      <c r="F198" s="117">
        <f t="shared" si="18"/>
        <v>0</v>
      </c>
      <c r="G198" s="722">
        <f t="shared" si="16"/>
        <v>600</v>
      </c>
      <c r="H198" s="118">
        <f t="shared" si="17"/>
        <v>0</v>
      </c>
      <c r="I198" s="119">
        <f t="shared" si="15"/>
        <v>123535.53276</v>
      </c>
      <c r="K198" s="119"/>
      <c r="L198" s="723"/>
    </row>
    <row r="199" spans="1:12" s="123" customFormat="1" ht="21" customHeight="1">
      <c r="A199" s="120">
        <v>44267</v>
      </c>
      <c r="B199" s="720"/>
      <c r="C199" s="123" t="s">
        <v>513</v>
      </c>
      <c r="D199" s="156">
        <v>92000</v>
      </c>
      <c r="F199" s="117">
        <f t="shared" si="18"/>
        <v>0</v>
      </c>
      <c r="G199" s="722">
        <f t="shared" si="16"/>
        <v>552</v>
      </c>
      <c r="H199" s="118">
        <f t="shared" si="17"/>
        <v>0</v>
      </c>
      <c r="I199" s="119">
        <f t="shared" si="15"/>
        <v>214983.53276</v>
      </c>
      <c r="K199" s="740"/>
      <c r="L199" s="723"/>
    </row>
    <row r="200" spans="1:12" s="123" customFormat="1" ht="21" customHeight="1">
      <c r="A200" s="120">
        <v>44267</v>
      </c>
      <c r="B200" s="720"/>
      <c r="C200" s="123" t="s">
        <v>513</v>
      </c>
      <c r="D200" s="156">
        <v>28000</v>
      </c>
      <c r="E200" s="156"/>
      <c r="F200" s="117">
        <f t="shared" si="18"/>
        <v>0</v>
      </c>
      <c r="G200" s="722">
        <f t="shared" si="16"/>
        <v>168</v>
      </c>
      <c r="H200" s="118">
        <f t="shared" si="17"/>
        <v>0</v>
      </c>
      <c r="I200" s="119">
        <f t="shared" ref="I200:I263" si="19">I199+D200-E200-F200-G200-H200</f>
        <v>242815.53276</v>
      </c>
      <c r="L200" s="723"/>
    </row>
    <row r="201" spans="1:12" s="123" customFormat="1" ht="21" customHeight="1">
      <c r="A201" s="120">
        <v>44274</v>
      </c>
      <c r="B201" s="720"/>
      <c r="C201" s="133" t="s">
        <v>673</v>
      </c>
      <c r="D201" s="156"/>
      <c r="E201" s="156">
        <v>520.66</v>
      </c>
      <c r="F201" s="117">
        <f t="shared" si="18"/>
        <v>0</v>
      </c>
      <c r="G201" s="724">
        <f t="shared" si="16"/>
        <v>0</v>
      </c>
      <c r="H201" s="722">
        <f t="shared" si="17"/>
        <v>3.1239599999999998</v>
      </c>
      <c r="I201" s="119">
        <f t="shared" si="19"/>
        <v>242291.7488</v>
      </c>
      <c r="K201" s="740"/>
      <c r="L201" s="723"/>
    </row>
    <row r="202" spans="1:12" s="123" customFormat="1" ht="21" customHeight="1">
      <c r="A202" s="120">
        <v>44278</v>
      </c>
      <c r="B202" s="122">
        <v>28</v>
      </c>
      <c r="C202" s="123" t="s">
        <v>653</v>
      </c>
      <c r="D202" s="734"/>
      <c r="E202" s="156">
        <v>213673</v>
      </c>
      <c r="F202" s="117">
        <f t="shared" si="18"/>
        <v>0</v>
      </c>
      <c r="G202" s="724">
        <f t="shared" si="16"/>
        <v>0</v>
      </c>
      <c r="H202" s="722">
        <f t="shared" si="17"/>
        <v>1282.038</v>
      </c>
      <c r="I202" s="119">
        <f t="shared" si="19"/>
        <v>27336.710800000001</v>
      </c>
      <c r="J202" s="123" t="s">
        <v>674</v>
      </c>
      <c r="K202" s="119">
        <v>25513.279999999999</v>
      </c>
      <c r="L202" s="723"/>
    </row>
    <row r="203" spans="1:12" s="123" customFormat="1" ht="21" customHeight="1">
      <c r="A203" s="726">
        <v>44285</v>
      </c>
      <c r="B203" s="727"/>
      <c r="C203" s="728" t="s">
        <v>603</v>
      </c>
      <c r="D203" s="729"/>
      <c r="E203" s="729">
        <f>1450+21.75+304.5+30+6.3</f>
        <v>1812.55</v>
      </c>
      <c r="F203" s="730">
        <f t="shared" si="18"/>
        <v>0</v>
      </c>
      <c r="G203" s="729">
        <f t="shared" si="16"/>
        <v>0</v>
      </c>
      <c r="H203" s="731">
        <f t="shared" si="17"/>
        <v>10.875299999999999</v>
      </c>
      <c r="I203" s="732">
        <f t="shared" si="19"/>
        <v>25513.285500000002</v>
      </c>
      <c r="J203" s="725" t="s">
        <v>581</v>
      </c>
      <c r="K203" s="711">
        <f>+K202-I203</f>
        <v>-5.5000000029394869E-3</v>
      </c>
      <c r="L203" s="723"/>
    </row>
    <row r="204" spans="1:12" s="123" customFormat="1" ht="21" customHeight="1">
      <c r="A204" s="120">
        <v>44299</v>
      </c>
      <c r="B204" s="720"/>
      <c r="C204" s="721" t="s">
        <v>675</v>
      </c>
      <c r="D204" s="156">
        <v>42000</v>
      </c>
      <c r="E204" s="156"/>
      <c r="F204" s="117">
        <f t="shared" si="18"/>
        <v>0</v>
      </c>
      <c r="G204" s="722">
        <f t="shared" si="16"/>
        <v>252</v>
      </c>
      <c r="H204" s="118">
        <f t="shared" si="17"/>
        <v>0</v>
      </c>
      <c r="I204" s="119">
        <f t="shared" si="19"/>
        <v>67261.285499999998</v>
      </c>
      <c r="J204" s="123" t="s">
        <v>676</v>
      </c>
      <c r="K204" s="119">
        <v>69149.88</v>
      </c>
      <c r="L204" s="723"/>
    </row>
    <row r="205" spans="1:12" s="123" customFormat="1" ht="21" customHeight="1">
      <c r="A205" s="120">
        <v>44299</v>
      </c>
      <c r="B205" s="720"/>
      <c r="C205" s="721" t="s">
        <v>677</v>
      </c>
      <c r="D205" s="156">
        <v>1900</v>
      </c>
      <c r="E205" s="156"/>
      <c r="F205" s="117">
        <f t="shared" si="18"/>
        <v>0</v>
      </c>
      <c r="G205" s="722">
        <f t="shared" si="16"/>
        <v>11.4</v>
      </c>
      <c r="H205" s="118">
        <f t="shared" si="17"/>
        <v>0</v>
      </c>
      <c r="I205" s="119">
        <f t="shared" si="19"/>
        <v>69149.885500000004</v>
      </c>
      <c r="J205" s="725" t="s">
        <v>581</v>
      </c>
      <c r="K205" s="711">
        <f>+K204-I205</f>
        <v>-5.4999999993015081E-3</v>
      </c>
      <c r="L205" s="723"/>
    </row>
    <row r="206" spans="1:12" s="123" customFormat="1" ht="21" customHeight="1">
      <c r="A206" s="120">
        <v>44300</v>
      </c>
      <c r="B206" s="720"/>
      <c r="C206" s="123" t="s">
        <v>678</v>
      </c>
      <c r="D206" s="156"/>
      <c r="E206" s="156">
        <v>31.5</v>
      </c>
      <c r="F206" s="117">
        <f t="shared" si="18"/>
        <v>0</v>
      </c>
      <c r="G206" s="724">
        <f t="shared" si="16"/>
        <v>0</v>
      </c>
      <c r="H206" s="722">
        <f t="shared" si="17"/>
        <v>0.189</v>
      </c>
      <c r="I206" s="119">
        <f t="shared" si="19"/>
        <v>69118.196500000005</v>
      </c>
      <c r="K206" s="119"/>
      <c r="L206" s="723"/>
    </row>
    <row r="207" spans="1:12" s="123" customFormat="1" ht="21" customHeight="1">
      <c r="A207" s="120">
        <v>44300</v>
      </c>
      <c r="B207" s="720"/>
      <c r="C207" s="123" t="s">
        <v>679</v>
      </c>
      <c r="D207" s="156"/>
      <c r="E207" s="156">
        <v>1410.64</v>
      </c>
      <c r="F207" s="117">
        <f t="shared" si="18"/>
        <v>0</v>
      </c>
      <c r="G207" s="724">
        <f t="shared" si="16"/>
        <v>0</v>
      </c>
      <c r="H207" s="722">
        <f t="shared" si="17"/>
        <v>8.4638400000000011</v>
      </c>
      <c r="I207" s="119">
        <f t="shared" si="19"/>
        <v>67699.092660000009</v>
      </c>
      <c r="K207" s="119"/>
      <c r="L207" s="723"/>
    </row>
    <row r="208" spans="1:12" s="123" customFormat="1" ht="21" customHeight="1">
      <c r="A208" s="120">
        <v>44305</v>
      </c>
      <c r="B208" s="720"/>
      <c r="C208" s="123" t="s">
        <v>513</v>
      </c>
      <c r="D208" s="156">
        <v>200000</v>
      </c>
      <c r="E208" s="156"/>
      <c r="F208" s="117">
        <f t="shared" si="18"/>
        <v>0</v>
      </c>
      <c r="G208" s="722">
        <f t="shared" si="16"/>
        <v>1200</v>
      </c>
      <c r="H208" s="118">
        <f t="shared" si="17"/>
        <v>0</v>
      </c>
      <c r="I208" s="119">
        <f t="shared" si="19"/>
        <v>266499.09266000002</v>
      </c>
      <c r="L208" s="723"/>
    </row>
    <row r="209" spans="1:12" s="123" customFormat="1" ht="21" customHeight="1">
      <c r="A209" s="120">
        <v>44306</v>
      </c>
      <c r="B209" s="720"/>
      <c r="C209" s="133" t="s">
        <v>680</v>
      </c>
      <c r="D209" s="734"/>
      <c r="E209" s="156">
        <v>521.17999999999995</v>
      </c>
      <c r="F209" s="117">
        <f t="shared" si="18"/>
        <v>0</v>
      </c>
      <c r="G209" s="724">
        <f t="shared" si="16"/>
        <v>0</v>
      </c>
      <c r="H209" s="722">
        <f t="shared" si="17"/>
        <v>3.1270799999999999</v>
      </c>
      <c r="I209" s="119">
        <f t="shared" si="19"/>
        <v>265974.78558000003</v>
      </c>
      <c r="J209" s="123" t="s">
        <v>681</v>
      </c>
      <c r="K209" s="119">
        <v>265246.73</v>
      </c>
      <c r="L209" s="723"/>
    </row>
    <row r="210" spans="1:12" s="123" customFormat="1" ht="21" customHeight="1">
      <c r="A210" s="120">
        <v>44306</v>
      </c>
      <c r="B210" s="720"/>
      <c r="C210" s="123" t="s">
        <v>682</v>
      </c>
      <c r="D210" s="734"/>
      <c r="E210" s="156">
        <v>723.71</v>
      </c>
      <c r="F210" s="117">
        <f t="shared" si="18"/>
        <v>0</v>
      </c>
      <c r="G210" s="724">
        <f t="shared" si="16"/>
        <v>0</v>
      </c>
      <c r="H210" s="722">
        <f t="shared" si="17"/>
        <v>4.3422600000000005</v>
      </c>
      <c r="I210" s="119">
        <f t="shared" si="19"/>
        <v>265246.73332</v>
      </c>
      <c r="J210" s="725" t="s">
        <v>581</v>
      </c>
      <c r="K210" s="711">
        <f>+K209-I210</f>
        <v>-3.3200000179931521E-3</v>
      </c>
      <c r="L210" s="723"/>
    </row>
    <row r="211" spans="1:12" s="123" customFormat="1" ht="21" customHeight="1">
      <c r="A211" s="120">
        <v>44313</v>
      </c>
      <c r="B211" s="720"/>
      <c r="C211" s="133" t="s">
        <v>683</v>
      </c>
      <c r="D211" s="734"/>
      <c r="E211" s="156">
        <v>2200</v>
      </c>
      <c r="F211" s="117">
        <f t="shared" si="18"/>
        <v>0</v>
      </c>
      <c r="G211" s="724">
        <f t="shared" si="16"/>
        <v>0</v>
      </c>
      <c r="H211" s="722">
        <f t="shared" si="17"/>
        <v>13.200000000000001</v>
      </c>
      <c r="I211" s="119">
        <f t="shared" si="19"/>
        <v>263033.53331999999</v>
      </c>
      <c r="K211" s="119"/>
      <c r="L211" s="723"/>
    </row>
    <row r="212" spans="1:12" s="123" customFormat="1" ht="21" customHeight="1">
      <c r="A212" s="120">
        <v>44313</v>
      </c>
      <c r="B212" s="720"/>
      <c r="C212" s="123" t="s">
        <v>684</v>
      </c>
      <c r="D212" s="734"/>
      <c r="E212" s="156">
        <v>1410.64</v>
      </c>
      <c r="F212" s="117">
        <f t="shared" si="18"/>
        <v>0</v>
      </c>
      <c r="G212" s="724">
        <f t="shared" si="16"/>
        <v>0</v>
      </c>
      <c r="H212" s="722">
        <f t="shared" si="17"/>
        <v>8.4638400000000011</v>
      </c>
      <c r="I212" s="119">
        <f t="shared" si="19"/>
        <v>261614.42947999996</v>
      </c>
      <c r="K212" s="119"/>
      <c r="L212" s="723"/>
    </row>
    <row r="213" spans="1:12" s="123" customFormat="1" ht="21" customHeight="1">
      <c r="A213" s="120">
        <v>44313</v>
      </c>
      <c r="B213" s="720"/>
      <c r="C213" s="123" t="s">
        <v>685</v>
      </c>
      <c r="D213" s="734"/>
      <c r="E213" s="156">
        <v>6.3</v>
      </c>
      <c r="F213" s="117">
        <f t="shared" si="18"/>
        <v>0</v>
      </c>
      <c r="G213" s="724">
        <f t="shared" si="16"/>
        <v>0</v>
      </c>
      <c r="H213" s="722">
        <f t="shared" si="17"/>
        <v>3.78E-2</v>
      </c>
      <c r="I213" s="119">
        <f t="shared" si="19"/>
        <v>261608.09167999998</v>
      </c>
      <c r="J213" s="123" t="s">
        <v>686</v>
      </c>
      <c r="K213" s="119">
        <v>259821.18</v>
      </c>
      <c r="L213" s="723"/>
    </row>
    <row r="214" spans="1:12" s="123" customFormat="1" ht="21" customHeight="1">
      <c r="A214" s="726">
        <v>44315</v>
      </c>
      <c r="B214" s="728"/>
      <c r="C214" s="728" t="s">
        <v>603</v>
      </c>
      <c r="D214" s="728"/>
      <c r="E214" s="729">
        <f>1450+21.75+304.5</f>
        <v>1776.25</v>
      </c>
      <c r="F214" s="730">
        <f t="shared" si="18"/>
        <v>0</v>
      </c>
      <c r="G214" s="729">
        <f t="shared" si="16"/>
        <v>0</v>
      </c>
      <c r="H214" s="731">
        <f t="shared" si="17"/>
        <v>10.657500000000001</v>
      </c>
      <c r="I214" s="732">
        <f t="shared" si="19"/>
        <v>259821.18417999998</v>
      </c>
      <c r="J214" s="725" t="s">
        <v>581</v>
      </c>
      <c r="K214" s="711">
        <f>+K213-I214</f>
        <v>-4.1799999889917672E-3</v>
      </c>
      <c r="L214" s="723"/>
    </row>
    <row r="215" spans="1:12" s="123" customFormat="1" ht="21" customHeight="1">
      <c r="A215" s="120">
        <v>44319</v>
      </c>
      <c r="C215" s="123" t="s">
        <v>687</v>
      </c>
      <c r="D215" s="156">
        <v>229215</v>
      </c>
      <c r="E215" s="156"/>
      <c r="F215" s="117">
        <f t="shared" si="18"/>
        <v>0</v>
      </c>
      <c r="G215" s="722">
        <f t="shared" si="16"/>
        <v>1375.29</v>
      </c>
      <c r="H215" s="722">
        <f t="shared" si="17"/>
        <v>0</v>
      </c>
      <c r="I215" s="119">
        <f t="shared" si="19"/>
        <v>487660.89418</v>
      </c>
      <c r="J215" s="123" t="s">
        <v>688</v>
      </c>
      <c r="K215" s="119">
        <v>486954.08</v>
      </c>
      <c r="L215" s="723"/>
    </row>
    <row r="216" spans="1:12" s="123" customFormat="1" ht="21" customHeight="1">
      <c r="A216" s="120">
        <v>44328</v>
      </c>
      <c r="C216" s="123" t="s">
        <v>689</v>
      </c>
      <c r="D216" s="156"/>
      <c r="E216" s="156">
        <v>702.59</v>
      </c>
      <c r="F216" s="117">
        <f t="shared" si="18"/>
        <v>0</v>
      </c>
      <c r="G216" s="722">
        <f t="shared" si="16"/>
        <v>0</v>
      </c>
      <c r="H216" s="722">
        <f t="shared" si="17"/>
        <v>4.2155399999999998</v>
      </c>
      <c r="I216" s="119">
        <f t="shared" si="19"/>
        <v>486954.08863999997</v>
      </c>
      <c r="J216" s="725" t="s">
        <v>581</v>
      </c>
      <c r="K216" s="711">
        <f>+K215-I216</f>
        <v>-8.6399999563582242E-3</v>
      </c>
      <c r="L216" s="723"/>
    </row>
    <row r="217" spans="1:12" s="123" customFormat="1" ht="21" customHeight="1">
      <c r="A217" s="120">
        <v>44335</v>
      </c>
      <c r="B217" s="122"/>
      <c r="C217" s="123" t="s">
        <v>690</v>
      </c>
      <c r="D217" s="734"/>
      <c r="E217" s="156">
        <v>9640.51</v>
      </c>
      <c r="F217" s="117">
        <f t="shared" si="18"/>
        <v>0</v>
      </c>
      <c r="G217" s="724">
        <f t="shared" si="16"/>
        <v>0</v>
      </c>
      <c r="H217" s="722">
        <f t="shared" si="17"/>
        <v>57.843060000000001</v>
      </c>
      <c r="I217" s="119">
        <f t="shared" si="19"/>
        <v>477255.73557999998</v>
      </c>
      <c r="K217" s="119"/>
      <c r="L217" s="723"/>
    </row>
    <row r="218" spans="1:12" s="123" customFormat="1" ht="21" customHeight="1">
      <c r="A218" s="120">
        <v>44335</v>
      </c>
      <c r="B218" s="122"/>
      <c r="C218" s="123" t="s">
        <v>691</v>
      </c>
      <c r="E218" s="156">
        <v>9724.2800000000007</v>
      </c>
      <c r="F218" s="117">
        <f t="shared" si="18"/>
        <v>0</v>
      </c>
      <c r="G218" s="724">
        <f t="shared" si="16"/>
        <v>0</v>
      </c>
      <c r="H218" s="722">
        <f t="shared" si="17"/>
        <v>58.345680000000009</v>
      </c>
      <c r="I218" s="119">
        <f t="shared" si="19"/>
        <v>467473.10989999992</v>
      </c>
      <c r="K218" s="119"/>
      <c r="L218" s="723"/>
    </row>
    <row r="219" spans="1:12" s="123" customFormat="1" ht="21" customHeight="1">
      <c r="A219" s="120">
        <v>44337</v>
      </c>
      <c r="B219" s="720"/>
      <c r="C219" s="133" t="s">
        <v>692</v>
      </c>
      <c r="D219" s="734"/>
      <c r="E219" s="156">
        <v>521.70000000000005</v>
      </c>
      <c r="F219" s="117">
        <f t="shared" si="18"/>
        <v>0</v>
      </c>
      <c r="G219" s="724">
        <f t="shared" si="16"/>
        <v>0</v>
      </c>
      <c r="H219" s="722">
        <f t="shared" si="17"/>
        <v>3.1302000000000003</v>
      </c>
      <c r="I219" s="119">
        <f t="shared" si="19"/>
        <v>466948.2796999999</v>
      </c>
      <c r="K219" s="119"/>
      <c r="L219" s="723"/>
    </row>
    <row r="220" spans="1:12" s="123" customFormat="1" ht="21" customHeight="1">
      <c r="A220" s="120">
        <v>44344</v>
      </c>
      <c r="B220" s="720"/>
      <c r="C220" s="123" t="s">
        <v>693</v>
      </c>
      <c r="D220" s="734"/>
      <c r="E220" s="156">
        <v>165778.5</v>
      </c>
      <c r="F220" s="117">
        <f t="shared" si="18"/>
        <v>0</v>
      </c>
      <c r="G220" s="724">
        <f t="shared" si="16"/>
        <v>0</v>
      </c>
      <c r="H220" s="722">
        <f t="shared" si="17"/>
        <v>994.67100000000005</v>
      </c>
      <c r="I220" s="119">
        <f t="shared" si="19"/>
        <v>300175.10869999992</v>
      </c>
      <c r="J220" s="123" t="s">
        <v>694</v>
      </c>
      <c r="K220" s="119">
        <v>298388.19</v>
      </c>
      <c r="L220" s="723"/>
    </row>
    <row r="221" spans="1:12" s="123" customFormat="1" ht="21" customHeight="1">
      <c r="A221" s="726">
        <v>44344</v>
      </c>
      <c r="B221" s="727"/>
      <c r="C221" s="728" t="s">
        <v>603</v>
      </c>
      <c r="D221" s="739"/>
      <c r="E221" s="729">
        <f>1450+21.75+304.5</f>
        <v>1776.25</v>
      </c>
      <c r="F221" s="730">
        <f t="shared" si="18"/>
        <v>0</v>
      </c>
      <c r="G221" s="729">
        <f t="shared" si="16"/>
        <v>0</v>
      </c>
      <c r="H221" s="731">
        <f t="shared" si="17"/>
        <v>10.657500000000001</v>
      </c>
      <c r="I221" s="732">
        <f t="shared" si="19"/>
        <v>298388.20119999995</v>
      </c>
      <c r="J221" s="725" t="s">
        <v>581</v>
      </c>
      <c r="K221" s="711">
        <f>+K220-I221</f>
        <v>-1.1199999949894845E-2</v>
      </c>
      <c r="L221" s="723"/>
    </row>
    <row r="222" spans="1:12" s="123" customFormat="1" ht="21" customHeight="1">
      <c r="A222" s="120">
        <v>44348</v>
      </c>
      <c r="B222" s="720"/>
      <c r="C222" s="123" t="s">
        <v>695</v>
      </c>
      <c r="D222" s="734"/>
      <c r="E222" s="156">
        <v>70000</v>
      </c>
      <c r="F222" s="117">
        <f t="shared" si="18"/>
        <v>0</v>
      </c>
      <c r="G222" s="724">
        <f t="shared" si="16"/>
        <v>0</v>
      </c>
      <c r="H222" s="722">
        <f t="shared" si="17"/>
        <v>420</v>
      </c>
      <c r="I222" s="119">
        <f t="shared" si="19"/>
        <v>227968.20119999995</v>
      </c>
      <c r="K222" s="119"/>
      <c r="L222" s="723"/>
    </row>
    <row r="223" spans="1:12" s="123" customFormat="1" ht="21" customHeight="1">
      <c r="A223" s="120">
        <v>44351</v>
      </c>
      <c r="B223" s="720"/>
      <c r="C223" s="123" t="s">
        <v>696</v>
      </c>
      <c r="D223" s="734"/>
      <c r="E223" s="156">
        <v>50700</v>
      </c>
      <c r="F223" s="117">
        <f t="shared" si="18"/>
        <v>0</v>
      </c>
      <c r="G223" s="724">
        <f t="shared" ref="G223:G254" si="20">D223*0.006</f>
        <v>0</v>
      </c>
      <c r="H223" s="722">
        <f t="shared" si="17"/>
        <v>304.2</v>
      </c>
      <c r="I223" s="119">
        <f t="shared" si="19"/>
        <v>176964.00119999994</v>
      </c>
      <c r="J223" s="123" t="s">
        <v>697</v>
      </c>
      <c r="K223" s="119">
        <v>176842.26</v>
      </c>
      <c r="L223" s="723"/>
    </row>
    <row r="224" spans="1:12" s="123" customFormat="1" ht="21" customHeight="1">
      <c r="A224" s="120">
        <v>44354</v>
      </c>
      <c r="B224" s="720"/>
      <c r="C224" s="123" t="s">
        <v>603</v>
      </c>
      <c r="D224" s="734"/>
      <c r="E224" s="156">
        <f>100+21</f>
        <v>121</v>
      </c>
      <c r="F224" s="117">
        <f t="shared" si="18"/>
        <v>0</v>
      </c>
      <c r="G224" s="724">
        <f t="shared" si="20"/>
        <v>0</v>
      </c>
      <c r="H224" s="722">
        <f t="shared" si="17"/>
        <v>0.72599999999999998</v>
      </c>
      <c r="I224" s="119">
        <f t="shared" si="19"/>
        <v>176842.27519999995</v>
      </c>
      <c r="J224" s="725" t="s">
        <v>581</v>
      </c>
      <c r="K224" s="711">
        <f>+K223-I224</f>
        <v>-1.5199999936157838E-2</v>
      </c>
      <c r="L224" s="723"/>
    </row>
    <row r="225" spans="1:16" s="123" customFormat="1" ht="21" customHeight="1">
      <c r="A225" s="120">
        <v>44371</v>
      </c>
      <c r="B225" s="720"/>
      <c r="C225" s="652" t="s">
        <v>698</v>
      </c>
      <c r="D225" s="156">
        <v>4816410.29</v>
      </c>
      <c r="E225" s="156"/>
      <c r="F225" s="117">
        <f t="shared" si="18"/>
        <v>0</v>
      </c>
      <c r="G225" s="722">
        <f t="shared" si="20"/>
        <v>28898.461740000002</v>
      </c>
      <c r="H225" s="118">
        <f t="shared" si="17"/>
        <v>0</v>
      </c>
      <c r="I225" s="119">
        <f t="shared" si="19"/>
        <v>4964354.1034599999</v>
      </c>
      <c r="J225" s="123" t="s">
        <v>699</v>
      </c>
      <c r="K225" s="119">
        <v>4964051.59</v>
      </c>
      <c r="L225" s="723"/>
    </row>
    <row r="226" spans="1:16" s="123" customFormat="1" ht="21" customHeight="1">
      <c r="A226" s="120">
        <v>44371</v>
      </c>
      <c r="B226" s="720"/>
      <c r="C226" s="123" t="s">
        <v>603</v>
      </c>
      <c r="D226" s="156"/>
      <c r="E226" s="156">
        <f>52.5+250</f>
        <v>302.5</v>
      </c>
      <c r="F226" s="117">
        <f t="shared" si="18"/>
        <v>0</v>
      </c>
      <c r="G226" s="117">
        <f t="shared" si="20"/>
        <v>0</v>
      </c>
      <c r="H226" s="722">
        <f t="shared" si="17"/>
        <v>1.8149999999999999</v>
      </c>
      <c r="I226" s="119">
        <f t="shared" si="19"/>
        <v>4964049.7884599995</v>
      </c>
      <c r="J226" s="725" t="s">
        <v>581</v>
      </c>
      <c r="K226" s="711">
        <f>+K225-I226</f>
        <v>1.8015400003641844</v>
      </c>
      <c r="L226" s="723"/>
    </row>
    <row r="227" spans="1:16" s="123" customFormat="1" ht="21" customHeight="1">
      <c r="A227" s="120">
        <v>44372</v>
      </c>
      <c r="B227" s="720"/>
      <c r="C227" s="123" t="s">
        <v>603</v>
      </c>
      <c r="D227" s="156"/>
      <c r="E227" s="156">
        <f>28665+429.97+6019.65+859.95</f>
        <v>35974.57</v>
      </c>
      <c r="F227" s="117">
        <f t="shared" si="18"/>
        <v>0</v>
      </c>
      <c r="G227" s="117">
        <f t="shared" si="20"/>
        <v>0</v>
      </c>
      <c r="H227" s="722">
        <f t="shared" si="17"/>
        <v>215.84742</v>
      </c>
      <c r="I227" s="119">
        <f t="shared" si="19"/>
        <v>4927859.3710399996</v>
      </c>
      <c r="J227" s="725"/>
      <c r="K227" s="711"/>
      <c r="L227" s="723"/>
    </row>
    <row r="228" spans="1:16" s="123" customFormat="1" ht="21" customHeight="1">
      <c r="A228" s="120">
        <v>44372</v>
      </c>
      <c r="B228" s="720"/>
      <c r="C228" s="123" t="s">
        <v>700</v>
      </c>
      <c r="D228" s="734"/>
      <c r="E228" s="156">
        <v>4900000</v>
      </c>
      <c r="F228" s="117">
        <f t="shared" si="18"/>
        <v>0</v>
      </c>
      <c r="G228" s="117">
        <f t="shared" si="20"/>
        <v>0</v>
      </c>
      <c r="H228" s="722">
        <f t="shared" si="17"/>
        <v>29400</v>
      </c>
      <c r="I228" s="119">
        <f t="shared" si="19"/>
        <v>-1540.6289600003511</v>
      </c>
      <c r="J228" s="725"/>
      <c r="K228" s="711"/>
      <c r="L228" s="723"/>
    </row>
    <row r="229" spans="1:16" s="123" customFormat="1" ht="21" customHeight="1">
      <c r="A229" s="120">
        <v>44372</v>
      </c>
      <c r="B229" s="720"/>
      <c r="C229" s="123" t="s">
        <v>701</v>
      </c>
      <c r="D229" s="156"/>
      <c r="E229" s="156">
        <v>10093.6</v>
      </c>
      <c r="F229" s="117">
        <f t="shared" si="18"/>
        <v>0</v>
      </c>
      <c r="G229" s="117">
        <f t="shared" si="20"/>
        <v>0</v>
      </c>
      <c r="H229" s="722">
        <f t="shared" si="17"/>
        <v>60.561600000000006</v>
      </c>
      <c r="I229" s="119">
        <f t="shared" si="19"/>
        <v>-11694.790560000352</v>
      </c>
      <c r="J229" s="725"/>
      <c r="K229" s="711"/>
      <c r="L229" s="723"/>
    </row>
    <row r="230" spans="1:16" s="123" customFormat="1" ht="21" customHeight="1">
      <c r="A230" s="120">
        <v>44372</v>
      </c>
      <c r="B230" s="720"/>
      <c r="C230" s="123" t="s">
        <v>702</v>
      </c>
      <c r="D230" s="156"/>
      <c r="E230" s="156">
        <v>594.39</v>
      </c>
      <c r="F230" s="117">
        <f t="shared" si="18"/>
        <v>0</v>
      </c>
      <c r="G230" s="117">
        <f t="shared" si="20"/>
        <v>0</v>
      </c>
      <c r="H230" s="722">
        <f t="shared" si="17"/>
        <v>3.5663399999999998</v>
      </c>
      <c r="I230" s="119">
        <f t="shared" si="19"/>
        <v>-12292.746900000351</v>
      </c>
      <c r="J230" s="123" t="s">
        <v>703</v>
      </c>
      <c r="K230" s="119">
        <v>-14855.71</v>
      </c>
      <c r="L230" s="723"/>
    </row>
    <row r="231" spans="1:16" s="123" customFormat="1" ht="21" customHeight="1">
      <c r="A231" s="120">
        <v>44376</v>
      </c>
      <c r="B231" s="720"/>
      <c r="C231" s="123" t="s">
        <v>603</v>
      </c>
      <c r="D231" s="156"/>
      <c r="E231" s="156">
        <f>2030+30.45+426.3+60.9</f>
        <v>2547.65</v>
      </c>
      <c r="F231" s="117">
        <f t="shared" si="18"/>
        <v>0</v>
      </c>
      <c r="G231" s="117">
        <f t="shared" si="20"/>
        <v>0</v>
      </c>
      <c r="H231" s="722">
        <f t="shared" ref="H231:H242" si="21">E231*0.006+F231*0.006</f>
        <v>15.285900000000002</v>
      </c>
      <c r="I231" s="119">
        <f t="shared" si="19"/>
        <v>-14855.682800000352</v>
      </c>
      <c r="J231" s="725" t="s">
        <v>581</v>
      </c>
      <c r="K231" s="711">
        <f>+K230-I231</f>
        <v>-2.7199999647564255E-2</v>
      </c>
      <c r="L231" s="723"/>
    </row>
    <row r="232" spans="1:16" s="123" customFormat="1" ht="21" customHeight="1">
      <c r="A232" s="726">
        <v>44377</v>
      </c>
      <c r="B232" s="727"/>
      <c r="C232" s="728" t="s">
        <v>513</v>
      </c>
      <c r="D232" s="729">
        <v>20000</v>
      </c>
      <c r="E232" s="729"/>
      <c r="F232" s="730">
        <f t="shared" si="18"/>
        <v>0</v>
      </c>
      <c r="G232" s="731">
        <f t="shared" si="20"/>
        <v>120</v>
      </c>
      <c r="H232" s="741">
        <f t="shared" si="21"/>
        <v>0</v>
      </c>
      <c r="I232" s="732">
        <f t="shared" si="19"/>
        <v>5024.3171999996484</v>
      </c>
      <c r="J232" s="725"/>
      <c r="K232" s="711"/>
      <c r="L232" s="723"/>
    </row>
    <row r="233" spans="1:16" s="123" customFormat="1" ht="21" customHeight="1">
      <c r="A233" s="120">
        <v>44384</v>
      </c>
      <c r="B233" s="720"/>
      <c r="C233" s="123" t="s">
        <v>603</v>
      </c>
      <c r="D233" s="156"/>
      <c r="E233" s="156">
        <f>140.33+14.73+2.1</f>
        <v>157.16</v>
      </c>
      <c r="F233" s="117">
        <f t="shared" si="18"/>
        <v>0</v>
      </c>
      <c r="G233" s="117">
        <f t="shared" si="20"/>
        <v>0</v>
      </c>
      <c r="H233" s="722">
        <f t="shared" si="21"/>
        <v>0.94296000000000002</v>
      </c>
      <c r="I233" s="119">
        <f t="shared" si="19"/>
        <v>4866.2142399996483</v>
      </c>
      <c r="J233" s="725"/>
      <c r="K233" s="711"/>
      <c r="L233" s="723"/>
    </row>
    <row r="234" spans="1:16" s="123" customFormat="1" ht="21" customHeight="1">
      <c r="A234" s="120">
        <v>44384</v>
      </c>
      <c r="B234" s="720"/>
      <c r="C234" s="123" t="s">
        <v>513</v>
      </c>
      <c r="D234" s="156">
        <v>49000</v>
      </c>
      <c r="F234" s="117">
        <f t="shared" si="18"/>
        <v>0</v>
      </c>
      <c r="G234" s="722">
        <f t="shared" si="20"/>
        <v>294</v>
      </c>
      <c r="H234" s="118">
        <f t="shared" si="21"/>
        <v>0</v>
      </c>
      <c r="I234" s="119">
        <f t="shared" si="19"/>
        <v>53572.214239999652</v>
      </c>
      <c r="J234" s="123" t="s">
        <v>704</v>
      </c>
      <c r="K234" s="119">
        <v>94326.19</v>
      </c>
      <c r="L234" s="723"/>
    </row>
    <row r="235" spans="1:16" s="123" customFormat="1" ht="21" customHeight="1">
      <c r="A235" s="120">
        <v>44384</v>
      </c>
      <c r="B235" s="720"/>
      <c r="C235" s="123" t="s">
        <v>513</v>
      </c>
      <c r="D235" s="156">
        <v>41000</v>
      </c>
      <c r="F235" s="117">
        <f t="shared" si="18"/>
        <v>0</v>
      </c>
      <c r="G235" s="722">
        <f t="shared" si="20"/>
        <v>246</v>
      </c>
      <c r="H235" s="118">
        <f t="shared" si="21"/>
        <v>0</v>
      </c>
      <c r="I235" s="119">
        <f t="shared" si="19"/>
        <v>94326.214239999652</v>
      </c>
      <c r="J235" s="725" t="s">
        <v>581</v>
      </c>
      <c r="K235" s="711">
        <f>+K234-I235</f>
        <v>-2.4239999649580568E-2</v>
      </c>
      <c r="L235" s="723"/>
    </row>
    <row r="236" spans="1:16" s="123" customFormat="1" ht="21" customHeight="1">
      <c r="A236" s="120">
        <v>44384</v>
      </c>
      <c r="B236" s="720"/>
      <c r="C236" s="123" t="s">
        <v>603</v>
      </c>
      <c r="D236" s="156"/>
      <c r="E236" s="156">
        <f>140.33+14.73+2.1+184.82</f>
        <v>341.98</v>
      </c>
      <c r="F236" s="117">
        <f t="shared" si="18"/>
        <v>0</v>
      </c>
      <c r="G236" s="722">
        <f t="shared" si="20"/>
        <v>0</v>
      </c>
      <c r="H236" s="722">
        <f t="shared" si="21"/>
        <v>2.0518800000000001</v>
      </c>
      <c r="I236" s="119">
        <f t="shared" si="19"/>
        <v>93982.182359999657</v>
      </c>
      <c r="J236" s="725"/>
      <c r="K236" s="711"/>
      <c r="L236" s="723"/>
    </row>
    <row r="237" spans="1:16" s="123" customFormat="1" ht="21" customHeight="1">
      <c r="A237" s="120">
        <v>44385</v>
      </c>
      <c r="B237" s="720"/>
      <c r="C237" s="123" t="s">
        <v>705</v>
      </c>
      <c r="D237" s="742"/>
      <c r="E237" s="156">
        <v>10083.24</v>
      </c>
      <c r="F237" s="117">
        <f t="shared" si="18"/>
        <v>0</v>
      </c>
      <c r="G237" s="722">
        <f t="shared" si="20"/>
        <v>0</v>
      </c>
      <c r="H237" s="722">
        <f t="shared" si="21"/>
        <v>60.49944</v>
      </c>
      <c r="I237" s="119">
        <f t="shared" si="19"/>
        <v>83838.442919999652</v>
      </c>
      <c r="K237" s="119"/>
      <c r="L237" s="723"/>
    </row>
    <row r="238" spans="1:16" s="123" customFormat="1" ht="21" customHeight="1">
      <c r="A238" s="120">
        <v>44385</v>
      </c>
      <c r="B238" s="122"/>
      <c r="C238" s="123" t="s">
        <v>706</v>
      </c>
      <c r="E238" s="156">
        <v>576.94000000000005</v>
      </c>
      <c r="F238" s="117">
        <f t="shared" si="18"/>
        <v>0</v>
      </c>
      <c r="G238" s="118">
        <f t="shared" si="20"/>
        <v>0</v>
      </c>
      <c r="H238" s="722">
        <f t="shared" si="21"/>
        <v>3.4616400000000005</v>
      </c>
      <c r="I238" s="119">
        <f t="shared" si="19"/>
        <v>83258.041279999656</v>
      </c>
      <c r="J238" s="743"/>
      <c r="K238" s="119"/>
      <c r="P238" s="734"/>
    </row>
    <row r="239" spans="1:16" s="123" customFormat="1" ht="21" customHeight="1">
      <c r="A239" s="120">
        <v>44385</v>
      </c>
      <c r="B239" s="122"/>
      <c r="C239" s="123" t="s">
        <v>707</v>
      </c>
      <c r="D239" s="744"/>
      <c r="E239" s="156">
        <v>80996.600000000006</v>
      </c>
      <c r="F239" s="117">
        <f t="shared" si="18"/>
        <v>0</v>
      </c>
      <c r="G239" s="118">
        <f t="shared" si="20"/>
        <v>0</v>
      </c>
      <c r="H239" s="722">
        <f t="shared" si="21"/>
        <v>485.97960000000006</v>
      </c>
      <c r="I239" s="119">
        <f t="shared" si="19"/>
        <v>1775.4616799996497</v>
      </c>
      <c r="J239" s="743"/>
      <c r="K239" s="119"/>
      <c r="P239" s="734"/>
    </row>
    <row r="240" spans="1:16" s="123" customFormat="1" ht="21" customHeight="1">
      <c r="A240" s="120">
        <v>44390</v>
      </c>
      <c r="B240" s="122"/>
      <c r="C240" s="123" t="s">
        <v>708</v>
      </c>
      <c r="D240" s="156">
        <v>104265.65</v>
      </c>
      <c r="E240" s="156"/>
      <c r="F240" s="117">
        <f t="shared" si="18"/>
        <v>0</v>
      </c>
      <c r="G240" s="722">
        <f t="shared" si="20"/>
        <v>625.59389999999996</v>
      </c>
      <c r="H240" s="118">
        <f t="shared" si="21"/>
        <v>0</v>
      </c>
      <c r="I240" s="119">
        <f t="shared" si="19"/>
        <v>105415.51777999963</v>
      </c>
      <c r="J240" s="743"/>
      <c r="K240" s="119"/>
      <c r="P240" s="734"/>
    </row>
    <row r="241" spans="1:16" s="123" customFormat="1" ht="21" customHeight="1">
      <c r="A241" s="120">
        <v>44391</v>
      </c>
      <c r="B241" s="122"/>
      <c r="C241" s="123" t="s">
        <v>513</v>
      </c>
      <c r="D241" s="156">
        <v>48500</v>
      </c>
      <c r="E241" s="156"/>
      <c r="F241" s="117">
        <f t="shared" si="18"/>
        <v>0</v>
      </c>
      <c r="G241" s="722">
        <f t="shared" si="20"/>
        <v>291</v>
      </c>
      <c r="H241" s="118">
        <f t="shared" si="21"/>
        <v>0</v>
      </c>
      <c r="I241" s="119">
        <f t="shared" si="19"/>
        <v>153624.51777999965</v>
      </c>
      <c r="J241" s="743"/>
      <c r="K241" s="119"/>
      <c r="P241" s="734"/>
    </row>
    <row r="242" spans="1:16" s="123" customFormat="1" ht="21" customHeight="1">
      <c r="A242" s="120">
        <v>44391</v>
      </c>
      <c r="B242" s="122"/>
      <c r="C242" s="123" t="s">
        <v>513</v>
      </c>
      <c r="D242" s="156">
        <v>26500</v>
      </c>
      <c r="E242" s="156"/>
      <c r="F242" s="117">
        <f t="shared" si="18"/>
        <v>0</v>
      </c>
      <c r="G242" s="722">
        <f t="shared" si="20"/>
        <v>159</v>
      </c>
      <c r="H242" s="118">
        <f t="shared" si="21"/>
        <v>0</v>
      </c>
      <c r="I242" s="119">
        <f t="shared" si="19"/>
        <v>179965.51777999965</v>
      </c>
      <c r="J242" s="743"/>
      <c r="K242" s="119"/>
      <c r="P242" s="734"/>
    </row>
    <row r="243" spans="1:16" s="123" customFormat="1" ht="21" customHeight="1">
      <c r="A243" s="120">
        <v>44391</v>
      </c>
      <c r="B243" s="122"/>
      <c r="C243" s="133" t="s">
        <v>709</v>
      </c>
      <c r="D243" s="734"/>
      <c r="E243" s="156">
        <v>6413</v>
      </c>
      <c r="F243" s="117">
        <f t="shared" si="18"/>
        <v>0</v>
      </c>
      <c r="G243" s="724">
        <f t="shared" si="20"/>
        <v>0</v>
      </c>
      <c r="H243" s="118">
        <f>(E243*0.006+F243*0.006)*0</f>
        <v>0</v>
      </c>
      <c r="I243" s="119">
        <f t="shared" si="19"/>
        <v>173552.51777999965</v>
      </c>
      <c r="J243" s="743"/>
      <c r="K243" s="119"/>
      <c r="P243" s="734"/>
    </row>
    <row r="244" spans="1:16" s="123" customFormat="1" ht="21" customHeight="1">
      <c r="A244" s="120">
        <v>44391</v>
      </c>
      <c r="B244" s="122"/>
      <c r="C244" s="123" t="s">
        <v>710</v>
      </c>
      <c r="D244" s="734"/>
      <c r="E244" s="156">
        <v>56614.84</v>
      </c>
      <c r="F244" s="117">
        <f t="shared" si="18"/>
        <v>0</v>
      </c>
      <c r="G244" s="724">
        <f t="shared" si="20"/>
        <v>0</v>
      </c>
      <c r="H244" s="722">
        <f t="shared" ref="H244:H307" si="22">E244*0.006+F244*0.006</f>
        <v>339.68903999999998</v>
      </c>
      <c r="I244" s="119">
        <f t="shared" si="19"/>
        <v>116597.98873999965</v>
      </c>
      <c r="J244" s="123" t="s">
        <v>711</v>
      </c>
      <c r="K244" s="119">
        <v>110618.87</v>
      </c>
      <c r="P244" s="734"/>
    </row>
    <row r="245" spans="1:16" s="123" customFormat="1" ht="21" customHeight="1">
      <c r="A245" s="120">
        <v>44392</v>
      </c>
      <c r="B245" s="122"/>
      <c r="C245" s="123" t="s">
        <v>712</v>
      </c>
      <c r="D245" s="734"/>
      <c r="E245" s="156">
        <v>5944.56</v>
      </c>
      <c r="F245" s="117">
        <f t="shared" si="18"/>
        <v>0</v>
      </c>
      <c r="G245" s="724">
        <f t="shared" si="20"/>
        <v>0</v>
      </c>
      <c r="H245" s="722">
        <f t="shared" si="22"/>
        <v>35.667360000000002</v>
      </c>
      <c r="I245" s="119">
        <f t="shared" si="19"/>
        <v>110617.76137999965</v>
      </c>
      <c r="J245" s="725" t="s">
        <v>581</v>
      </c>
      <c r="K245" s="711">
        <f>+K244-I245</f>
        <v>1.10862000034831</v>
      </c>
      <c r="P245" s="734"/>
    </row>
    <row r="246" spans="1:16" s="123" customFormat="1" ht="21" customHeight="1">
      <c r="A246" s="120">
        <v>44393</v>
      </c>
      <c r="B246" s="122">
        <v>126</v>
      </c>
      <c r="C246" s="123" t="s">
        <v>713</v>
      </c>
      <c r="D246" s="734"/>
      <c r="E246" s="156">
        <v>30250</v>
      </c>
      <c r="F246" s="117">
        <f t="shared" ref="F246:F309" si="23">D246*0%</f>
        <v>0</v>
      </c>
      <c r="G246" s="724">
        <f t="shared" si="20"/>
        <v>0</v>
      </c>
      <c r="H246" s="722">
        <f>E246*0.006+F246*0.006</f>
        <v>181.5</v>
      </c>
      <c r="I246" s="119">
        <f t="shared" si="19"/>
        <v>80186.261379999647</v>
      </c>
      <c r="J246" s="743"/>
      <c r="K246" s="119"/>
      <c r="P246" s="734"/>
    </row>
    <row r="247" spans="1:16" s="123" customFormat="1" ht="21" customHeight="1">
      <c r="A247" s="120">
        <v>44399</v>
      </c>
      <c r="B247" s="122"/>
      <c r="C247" s="123" t="s">
        <v>714</v>
      </c>
      <c r="D247" s="156">
        <v>60766.8</v>
      </c>
      <c r="E247" s="156"/>
      <c r="F247" s="117">
        <f t="shared" si="23"/>
        <v>0</v>
      </c>
      <c r="G247" s="722">
        <f t="shared" si="20"/>
        <v>364.60080000000005</v>
      </c>
      <c r="H247" s="118">
        <f t="shared" ref="H247:H252" si="24">E247*0.006+F247*0.006</f>
        <v>0</v>
      </c>
      <c r="I247" s="119">
        <f t="shared" si="19"/>
        <v>140588.46057999966</v>
      </c>
      <c r="J247" s="743"/>
      <c r="K247" s="119"/>
      <c r="P247" s="734"/>
    </row>
    <row r="248" spans="1:16" s="123" customFormat="1" ht="21" customHeight="1">
      <c r="A248" s="120">
        <v>44399</v>
      </c>
      <c r="B248" s="122"/>
      <c r="C248" s="123" t="s">
        <v>715</v>
      </c>
      <c r="D248" s="156">
        <v>101278</v>
      </c>
      <c r="E248" s="156"/>
      <c r="F248" s="117">
        <f t="shared" si="23"/>
        <v>0</v>
      </c>
      <c r="G248" s="722">
        <f t="shared" si="20"/>
        <v>607.66800000000001</v>
      </c>
      <c r="H248" s="118">
        <f t="shared" si="24"/>
        <v>0</v>
      </c>
      <c r="I248" s="119">
        <f t="shared" si="19"/>
        <v>241258.79257999966</v>
      </c>
      <c r="J248" s="743"/>
      <c r="K248" s="119"/>
      <c r="P248" s="734"/>
    </row>
    <row r="249" spans="1:16" s="123" customFormat="1" ht="21" customHeight="1">
      <c r="A249" s="120">
        <v>44400</v>
      </c>
      <c r="B249" s="122"/>
      <c r="C249" s="123" t="s">
        <v>716</v>
      </c>
      <c r="D249" s="156"/>
      <c r="E249" s="156">
        <v>62589.8</v>
      </c>
      <c r="F249" s="117">
        <f t="shared" si="23"/>
        <v>0</v>
      </c>
      <c r="G249" s="724">
        <f t="shared" si="20"/>
        <v>0</v>
      </c>
      <c r="H249" s="722">
        <f t="shared" si="24"/>
        <v>375.53880000000004</v>
      </c>
      <c r="I249" s="119">
        <f t="shared" si="19"/>
        <v>178293.45377999966</v>
      </c>
      <c r="J249" s="123" t="s">
        <v>717</v>
      </c>
      <c r="K249" s="119">
        <v>175731.62</v>
      </c>
      <c r="P249" s="734"/>
    </row>
    <row r="250" spans="1:16" s="123" customFormat="1" ht="21" customHeight="1">
      <c r="A250" s="726">
        <v>44406</v>
      </c>
      <c r="B250" s="745"/>
      <c r="C250" s="728" t="s">
        <v>603</v>
      </c>
      <c r="D250" s="729"/>
      <c r="E250" s="729">
        <f>2030+30.45+426.3+60.9</f>
        <v>2547.65</v>
      </c>
      <c r="F250" s="730">
        <f t="shared" si="23"/>
        <v>0</v>
      </c>
      <c r="G250" s="729">
        <f t="shared" si="20"/>
        <v>0</v>
      </c>
      <c r="H250" s="731">
        <f t="shared" si="24"/>
        <v>15.285900000000002</v>
      </c>
      <c r="I250" s="732">
        <f t="shared" si="19"/>
        <v>175730.51787999968</v>
      </c>
      <c r="J250" s="725" t="s">
        <v>581</v>
      </c>
      <c r="K250" s="711">
        <f>+K249-I250</f>
        <v>1.1021200003160629</v>
      </c>
      <c r="P250" s="734"/>
    </row>
    <row r="251" spans="1:16" s="123" customFormat="1" ht="21" customHeight="1">
      <c r="A251" s="120">
        <v>44413</v>
      </c>
      <c r="B251" s="122" t="s">
        <v>718</v>
      </c>
      <c r="C251" s="123" t="s">
        <v>719</v>
      </c>
      <c r="D251" s="156"/>
      <c r="E251" s="156">
        <v>63215.55</v>
      </c>
      <c r="F251" s="117">
        <f t="shared" si="23"/>
        <v>0</v>
      </c>
      <c r="G251" s="724">
        <f t="shared" si="20"/>
        <v>0</v>
      </c>
      <c r="H251" s="722">
        <f t="shared" si="24"/>
        <v>379.29330000000004</v>
      </c>
      <c r="I251" s="119">
        <f t="shared" si="19"/>
        <v>112135.67457999967</v>
      </c>
      <c r="J251" s="743"/>
      <c r="K251" s="119"/>
      <c r="P251" s="734"/>
    </row>
    <row r="252" spans="1:16" s="123" customFormat="1" ht="21" customHeight="1">
      <c r="A252" s="120">
        <v>44414</v>
      </c>
      <c r="B252" s="122">
        <v>127</v>
      </c>
      <c r="C252" s="123" t="s">
        <v>713</v>
      </c>
      <c r="D252" s="156"/>
      <c r="E252" s="156">
        <v>30250</v>
      </c>
      <c r="F252" s="117">
        <f t="shared" si="23"/>
        <v>0</v>
      </c>
      <c r="G252" s="724">
        <f t="shared" si="20"/>
        <v>0</v>
      </c>
      <c r="H252" s="722">
        <f t="shared" si="24"/>
        <v>181.5</v>
      </c>
      <c r="I252" s="119">
        <f t="shared" si="19"/>
        <v>81704.174579999672</v>
      </c>
      <c r="J252" s="123" t="s">
        <v>720</v>
      </c>
      <c r="K252" s="119">
        <v>143653.94</v>
      </c>
      <c r="P252" s="734"/>
    </row>
    <row r="253" spans="1:16" s="123" customFormat="1" ht="21" customHeight="1">
      <c r="A253" s="120">
        <v>44419</v>
      </c>
      <c r="B253" s="122"/>
      <c r="C253" s="123" t="s">
        <v>721</v>
      </c>
      <c r="D253" s="156">
        <v>62322.6</v>
      </c>
      <c r="E253" s="156"/>
      <c r="F253" s="117">
        <f t="shared" si="23"/>
        <v>0</v>
      </c>
      <c r="G253" s="722">
        <f t="shared" si="20"/>
        <v>373.93560000000002</v>
      </c>
      <c r="H253" s="118">
        <f t="shared" si="22"/>
        <v>0</v>
      </c>
      <c r="I253" s="119">
        <f t="shared" si="19"/>
        <v>143652.83897999968</v>
      </c>
      <c r="J253" s="725" t="s">
        <v>581</v>
      </c>
      <c r="K253" s="711">
        <f>+K252-I253</f>
        <v>1.1010200003220234</v>
      </c>
      <c r="P253" s="734"/>
    </row>
    <row r="254" spans="1:16" s="123" customFormat="1" ht="21" customHeight="1">
      <c r="A254" s="120">
        <v>44421</v>
      </c>
      <c r="B254" s="122"/>
      <c r="C254" s="123" t="s">
        <v>722</v>
      </c>
      <c r="D254" s="156"/>
      <c r="E254" s="156">
        <v>66061.960000000006</v>
      </c>
      <c r="F254" s="117">
        <f t="shared" si="23"/>
        <v>0</v>
      </c>
      <c r="G254" s="724">
        <f t="shared" si="20"/>
        <v>0</v>
      </c>
      <c r="H254" s="722">
        <f t="shared" si="22"/>
        <v>396.37176000000005</v>
      </c>
      <c r="I254" s="119">
        <f t="shared" si="19"/>
        <v>77194.507219999679</v>
      </c>
      <c r="J254" s="123" t="s">
        <v>723</v>
      </c>
      <c r="K254" s="119">
        <v>190321.29</v>
      </c>
      <c r="P254" s="734"/>
    </row>
    <row r="255" spans="1:16" s="123" customFormat="1" ht="21" customHeight="1">
      <c r="A255" s="120">
        <v>44425</v>
      </c>
      <c r="B255" s="122"/>
      <c r="C255" s="123" t="s">
        <v>724</v>
      </c>
      <c r="D255" s="156">
        <v>113125.68</v>
      </c>
      <c r="E255" s="156"/>
      <c r="F255" s="117">
        <f t="shared" si="23"/>
        <v>0</v>
      </c>
      <c r="G255" s="724">
        <f>D255*0.006*0</f>
        <v>0</v>
      </c>
      <c r="H255" s="118">
        <f t="shared" si="22"/>
        <v>0</v>
      </c>
      <c r="I255" s="119">
        <f t="shared" si="19"/>
        <v>190320.18721999967</v>
      </c>
      <c r="J255" s="725" t="s">
        <v>581</v>
      </c>
      <c r="K255" s="711">
        <f>+K254-I255</f>
        <v>1.1027800003357697</v>
      </c>
      <c r="P255" s="734"/>
    </row>
    <row r="256" spans="1:16" s="123" customFormat="1" ht="21" customHeight="1">
      <c r="A256" s="120">
        <v>44427</v>
      </c>
      <c r="B256" s="146"/>
      <c r="C256" s="15" t="s">
        <v>725</v>
      </c>
      <c r="D256" s="734"/>
      <c r="E256" s="156">
        <v>27161.84</v>
      </c>
      <c r="F256" s="117">
        <f t="shared" si="23"/>
        <v>0</v>
      </c>
      <c r="G256" s="724">
        <f t="shared" ref="G256:G319" si="25">D256*0.006</f>
        <v>0</v>
      </c>
      <c r="H256" s="722">
        <f t="shared" si="22"/>
        <v>162.97104000000002</v>
      </c>
      <c r="I256" s="119">
        <f t="shared" si="19"/>
        <v>162995.37617999967</v>
      </c>
      <c r="J256" s="743"/>
      <c r="K256" s="119"/>
      <c r="P256" s="734"/>
    </row>
    <row r="257" spans="1:16" s="123" customFormat="1" ht="21" customHeight="1">
      <c r="A257" s="120">
        <v>44431</v>
      </c>
      <c r="B257" s="122"/>
      <c r="C257" s="123" t="s">
        <v>513</v>
      </c>
      <c r="D257" s="156">
        <v>50000</v>
      </c>
      <c r="E257" s="156"/>
      <c r="F257" s="117">
        <f t="shared" si="23"/>
        <v>0</v>
      </c>
      <c r="G257" s="722">
        <f t="shared" si="25"/>
        <v>300</v>
      </c>
      <c r="H257" s="118">
        <f t="shared" si="22"/>
        <v>0</v>
      </c>
      <c r="I257" s="119">
        <f t="shared" si="19"/>
        <v>212695.37617999967</v>
      </c>
      <c r="K257" s="119"/>
      <c r="P257" s="734"/>
    </row>
    <row r="258" spans="1:16" s="123" customFormat="1" ht="21" customHeight="1">
      <c r="A258" s="120">
        <v>44431</v>
      </c>
      <c r="B258" s="122">
        <v>47</v>
      </c>
      <c r="C258" s="123" t="s">
        <v>726</v>
      </c>
      <c r="D258" s="156"/>
      <c r="E258" s="156">
        <v>192258</v>
      </c>
      <c r="F258" s="117">
        <f t="shared" si="23"/>
        <v>0</v>
      </c>
      <c r="G258" s="724">
        <f t="shared" si="25"/>
        <v>0</v>
      </c>
      <c r="H258" s="722">
        <f t="shared" si="22"/>
        <v>1153.548</v>
      </c>
      <c r="I258" s="119">
        <f t="shared" si="19"/>
        <v>19283.828179999673</v>
      </c>
      <c r="J258" s="725"/>
      <c r="K258" s="711"/>
      <c r="P258" s="734"/>
    </row>
    <row r="259" spans="1:16" s="123" customFormat="1" ht="21" customHeight="1">
      <c r="A259" s="120">
        <v>44431</v>
      </c>
      <c r="B259" s="122"/>
      <c r="C259" s="123" t="s">
        <v>727</v>
      </c>
      <c r="D259" s="156"/>
      <c r="E259" s="156">
        <f>4650.31+13.95</f>
        <v>4664.26</v>
      </c>
      <c r="F259" s="117">
        <f t="shared" si="23"/>
        <v>0</v>
      </c>
      <c r="G259" s="724">
        <f t="shared" si="25"/>
        <v>0</v>
      </c>
      <c r="H259" s="722">
        <f t="shared" si="22"/>
        <v>27.985560000000003</v>
      </c>
      <c r="I259" s="119">
        <f t="shared" si="19"/>
        <v>14591.582619999674</v>
      </c>
      <c r="J259" s="743"/>
      <c r="K259" s="119"/>
      <c r="P259" s="734"/>
    </row>
    <row r="260" spans="1:16" s="123" customFormat="1" ht="21" customHeight="1">
      <c r="A260" s="120">
        <v>44431</v>
      </c>
      <c r="B260" s="122"/>
      <c r="C260" s="123" t="s">
        <v>728</v>
      </c>
      <c r="E260" s="156">
        <v>620.53</v>
      </c>
      <c r="F260" s="117">
        <f t="shared" si="23"/>
        <v>0</v>
      </c>
      <c r="G260" s="724">
        <f t="shared" si="25"/>
        <v>0</v>
      </c>
      <c r="H260" s="722">
        <f t="shared" si="22"/>
        <v>3.7231799999999997</v>
      </c>
      <c r="I260" s="119">
        <f t="shared" si="19"/>
        <v>13967.329439999672</v>
      </c>
      <c r="J260" s="123" t="s">
        <v>729</v>
      </c>
      <c r="K260" s="119">
        <v>3112.1</v>
      </c>
      <c r="P260" s="734"/>
    </row>
    <row r="261" spans="1:16" s="123" customFormat="1" ht="21" customHeight="1">
      <c r="A261" s="120">
        <v>44431</v>
      </c>
      <c r="B261" s="122"/>
      <c r="C261" s="123" t="s">
        <v>730</v>
      </c>
      <c r="E261" s="156">
        <v>10791.58</v>
      </c>
      <c r="F261" s="117">
        <f t="shared" si="23"/>
        <v>0</v>
      </c>
      <c r="G261" s="724">
        <f t="shared" si="25"/>
        <v>0</v>
      </c>
      <c r="H261" s="722">
        <f t="shared" si="22"/>
        <v>64.749480000000005</v>
      </c>
      <c r="I261" s="119">
        <f t="shared" si="19"/>
        <v>3110.9999599996722</v>
      </c>
      <c r="J261" s="725" t="s">
        <v>581</v>
      </c>
      <c r="K261" s="711">
        <f>+K260-I261</f>
        <v>1.1000400003276809</v>
      </c>
      <c r="P261" s="734"/>
    </row>
    <row r="262" spans="1:16" s="123" customFormat="1" ht="21" customHeight="1">
      <c r="A262" s="120">
        <v>44432</v>
      </c>
      <c r="B262" s="746"/>
      <c r="C262" s="721" t="s">
        <v>731</v>
      </c>
      <c r="D262" s="735">
        <v>250000</v>
      </c>
      <c r="E262" s="156"/>
      <c r="F262" s="117">
        <f t="shared" si="23"/>
        <v>0</v>
      </c>
      <c r="G262" s="722">
        <f t="shared" si="25"/>
        <v>1500</v>
      </c>
      <c r="H262" s="118">
        <f t="shared" si="22"/>
        <v>0</v>
      </c>
      <c r="I262" s="119">
        <f t="shared" si="19"/>
        <v>251610.99995999967</v>
      </c>
      <c r="J262" s="747"/>
      <c r="K262" s="506"/>
      <c r="P262" s="734"/>
    </row>
    <row r="263" spans="1:16" s="123" customFormat="1" ht="21" customHeight="1">
      <c r="A263" s="120">
        <v>44433</v>
      </c>
      <c r="B263" s="746"/>
      <c r="C263" s="721" t="s">
        <v>731</v>
      </c>
      <c r="D263" s="735">
        <v>380000</v>
      </c>
      <c r="E263" s="156"/>
      <c r="F263" s="117">
        <f t="shared" si="23"/>
        <v>0</v>
      </c>
      <c r="G263" s="722">
        <f t="shared" si="25"/>
        <v>2280</v>
      </c>
      <c r="H263" s="118">
        <f t="shared" si="22"/>
        <v>0</v>
      </c>
      <c r="I263" s="119">
        <f t="shared" si="19"/>
        <v>629330.9999599997</v>
      </c>
      <c r="J263" s="123" t="s">
        <v>732</v>
      </c>
      <c r="K263" s="119">
        <v>669092.1</v>
      </c>
      <c r="P263" s="734"/>
    </row>
    <row r="264" spans="1:16" s="123" customFormat="1" ht="21" customHeight="1">
      <c r="A264" s="120">
        <v>44433</v>
      </c>
      <c r="B264" s="746"/>
      <c r="C264" s="721" t="s">
        <v>652</v>
      </c>
      <c r="D264" s="735">
        <v>40000</v>
      </c>
      <c r="E264" s="156"/>
      <c r="F264" s="117">
        <f t="shared" si="23"/>
        <v>0</v>
      </c>
      <c r="G264" s="722">
        <f t="shared" si="25"/>
        <v>240</v>
      </c>
      <c r="H264" s="118">
        <f t="shared" si="22"/>
        <v>0</v>
      </c>
      <c r="I264" s="119">
        <f t="shared" ref="I264:I327" si="26">I263+D264-E264-F264-G264-H264</f>
        <v>669090.9999599997</v>
      </c>
      <c r="J264" s="725" t="s">
        <v>581</v>
      </c>
      <c r="K264" s="711">
        <f>+K263-I264</f>
        <v>1.1000400002812967</v>
      </c>
      <c r="P264" s="734"/>
    </row>
    <row r="265" spans="1:16" s="123" customFormat="1" ht="21" customHeight="1">
      <c r="A265" s="120">
        <v>44434</v>
      </c>
      <c r="B265" s="122"/>
      <c r="C265" s="748" t="s">
        <v>733</v>
      </c>
      <c r="D265" s="156">
        <v>50000</v>
      </c>
      <c r="E265" s="156"/>
      <c r="F265" s="117">
        <f t="shared" si="23"/>
        <v>0</v>
      </c>
      <c r="G265" s="722">
        <f t="shared" si="25"/>
        <v>300</v>
      </c>
      <c r="H265" s="118">
        <f t="shared" si="22"/>
        <v>0</v>
      </c>
      <c r="I265" s="119">
        <f t="shared" si="26"/>
        <v>718790.9999599997</v>
      </c>
      <c r="J265" s="747"/>
      <c r="K265" s="119"/>
      <c r="P265" s="734"/>
    </row>
    <row r="266" spans="1:16" s="123" customFormat="1" ht="21" customHeight="1">
      <c r="A266" s="120">
        <v>44434</v>
      </c>
      <c r="B266" s="122">
        <v>128</v>
      </c>
      <c r="C266" s="15" t="s">
        <v>734</v>
      </c>
      <c r="D266" s="121"/>
      <c r="E266" s="124">
        <v>400000</v>
      </c>
      <c r="F266" s="117">
        <f t="shared" si="23"/>
        <v>0</v>
      </c>
      <c r="G266" s="724">
        <f t="shared" si="25"/>
        <v>0</v>
      </c>
      <c r="H266" s="722">
        <f t="shared" si="22"/>
        <v>2400</v>
      </c>
      <c r="I266" s="119">
        <f t="shared" si="26"/>
        <v>316390.9999599997</v>
      </c>
      <c r="J266" s="747"/>
      <c r="K266" s="119"/>
      <c r="P266" s="734"/>
    </row>
    <row r="267" spans="1:16" s="123" customFormat="1" ht="21" customHeight="1">
      <c r="A267" s="120">
        <v>44434</v>
      </c>
      <c r="B267" s="122"/>
      <c r="C267" s="123" t="s">
        <v>603</v>
      </c>
      <c r="D267" s="156"/>
      <c r="E267" s="156">
        <f>175.57+36</f>
        <v>211.57</v>
      </c>
      <c r="F267" s="117">
        <f t="shared" si="23"/>
        <v>0</v>
      </c>
      <c r="G267" s="724">
        <f t="shared" si="25"/>
        <v>0</v>
      </c>
      <c r="H267" s="722">
        <f t="shared" si="22"/>
        <v>1.26942</v>
      </c>
      <c r="I267" s="119">
        <f t="shared" si="26"/>
        <v>316178.16053999966</v>
      </c>
      <c r="J267" s="747"/>
      <c r="K267" s="119"/>
      <c r="P267" s="734"/>
    </row>
    <row r="268" spans="1:16" s="123" customFormat="1" ht="21" customHeight="1">
      <c r="A268" s="120">
        <v>44434</v>
      </c>
      <c r="B268" s="122"/>
      <c r="C268" s="123" t="s">
        <v>735</v>
      </c>
      <c r="D268" s="506">
        <v>56000</v>
      </c>
      <c r="E268" s="156"/>
      <c r="F268" s="117">
        <f t="shared" si="23"/>
        <v>0</v>
      </c>
      <c r="G268" s="722">
        <f t="shared" si="25"/>
        <v>336</v>
      </c>
      <c r="H268" s="118">
        <f t="shared" si="22"/>
        <v>0</v>
      </c>
      <c r="I268" s="119">
        <f t="shared" si="26"/>
        <v>371842.16053999966</v>
      </c>
      <c r="J268" s="747"/>
      <c r="K268" s="119"/>
      <c r="P268" s="734"/>
    </row>
    <row r="269" spans="1:16" s="123" customFormat="1" ht="21" customHeight="1">
      <c r="A269" s="120">
        <v>44434</v>
      </c>
      <c r="B269" s="746"/>
      <c r="C269" s="721" t="s">
        <v>731</v>
      </c>
      <c r="D269" s="735">
        <v>250000</v>
      </c>
      <c r="E269" s="156"/>
      <c r="F269" s="117">
        <f t="shared" si="23"/>
        <v>0</v>
      </c>
      <c r="G269" s="722">
        <f t="shared" si="25"/>
        <v>1500</v>
      </c>
      <c r="H269" s="118">
        <f t="shared" si="22"/>
        <v>0</v>
      </c>
      <c r="I269" s="119">
        <f t="shared" si="26"/>
        <v>620342.1605399996</v>
      </c>
      <c r="J269" s="123" t="s">
        <v>736</v>
      </c>
      <c r="K269" s="119">
        <v>868842.39</v>
      </c>
      <c r="P269" s="734"/>
    </row>
    <row r="270" spans="1:16" s="123" customFormat="1" ht="21" customHeight="1">
      <c r="A270" s="120">
        <v>44434</v>
      </c>
      <c r="B270" s="746"/>
      <c r="C270" s="721" t="s">
        <v>731</v>
      </c>
      <c r="D270" s="735">
        <v>250000</v>
      </c>
      <c r="E270" s="156"/>
      <c r="F270" s="117">
        <f t="shared" si="23"/>
        <v>0</v>
      </c>
      <c r="G270" s="722">
        <f t="shared" si="25"/>
        <v>1500</v>
      </c>
      <c r="H270" s="118">
        <f t="shared" si="22"/>
        <v>0</v>
      </c>
      <c r="I270" s="119">
        <f t="shared" si="26"/>
        <v>868842.1605399996</v>
      </c>
      <c r="J270" s="725" t="s">
        <v>581</v>
      </c>
      <c r="K270" s="711">
        <f>+K269-I270</f>
        <v>0.22946000040974468</v>
      </c>
      <c r="P270" s="734"/>
    </row>
    <row r="271" spans="1:16" s="123" customFormat="1" ht="21" customHeight="1">
      <c r="A271" s="120">
        <v>44435</v>
      </c>
      <c r="B271" s="122">
        <v>132</v>
      </c>
      <c r="C271" s="15" t="s">
        <v>734</v>
      </c>
      <c r="D271" s="121"/>
      <c r="E271" s="124">
        <v>300000</v>
      </c>
      <c r="F271" s="117">
        <f t="shared" si="23"/>
        <v>0</v>
      </c>
      <c r="G271" s="118">
        <f t="shared" si="25"/>
        <v>0</v>
      </c>
      <c r="H271" s="722">
        <f t="shared" si="22"/>
        <v>1800</v>
      </c>
      <c r="I271" s="119">
        <f t="shared" si="26"/>
        <v>567042.1605399996</v>
      </c>
      <c r="J271" s="747"/>
      <c r="K271" s="119"/>
      <c r="P271" s="734"/>
    </row>
    <row r="272" spans="1:16" s="123" customFormat="1" ht="21" customHeight="1">
      <c r="A272" s="120">
        <v>44435</v>
      </c>
      <c r="B272" s="746"/>
      <c r="C272" s="721" t="s">
        <v>737</v>
      </c>
      <c r="D272" s="735">
        <v>370000</v>
      </c>
      <c r="E272" s="156"/>
      <c r="F272" s="117">
        <f t="shared" si="23"/>
        <v>0</v>
      </c>
      <c r="G272" s="722">
        <f t="shared" si="25"/>
        <v>2220</v>
      </c>
      <c r="H272" s="118">
        <f t="shared" si="22"/>
        <v>0</v>
      </c>
      <c r="I272" s="119">
        <f t="shared" si="26"/>
        <v>934822.1605399996</v>
      </c>
      <c r="J272" s="747"/>
      <c r="K272" s="119"/>
      <c r="P272" s="734"/>
    </row>
    <row r="273" spans="1:16" s="123" customFormat="1" ht="21" customHeight="1">
      <c r="A273" s="120">
        <v>44435</v>
      </c>
      <c r="B273" s="746"/>
      <c r="C273" s="721" t="s">
        <v>652</v>
      </c>
      <c r="D273" s="735">
        <v>30000</v>
      </c>
      <c r="E273" s="156"/>
      <c r="F273" s="117">
        <f t="shared" si="23"/>
        <v>0</v>
      </c>
      <c r="G273" s="722">
        <f t="shared" si="25"/>
        <v>180</v>
      </c>
      <c r="H273" s="118">
        <f t="shared" si="22"/>
        <v>0</v>
      </c>
      <c r="I273" s="119">
        <f t="shared" si="26"/>
        <v>964642.1605399996</v>
      </c>
      <c r="J273" s="123" t="s">
        <v>738</v>
      </c>
      <c r="K273" s="119">
        <v>905527.87</v>
      </c>
      <c r="P273" s="734"/>
    </row>
    <row r="274" spans="1:16" s="123" customFormat="1" ht="21" customHeight="1">
      <c r="A274" s="120">
        <v>44435</v>
      </c>
      <c r="B274" s="122"/>
      <c r="C274" s="123" t="s">
        <v>739</v>
      </c>
      <c r="D274" s="156"/>
      <c r="E274" s="506">
        <v>58761.95</v>
      </c>
      <c r="F274" s="117">
        <f t="shared" si="23"/>
        <v>0</v>
      </c>
      <c r="G274" s="118">
        <f t="shared" si="25"/>
        <v>0</v>
      </c>
      <c r="H274" s="722">
        <f t="shared" si="22"/>
        <v>352.57169999999996</v>
      </c>
      <c r="I274" s="119">
        <f t="shared" si="26"/>
        <v>905527.63883999968</v>
      </c>
      <c r="J274" s="725" t="s">
        <v>581</v>
      </c>
      <c r="K274" s="711">
        <f>+K273-I274</f>
        <v>0.23116000031586736</v>
      </c>
      <c r="P274" s="734"/>
    </row>
    <row r="275" spans="1:16" s="123" customFormat="1" ht="21" customHeight="1">
      <c r="A275" s="120">
        <v>44438</v>
      </c>
      <c r="B275" s="122">
        <v>129</v>
      </c>
      <c r="C275" s="123" t="s">
        <v>734</v>
      </c>
      <c r="D275" s="121"/>
      <c r="E275" s="124">
        <v>400000</v>
      </c>
      <c r="F275" s="117">
        <f t="shared" si="23"/>
        <v>0</v>
      </c>
      <c r="G275" s="118">
        <f t="shared" si="25"/>
        <v>0</v>
      </c>
      <c r="H275" s="722">
        <f t="shared" si="22"/>
        <v>2400</v>
      </c>
      <c r="I275" s="119">
        <f t="shared" si="26"/>
        <v>503127.63883999968</v>
      </c>
      <c r="J275" s="747"/>
      <c r="K275" s="119"/>
      <c r="P275" s="734"/>
    </row>
    <row r="276" spans="1:16" s="123" customFormat="1" ht="21" customHeight="1">
      <c r="A276" s="120">
        <v>44438</v>
      </c>
      <c r="B276" s="122"/>
      <c r="C276" s="123" t="s">
        <v>603</v>
      </c>
      <c r="D276" s="156"/>
      <c r="E276" s="156">
        <f>2030+30.45+426.3+60.9+45+9.45</f>
        <v>2602.1</v>
      </c>
      <c r="F276" s="117">
        <f t="shared" si="23"/>
        <v>0</v>
      </c>
      <c r="G276" s="118">
        <f t="shared" si="25"/>
        <v>0</v>
      </c>
      <c r="H276" s="722">
        <f t="shared" si="22"/>
        <v>15.6126</v>
      </c>
      <c r="I276" s="119">
        <f t="shared" si="26"/>
        <v>500509.92623999971</v>
      </c>
      <c r="J276" s="123" t="s">
        <v>740</v>
      </c>
      <c r="K276" s="119">
        <v>684400.15</v>
      </c>
      <c r="P276" s="734"/>
    </row>
    <row r="277" spans="1:16" s="123" customFormat="1" ht="21" customHeight="1">
      <c r="A277" s="120">
        <v>44438</v>
      </c>
      <c r="B277" s="746"/>
      <c r="C277" s="721" t="s">
        <v>737</v>
      </c>
      <c r="D277" s="735">
        <v>185000</v>
      </c>
      <c r="E277" s="156"/>
      <c r="F277" s="117">
        <f t="shared" si="23"/>
        <v>0</v>
      </c>
      <c r="G277" s="722">
        <f t="shared" si="25"/>
        <v>1110</v>
      </c>
      <c r="H277" s="118">
        <f t="shared" si="22"/>
        <v>0</v>
      </c>
      <c r="I277" s="119">
        <f t="shared" si="26"/>
        <v>684399.92623999971</v>
      </c>
      <c r="J277" s="725" t="s">
        <v>581</v>
      </c>
      <c r="K277" s="711">
        <f>+K276-I277</f>
        <v>0.22376000031363219</v>
      </c>
      <c r="P277" s="734"/>
    </row>
    <row r="278" spans="1:16" s="123" customFormat="1" ht="21" customHeight="1">
      <c r="A278" s="120">
        <v>44439</v>
      </c>
      <c r="B278" s="122">
        <v>207</v>
      </c>
      <c r="C278" s="15" t="s">
        <v>741</v>
      </c>
      <c r="D278" s="734"/>
      <c r="E278" s="156">
        <v>184361.68</v>
      </c>
      <c r="F278" s="117">
        <f t="shared" si="23"/>
        <v>0</v>
      </c>
      <c r="G278" s="118">
        <f t="shared" si="25"/>
        <v>0</v>
      </c>
      <c r="H278" s="722">
        <f t="shared" si="22"/>
        <v>1106.1700799999999</v>
      </c>
      <c r="I278" s="119">
        <f t="shared" si="26"/>
        <v>498932.07615999971</v>
      </c>
      <c r="J278" s="747"/>
      <c r="K278" s="119"/>
      <c r="P278" s="734"/>
    </row>
    <row r="279" spans="1:16" s="123" customFormat="1" ht="21" customHeight="1">
      <c r="A279" s="120">
        <v>44439</v>
      </c>
      <c r="B279" s="123">
        <v>208</v>
      </c>
      <c r="C279" s="15" t="s">
        <v>741</v>
      </c>
      <c r="E279" s="156">
        <v>184361.68</v>
      </c>
      <c r="F279" s="117">
        <f t="shared" si="23"/>
        <v>0</v>
      </c>
      <c r="G279" s="118">
        <f t="shared" si="25"/>
        <v>0</v>
      </c>
      <c r="H279" s="722">
        <f t="shared" si="22"/>
        <v>1106.1700799999999</v>
      </c>
      <c r="I279" s="119">
        <f t="shared" si="26"/>
        <v>313464.2260799997</v>
      </c>
      <c r="J279" s="123" t="s">
        <v>742</v>
      </c>
      <c r="K279" s="119">
        <v>112264.45</v>
      </c>
      <c r="P279" s="734"/>
    </row>
    <row r="280" spans="1:16" s="123" customFormat="1" ht="21" customHeight="1">
      <c r="A280" s="726">
        <v>44439</v>
      </c>
      <c r="B280" s="745">
        <v>134</v>
      </c>
      <c r="C280" s="298" t="s">
        <v>734</v>
      </c>
      <c r="D280" s="749"/>
      <c r="E280" s="364">
        <v>200000</v>
      </c>
      <c r="F280" s="730">
        <f t="shared" si="23"/>
        <v>0</v>
      </c>
      <c r="G280" s="741">
        <f t="shared" si="25"/>
        <v>0</v>
      </c>
      <c r="H280" s="731">
        <f t="shared" si="22"/>
        <v>1200</v>
      </c>
      <c r="I280" s="732">
        <f t="shared" si="26"/>
        <v>112264.2260799997</v>
      </c>
      <c r="J280" s="725" t="s">
        <v>581</v>
      </c>
      <c r="K280" s="711">
        <f>+K279-I280</f>
        <v>0.22392000029503834</v>
      </c>
      <c r="P280" s="734"/>
    </row>
    <row r="281" spans="1:16" s="123" customFormat="1" ht="21" customHeight="1">
      <c r="A281" s="120">
        <v>44442</v>
      </c>
      <c r="B281" s="146" t="s">
        <v>718</v>
      </c>
      <c r="C281" s="133" t="s">
        <v>719</v>
      </c>
      <c r="D281" s="734"/>
      <c r="E281" s="156">
        <v>63215.55</v>
      </c>
      <c r="F281" s="117">
        <f t="shared" si="23"/>
        <v>0</v>
      </c>
      <c r="G281" s="118">
        <f t="shared" si="25"/>
        <v>0</v>
      </c>
      <c r="H281" s="722">
        <f t="shared" si="22"/>
        <v>379.29330000000004</v>
      </c>
      <c r="I281" s="119">
        <f t="shared" si="26"/>
        <v>48669.382779999702</v>
      </c>
      <c r="J281" s="747"/>
      <c r="K281" s="506"/>
      <c r="P281" s="734"/>
    </row>
    <row r="282" spans="1:16" s="123" customFormat="1" ht="21" customHeight="1">
      <c r="A282" s="120">
        <v>44449</v>
      </c>
      <c r="B282" s="746"/>
      <c r="C282" s="721" t="s">
        <v>652</v>
      </c>
      <c r="D282" s="735">
        <v>700000</v>
      </c>
      <c r="E282" s="124"/>
      <c r="F282" s="117">
        <f t="shared" si="23"/>
        <v>0</v>
      </c>
      <c r="G282" s="722">
        <f t="shared" si="25"/>
        <v>4200</v>
      </c>
      <c r="H282" s="118">
        <f t="shared" si="22"/>
        <v>0</v>
      </c>
      <c r="I282" s="119">
        <f t="shared" si="26"/>
        <v>744469.38277999975</v>
      </c>
      <c r="J282" s="747"/>
      <c r="K282" s="119"/>
      <c r="P282" s="734"/>
    </row>
    <row r="283" spans="1:16" s="123" customFormat="1" ht="21" customHeight="1">
      <c r="A283" s="120">
        <v>44452</v>
      </c>
      <c r="B283" s="122"/>
      <c r="C283" s="15" t="s">
        <v>743</v>
      </c>
      <c r="D283" s="124">
        <v>56790.16</v>
      </c>
      <c r="E283" s="124"/>
      <c r="F283" s="117">
        <f t="shared" si="23"/>
        <v>0</v>
      </c>
      <c r="G283" s="722">
        <f t="shared" si="25"/>
        <v>340.74096000000003</v>
      </c>
      <c r="H283" s="118">
        <f t="shared" si="22"/>
        <v>0</v>
      </c>
      <c r="I283" s="119">
        <f t="shared" si="26"/>
        <v>800918.80181999982</v>
      </c>
      <c r="J283" s="747"/>
      <c r="K283" s="119"/>
      <c r="P283" s="734"/>
    </row>
    <row r="284" spans="1:16" s="123" customFormat="1" ht="21" customHeight="1">
      <c r="A284" s="120">
        <v>44452</v>
      </c>
      <c r="B284" s="122"/>
      <c r="C284" s="123" t="s">
        <v>744</v>
      </c>
      <c r="D284" s="124">
        <v>115865.21</v>
      </c>
      <c r="E284" s="124"/>
      <c r="F284" s="117">
        <f t="shared" si="23"/>
        <v>0</v>
      </c>
      <c r="G284" s="118">
        <f>D284*0.006*0</f>
        <v>0</v>
      </c>
      <c r="H284" s="118">
        <f t="shared" si="22"/>
        <v>0</v>
      </c>
      <c r="I284" s="119">
        <f t="shared" si="26"/>
        <v>916784.01181999978</v>
      </c>
      <c r="J284" s="123" t="s">
        <v>745</v>
      </c>
      <c r="K284" s="119">
        <v>1294504.79</v>
      </c>
      <c r="P284" s="734"/>
    </row>
    <row r="285" spans="1:16" s="123" customFormat="1" ht="21" customHeight="1">
      <c r="A285" s="120">
        <v>44452</v>
      </c>
      <c r="B285" s="122"/>
      <c r="C285" s="15" t="s">
        <v>513</v>
      </c>
      <c r="D285" s="124">
        <v>380000</v>
      </c>
      <c r="E285" s="124"/>
      <c r="F285" s="117">
        <f t="shared" si="23"/>
        <v>0</v>
      </c>
      <c r="G285" s="722">
        <f t="shared" si="25"/>
        <v>2280</v>
      </c>
      <c r="H285" s="118">
        <f t="shared" si="22"/>
        <v>0</v>
      </c>
      <c r="I285" s="119">
        <f t="shared" si="26"/>
        <v>1294504.0118199997</v>
      </c>
      <c r="J285" s="725" t="s">
        <v>581</v>
      </c>
      <c r="K285" s="711">
        <f>+K284-I285</f>
        <v>0.77818000037223101</v>
      </c>
      <c r="P285" s="734"/>
    </row>
    <row r="286" spans="1:16" s="123" customFormat="1" ht="21" customHeight="1">
      <c r="A286" s="120">
        <v>44453</v>
      </c>
      <c r="B286" s="122">
        <v>209</v>
      </c>
      <c r="C286" s="15" t="s">
        <v>746</v>
      </c>
      <c r="D286" s="124"/>
      <c r="E286" s="124">
        <v>44246.805</v>
      </c>
      <c r="F286" s="117">
        <f t="shared" si="23"/>
        <v>0</v>
      </c>
      <c r="G286" s="118">
        <f t="shared" si="25"/>
        <v>0</v>
      </c>
      <c r="H286" s="722">
        <f t="shared" si="22"/>
        <v>265.48083000000003</v>
      </c>
      <c r="I286" s="119">
        <f t="shared" si="26"/>
        <v>1249991.7259899997</v>
      </c>
      <c r="J286" s="123" t="s">
        <v>747</v>
      </c>
      <c r="K286" s="119">
        <v>1274842.5</v>
      </c>
      <c r="P286" s="734"/>
    </row>
    <row r="287" spans="1:16" s="123" customFormat="1" ht="21" customHeight="1">
      <c r="A287" s="120">
        <v>44453</v>
      </c>
      <c r="B287" s="122"/>
      <c r="C287" s="15" t="s">
        <v>513</v>
      </c>
      <c r="D287" s="124">
        <v>25000</v>
      </c>
      <c r="E287" s="124"/>
      <c r="F287" s="117">
        <f t="shared" si="23"/>
        <v>0</v>
      </c>
      <c r="G287" s="722">
        <f t="shared" si="25"/>
        <v>150</v>
      </c>
      <c r="H287" s="118">
        <f t="shared" si="22"/>
        <v>0</v>
      </c>
      <c r="I287" s="119">
        <f t="shared" si="26"/>
        <v>1274841.7259899997</v>
      </c>
      <c r="J287" s="725" t="s">
        <v>581</v>
      </c>
      <c r="K287" s="711">
        <f>+K286-I287</f>
        <v>0.77401000028476119</v>
      </c>
      <c r="P287" s="734"/>
    </row>
    <row r="288" spans="1:16" s="123" customFormat="1" ht="21" customHeight="1">
      <c r="A288" s="120">
        <v>44454</v>
      </c>
      <c r="B288" s="122"/>
      <c r="C288" s="15" t="s">
        <v>748</v>
      </c>
      <c r="D288" s="121"/>
      <c r="E288" s="124">
        <v>8733.94</v>
      </c>
      <c r="F288" s="117">
        <f t="shared" si="23"/>
        <v>0</v>
      </c>
      <c r="G288" s="118">
        <f t="shared" si="25"/>
        <v>0</v>
      </c>
      <c r="H288" s="722">
        <f t="shared" si="22"/>
        <v>52.403640000000003</v>
      </c>
      <c r="I288" s="119">
        <f t="shared" si="26"/>
        <v>1266055.3823499999</v>
      </c>
      <c r="J288" s="747"/>
      <c r="K288" s="119"/>
      <c r="P288" s="734"/>
    </row>
    <row r="289" spans="1:16" s="123" customFormat="1" ht="21" customHeight="1">
      <c r="A289" s="120">
        <v>44454</v>
      </c>
      <c r="B289" s="122"/>
      <c r="C289" s="15" t="s">
        <v>749</v>
      </c>
      <c r="E289" s="156">
        <v>11222.74</v>
      </c>
      <c r="F289" s="117">
        <f t="shared" si="23"/>
        <v>0</v>
      </c>
      <c r="G289" s="118">
        <f t="shared" si="25"/>
        <v>0</v>
      </c>
      <c r="H289" s="722">
        <f t="shared" si="22"/>
        <v>67.336439999999996</v>
      </c>
      <c r="I289" s="119">
        <f t="shared" si="26"/>
        <v>1254765.3059099999</v>
      </c>
      <c r="J289" s="747"/>
      <c r="K289" s="119"/>
      <c r="P289" s="734"/>
    </row>
    <row r="290" spans="1:16" s="123" customFormat="1" ht="21" customHeight="1">
      <c r="A290" s="120">
        <v>44454</v>
      </c>
      <c r="B290" s="122"/>
      <c r="C290" s="15" t="s">
        <v>750</v>
      </c>
      <c r="E290" s="156">
        <v>584.47</v>
      </c>
      <c r="F290" s="117">
        <f t="shared" si="23"/>
        <v>0</v>
      </c>
      <c r="G290" s="118">
        <f t="shared" si="25"/>
        <v>0</v>
      </c>
      <c r="H290" s="722">
        <f t="shared" si="22"/>
        <v>3.5068200000000003</v>
      </c>
      <c r="I290" s="119">
        <f t="shared" si="26"/>
        <v>1254177.3290899999</v>
      </c>
      <c r="J290" s="747"/>
      <c r="K290" s="119"/>
      <c r="P290" s="734"/>
    </row>
    <row r="291" spans="1:16" s="123" customFormat="1" ht="21" customHeight="1">
      <c r="A291" s="120">
        <v>44456</v>
      </c>
      <c r="B291" s="746"/>
      <c r="C291" s="721" t="s">
        <v>737</v>
      </c>
      <c r="D291" s="735">
        <v>90000</v>
      </c>
      <c r="E291" s="124"/>
      <c r="F291" s="117">
        <f t="shared" si="23"/>
        <v>0</v>
      </c>
      <c r="G291" s="722">
        <f t="shared" si="25"/>
        <v>540</v>
      </c>
      <c r="H291" s="118">
        <f t="shared" si="22"/>
        <v>0</v>
      </c>
      <c r="I291" s="119">
        <f t="shared" si="26"/>
        <v>1343637.3290899999</v>
      </c>
      <c r="J291" s="123" t="s">
        <v>751</v>
      </c>
      <c r="K291" s="119">
        <v>1460741.24</v>
      </c>
      <c r="P291" s="734"/>
    </row>
    <row r="292" spans="1:16" s="123" customFormat="1" ht="21" customHeight="1">
      <c r="A292" s="120">
        <v>44454</v>
      </c>
      <c r="B292" s="122"/>
      <c r="C292" s="15" t="s">
        <v>752</v>
      </c>
      <c r="D292" s="156">
        <v>117810</v>
      </c>
      <c r="E292" s="124"/>
      <c r="F292" s="117">
        <f t="shared" si="23"/>
        <v>0</v>
      </c>
      <c r="G292" s="722">
        <f t="shared" si="25"/>
        <v>706.86</v>
      </c>
      <c r="H292" s="118">
        <f t="shared" si="22"/>
        <v>0</v>
      </c>
      <c r="I292" s="119">
        <f t="shared" si="26"/>
        <v>1460740.4690899998</v>
      </c>
      <c r="J292" s="725" t="s">
        <v>581</v>
      </c>
      <c r="K292" s="711">
        <f>+K291-I292</f>
        <v>0.77091000019572675</v>
      </c>
      <c r="P292" s="734"/>
    </row>
    <row r="293" spans="1:16" s="123" customFormat="1" ht="21" customHeight="1">
      <c r="A293" s="120">
        <v>44459</v>
      </c>
      <c r="B293" s="746"/>
      <c r="C293" s="721" t="s">
        <v>652</v>
      </c>
      <c r="D293" s="735">
        <v>100000</v>
      </c>
      <c r="E293" s="124"/>
      <c r="F293" s="117">
        <f t="shared" si="23"/>
        <v>0</v>
      </c>
      <c r="G293" s="722">
        <f t="shared" si="25"/>
        <v>600</v>
      </c>
      <c r="H293" s="118">
        <f t="shared" si="22"/>
        <v>0</v>
      </c>
      <c r="I293" s="119">
        <f t="shared" si="26"/>
        <v>1560140.4690899998</v>
      </c>
      <c r="J293" s="747"/>
      <c r="K293" s="119"/>
      <c r="P293" s="734"/>
    </row>
    <row r="294" spans="1:16" s="123" customFormat="1" ht="21" customHeight="1">
      <c r="A294" s="120">
        <v>44459</v>
      </c>
      <c r="B294" s="746"/>
      <c r="C294" s="721" t="s">
        <v>652</v>
      </c>
      <c r="D294" s="735">
        <v>400000</v>
      </c>
      <c r="E294" s="124"/>
      <c r="F294" s="117">
        <f t="shared" si="23"/>
        <v>0</v>
      </c>
      <c r="G294" s="722">
        <f t="shared" si="25"/>
        <v>2400</v>
      </c>
      <c r="H294" s="118">
        <f t="shared" si="22"/>
        <v>0</v>
      </c>
      <c r="I294" s="119">
        <f t="shared" si="26"/>
        <v>1957740.4690899998</v>
      </c>
      <c r="J294" s="747"/>
      <c r="K294" s="119"/>
      <c r="P294" s="734"/>
    </row>
    <row r="295" spans="1:16" s="123" customFormat="1" ht="21" customHeight="1">
      <c r="A295" s="120">
        <v>44459</v>
      </c>
      <c r="B295" s="122">
        <v>206</v>
      </c>
      <c r="C295" s="15" t="s">
        <v>753</v>
      </c>
      <c r="D295" s="121"/>
      <c r="E295" s="124">
        <v>81206.350000000006</v>
      </c>
      <c r="F295" s="117">
        <f t="shared" si="23"/>
        <v>0</v>
      </c>
      <c r="G295" s="118">
        <f t="shared" si="25"/>
        <v>0</v>
      </c>
      <c r="H295" s="722">
        <f t="shared" si="22"/>
        <v>487.23810000000003</v>
      </c>
      <c r="I295" s="119">
        <f t="shared" si="26"/>
        <v>1876046.8809899997</v>
      </c>
      <c r="J295" s="747"/>
      <c r="K295" s="119"/>
      <c r="P295" s="734"/>
    </row>
    <row r="296" spans="1:16" s="123" customFormat="1" ht="21" customHeight="1">
      <c r="A296" s="120">
        <v>44459</v>
      </c>
      <c r="B296" s="122">
        <v>130</v>
      </c>
      <c r="C296" s="15" t="s">
        <v>734</v>
      </c>
      <c r="D296" s="121"/>
      <c r="E296" s="124">
        <v>300000</v>
      </c>
      <c r="F296" s="117">
        <f t="shared" si="23"/>
        <v>0</v>
      </c>
      <c r="G296" s="118">
        <f t="shared" si="25"/>
        <v>0</v>
      </c>
      <c r="H296" s="722">
        <f t="shared" si="22"/>
        <v>1800</v>
      </c>
      <c r="I296" s="119">
        <f t="shared" si="26"/>
        <v>1574246.8809899997</v>
      </c>
      <c r="J296" s="747"/>
      <c r="K296" s="119"/>
      <c r="P296" s="734"/>
    </row>
    <row r="297" spans="1:16" s="123" customFormat="1" ht="21" customHeight="1">
      <c r="A297" s="120">
        <v>44459</v>
      </c>
      <c r="B297" s="122">
        <v>131</v>
      </c>
      <c r="C297" s="15" t="s">
        <v>734</v>
      </c>
      <c r="D297" s="121"/>
      <c r="E297" s="124">
        <v>400000</v>
      </c>
      <c r="F297" s="117">
        <f t="shared" si="23"/>
        <v>0</v>
      </c>
      <c r="G297" s="118">
        <f t="shared" si="25"/>
        <v>0</v>
      </c>
      <c r="H297" s="722">
        <f t="shared" si="22"/>
        <v>2400</v>
      </c>
      <c r="I297" s="119">
        <f t="shared" si="26"/>
        <v>1171846.8809899997</v>
      </c>
      <c r="J297" s="747"/>
      <c r="K297" s="119"/>
      <c r="P297" s="734"/>
    </row>
    <row r="298" spans="1:16" s="123" customFormat="1" ht="21" customHeight="1">
      <c r="A298" s="120">
        <v>44459</v>
      </c>
      <c r="B298" s="122">
        <v>137</v>
      </c>
      <c r="C298" s="15" t="s">
        <v>734</v>
      </c>
      <c r="D298" s="121"/>
      <c r="E298" s="124">
        <v>300000</v>
      </c>
      <c r="F298" s="117">
        <f t="shared" si="23"/>
        <v>0</v>
      </c>
      <c r="G298" s="118">
        <f t="shared" si="25"/>
        <v>0</v>
      </c>
      <c r="H298" s="722">
        <f t="shared" si="22"/>
        <v>1800</v>
      </c>
      <c r="I298" s="119">
        <f t="shared" si="26"/>
        <v>870046.88098999974</v>
      </c>
      <c r="J298" s="123" t="s">
        <v>751</v>
      </c>
      <c r="K298" s="119">
        <v>676636.1</v>
      </c>
      <c r="P298" s="734"/>
    </row>
    <row r="299" spans="1:16" s="123" customFormat="1" ht="21" customHeight="1">
      <c r="A299" s="120">
        <v>44459</v>
      </c>
      <c r="B299" s="122">
        <v>48</v>
      </c>
      <c r="C299" s="15" t="s">
        <v>754</v>
      </c>
      <c r="D299" s="134"/>
      <c r="E299" s="156">
        <v>192258</v>
      </c>
      <c r="F299" s="117">
        <f t="shared" si="23"/>
        <v>0</v>
      </c>
      <c r="G299" s="118">
        <f t="shared" si="25"/>
        <v>0</v>
      </c>
      <c r="H299" s="722">
        <f t="shared" si="22"/>
        <v>1153.548</v>
      </c>
      <c r="I299" s="119">
        <f t="shared" si="26"/>
        <v>676635.33298999979</v>
      </c>
      <c r="J299" s="725" t="s">
        <v>581</v>
      </c>
      <c r="K299" s="711">
        <f>+K298-I299</f>
        <v>0.76701000018510967</v>
      </c>
      <c r="P299" s="734"/>
    </row>
    <row r="300" spans="1:16" s="123" customFormat="1" ht="21" customHeight="1">
      <c r="A300" s="120">
        <v>44460</v>
      </c>
      <c r="B300" s="746"/>
      <c r="C300" s="721" t="s">
        <v>737</v>
      </c>
      <c r="D300" s="735">
        <v>80000</v>
      </c>
      <c r="E300" s="124"/>
      <c r="F300" s="117">
        <f t="shared" si="23"/>
        <v>0</v>
      </c>
      <c r="G300" s="722">
        <f t="shared" si="25"/>
        <v>480</v>
      </c>
      <c r="H300" s="118">
        <f t="shared" si="22"/>
        <v>0</v>
      </c>
      <c r="I300" s="119">
        <f t="shared" si="26"/>
        <v>756155.33298999979</v>
      </c>
      <c r="J300" s="747"/>
      <c r="K300" s="119"/>
      <c r="P300" s="734"/>
    </row>
    <row r="301" spans="1:16" s="123" customFormat="1" ht="21" customHeight="1">
      <c r="A301" s="120">
        <v>44460</v>
      </c>
      <c r="B301" s="122"/>
      <c r="C301" s="15" t="s">
        <v>755</v>
      </c>
      <c r="D301" s="156">
        <v>223100</v>
      </c>
      <c r="E301" s="124"/>
      <c r="F301" s="117">
        <f t="shared" si="23"/>
        <v>0</v>
      </c>
      <c r="G301" s="722">
        <f t="shared" si="25"/>
        <v>1338.6000000000001</v>
      </c>
      <c r="H301" s="118">
        <f t="shared" si="22"/>
        <v>0</v>
      </c>
      <c r="I301" s="119">
        <f t="shared" si="26"/>
        <v>977916.73298999981</v>
      </c>
      <c r="J301" s="747"/>
      <c r="K301" s="119"/>
      <c r="P301" s="734"/>
    </row>
    <row r="302" spans="1:16" s="123" customFormat="1" ht="21" customHeight="1">
      <c r="A302" s="120">
        <v>44461</v>
      </c>
      <c r="B302" s="122">
        <v>140</v>
      </c>
      <c r="C302" s="15" t="s">
        <v>756</v>
      </c>
      <c r="D302" s="121"/>
      <c r="E302" s="124">
        <v>400000</v>
      </c>
      <c r="F302" s="117">
        <f t="shared" si="23"/>
        <v>0</v>
      </c>
      <c r="G302" s="118">
        <f t="shared" si="25"/>
        <v>0</v>
      </c>
      <c r="H302" s="722">
        <f t="shared" si="22"/>
        <v>2400</v>
      </c>
      <c r="I302" s="119">
        <f t="shared" si="26"/>
        <v>575516.73298999981</v>
      </c>
      <c r="J302" s="747"/>
      <c r="K302" s="119"/>
      <c r="P302" s="734"/>
    </row>
    <row r="303" spans="1:16" s="123" customFormat="1" ht="21" customHeight="1">
      <c r="A303" s="120">
        <v>44461</v>
      </c>
      <c r="B303" s="122">
        <v>145</v>
      </c>
      <c r="C303" s="15" t="s">
        <v>756</v>
      </c>
      <c r="D303" s="121"/>
      <c r="E303" s="124">
        <v>300000</v>
      </c>
      <c r="F303" s="117">
        <f t="shared" si="23"/>
        <v>0</v>
      </c>
      <c r="G303" s="118">
        <f t="shared" si="25"/>
        <v>0</v>
      </c>
      <c r="H303" s="722">
        <f t="shared" si="22"/>
        <v>1800</v>
      </c>
      <c r="I303" s="119">
        <f t="shared" si="26"/>
        <v>273716.73298999981</v>
      </c>
      <c r="J303" s="123" t="s">
        <v>757</v>
      </c>
      <c r="K303" s="119">
        <v>691197.5</v>
      </c>
      <c r="P303" s="734"/>
    </row>
    <row r="304" spans="1:16" s="123" customFormat="1" ht="21" customHeight="1">
      <c r="A304" s="120">
        <v>44461</v>
      </c>
      <c r="B304" s="746"/>
      <c r="C304" s="721" t="s">
        <v>737</v>
      </c>
      <c r="D304" s="735">
        <v>420000</v>
      </c>
      <c r="E304" s="124"/>
      <c r="F304" s="117">
        <f t="shared" si="23"/>
        <v>0</v>
      </c>
      <c r="G304" s="722">
        <f t="shared" si="25"/>
        <v>2520</v>
      </c>
      <c r="H304" s="118">
        <f t="shared" si="22"/>
        <v>0</v>
      </c>
      <c r="I304" s="119">
        <f t="shared" si="26"/>
        <v>691196.73298999981</v>
      </c>
      <c r="J304" s="725" t="s">
        <v>581</v>
      </c>
      <c r="K304" s="711">
        <f>+K303-I304</f>
        <v>0.76701000018510967</v>
      </c>
      <c r="P304" s="734"/>
    </row>
    <row r="305" spans="1:16" s="123" customFormat="1" ht="21" customHeight="1">
      <c r="A305" s="120">
        <v>44462</v>
      </c>
      <c r="B305" s="122"/>
      <c r="C305" s="15" t="s">
        <v>513</v>
      </c>
      <c r="D305" s="156">
        <v>50000</v>
      </c>
      <c r="E305" s="124"/>
      <c r="F305" s="117">
        <f t="shared" si="23"/>
        <v>0</v>
      </c>
      <c r="G305" s="722">
        <f t="shared" si="25"/>
        <v>300</v>
      </c>
      <c r="H305" s="118">
        <f t="shared" si="22"/>
        <v>0</v>
      </c>
      <c r="I305" s="119">
        <f t="shared" si="26"/>
        <v>740896.73298999981</v>
      </c>
      <c r="J305" s="747"/>
      <c r="K305" s="119"/>
      <c r="P305" s="734"/>
    </row>
    <row r="306" spans="1:16" s="123" customFormat="1" ht="21" customHeight="1">
      <c r="A306" s="120">
        <v>44462</v>
      </c>
      <c r="B306" s="122"/>
      <c r="C306" s="123" t="s">
        <v>727</v>
      </c>
      <c r="D306" s="156"/>
      <c r="E306" s="156">
        <v>196981.57</v>
      </c>
      <c r="F306" s="117">
        <f t="shared" si="23"/>
        <v>0</v>
      </c>
      <c r="G306" s="118">
        <f t="shared" si="25"/>
        <v>0</v>
      </c>
      <c r="H306" s="722">
        <f t="shared" si="22"/>
        <v>1181.88942</v>
      </c>
      <c r="I306" s="119">
        <f t="shared" si="26"/>
        <v>542733.27356999984</v>
      </c>
      <c r="J306" s="747"/>
      <c r="K306" s="119"/>
      <c r="P306" s="734"/>
    </row>
    <row r="307" spans="1:16" s="123" customFormat="1" ht="21" customHeight="1">
      <c r="A307" s="120">
        <v>44462</v>
      </c>
      <c r="B307" s="122"/>
      <c r="C307" s="123" t="s">
        <v>758</v>
      </c>
      <c r="E307" s="156">
        <v>117810</v>
      </c>
      <c r="F307" s="117">
        <f t="shared" si="23"/>
        <v>0</v>
      </c>
      <c r="G307" s="118">
        <f t="shared" si="25"/>
        <v>0</v>
      </c>
      <c r="H307" s="722">
        <f t="shared" si="22"/>
        <v>706.86</v>
      </c>
      <c r="I307" s="119">
        <f t="shared" si="26"/>
        <v>424216.41356999986</v>
      </c>
      <c r="J307" s="747"/>
      <c r="K307" s="119"/>
      <c r="P307" s="734"/>
    </row>
    <row r="308" spans="1:16" s="123" customFormat="1" ht="21" customHeight="1">
      <c r="A308" s="120">
        <v>44468</v>
      </c>
      <c r="B308" s="122"/>
      <c r="C308" s="15" t="s">
        <v>603</v>
      </c>
      <c r="D308" s="121"/>
      <c r="E308" s="124">
        <f>2030+30.45+426.3+60.9+45+9.45</f>
        <v>2602.1</v>
      </c>
      <c r="F308" s="117">
        <f t="shared" si="23"/>
        <v>0</v>
      </c>
      <c r="G308" s="118">
        <f t="shared" si="25"/>
        <v>0</v>
      </c>
      <c r="H308" s="722">
        <f t="shared" ref="H308" si="27">E308*0.006+F308*0.006</f>
        <v>15.6126</v>
      </c>
      <c r="I308" s="119">
        <f t="shared" si="26"/>
        <v>421598.70096999989</v>
      </c>
      <c r="J308" s="747"/>
      <c r="K308" s="750"/>
      <c r="P308" s="734"/>
    </row>
    <row r="309" spans="1:16" s="123" customFormat="1" ht="21" customHeight="1">
      <c r="A309" s="120">
        <v>44468</v>
      </c>
      <c r="B309" s="122"/>
      <c r="C309" s="15" t="s">
        <v>759</v>
      </c>
      <c r="D309" s="124">
        <v>50000</v>
      </c>
      <c r="E309" s="124"/>
      <c r="F309" s="117">
        <f t="shared" si="23"/>
        <v>0</v>
      </c>
      <c r="G309" s="722">
        <f t="shared" si="25"/>
        <v>300</v>
      </c>
      <c r="H309" s="118">
        <v>-0.76</v>
      </c>
      <c r="I309" s="119">
        <f t="shared" si="26"/>
        <v>471299.4609699999</v>
      </c>
      <c r="J309" s="123" t="s">
        <v>760</v>
      </c>
      <c r="K309" s="119">
        <v>739679.46</v>
      </c>
      <c r="P309" s="734"/>
    </row>
    <row r="310" spans="1:16" s="123" customFormat="1" ht="21" customHeight="1">
      <c r="A310" s="726">
        <v>44469</v>
      </c>
      <c r="B310" s="751"/>
      <c r="C310" s="752" t="s">
        <v>731</v>
      </c>
      <c r="D310" s="730">
        <v>270000</v>
      </c>
      <c r="E310" s="364"/>
      <c r="F310" s="730">
        <f t="shared" ref="F310:F373" si="28">D310*0%</f>
        <v>0</v>
      </c>
      <c r="G310" s="731">
        <f t="shared" si="25"/>
        <v>1620</v>
      </c>
      <c r="H310" s="741">
        <f t="shared" ref="H310:H373" si="29">E310*0.006+F310*0.006</f>
        <v>0</v>
      </c>
      <c r="I310" s="732">
        <f t="shared" si="26"/>
        <v>739679.4609699999</v>
      </c>
      <c r="J310" s="725" t="s">
        <v>581</v>
      </c>
      <c r="K310" s="711">
        <f>+K309-I310</f>
        <v>-9.6999993547797203E-4</v>
      </c>
      <c r="P310" s="734"/>
    </row>
    <row r="311" spans="1:16" s="123" customFormat="1" ht="21" customHeight="1">
      <c r="A311" s="120">
        <v>44470</v>
      </c>
      <c r="B311" s="148">
        <v>38</v>
      </c>
      <c r="C311" s="15" t="s">
        <v>761</v>
      </c>
      <c r="E311" s="156">
        <v>311613</v>
      </c>
      <c r="F311" s="117">
        <f t="shared" si="28"/>
        <v>0</v>
      </c>
      <c r="G311" s="118">
        <f t="shared" si="25"/>
        <v>0</v>
      </c>
      <c r="H311" s="722">
        <f t="shared" si="29"/>
        <v>1869.6780000000001</v>
      </c>
      <c r="I311" s="119">
        <f t="shared" si="26"/>
        <v>426196.78296999988</v>
      </c>
      <c r="J311" s="747"/>
      <c r="K311" s="119"/>
      <c r="P311" s="734"/>
    </row>
    <row r="312" spans="1:16" s="123" customFormat="1" ht="21" customHeight="1">
      <c r="A312" s="120">
        <v>44475</v>
      </c>
      <c r="C312" s="133" t="s">
        <v>762</v>
      </c>
      <c r="D312" s="150"/>
      <c r="E312" s="124">
        <v>13476.02</v>
      </c>
      <c r="F312" s="117">
        <f t="shared" si="28"/>
        <v>0</v>
      </c>
      <c r="G312" s="118">
        <f t="shared" si="25"/>
        <v>0</v>
      </c>
      <c r="H312" s="722">
        <f t="shared" si="29"/>
        <v>80.856120000000004</v>
      </c>
      <c r="I312" s="119">
        <f t="shared" si="26"/>
        <v>412639.90684999985</v>
      </c>
      <c r="J312" s="123" t="s">
        <v>763</v>
      </c>
      <c r="K312" s="119">
        <v>612206.74</v>
      </c>
      <c r="P312" s="734"/>
    </row>
    <row r="313" spans="1:16" s="123" customFormat="1" ht="21" customHeight="1">
      <c r="A313" s="120">
        <v>44475</v>
      </c>
      <c r="B313" s="122"/>
      <c r="C313" s="123" t="s">
        <v>764</v>
      </c>
      <c r="D313" s="124">
        <v>200771.47</v>
      </c>
      <c r="E313" s="124"/>
      <c r="F313" s="117">
        <f t="shared" si="28"/>
        <v>0</v>
      </c>
      <c r="G313" s="722">
        <f t="shared" si="25"/>
        <v>1204.6288200000001</v>
      </c>
      <c r="H313" s="118">
        <f t="shared" si="29"/>
        <v>0</v>
      </c>
      <c r="I313" s="119">
        <f t="shared" si="26"/>
        <v>612206.7480299999</v>
      </c>
      <c r="J313" s="725" t="s">
        <v>581</v>
      </c>
      <c r="K313" s="711">
        <f>+K312-I313</f>
        <v>-8.0299999099224806E-3</v>
      </c>
      <c r="P313" s="734"/>
    </row>
    <row r="314" spans="1:16" s="123" customFormat="1" ht="21" customHeight="1">
      <c r="A314" s="120">
        <v>44481</v>
      </c>
      <c r="B314" s="122"/>
      <c r="C314" s="725" t="s">
        <v>765</v>
      </c>
      <c r="D314" s="124">
        <v>525000</v>
      </c>
      <c r="E314" s="124"/>
      <c r="F314" s="117">
        <f t="shared" si="28"/>
        <v>0</v>
      </c>
      <c r="G314" s="722">
        <f t="shared" si="25"/>
        <v>3150</v>
      </c>
      <c r="H314" s="118">
        <f t="shared" si="29"/>
        <v>0</v>
      </c>
      <c r="I314" s="119">
        <f t="shared" si="26"/>
        <v>1134056.7480299999</v>
      </c>
      <c r="J314" s="747"/>
      <c r="K314" s="119"/>
      <c r="P314" s="734"/>
    </row>
    <row r="315" spans="1:16" s="123" customFormat="1" ht="21" customHeight="1">
      <c r="A315" s="120">
        <v>44481</v>
      </c>
      <c r="B315" s="122"/>
      <c r="C315" s="725" t="s">
        <v>765</v>
      </c>
      <c r="D315" s="124">
        <v>525000</v>
      </c>
      <c r="E315" s="124"/>
      <c r="F315" s="117">
        <f t="shared" si="28"/>
        <v>0</v>
      </c>
      <c r="G315" s="722">
        <f t="shared" si="25"/>
        <v>3150</v>
      </c>
      <c r="H315" s="118">
        <f t="shared" si="29"/>
        <v>0</v>
      </c>
      <c r="I315" s="119">
        <f t="shared" si="26"/>
        <v>1655906.7480299999</v>
      </c>
      <c r="J315" s="747"/>
      <c r="K315" s="119"/>
      <c r="P315" s="734"/>
    </row>
    <row r="316" spans="1:16" s="123" customFormat="1" ht="21" customHeight="1">
      <c r="A316" s="120">
        <v>44481</v>
      </c>
      <c r="B316" s="122"/>
      <c r="C316" s="15" t="s">
        <v>766</v>
      </c>
      <c r="D316" s="124"/>
      <c r="E316" s="124">
        <v>83369.070000000007</v>
      </c>
      <c r="F316" s="117">
        <f t="shared" si="28"/>
        <v>0</v>
      </c>
      <c r="G316" s="118">
        <f t="shared" si="25"/>
        <v>0</v>
      </c>
      <c r="H316" s="722">
        <f t="shared" si="29"/>
        <v>500.21442000000008</v>
      </c>
      <c r="I316" s="119">
        <f t="shared" si="26"/>
        <v>1572037.4636099997</v>
      </c>
      <c r="J316" s="747"/>
      <c r="K316" s="119"/>
      <c r="P316" s="734"/>
    </row>
    <row r="317" spans="1:16" s="123" customFormat="1" ht="21" customHeight="1">
      <c r="A317" s="120">
        <v>44481</v>
      </c>
      <c r="B317" s="122"/>
      <c r="C317" s="15" t="s">
        <v>767</v>
      </c>
      <c r="D317" s="124"/>
      <c r="E317" s="124">
        <v>87569.83</v>
      </c>
      <c r="F317" s="117">
        <f t="shared" si="28"/>
        <v>0</v>
      </c>
      <c r="G317" s="118">
        <f t="shared" si="25"/>
        <v>0</v>
      </c>
      <c r="H317" s="722">
        <f t="shared" si="29"/>
        <v>525.41898000000003</v>
      </c>
      <c r="I317" s="119">
        <f t="shared" si="26"/>
        <v>1483942.2146299996</v>
      </c>
      <c r="J317" s="747"/>
      <c r="K317" s="119"/>
      <c r="P317" s="734"/>
    </row>
    <row r="318" spans="1:16" s="123" customFormat="1" ht="21" customHeight="1">
      <c r="A318" s="120">
        <v>44481</v>
      </c>
      <c r="B318" s="122"/>
      <c r="C318" s="15" t="s">
        <v>768</v>
      </c>
      <c r="D318" s="124"/>
      <c r="E318" s="124">
        <v>11626.79</v>
      </c>
      <c r="F318" s="117">
        <f t="shared" si="28"/>
        <v>0</v>
      </c>
      <c r="G318" s="118">
        <f t="shared" si="25"/>
        <v>0</v>
      </c>
      <c r="H318" s="722">
        <f t="shared" si="29"/>
        <v>69.760740000000013</v>
      </c>
      <c r="I318" s="119">
        <f t="shared" si="26"/>
        <v>1472245.6638899995</v>
      </c>
      <c r="J318" s="747"/>
      <c r="K318" s="119"/>
      <c r="P318" s="734"/>
    </row>
    <row r="319" spans="1:16" s="123" customFormat="1" ht="21" customHeight="1">
      <c r="A319" s="120">
        <v>44481</v>
      </c>
      <c r="B319" s="122"/>
      <c r="C319" s="15" t="s">
        <v>769</v>
      </c>
      <c r="D319" s="124"/>
      <c r="E319" s="124">
        <v>1446.08</v>
      </c>
      <c r="F319" s="117">
        <f t="shared" si="28"/>
        <v>0</v>
      </c>
      <c r="G319" s="118">
        <f t="shared" si="25"/>
        <v>0</v>
      </c>
      <c r="H319" s="722">
        <f t="shared" si="29"/>
        <v>8.6764799999999997</v>
      </c>
      <c r="I319" s="119">
        <f t="shared" si="26"/>
        <v>1470790.9074099995</v>
      </c>
      <c r="J319" s="123" t="s">
        <v>770</v>
      </c>
      <c r="K319" s="119">
        <v>1470165.02</v>
      </c>
      <c r="P319" s="734"/>
    </row>
    <row r="320" spans="1:16" s="123" customFormat="1" ht="21" customHeight="1">
      <c r="A320" s="120">
        <v>44481</v>
      </c>
      <c r="B320" s="122"/>
      <c r="C320" s="15" t="s">
        <v>771</v>
      </c>
      <c r="D320" s="124"/>
      <c r="E320" s="124">
        <v>622.15</v>
      </c>
      <c r="F320" s="117">
        <f t="shared" si="28"/>
        <v>0</v>
      </c>
      <c r="G320" s="118">
        <f t="shared" ref="G320:G374" si="30">D320*0.006</f>
        <v>0</v>
      </c>
      <c r="H320" s="722">
        <f t="shared" si="29"/>
        <v>3.7328999999999999</v>
      </c>
      <c r="I320" s="119">
        <f t="shared" si="26"/>
        <v>1470165.0245099997</v>
      </c>
      <c r="J320" s="725" t="s">
        <v>581</v>
      </c>
      <c r="K320" s="711">
        <f>+K319-I320</f>
        <v>-4.5099996495991945E-3</v>
      </c>
      <c r="P320" s="734"/>
    </row>
    <row r="321" spans="1:16" s="123" customFormat="1" ht="21" customHeight="1">
      <c r="A321" s="120">
        <v>44482</v>
      </c>
      <c r="B321" s="122"/>
      <c r="C321" s="15" t="s">
        <v>772</v>
      </c>
      <c r="D321" s="124">
        <v>56790.16</v>
      </c>
      <c r="F321" s="117">
        <f t="shared" si="28"/>
        <v>0</v>
      </c>
      <c r="G321" s="118">
        <f t="shared" si="30"/>
        <v>340.74096000000003</v>
      </c>
      <c r="H321" s="118">
        <f t="shared" si="29"/>
        <v>0</v>
      </c>
      <c r="I321" s="119">
        <f t="shared" si="26"/>
        <v>1526614.4435499995</v>
      </c>
      <c r="J321" s="747"/>
      <c r="K321" s="119"/>
      <c r="P321" s="734"/>
    </row>
    <row r="322" spans="1:16" s="123" customFormat="1" ht="21" customHeight="1">
      <c r="A322" s="120">
        <v>44483</v>
      </c>
      <c r="B322" s="122"/>
      <c r="C322" s="15" t="s">
        <v>773</v>
      </c>
      <c r="D322" s="124">
        <v>300000</v>
      </c>
      <c r="F322" s="117">
        <f t="shared" si="28"/>
        <v>0</v>
      </c>
      <c r="G322" s="118">
        <f t="shared" si="30"/>
        <v>1800</v>
      </c>
      <c r="H322" s="118">
        <f t="shared" si="29"/>
        <v>0</v>
      </c>
      <c r="I322" s="119">
        <f t="shared" si="26"/>
        <v>1824814.4435499995</v>
      </c>
      <c r="J322" s="747"/>
      <c r="K322" s="119"/>
      <c r="P322" s="734"/>
    </row>
    <row r="323" spans="1:16" s="123" customFormat="1" ht="21" customHeight="1">
      <c r="A323" s="120">
        <v>44484</v>
      </c>
      <c r="B323" s="122"/>
      <c r="C323" s="15" t="s">
        <v>774</v>
      </c>
      <c r="D323" s="124">
        <v>600000</v>
      </c>
      <c r="F323" s="117">
        <f t="shared" si="28"/>
        <v>0</v>
      </c>
      <c r="G323" s="118">
        <f t="shared" si="30"/>
        <v>3600</v>
      </c>
      <c r="H323" s="118">
        <f t="shared" si="29"/>
        <v>0</v>
      </c>
      <c r="I323" s="119">
        <f t="shared" si="26"/>
        <v>2421214.4435499995</v>
      </c>
      <c r="J323" s="747"/>
      <c r="K323" s="119"/>
      <c r="P323" s="734"/>
    </row>
    <row r="324" spans="1:16" s="123" customFormat="1" ht="21" customHeight="1">
      <c r="A324" s="120">
        <v>44487</v>
      </c>
      <c r="B324" s="122"/>
      <c r="C324" s="15" t="s">
        <v>774</v>
      </c>
      <c r="D324" s="124">
        <v>200000</v>
      </c>
      <c r="F324" s="117">
        <f t="shared" si="28"/>
        <v>0</v>
      </c>
      <c r="G324" s="118">
        <f t="shared" si="30"/>
        <v>1200</v>
      </c>
      <c r="H324" s="118">
        <f t="shared" si="29"/>
        <v>0</v>
      </c>
      <c r="I324" s="119">
        <f t="shared" si="26"/>
        <v>2620014.4435499995</v>
      </c>
      <c r="J324" s="747"/>
      <c r="K324" s="119"/>
      <c r="P324" s="734"/>
    </row>
    <row r="325" spans="1:16" s="123" customFormat="1" ht="21" customHeight="1">
      <c r="A325" s="120">
        <v>44487</v>
      </c>
      <c r="B325" s="753"/>
      <c r="C325" s="123" t="s">
        <v>775</v>
      </c>
      <c r="D325" s="124">
        <v>118474.31</v>
      </c>
      <c r="F325" s="117">
        <f t="shared" si="28"/>
        <v>0</v>
      </c>
      <c r="G325" s="118">
        <f>D325*0.006*0</f>
        <v>0</v>
      </c>
      <c r="H325" s="118">
        <f t="shared" si="29"/>
        <v>0</v>
      </c>
      <c r="I325" s="119">
        <f t="shared" si="26"/>
        <v>2738488.7535499996</v>
      </c>
      <c r="J325" s="747"/>
      <c r="K325" s="119"/>
      <c r="P325" s="734"/>
    </row>
    <row r="326" spans="1:16" s="123" customFormat="1" ht="21" customHeight="1">
      <c r="A326" s="120">
        <v>44487</v>
      </c>
      <c r="B326" s="122">
        <v>135</v>
      </c>
      <c r="C326" s="15" t="s">
        <v>734</v>
      </c>
      <c r="D326" s="124"/>
      <c r="E326" s="124">
        <v>200000</v>
      </c>
      <c r="F326" s="117">
        <f t="shared" si="28"/>
        <v>0</v>
      </c>
      <c r="G326" s="118">
        <f t="shared" si="30"/>
        <v>0</v>
      </c>
      <c r="H326" s="118">
        <f t="shared" si="29"/>
        <v>1200</v>
      </c>
      <c r="I326" s="119">
        <f t="shared" si="26"/>
        <v>2537288.7535499996</v>
      </c>
      <c r="J326" s="747"/>
      <c r="K326" s="119"/>
      <c r="P326" s="734"/>
    </row>
    <row r="327" spans="1:16" s="123" customFormat="1" ht="21" customHeight="1">
      <c r="A327" s="120">
        <v>44487</v>
      </c>
      <c r="B327" s="122">
        <v>136</v>
      </c>
      <c r="C327" s="15" t="s">
        <v>734</v>
      </c>
      <c r="D327" s="124"/>
      <c r="E327" s="124">
        <v>300000</v>
      </c>
      <c r="F327" s="117">
        <f t="shared" si="28"/>
        <v>0</v>
      </c>
      <c r="G327" s="118">
        <f t="shared" si="30"/>
        <v>0</v>
      </c>
      <c r="H327" s="118">
        <f t="shared" si="29"/>
        <v>1800</v>
      </c>
      <c r="I327" s="119">
        <f t="shared" si="26"/>
        <v>2235488.7535499996</v>
      </c>
      <c r="J327" s="747"/>
      <c r="K327" s="119"/>
      <c r="P327" s="734"/>
    </row>
    <row r="328" spans="1:16" s="123" customFormat="1" ht="21" customHeight="1">
      <c r="A328" s="120">
        <v>44487</v>
      </c>
      <c r="B328" s="122">
        <v>141</v>
      </c>
      <c r="C328" s="15" t="s">
        <v>756</v>
      </c>
      <c r="D328" s="121"/>
      <c r="E328" s="124">
        <v>400000</v>
      </c>
      <c r="F328" s="117">
        <f t="shared" si="28"/>
        <v>0</v>
      </c>
      <c r="G328" s="118">
        <f t="shared" si="30"/>
        <v>0</v>
      </c>
      <c r="H328" s="118">
        <f t="shared" si="29"/>
        <v>2400</v>
      </c>
      <c r="I328" s="119">
        <f t="shared" ref="I328:I374" si="31">I327+D328-E328-F328-G328-H328</f>
        <v>1833088.7535499996</v>
      </c>
      <c r="J328" s="123" t="s">
        <v>776</v>
      </c>
      <c r="K328" s="119">
        <v>1330088.74</v>
      </c>
      <c r="P328" s="734"/>
    </row>
    <row r="329" spans="1:16" s="123" customFormat="1" ht="21" customHeight="1">
      <c r="A329" s="120">
        <v>44484</v>
      </c>
      <c r="B329" s="122">
        <v>57</v>
      </c>
      <c r="C329" s="137" t="s">
        <v>777</v>
      </c>
      <c r="D329" s="124"/>
      <c r="E329" s="125">
        <v>500000</v>
      </c>
      <c r="F329" s="117">
        <f t="shared" si="28"/>
        <v>0</v>
      </c>
      <c r="G329" s="118">
        <f t="shared" si="30"/>
        <v>0</v>
      </c>
      <c r="H329" s="118">
        <f t="shared" si="29"/>
        <v>3000</v>
      </c>
      <c r="I329" s="119">
        <f t="shared" si="31"/>
        <v>1330088.7535499996</v>
      </c>
      <c r="J329" s="725" t="s">
        <v>581</v>
      </c>
      <c r="K329" s="711">
        <f>+K328-I329</f>
        <v>-1.3549999566748738E-2</v>
      </c>
      <c r="P329" s="734"/>
    </row>
    <row r="330" spans="1:16" s="123" customFormat="1" ht="21" customHeight="1">
      <c r="A330" s="120">
        <v>44488</v>
      </c>
      <c r="B330" s="122"/>
      <c r="C330" s="15" t="s">
        <v>778</v>
      </c>
      <c r="D330" s="124">
        <v>450000</v>
      </c>
      <c r="E330" s="124"/>
      <c r="F330" s="117">
        <f t="shared" si="28"/>
        <v>0</v>
      </c>
      <c r="G330" s="118">
        <f t="shared" si="30"/>
        <v>2700</v>
      </c>
      <c r="H330" s="118">
        <f t="shared" si="29"/>
        <v>0</v>
      </c>
      <c r="I330" s="119">
        <f t="shared" si="31"/>
        <v>1777388.7535499996</v>
      </c>
      <c r="J330" s="123" t="s">
        <v>779</v>
      </c>
      <c r="K330" s="119">
        <v>1274388.74</v>
      </c>
      <c r="P330" s="734"/>
    </row>
    <row r="331" spans="1:16" s="123" customFormat="1" ht="21" customHeight="1">
      <c r="A331" s="120">
        <v>44487</v>
      </c>
      <c r="B331" s="122">
        <v>58</v>
      </c>
      <c r="C331" s="137" t="s">
        <v>780</v>
      </c>
      <c r="D331" s="121"/>
      <c r="E331" s="125">
        <v>500000</v>
      </c>
      <c r="F331" s="117">
        <f t="shared" si="28"/>
        <v>0</v>
      </c>
      <c r="G331" s="118">
        <f t="shared" si="30"/>
        <v>0</v>
      </c>
      <c r="H331" s="118">
        <f t="shared" si="29"/>
        <v>3000</v>
      </c>
      <c r="I331" s="119">
        <f t="shared" si="31"/>
        <v>1274388.7535499996</v>
      </c>
      <c r="J331" s="725" t="s">
        <v>581</v>
      </c>
      <c r="K331" s="711">
        <f>+K330-I331</f>
        <v>-1.3549999566748738E-2</v>
      </c>
      <c r="P331" s="734"/>
    </row>
    <row r="332" spans="1:16" s="123" customFormat="1" ht="21" customHeight="1">
      <c r="A332" s="120">
        <v>44489</v>
      </c>
      <c r="B332" s="122"/>
      <c r="C332" s="15" t="s">
        <v>778</v>
      </c>
      <c r="D332" s="124">
        <v>600000</v>
      </c>
      <c r="E332" s="124"/>
      <c r="F332" s="117">
        <f t="shared" si="28"/>
        <v>0</v>
      </c>
      <c r="G332" s="118">
        <f t="shared" si="30"/>
        <v>3600</v>
      </c>
      <c r="H332" s="118">
        <f t="shared" si="29"/>
        <v>0</v>
      </c>
      <c r="I332" s="119">
        <f t="shared" si="31"/>
        <v>1870788.7535499996</v>
      </c>
      <c r="J332" s="747"/>
      <c r="K332" s="119"/>
      <c r="P332" s="734"/>
    </row>
    <row r="333" spans="1:16" s="123" customFormat="1" ht="21" customHeight="1">
      <c r="A333" s="120">
        <v>44489</v>
      </c>
      <c r="B333" s="122">
        <v>211</v>
      </c>
      <c r="C333" s="15" t="s">
        <v>781</v>
      </c>
      <c r="D333" s="124"/>
      <c r="E333" s="124">
        <v>30472.87</v>
      </c>
      <c r="F333" s="117">
        <f t="shared" si="28"/>
        <v>0</v>
      </c>
      <c r="G333" s="118">
        <f t="shared" si="30"/>
        <v>0</v>
      </c>
      <c r="H333" s="118">
        <f t="shared" si="29"/>
        <v>182.83722</v>
      </c>
      <c r="I333" s="119">
        <f t="shared" si="31"/>
        <v>1840133.0463299993</v>
      </c>
      <c r="J333" s="747"/>
      <c r="K333" s="119"/>
      <c r="P333" s="734"/>
    </row>
    <row r="334" spans="1:16" s="123" customFormat="1" ht="21" customHeight="1">
      <c r="A334" s="120">
        <v>44489</v>
      </c>
      <c r="B334" s="133">
        <v>49</v>
      </c>
      <c r="C334" s="123" t="s">
        <v>782</v>
      </c>
      <c r="D334" s="124"/>
      <c r="E334" s="156">
        <v>192258</v>
      </c>
      <c r="F334" s="117">
        <f t="shared" si="28"/>
        <v>0</v>
      </c>
      <c r="G334" s="118">
        <f t="shared" si="30"/>
        <v>0</v>
      </c>
      <c r="H334" s="118">
        <f t="shared" si="29"/>
        <v>1153.548</v>
      </c>
      <c r="I334" s="119">
        <f t="shared" si="31"/>
        <v>1646721.4983299994</v>
      </c>
      <c r="J334" s="123" t="s">
        <v>783</v>
      </c>
      <c r="K334" s="119">
        <v>2044321.48</v>
      </c>
      <c r="P334" s="734"/>
    </row>
    <row r="335" spans="1:16" s="123" customFormat="1" ht="21" customHeight="1">
      <c r="A335" s="120">
        <v>44490</v>
      </c>
      <c r="B335" s="122"/>
      <c r="C335" s="123" t="s">
        <v>784</v>
      </c>
      <c r="D335" s="124">
        <v>400000</v>
      </c>
      <c r="E335" s="124"/>
      <c r="F335" s="117">
        <f t="shared" si="28"/>
        <v>0</v>
      </c>
      <c r="G335" s="118">
        <f t="shared" si="30"/>
        <v>2400</v>
      </c>
      <c r="H335" s="118">
        <f t="shared" si="29"/>
        <v>0</v>
      </c>
      <c r="I335" s="119">
        <f t="shared" si="31"/>
        <v>2044321.4983299994</v>
      </c>
      <c r="J335" s="725" t="s">
        <v>581</v>
      </c>
      <c r="K335" s="711">
        <f>+K334-I335</f>
        <v>-1.8329999409615993E-2</v>
      </c>
      <c r="P335" s="734"/>
    </row>
    <row r="336" spans="1:16" s="123" customFormat="1" ht="21" customHeight="1">
      <c r="A336" s="120">
        <v>44491</v>
      </c>
      <c r="B336" s="122"/>
      <c r="C336" s="123" t="s">
        <v>785</v>
      </c>
      <c r="D336" s="124"/>
      <c r="E336" s="156">
        <v>10733.06</v>
      </c>
      <c r="F336" s="117">
        <f t="shared" si="28"/>
        <v>0</v>
      </c>
      <c r="G336" s="118">
        <f t="shared" si="30"/>
        <v>0</v>
      </c>
      <c r="H336" s="118">
        <f t="shared" si="29"/>
        <v>64.398359999999997</v>
      </c>
      <c r="I336" s="119">
        <f t="shared" si="31"/>
        <v>2033524.0399699993</v>
      </c>
      <c r="J336" s="747"/>
      <c r="K336" s="119"/>
      <c r="P336" s="734"/>
    </row>
    <row r="337" spans="1:16" s="123" customFormat="1" ht="21" customHeight="1">
      <c r="A337" s="120">
        <v>44491</v>
      </c>
      <c r="B337" s="122"/>
      <c r="C337" s="15" t="s">
        <v>786</v>
      </c>
      <c r="D337" s="124"/>
      <c r="E337" s="124">
        <v>90658.81</v>
      </c>
      <c r="F337" s="117">
        <f t="shared" si="28"/>
        <v>0</v>
      </c>
      <c r="G337" s="118">
        <f t="shared" si="30"/>
        <v>0</v>
      </c>
      <c r="H337" s="118">
        <f t="shared" si="29"/>
        <v>543.95285999999999</v>
      </c>
      <c r="I337" s="119">
        <f t="shared" si="31"/>
        <v>1942321.2771099992</v>
      </c>
      <c r="J337" s="123" t="s">
        <v>787</v>
      </c>
      <c r="K337" s="119">
        <v>1929489</v>
      </c>
      <c r="P337" s="734"/>
    </row>
    <row r="338" spans="1:16" s="123" customFormat="1" ht="21" customHeight="1">
      <c r="A338" s="120">
        <v>44491</v>
      </c>
      <c r="B338" s="122"/>
      <c r="C338" s="15" t="s">
        <v>788</v>
      </c>
      <c r="D338" s="121"/>
      <c r="E338" s="124">
        <v>12755.73</v>
      </c>
      <c r="F338" s="117">
        <f t="shared" si="28"/>
        <v>0</v>
      </c>
      <c r="G338" s="118">
        <f t="shared" si="30"/>
        <v>0</v>
      </c>
      <c r="H338" s="118">
        <f t="shared" si="29"/>
        <v>76.534379999999999</v>
      </c>
      <c r="I338" s="119">
        <f t="shared" si="31"/>
        <v>1929489.0127299991</v>
      </c>
      <c r="J338" s="725" t="s">
        <v>581</v>
      </c>
      <c r="K338" s="711">
        <f>+K337-I338</f>
        <v>-1.2729999143630266E-2</v>
      </c>
      <c r="P338" s="734"/>
    </row>
    <row r="339" spans="1:16" s="123" customFormat="1" ht="21" customHeight="1">
      <c r="A339" s="120">
        <v>44494</v>
      </c>
      <c r="B339" s="122"/>
      <c r="C339" s="583" t="s">
        <v>789</v>
      </c>
      <c r="D339" s="124">
        <v>410000</v>
      </c>
      <c r="E339" s="124"/>
      <c r="F339" s="117">
        <f t="shared" si="28"/>
        <v>0</v>
      </c>
      <c r="G339" s="118">
        <f t="shared" si="30"/>
        <v>2460</v>
      </c>
      <c r="H339" s="118">
        <f t="shared" si="29"/>
        <v>0</v>
      </c>
      <c r="I339" s="119">
        <f t="shared" si="31"/>
        <v>2337029.0127299991</v>
      </c>
      <c r="J339" s="747"/>
      <c r="K339" s="119"/>
      <c r="P339" s="734"/>
    </row>
    <row r="340" spans="1:16" s="123" customFormat="1" ht="21" customHeight="1">
      <c r="A340" s="120">
        <v>44494</v>
      </c>
      <c r="B340" s="122">
        <v>212</v>
      </c>
      <c r="C340" s="15" t="s">
        <v>790</v>
      </c>
      <c r="D340" s="124"/>
      <c r="E340" s="124">
        <v>50733.47</v>
      </c>
      <c r="F340" s="117">
        <f t="shared" si="28"/>
        <v>0</v>
      </c>
      <c r="G340" s="118">
        <f t="shared" si="30"/>
        <v>0</v>
      </c>
      <c r="H340" s="118">
        <f t="shared" si="29"/>
        <v>304.40082000000001</v>
      </c>
      <c r="I340" s="119">
        <f t="shared" si="31"/>
        <v>2285991.1419099988</v>
      </c>
      <c r="J340" s="747"/>
      <c r="K340" s="119"/>
      <c r="P340" s="734"/>
    </row>
    <row r="341" spans="1:16" s="123" customFormat="1" ht="21" customHeight="1">
      <c r="A341" s="120">
        <v>44495</v>
      </c>
      <c r="B341" s="122"/>
      <c r="C341" s="15" t="s">
        <v>513</v>
      </c>
      <c r="D341" s="124">
        <v>310000</v>
      </c>
      <c r="E341" s="124"/>
      <c r="F341" s="117">
        <f t="shared" si="28"/>
        <v>0</v>
      </c>
      <c r="G341" s="118">
        <f t="shared" si="30"/>
        <v>1860</v>
      </c>
      <c r="H341" s="118">
        <f t="shared" si="29"/>
        <v>0</v>
      </c>
      <c r="I341" s="119">
        <f t="shared" si="31"/>
        <v>2594131.1419099988</v>
      </c>
      <c r="J341" s="747"/>
      <c r="K341" s="119"/>
      <c r="P341" s="734"/>
    </row>
    <row r="342" spans="1:16" s="123" customFormat="1" ht="21" customHeight="1">
      <c r="A342" s="120">
        <v>44496</v>
      </c>
      <c r="B342" s="122"/>
      <c r="C342" s="583" t="s">
        <v>791</v>
      </c>
      <c r="D342" s="124">
        <v>270000</v>
      </c>
      <c r="E342" s="124"/>
      <c r="F342" s="117">
        <f t="shared" si="28"/>
        <v>0</v>
      </c>
      <c r="G342" s="118">
        <f t="shared" si="30"/>
        <v>1620</v>
      </c>
      <c r="H342" s="118">
        <f t="shared" si="29"/>
        <v>0</v>
      </c>
      <c r="I342" s="119">
        <f t="shared" si="31"/>
        <v>2862511.1419099988</v>
      </c>
      <c r="J342" s="747"/>
      <c r="K342" s="506"/>
      <c r="P342" s="734"/>
    </row>
    <row r="343" spans="1:16" s="123" customFormat="1" ht="21" customHeight="1">
      <c r="A343" s="120">
        <v>44496</v>
      </c>
      <c r="B343" s="122"/>
      <c r="C343" s="754" t="s">
        <v>792</v>
      </c>
      <c r="D343" s="124">
        <v>440000</v>
      </c>
      <c r="E343" s="124"/>
      <c r="F343" s="117">
        <f t="shared" si="28"/>
        <v>0</v>
      </c>
      <c r="G343" s="118">
        <f t="shared" si="30"/>
        <v>2640</v>
      </c>
      <c r="H343" s="118">
        <f t="shared" si="29"/>
        <v>0</v>
      </c>
      <c r="I343" s="119">
        <f t="shared" si="31"/>
        <v>3299871.1419099988</v>
      </c>
      <c r="J343" s="747"/>
      <c r="K343" s="119"/>
      <c r="P343" s="734"/>
    </row>
    <row r="344" spans="1:16" s="123" customFormat="1" ht="21" customHeight="1">
      <c r="A344" s="120">
        <v>44496</v>
      </c>
      <c r="B344" s="122"/>
      <c r="C344" s="15" t="s">
        <v>793</v>
      </c>
      <c r="D344" s="124"/>
      <c r="E344" s="124">
        <v>8733.94</v>
      </c>
      <c r="F344" s="117">
        <f t="shared" si="28"/>
        <v>0</v>
      </c>
      <c r="G344" s="118">
        <f t="shared" si="30"/>
        <v>0</v>
      </c>
      <c r="H344" s="118">
        <f t="shared" si="29"/>
        <v>52.403640000000003</v>
      </c>
      <c r="I344" s="119">
        <f t="shared" si="31"/>
        <v>3291084.7982699987</v>
      </c>
      <c r="J344" s="747"/>
      <c r="K344" s="119"/>
      <c r="P344" s="734"/>
    </row>
    <row r="345" spans="1:16" s="123" customFormat="1" ht="21" customHeight="1">
      <c r="A345" s="120">
        <v>44497</v>
      </c>
      <c r="B345" s="122">
        <v>39</v>
      </c>
      <c r="C345" s="15" t="s">
        <v>761</v>
      </c>
      <c r="D345" s="124"/>
      <c r="E345" s="124">
        <v>311613</v>
      </c>
      <c r="F345" s="117">
        <f t="shared" si="28"/>
        <v>0</v>
      </c>
      <c r="G345" s="118">
        <f t="shared" si="30"/>
        <v>0</v>
      </c>
      <c r="H345" s="118">
        <f t="shared" si="29"/>
        <v>1869.6780000000001</v>
      </c>
      <c r="I345" s="119">
        <f t="shared" si="31"/>
        <v>2977602.1202699989</v>
      </c>
      <c r="J345" s="747"/>
      <c r="K345" s="119"/>
      <c r="P345" s="734"/>
    </row>
    <row r="346" spans="1:16" s="123" customFormat="1" ht="21" customHeight="1">
      <c r="A346" s="120">
        <v>44497</v>
      </c>
      <c r="B346" s="122"/>
      <c r="C346" s="15" t="s">
        <v>603</v>
      </c>
      <c r="D346" s="121"/>
      <c r="E346" s="124">
        <f>2030+30.45+426.3+60.9+135+28.35</f>
        <v>2711</v>
      </c>
      <c r="F346" s="117">
        <f t="shared" si="28"/>
        <v>0</v>
      </c>
      <c r="G346" s="118">
        <f t="shared" si="30"/>
        <v>0</v>
      </c>
      <c r="H346" s="118">
        <f t="shared" si="29"/>
        <v>16.266000000000002</v>
      </c>
      <c r="I346" s="119">
        <f t="shared" si="31"/>
        <v>2974874.8542699991</v>
      </c>
      <c r="J346" s="747"/>
      <c r="K346" s="119"/>
      <c r="P346" s="734"/>
    </row>
    <row r="347" spans="1:16" s="123" customFormat="1" ht="21" customHeight="1">
      <c r="A347" s="120">
        <v>44497</v>
      </c>
      <c r="B347" s="122"/>
      <c r="C347" s="583" t="s">
        <v>791</v>
      </c>
      <c r="D347" s="124">
        <v>600000</v>
      </c>
      <c r="E347" s="124"/>
      <c r="F347" s="117">
        <f t="shared" si="28"/>
        <v>0</v>
      </c>
      <c r="G347" s="118">
        <f t="shared" si="30"/>
        <v>3600</v>
      </c>
      <c r="H347" s="118">
        <f t="shared" si="29"/>
        <v>0</v>
      </c>
      <c r="I347" s="119">
        <f t="shared" si="31"/>
        <v>3571274.8542699991</v>
      </c>
      <c r="J347" s="747"/>
      <c r="K347" s="119"/>
      <c r="P347" s="734"/>
    </row>
    <row r="348" spans="1:16" s="123" customFormat="1" ht="21" customHeight="1">
      <c r="A348" s="120">
        <v>44497</v>
      </c>
      <c r="B348" s="122"/>
      <c r="C348" s="583" t="s">
        <v>791</v>
      </c>
      <c r="D348" s="124">
        <v>500000</v>
      </c>
      <c r="E348" s="124"/>
      <c r="F348" s="117">
        <f t="shared" si="28"/>
        <v>0</v>
      </c>
      <c r="G348" s="118">
        <f t="shared" si="30"/>
        <v>3000</v>
      </c>
      <c r="H348" s="118">
        <f t="shared" si="29"/>
        <v>0</v>
      </c>
      <c r="I348" s="119">
        <f t="shared" si="31"/>
        <v>4068274.8542699991</v>
      </c>
      <c r="J348" s="747"/>
      <c r="K348" s="119"/>
      <c r="P348" s="734"/>
    </row>
    <row r="349" spans="1:16" s="123" customFormat="1" ht="21" customHeight="1">
      <c r="A349" s="120">
        <v>44497</v>
      </c>
      <c r="B349" s="122"/>
      <c r="C349" s="123" t="s">
        <v>794</v>
      </c>
      <c r="D349" s="124">
        <v>71280</v>
      </c>
      <c r="E349" s="124"/>
      <c r="F349" s="117">
        <f t="shared" si="28"/>
        <v>0</v>
      </c>
      <c r="G349" s="118">
        <f t="shared" si="30"/>
        <v>427.68</v>
      </c>
      <c r="H349" s="118">
        <f t="shared" si="29"/>
        <v>0</v>
      </c>
      <c r="I349" s="119">
        <f t="shared" si="31"/>
        <v>4139127.1742699989</v>
      </c>
      <c r="J349" s="123" t="s">
        <v>795</v>
      </c>
      <c r="K349" s="119">
        <v>4209979.4800000004</v>
      </c>
      <c r="P349" s="734"/>
    </row>
    <row r="350" spans="1:16" s="123" customFormat="1" ht="21" customHeight="1">
      <c r="A350" s="120">
        <v>44497</v>
      </c>
      <c r="B350" s="122"/>
      <c r="C350" s="123" t="s">
        <v>796</v>
      </c>
      <c r="D350" s="124">
        <v>71280</v>
      </c>
      <c r="E350" s="124"/>
      <c r="F350" s="117">
        <f t="shared" si="28"/>
        <v>0</v>
      </c>
      <c r="G350" s="118">
        <f t="shared" si="30"/>
        <v>427.68</v>
      </c>
      <c r="H350" s="118">
        <f t="shared" si="29"/>
        <v>0</v>
      </c>
      <c r="I350" s="755">
        <f t="shared" si="31"/>
        <v>4209979.4942699987</v>
      </c>
      <c r="J350" s="725" t="s">
        <v>581</v>
      </c>
      <c r="K350" s="711">
        <f>+K349-I350</f>
        <v>-1.4269998297095299E-2</v>
      </c>
      <c r="P350" s="734"/>
    </row>
    <row r="351" spans="1:16" s="123" customFormat="1" ht="21" customHeight="1">
      <c r="A351" s="120"/>
      <c r="B351" s="122"/>
      <c r="D351" s="121"/>
      <c r="E351" s="124"/>
      <c r="F351" s="117">
        <f t="shared" si="28"/>
        <v>0</v>
      </c>
      <c r="G351" s="118">
        <f t="shared" si="30"/>
        <v>0</v>
      </c>
      <c r="H351" s="118">
        <f t="shared" si="29"/>
        <v>0</v>
      </c>
      <c r="I351" s="119">
        <f t="shared" si="31"/>
        <v>4209979.4942699987</v>
      </c>
      <c r="J351" s="747"/>
      <c r="K351" s="119"/>
      <c r="P351" s="734"/>
    </row>
    <row r="352" spans="1:16" s="123" customFormat="1" ht="21" customHeight="1">
      <c r="A352" s="505"/>
      <c r="B352" s="756"/>
      <c r="C352" s="757"/>
      <c r="D352" s="758"/>
      <c r="E352" s="759"/>
      <c r="F352" s="760">
        <f t="shared" si="28"/>
        <v>0</v>
      </c>
      <c r="G352" s="760">
        <f t="shared" si="30"/>
        <v>0</v>
      </c>
      <c r="H352" s="760">
        <f t="shared" si="29"/>
        <v>0</v>
      </c>
      <c r="I352" s="761">
        <f t="shared" si="31"/>
        <v>4209979.4942699987</v>
      </c>
      <c r="J352" s="762"/>
      <c r="K352" s="761"/>
      <c r="P352" s="734"/>
    </row>
    <row r="353" spans="1:16" s="123" customFormat="1" ht="21" customHeight="1">
      <c r="A353" s="120">
        <v>44502</v>
      </c>
      <c r="B353" s="122"/>
      <c r="C353" s="123" t="s">
        <v>797</v>
      </c>
      <c r="D353" s="121"/>
      <c r="E353" s="125">
        <v>1000000</v>
      </c>
      <c r="F353" s="117">
        <f t="shared" si="28"/>
        <v>0</v>
      </c>
      <c r="G353" s="118">
        <f t="shared" si="30"/>
        <v>0</v>
      </c>
      <c r="H353" s="118">
        <f t="shared" si="29"/>
        <v>6000</v>
      </c>
      <c r="I353" s="119">
        <f t="shared" si="31"/>
        <v>3203979.4942699987</v>
      </c>
      <c r="J353" s="747"/>
      <c r="K353" s="119"/>
      <c r="P353" s="734"/>
    </row>
    <row r="354" spans="1:16" s="123" customFormat="1" ht="21" customHeight="1">
      <c r="A354" s="120">
        <v>44502</v>
      </c>
      <c r="B354" s="122"/>
      <c r="C354" s="123" t="s">
        <v>797</v>
      </c>
      <c r="D354" s="121"/>
      <c r="E354" s="125">
        <v>1000000</v>
      </c>
      <c r="F354" s="117">
        <f t="shared" si="28"/>
        <v>0</v>
      </c>
      <c r="G354" s="118">
        <f t="shared" si="30"/>
        <v>0</v>
      </c>
      <c r="H354" s="118">
        <f t="shared" si="29"/>
        <v>6000</v>
      </c>
      <c r="I354" s="119">
        <f t="shared" si="31"/>
        <v>2197979.4942699987</v>
      </c>
      <c r="J354" s="747"/>
      <c r="K354" s="119"/>
      <c r="P354" s="734"/>
    </row>
    <row r="355" spans="1:16" s="123" customFormat="1" ht="21" customHeight="1">
      <c r="A355" s="120">
        <v>44502</v>
      </c>
      <c r="B355" s="122"/>
      <c r="C355" s="123" t="s">
        <v>797</v>
      </c>
      <c r="D355" s="121"/>
      <c r="E355" s="125">
        <v>1000000</v>
      </c>
      <c r="F355" s="117">
        <f t="shared" si="28"/>
        <v>0</v>
      </c>
      <c r="G355" s="118">
        <f t="shared" si="30"/>
        <v>0</v>
      </c>
      <c r="H355" s="118">
        <f t="shared" si="29"/>
        <v>6000</v>
      </c>
      <c r="I355" s="119">
        <f t="shared" si="31"/>
        <v>1191979.4942699987</v>
      </c>
      <c r="J355" s="747"/>
      <c r="K355" s="119"/>
      <c r="N355" s="734"/>
      <c r="P355" s="734"/>
    </row>
    <row r="356" spans="1:16" s="123" customFormat="1" ht="21" customHeight="1">
      <c r="A356" s="120">
        <v>44502</v>
      </c>
      <c r="B356" s="122"/>
      <c r="C356" s="123" t="s">
        <v>797</v>
      </c>
      <c r="D356" s="121"/>
      <c r="E356" s="125">
        <v>550000</v>
      </c>
      <c r="F356" s="117">
        <f t="shared" si="28"/>
        <v>0</v>
      </c>
      <c r="G356" s="118">
        <f t="shared" si="30"/>
        <v>0</v>
      </c>
      <c r="H356" s="118">
        <f t="shared" si="29"/>
        <v>3300</v>
      </c>
      <c r="I356" s="119">
        <f t="shared" si="31"/>
        <v>638679.49426999874</v>
      </c>
      <c r="J356" s="747"/>
      <c r="K356" s="119"/>
      <c r="P356" s="734"/>
    </row>
    <row r="357" spans="1:16" s="123" customFormat="1" ht="21" customHeight="1">
      <c r="A357" s="120">
        <v>44502</v>
      </c>
      <c r="B357" s="122"/>
      <c r="C357" s="123" t="s">
        <v>798</v>
      </c>
      <c r="D357" s="121"/>
      <c r="E357" s="125">
        <v>30000</v>
      </c>
      <c r="F357" s="117">
        <f t="shared" si="28"/>
        <v>0</v>
      </c>
      <c r="G357" s="118">
        <f t="shared" si="30"/>
        <v>0</v>
      </c>
      <c r="H357" s="118">
        <f t="shared" si="29"/>
        <v>180</v>
      </c>
      <c r="I357" s="119">
        <f t="shared" si="31"/>
        <v>608499.49426999874</v>
      </c>
      <c r="J357" s="747"/>
      <c r="K357" s="119"/>
    </row>
    <row r="358" spans="1:16" ht="21" customHeight="1">
      <c r="A358" s="120">
        <v>44502</v>
      </c>
      <c r="B358" s="122"/>
      <c r="C358" s="123" t="s">
        <v>345</v>
      </c>
      <c r="D358" s="121"/>
      <c r="E358" s="125">
        <v>25000</v>
      </c>
      <c r="F358" s="117">
        <f t="shared" si="28"/>
        <v>0</v>
      </c>
      <c r="G358" s="118">
        <f t="shared" si="30"/>
        <v>0</v>
      </c>
      <c r="H358" s="118">
        <f t="shared" si="29"/>
        <v>150</v>
      </c>
      <c r="I358" s="119">
        <f t="shared" si="31"/>
        <v>583349.49426999874</v>
      </c>
      <c r="J358" s="747"/>
      <c r="L358" s="123"/>
    </row>
    <row r="359" spans="1:16" ht="21" customHeight="1">
      <c r="A359" s="120">
        <v>44502</v>
      </c>
      <c r="B359" s="122"/>
      <c r="C359" s="123" t="s">
        <v>799</v>
      </c>
      <c r="D359" s="121"/>
      <c r="E359" s="125">
        <v>151113.60000000001</v>
      </c>
      <c r="F359" s="117">
        <f t="shared" si="28"/>
        <v>0</v>
      </c>
      <c r="G359" s="118">
        <f t="shared" si="30"/>
        <v>0</v>
      </c>
      <c r="H359" s="118">
        <f t="shared" si="29"/>
        <v>906.6816</v>
      </c>
      <c r="I359" s="119">
        <f t="shared" si="31"/>
        <v>431329.21266999876</v>
      </c>
      <c r="J359" s="747"/>
      <c r="L359" s="123"/>
    </row>
    <row r="360" spans="1:16" ht="21" customHeight="1">
      <c r="A360" s="120">
        <v>44502</v>
      </c>
      <c r="B360" s="122"/>
      <c r="C360" s="123" t="s">
        <v>800</v>
      </c>
      <c r="D360" s="121"/>
      <c r="E360" s="124"/>
      <c r="F360" s="117">
        <f t="shared" si="28"/>
        <v>0</v>
      </c>
      <c r="G360" s="118">
        <f t="shared" si="30"/>
        <v>0</v>
      </c>
      <c r="H360" s="118">
        <f t="shared" si="29"/>
        <v>0</v>
      </c>
      <c r="I360" s="119">
        <f t="shared" si="31"/>
        <v>431329.21266999876</v>
      </c>
      <c r="J360" s="747"/>
      <c r="L360" s="123"/>
    </row>
    <row r="361" spans="1:16" ht="21" customHeight="1">
      <c r="A361" s="120">
        <v>44489</v>
      </c>
      <c r="B361" s="630" t="s">
        <v>718</v>
      </c>
      <c r="C361" s="133" t="s">
        <v>801</v>
      </c>
      <c r="D361" s="124"/>
      <c r="E361" s="125">
        <v>51995</v>
      </c>
      <c r="F361" s="117">
        <f t="shared" si="28"/>
        <v>0</v>
      </c>
      <c r="G361" s="118">
        <f t="shared" si="30"/>
        <v>0</v>
      </c>
      <c r="H361" s="118">
        <f t="shared" si="29"/>
        <v>311.97000000000003</v>
      </c>
      <c r="I361" s="119">
        <f t="shared" si="31"/>
        <v>379022.24266999878</v>
      </c>
      <c r="J361" s="747"/>
      <c r="L361" s="123"/>
    </row>
    <row r="362" spans="1:16" ht="21" customHeight="1">
      <c r="A362" s="120">
        <v>44503</v>
      </c>
      <c r="B362" s="122"/>
      <c r="C362" s="763" t="s">
        <v>802</v>
      </c>
      <c r="D362" s="125">
        <v>208398.5</v>
      </c>
      <c r="E362" s="124"/>
      <c r="F362" s="117">
        <f t="shared" si="28"/>
        <v>0</v>
      </c>
      <c r="G362" s="118">
        <f t="shared" si="30"/>
        <v>1250.3910000000001</v>
      </c>
      <c r="H362" s="118">
        <f t="shared" si="29"/>
        <v>0</v>
      </c>
      <c r="I362" s="119">
        <f t="shared" si="31"/>
        <v>586170.35166999884</v>
      </c>
      <c r="J362" s="747"/>
      <c r="L362" s="123"/>
    </row>
    <row r="363" spans="1:16" ht="21" customHeight="1">
      <c r="A363" s="120">
        <v>44490</v>
      </c>
      <c r="B363" s="122">
        <v>142</v>
      </c>
      <c r="C363" s="15" t="s">
        <v>756</v>
      </c>
      <c r="D363" s="124"/>
      <c r="E363" s="125">
        <v>300000</v>
      </c>
      <c r="F363" s="117">
        <f t="shared" si="28"/>
        <v>0</v>
      </c>
      <c r="G363" s="118">
        <f t="shared" si="30"/>
        <v>0</v>
      </c>
      <c r="H363" s="496">
        <f t="shared" si="29"/>
        <v>1800</v>
      </c>
      <c r="I363" s="119">
        <f t="shared" si="31"/>
        <v>284370.35166999884</v>
      </c>
      <c r="J363" s="747"/>
      <c r="L363" s="123"/>
    </row>
    <row r="364" spans="1:16" ht="21" customHeight="1">
      <c r="A364" s="120">
        <v>44495</v>
      </c>
      <c r="B364" s="122">
        <v>160</v>
      </c>
      <c r="C364" s="15" t="s">
        <v>803</v>
      </c>
      <c r="D364" s="124"/>
      <c r="E364" s="125">
        <v>300000</v>
      </c>
      <c r="F364" s="117">
        <f t="shared" si="28"/>
        <v>0</v>
      </c>
      <c r="G364" s="118">
        <f t="shared" si="30"/>
        <v>0</v>
      </c>
      <c r="H364" s="496">
        <f t="shared" si="29"/>
        <v>1800</v>
      </c>
      <c r="I364" s="119">
        <f t="shared" si="31"/>
        <v>-17429.648330001161</v>
      </c>
      <c r="J364" s="747"/>
      <c r="L364" s="123"/>
    </row>
    <row r="365" spans="1:16" ht="21" customHeight="1">
      <c r="A365" s="120">
        <v>44505</v>
      </c>
      <c r="B365" s="122"/>
      <c r="C365" s="583" t="s">
        <v>804</v>
      </c>
      <c r="D365" s="125">
        <v>30000</v>
      </c>
      <c r="E365" s="124"/>
      <c r="F365" s="117">
        <f t="shared" si="28"/>
        <v>0</v>
      </c>
      <c r="G365" s="496">
        <f t="shared" si="30"/>
        <v>180</v>
      </c>
      <c r="H365" s="118">
        <f t="shared" si="29"/>
        <v>0</v>
      </c>
      <c r="I365" s="119">
        <f t="shared" si="31"/>
        <v>12390.351669998839</v>
      </c>
      <c r="J365" s="747">
        <v>12390.16</v>
      </c>
      <c r="K365" s="119">
        <f>J365-I365</f>
        <v>-0.19166999883964309</v>
      </c>
      <c r="L365" s="123"/>
    </row>
    <row r="366" spans="1:16" ht="21" customHeight="1">
      <c r="A366" s="120">
        <v>44509</v>
      </c>
      <c r="B366" s="746"/>
      <c r="C366" s="583" t="s">
        <v>805</v>
      </c>
      <c r="D366" s="764">
        <v>500000</v>
      </c>
      <c r="E366" s="124"/>
      <c r="F366" s="117">
        <f t="shared" si="28"/>
        <v>0</v>
      </c>
      <c r="G366" s="496">
        <f t="shared" si="30"/>
        <v>3000</v>
      </c>
      <c r="H366" s="118">
        <f t="shared" si="29"/>
        <v>0</v>
      </c>
      <c r="I366" s="119">
        <f t="shared" si="31"/>
        <v>509390.35166999884</v>
      </c>
      <c r="J366" s="747"/>
      <c r="L366" s="123"/>
    </row>
    <row r="367" spans="1:16" ht="21" customHeight="1">
      <c r="A367" s="120">
        <v>44509</v>
      </c>
      <c r="B367" s="122"/>
      <c r="C367" s="583" t="s">
        <v>805</v>
      </c>
      <c r="D367" s="125">
        <v>500000</v>
      </c>
      <c r="E367" s="765"/>
      <c r="F367" s="117">
        <f t="shared" si="28"/>
        <v>0</v>
      </c>
      <c r="G367" s="496">
        <f t="shared" si="30"/>
        <v>3000</v>
      </c>
      <c r="H367" s="118">
        <f t="shared" si="29"/>
        <v>0</v>
      </c>
      <c r="I367" s="119">
        <f t="shared" si="31"/>
        <v>1006390.3516699988</v>
      </c>
      <c r="J367" s="747"/>
      <c r="L367" s="123"/>
    </row>
    <row r="368" spans="1:16" ht="21" customHeight="1">
      <c r="A368" s="120">
        <v>44489</v>
      </c>
      <c r="B368" s="122">
        <v>149</v>
      </c>
      <c r="C368" s="15" t="s">
        <v>756</v>
      </c>
      <c r="D368" s="124"/>
      <c r="E368" s="764">
        <v>400000</v>
      </c>
      <c r="F368" s="117">
        <f t="shared" si="28"/>
        <v>0</v>
      </c>
      <c r="G368" s="118">
        <f t="shared" si="30"/>
        <v>0</v>
      </c>
      <c r="H368" s="496">
        <f t="shared" si="29"/>
        <v>2400</v>
      </c>
      <c r="I368" s="119">
        <f t="shared" si="31"/>
        <v>603990.35166999884</v>
      </c>
      <c r="J368" s="747"/>
      <c r="L368" s="123"/>
    </row>
    <row r="369" spans="1:12" ht="21" customHeight="1">
      <c r="A369" s="120">
        <v>44481</v>
      </c>
      <c r="B369" s="122">
        <v>138</v>
      </c>
      <c r="C369" s="15" t="s">
        <v>734</v>
      </c>
      <c r="D369" s="124"/>
      <c r="E369" s="764">
        <v>302793.36</v>
      </c>
      <c r="F369" s="117">
        <f t="shared" si="28"/>
        <v>0</v>
      </c>
      <c r="G369" s="118">
        <f t="shared" si="30"/>
        <v>0</v>
      </c>
      <c r="H369" s="496">
        <f t="shared" si="29"/>
        <v>1816.76016</v>
      </c>
      <c r="I369" s="119">
        <f t="shared" si="31"/>
        <v>299380.23150999885</v>
      </c>
      <c r="J369" s="747"/>
      <c r="L369" s="123"/>
    </row>
    <row r="370" spans="1:12" ht="21" customHeight="1">
      <c r="A370" s="120">
        <v>44487</v>
      </c>
      <c r="B370" s="122">
        <v>144</v>
      </c>
      <c r="C370" s="15" t="s">
        <v>756</v>
      </c>
      <c r="D370" s="124"/>
      <c r="E370" s="764">
        <v>200000</v>
      </c>
      <c r="F370" s="117">
        <f t="shared" si="28"/>
        <v>0</v>
      </c>
      <c r="G370" s="118">
        <f t="shared" si="30"/>
        <v>0</v>
      </c>
      <c r="H370" s="496">
        <f t="shared" si="29"/>
        <v>1200</v>
      </c>
      <c r="I370" s="119">
        <f t="shared" si="31"/>
        <v>98180.231509998848</v>
      </c>
      <c r="J370" s="747"/>
      <c r="L370" s="123"/>
    </row>
    <row r="371" spans="1:12" ht="21" customHeight="1">
      <c r="A371" s="120">
        <v>44510</v>
      </c>
      <c r="B371" s="746"/>
      <c r="C371" s="15" t="s">
        <v>806</v>
      </c>
      <c r="D371" s="765"/>
      <c r="E371" s="125">
        <v>82.98</v>
      </c>
      <c r="F371" s="117">
        <f t="shared" si="28"/>
        <v>0</v>
      </c>
      <c r="G371" s="118">
        <f t="shared" si="30"/>
        <v>0</v>
      </c>
      <c r="H371" s="496">
        <f t="shared" si="29"/>
        <v>0.49788000000000004</v>
      </c>
      <c r="I371" s="119">
        <f t="shared" si="31"/>
        <v>98096.753629998857</v>
      </c>
      <c r="J371" s="747"/>
      <c r="L371" s="123"/>
    </row>
    <row r="372" spans="1:12" ht="21" customHeight="1">
      <c r="A372" s="120">
        <v>44510</v>
      </c>
      <c r="B372" s="122"/>
      <c r="C372" s="123" t="s">
        <v>807</v>
      </c>
      <c r="D372" s="121"/>
      <c r="E372" s="125">
        <v>17.43</v>
      </c>
      <c r="F372" s="117">
        <f t="shared" si="28"/>
        <v>0</v>
      </c>
      <c r="G372" s="118">
        <f t="shared" si="30"/>
        <v>0</v>
      </c>
      <c r="H372" s="496">
        <f t="shared" si="29"/>
        <v>0.10458000000000001</v>
      </c>
      <c r="I372" s="119">
        <f t="shared" si="31"/>
        <v>98079.219049998865</v>
      </c>
      <c r="J372" s="747">
        <v>98079.63</v>
      </c>
      <c r="L372" s="123"/>
    </row>
    <row r="373" spans="1:12" ht="21" customHeight="1">
      <c r="A373" s="120">
        <v>44510</v>
      </c>
      <c r="B373" s="122"/>
      <c r="C373" s="583" t="s">
        <v>808</v>
      </c>
      <c r="D373" s="125">
        <v>500000</v>
      </c>
      <c r="E373" s="124"/>
      <c r="F373" s="117">
        <f t="shared" si="28"/>
        <v>0</v>
      </c>
      <c r="G373" s="496">
        <f t="shared" si="30"/>
        <v>3000</v>
      </c>
      <c r="H373" s="118">
        <f t="shared" si="29"/>
        <v>0</v>
      </c>
      <c r="I373" s="119">
        <f t="shared" si="31"/>
        <v>595079.21904999891</v>
      </c>
      <c r="J373" s="747"/>
      <c r="L373" s="123"/>
    </row>
    <row r="374" spans="1:12" ht="21" customHeight="1">
      <c r="A374" s="120">
        <v>44510</v>
      </c>
      <c r="B374" s="122">
        <v>60</v>
      </c>
      <c r="C374" s="766" t="s">
        <v>780</v>
      </c>
      <c r="D374" s="121"/>
      <c r="E374" s="125">
        <v>500000</v>
      </c>
      <c r="F374" s="117">
        <f t="shared" ref="F374:F472" si="32">D374*0%</f>
        <v>0</v>
      </c>
      <c r="G374" s="118">
        <f t="shared" si="30"/>
        <v>0</v>
      </c>
      <c r="H374" s="496">
        <f t="shared" ref="H374:H472" si="33">E374*0.006+F374*0.006</f>
        <v>3000</v>
      </c>
      <c r="I374" s="119">
        <f t="shared" si="31"/>
        <v>92079.219049998908</v>
      </c>
      <c r="J374" s="747"/>
      <c r="L374" s="123"/>
    </row>
    <row r="375" spans="1:12" ht="21" customHeight="1">
      <c r="A375" s="120">
        <v>44540</v>
      </c>
      <c r="B375" s="122">
        <v>61</v>
      </c>
      <c r="C375" s="766" t="s">
        <v>777</v>
      </c>
      <c r="D375" s="121"/>
      <c r="E375" s="124">
        <v>0</v>
      </c>
      <c r="F375" s="117">
        <f>D375*0%</f>
        <v>0</v>
      </c>
      <c r="G375" s="118">
        <f>D375*0.006</f>
        <v>0</v>
      </c>
      <c r="H375" s="118">
        <f>E375*0.006+F375*0.006</f>
        <v>0</v>
      </c>
      <c r="I375" s="119">
        <f>I374+D375-E375-F375-G375-H375</f>
        <v>92079.219049998908</v>
      </c>
      <c r="J375" s="747"/>
      <c r="L375" s="123"/>
    </row>
    <row r="376" spans="1:12" ht="21" customHeight="1">
      <c r="A376" s="120">
        <v>44573</v>
      </c>
      <c r="B376" s="122">
        <v>64</v>
      </c>
      <c r="C376" s="766" t="s">
        <v>780</v>
      </c>
      <c r="D376" s="121"/>
      <c r="E376" s="124">
        <v>0</v>
      </c>
      <c r="F376" s="117">
        <f>D376*0%</f>
        <v>0</v>
      </c>
      <c r="G376" s="118">
        <f>D376*0.006</f>
        <v>0</v>
      </c>
      <c r="H376" s="118">
        <f>E376*0.006+F376*0.006</f>
        <v>0</v>
      </c>
      <c r="I376" s="119">
        <f>I375+D376-E376-F376-G376-H376</f>
        <v>92079.219049998908</v>
      </c>
      <c r="J376" s="747"/>
      <c r="L376" s="123"/>
    </row>
    <row r="377" spans="1:12" ht="21" customHeight="1">
      <c r="A377" s="120">
        <v>44602</v>
      </c>
      <c r="B377" s="122">
        <v>66</v>
      </c>
      <c r="C377" s="766" t="s">
        <v>780</v>
      </c>
      <c r="D377" s="121"/>
      <c r="E377" s="124">
        <v>0</v>
      </c>
      <c r="F377" s="117">
        <f t="shared" ref="F377:F406" si="34">D377*0%</f>
        <v>0</v>
      </c>
      <c r="G377" s="118">
        <f t="shared" ref="G377:G440" si="35">D377*0.006</f>
        <v>0</v>
      </c>
      <c r="H377" s="118">
        <f t="shared" ref="H377:H406" si="36">E377*0.006+F377*0.006</f>
        <v>0</v>
      </c>
      <c r="I377" s="119">
        <f t="shared" ref="I377:I440" si="37">I376+D377-E377-F377-G377-H377</f>
        <v>92079.219049998908</v>
      </c>
      <c r="J377" s="747"/>
      <c r="L377" s="123"/>
    </row>
    <row r="378" spans="1:12" ht="21" customHeight="1">
      <c r="A378" s="120">
        <v>44623</v>
      </c>
      <c r="B378" s="122">
        <v>67</v>
      </c>
      <c r="C378" s="766" t="s">
        <v>777</v>
      </c>
      <c r="D378" s="121"/>
      <c r="E378" s="124">
        <v>0</v>
      </c>
      <c r="F378" s="117">
        <f t="shared" si="34"/>
        <v>0</v>
      </c>
      <c r="G378" s="118">
        <f t="shared" si="35"/>
        <v>0</v>
      </c>
      <c r="H378" s="118">
        <f t="shared" si="36"/>
        <v>0</v>
      </c>
      <c r="I378" s="119">
        <f t="shared" si="37"/>
        <v>92079.219049998908</v>
      </c>
      <c r="J378" s="747"/>
      <c r="L378" s="123"/>
    </row>
    <row r="379" spans="1:12" ht="21" customHeight="1">
      <c r="A379" s="120">
        <v>44630</v>
      </c>
      <c r="B379" s="122">
        <v>68</v>
      </c>
      <c r="C379" s="766" t="s">
        <v>780</v>
      </c>
      <c r="D379" s="121"/>
      <c r="E379" s="124">
        <v>0</v>
      </c>
      <c r="F379" s="117">
        <f t="shared" si="34"/>
        <v>0</v>
      </c>
      <c r="G379" s="118">
        <f t="shared" si="35"/>
        <v>0</v>
      </c>
      <c r="H379" s="118">
        <f t="shared" si="36"/>
        <v>0</v>
      </c>
      <c r="I379" s="119">
        <f t="shared" si="37"/>
        <v>92079.219049998908</v>
      </c>
      <c r="J379" s="747"/>
      <c r="L379" s="123"/>
    </row>
    <row r="380" spans="1:12" ht="21" customHeight="1">
      <c r="A380" s="120">
        <v>44511</v>
      </c>
      <c r="B380" s="122"/>
      <c r="C380" s="754" t="s">
        <v>805</v>
      </c>
      <c r="D380" s="125">
        <v>400000</v>
      </c>
      <c r="E380" s="124"/>
      <c r="F380" s="117">
        <f t="shared" si="34"/>
        <v>0</v>
      </c>
      <c r="G380" s="496">
        <f t="shared" si="35"/>
        <v>2400</v>
      </c>
      <c r="H380" s="118">
        <f t="shared" si="36"/>
        <v>0</v>
      </c>
      <c r="I380" s="119">
        <f t="shared" si="37"/>
        <v>489679.21904999891</v>
      </c>
      <c r="J380" s="747"/>
      <c r="L380" s="123"/>
    </row>
    <row r="381" spans="1:12" ht="21" customHeight="1">
      <c r="A381" s="120">
        <v>44480</v>
      </c>
      <c r="B381" s="122">
        <v>133</v>
      </c>
      <c r="C381" s="15" t="s">
        <v>734</v>
      </c>
      <c r="D381" s="124"/>
      <c r="E381" s="125">
        <v>400000</v>
      </c>
      <c r="F381" s="117">
        <f t="shared" si="34"/>
        <v>0</v>
      </c>
      <c r="G381" s="118">
        <f t="shared" si="35"/>
        <v>0</v>
      </c>
      <c r="H381" s="496">
        <f t="shared" si="36"/>
        <v>2400</v>
      </c>
      <c r="I381" s="119">
        <f t="shared" si="37"/>
        <v>87279.219049998908</v>
      </c>
      <c r="J381" s="747"/>
      <c r="L381" s="123"/>
    </row>
    <row r="382" spans="1:12" ht="21" customHeight="1">
      <c r="A382" s="120">
        <v>44510</v>
      </c>
      <c r="B382" s="122">
        <v>139</v>
      </c>
      <c r="C382" s="15" t="s">
        <v>756</v>
      </c>
      <c r="D382" s="124"/>
      <c r="E382" s="125">
        <v>200000</v>
      </c>
      <c r="F382" s="117">
        <f t="shared" si="34"/>
        <v>0</v>
      </c>
      <c r="G382" s="118">
        <f t="shared" si="35"/>
        <v>0</v>
      </c>
      <c r="H382" s="496">
        <f t="shared" si="36"/>
        <v>1200</v>
      </c>
      <c r="I382" s="119">
        <f t="shared" si="37"/>
        <v>-113920.78095000109</v>
      </c>
      <c r="J382" s="747"/>
      <c r="L382" s="123"/>
    </row>
    <row r="383" spans="1:12" ht="21" customHeight="1">
      <c r="A383" s="120">
        <v>44511</v>
      </c>
      <c r="B383" s="122">
        <v>146</v>
      </c>
      <c r="C383" s="15" t="s">
        <v>756</v>
      </c>
      <c r="D383" s="124"/>
      <c r="E383" s="125">
        <v>300000</v>
      </c>
      <c r="F383" s="117">
        <f t="shared" si="34"/>
        <v>0</v>
      </c>
      <c r="G383" s="118">
        <f t="shared" si="35"/>
        <v>0</v>
      </c>
      <c r="H383" s="496">
        <f t="shared" si="36"/>
        <v>1800</v>
      </c>
      <c r="I383" s="119">
        <f t="shared" si="37"/>
        <v>-415720.78095000109</v>
      </c>
      <c r="J383" s="747"/>
      <c r="L383" s="123"/>
    </row>
    <row r="384" spans="1:12" ht="21" customHeight="1">
      <c r="A384" s="120">
        <v>44512</v>
      </c>
      <c r="B384" s="122"/>
      <c r="C384" s="583" t="s">
        <v>805</v>
      </c>
      <c r="D384" s="125">
        <v>550000</v>
      </c>
      <c r="E384" s="124"/>
      <c r="F384" s="117">
        <f t="shared" si="34"/>
        <v>0</v>
      </c>
      <c r="G384" s="496">
        <f t="shared" si="35"/>
        <v>3300</v>
      </c>
      <c r="H384" s="118">
        <f t="shared" si="36"/>
        <v>0</v>
      </c>
      <c r="I384" s="119">
        <f t="shared" si="37"/>
        <v>130979.21904999891</v>
      </c>
      <c r="J384" s="747"/>
      <c r="L384" s="123"/>
    </row>
    <row r="385" spans="1:12" ht="21" customHeight="1">
      <c r="A385" s="120">
        <v>44515</v>
      </c>
      <c r="B385" s="122"/>
      <c r="C385" s="123" t="s">
        <v>809</v>
      </c>
      <c r="D385" s="125">
        <v>122974.98</v>
      </c>
      <c r="E385" s="124"/>
      <c r="F385" s="117">
        <f t="shared" si="34"/>
        <v>0</v>
      </c>
      <c r="G385" s="118"/>
      <c r="H385" s="118">
        <f t="shared" si="36"/>
        <v>0</v>
      </c>
      <c r="I385" s="119">
        <f t="shared" si="37"/>
        <v>253954.19904999889</v>
      </c>
      <c r="J385" s="747"/>
      <c r="L385" s="123"/>
    </row>
    <row r="386" spans="1:12" ht="21" customHeight="1">
      <c r="A386" s="120">
        <v>44516</v>
      </c>
      <c r="B386" s="122"/>
      <c r="C386" s="15" t="s">
        <v>806</v>
      </c>
      <c r="D386" s="124"/>
      <c r="E386" s="125">
        <v>420</v>
      </c>
      <c r="F386" s="117">
        <f t="shared" si="34"/>
        <v>0</v>
      </c>
      <c r="G386" s="118">
        <f t="shared" si="35"/>
        <v>0</v>
      </c>
      <c r="H386" s="496">
        <f t="shared" si="36"/>
        <v>2.52</v>
      </c>
      <c r="I386" s="119">
        <f t="shared" si="37"/>
        <v>253531.6790499989</v>
      </c>
      <c r="J386" s="747"/>
      <c r="L386" s="123"/>
    </row>
    <row r="387" spans="1:12" ht="21" customHeight="1">
      <c r="A387" s="120">
        <v>44516</v>
      </c>
      <c r="B387" s="122"/>
      <c r="C387" s="15" t="s">
        <v>807</v>
      </c>
      <c r="D387" s="124"/>
      <c r="E387" s="125">
        <v>88.2</v>
      </c>
      <c r="F387" s="117">
        <f t="shared" si="34"/>
        <v>0</v>
      </c>
      <c r="G387" s="118">
        <f t="shared" si="35"/>
        <v>0</v>
      </c>
      <c r="H387" s="496">
        <f t="shared" si="36"/>
        <v>0.5292</v>
      </c>
      <c r="I387" s="119">
        <f t="shared" si="37"/>
        <v>253442.9498499989</v>
      </c>
      <c r="J387" s="747"/>
      <c r="L387" s="123"/>
    </row>
    <row r="388" spans="1:12" ht="21" customHeight="1">
      <c r="A388" s="120">
        <v>44488</v>
      </c>
      <c r="B388" s="122">
        <v>210</v>
      </c>
      <c r="C388" s="15" t="s">
        <v>810</v>
      </c>
      <c r="D388" s="124"/>
      <c r="E388" s="125">
        <v>211511</v>
      </c>
      <c r="F388" s="117">
        <f t="shared" si="34"/>
        <v>0</v>
      </c>
      <c r="G388" s="118">
        <f t="shared" si="35"/>
        <v>0</v>
      </c>
      <c r="H388" s="496">
        <f t="shared" si="36"/>
        <v>1269.066</v>
      </c>
      <c r="I388" s="119">
        <f t="shared" si="37"/>
        <v>40662.8838499989</v>
      </c>
      <c r="J388" s="747"/>
      <c r="L388" s="123"/>
    </row>
    <row r="389" spans="1:12" ht="21" customHeight="1">
      <c r="A389" s="120">
        <v>44488</v>
      </c>
      <c r="B389" s="122">
        <v>148</v>
      </c>
      <c r="C389" s="15" t="s">
        <v>756</v>
      </c>
      <c r="D389" s="124"/>
      <c r="E389" s="125">
        <v>300000</v>
      </c>
      <c r="F389" s="117">
        <f t="shared" si="34"/>
        <v>0</v>
      </c>
      <c r="G389" s="118">
        <f t="shared" si="35"/>
        <v>0</v>
      </c>
      <c r="H389" s="496">
        <f t="shared" si="36"/>
        <v>1800</v>
      </c>
      <c r="I389" s="119">
        <f t="shared" si="37"/>
        <v>-261137.11615000109</v>
      </c>
      <c r="J389" s="747"/>
      <c r="L389" s="123"/>
    </row>
    <row r="390" spans="1:12" ht="21" customHeight="1">
      <c r="A390" s="120">
        <v>44516</v>
      </c>
      <c r="B390" s="122"/>
      <c r="C390" s="583" t="s">
        <v>811</v>
      </c>
      <c r="D390" s="125">
        <v>400000</v>
      </c>
      <c r="E390" s="124"/>
      <c r="F390" s="117">
        <f t="shared" si="34"/>
        <v>0</v>
      </c>
      <c r="G390" s="496">
        <f t="shared" si="35"/>
        <v>2400</v>
      </c>
      <c r="H390" s="118">
        <f t="shared" si="36"/>
        <v>0</v>
      </c>
      <c r="I390" s="119">
        <f t="shared" si="37"/>
        <v>136462.88384999891</v>
      </c>
      <c r="J390" s="747"/>
      <c r="L390" s="123"/>
    </row>
    <row r="391" spans="1:12" ht="21" customHeight="1">
      <c r="A391" s="120">
        <v>44515</v>
      </c>
      <c r="B391" s="122">
        <v>143</v>
      </c>
      <c r="C391" s="15" t="s">
        <v>756</v>
      </c>
      <c r="D391" s="124"/>
      <c r="E391" s="125">
        <v>302793.36</v>
      </c>
      <c r="F391" s="117">
        <f t="shared" si="34"/>
        <v>0</v>
      </c>
      <c r="G391" s="118">
        <f t="shared" si="35"/>
        <v>0</v>
      </c>
      <c r="H391" s="496">
        <f t="shared" si="36"/>
        <v>1816.76016</v>
      </c>
      <c r="I391" s="119">
        <f t="shared" si="37"/>
        <v>-168147.23631000108</v>
      </c>
      <c r="J391" s="747"/>
      <c r="L391" s="123"/>
    </row>
    <row r="392" spans="1:12" ht="21" customHeight="1">
      <c r="A392" s="120">
        <v>44512</v>
      </c>
      <c r="B392" s="122">
        <v>147</v>
      </c>
      <c r="C392" s="15" t="s">
        <v>756</v>
      </c>
      <c r="D392" s="124"/>
      <c r="E392" s="125">
        <v>400000</v>
      </c>
      <c r="F392" s="117">
        <f t="shared" si="34"/>
        <v>0</v>
      </c>
      <c r="G392" s="118">
        <f t="shared" si="35"/>
        <v>0</v>
      </c>
      <c r="H392" s="496">
        <f t="shared" si="36"/>
        <v>2400</v>
      </c>
      <c r="I392" s="119">
        <f t="shared" si="37"/>
        <v>-570547.23631000111</v>
      </c>
      <c r="J392" s="747"/>
      <c r="L392" s="123"/>
    </row>
    <row r="393" spans="1:12" ht="21" customHeight="1">
      <c r="A393" s="120">
        <v>44517</v>
      </c>
      <c r="B393" s="767"/>
      <c r="C393" s="123" t="s">
        <v>812</v>
      </c>
      <c r="D393" s="125">
        <v>52197.69</v>
      </c>
      <c r="E393" s="124"/>
      <c r="F393" s="117">
        <f t="shared" si="34"/>
        <v>0</v>
      </c>
      <c r="G393" s="496">
        <f t="shared" si="35"/>
        <v>313.18614000000002</v>
      </c>
      <c r="H393" s="118">
        <f t="shared" si="36"/>
        <v>0</v>
      </c>
      <c r="I393" s="119">
        <f t="shared" si="37"/>
        <v>-518662.73245000112</v>
      </c>
      <c r="J393" s="747"/>
      <c r="L393" s="123"/>
    </row>
    <row r="394" spans="1:12" ht="21" customHeight="1">
      <c r="A394" s="120">
        <v>44517</v>
      </c>
      <c r="B394" s="767"/>
      <c r="C394" s="123" t="s">
        <v>812</v>
      </c>
      <c r="D394" s="125">
        <v>52000</v>
      </c>
      <c r="E394" s="124"/>
      <c r="F394" s="117">
        <f t="shared" si="34"/>
        <v>0</v>
      </c>
      <c r="G394" s="496">
        <f t="shared" si="35"/>
        <v>312</v>
      </c>
      <c r="H394" s="118">
        <f t="shared" si="36"/>
        <v>0</v>
      </c>
      <c r="I394" s="119">
        <f t="shared" si="37"/>
        <v>-466974.73245000112</v>
      </c>
      <c r="J394" s="747"/>
      <c r="L394" s="123"/>
    </row>
    <row r="395" spans="1:12" ht="21" customHeight="1">
      <c r="A395" s="120">
        <v>44517</v>
      </c>
      <c r="B395" s="767"/>
      <c r="C395" s="123" t="s">
        <v>812</v>
      </c>
      <c r="D395" s="125">
        <v>24200</v>
      </c>
      <c r="E395" s="124"/>
      <c r="F395" s="117">
        <f t="shared" si="34"/>
        <v>0</v>
      </c>
      <c r="G395" s="496">
        <f t="shared" si="35"/>
        <v>145.20000000000002</v>
      </c>
      <c r="H395" s="118">
        <f t="shared" si="36"/>
        <v>0</v>
      </c>
      <c r="I395" s="119">
        <f t="shared" si="37"/>
        <v>-442919.93245000113</v>
      </c>
      <c r="J395" s="747"/>
      <c r="L395" s="123"/>
    </row>
    <row r="396" spans="1:12" ht="21" customHeight="1">
      <c r="A396" s="120">
        <v>44517</v>
      </c>
      <c r="B396" s="767"/>
      <c r="C396" s="583" t="s">
        <v>811</v>
      </c>
      <c r="D396" s="125">
        <v>330000</v>
      </c>
      <c r="E396" s="124"/>
      <c r="F396" s="117">
        <f t="shared" si="34"/>
        <v>0</v>
      </c>
      <c r="G396" s="496">
        <f t="shared" si="35"/>
        <v>1980</v>
      </c>
      <c r="H396" s="118">
        <f t="shared" si="36"/>
        <v>0</v>
      </c>
      <c r="I396" s="119">
        <f t="shared" si="37"/>
        <v>-114899.93245000113</v>
      </c>
      <c r="J396" s="747"/>
      <c r="L396" s="123"/>
    </row>
    <row r="397" spans="1:12" ht="21" customHeight="1">
      <c r="A397" s="120">
        <v>44517</v>
      </c>
      <c r="B397" s="767"/>
      <c r="C397" s="583" t="s">
        <v>813</v>
      </c>
      <c r="D397" s="125">
        <v>370000</v>
      </c>
      <c r="E397" s="124"/>
      <c r="F397" s="117">
        <f t="shared" si="34"/>
        <v>0</v>
      </c>
      <c r="G397" s="496">
        <f t="shared" si="35"/>
        <v>2220</v>
      </c>
      <c r="H397" s="118">
        <f t="shared" si="36"/>
        <v>0</v>
      </c>
      <c r="I397" s="119">
        <f t="shared" si="37"/>
        <v>252880.06754999887</v>
      </c>
      <c r="J397" s="747"/>
      <c r="L397" s="123"/>
    </row>
    <row r="398" spans="1:12" ht="21" customHeight="1">
      <c r="A398" s="120">
        <v>44518</v>
      </c>
      <c r="B398" s="122"/>
      <c r="C398" s="15" t="s">
        <v>814</v>
      </c>
      <c r="D398" s="124"/>
      <c r="E398" s="125">
        <v>365.38</v>
      </c>
      <c r="F398" s="117">
        <f t="shared" si="34"/>
        <v>0</v>
      </c>
      <c r="G398" s="118">
        <f t="shared" si="35"/>
        <v>0</v>
      </c>
      <c r="H398" s="496">
        <f t="shared" si="36"/>
        <v>2.1922800000000002</v>
      </c>
      <c r="I398" s="119">
        <f t="shared" si="37"/>
        <v>252512.49526999888</v>
      </c>
      <c r="J398" s="747"/>
      <c r="L398" s="123"/>
    </row>
    <row r="399" spans="1:12" ht="21" customHeight="1">
      <c r="A399" s="120">
        <v>44518</v>
      </c>
      <c r="B399" s="122"/>
      <c r="C399" s="15" t="s">
        <v>807</v>
      </c>
      <c r="D399" s="124"/>
      <c r="E399" s="125">
        <v>76.73</v>
      </c>
      <c r="F399" s="117">
        <f t="shared" si="34"/>
        <v>0</v>
      </c>
      <c r="G399" s="118">
        <f t="shared" si="35"/>
        <v>0</v>
      </c>
      <c r="H399" s="496">
        <f t="shared" si="36"/>
        <v>0.46038000000000001</v>
      </c>
      <c r="I399" s="119">
        <f t="shared" si="37"/>
        <v>252435.30488999886</v>
      </c>
      <c r="J399" s="747"/>
      <c r="L399" s="123"/>
    </row>
    <row r="400" spans="1:12" ht="21" customHeight="1">
      <c r="A400" s="120">
        <v>44518</v>
      </c>
      <c r="B400" s="122"/>
      <c r="C400" s="15" t="s">
        <v>814</v>
      </c>
      <c r="D400" s="124"/>
      <c r="E400" s="125">
        <v>364</v>
      </c>
      <c r="F400" s="117">
        <f t="shared" si="34"/>
        <v>0</v>
      </c>
      <c r="G400" s="118">
        <f t="shared" si="35"/>
        <v>0</v>
      </c>
      <c r="H400" s="496">
        <f t="shared" si="36"/>
        <v>2.1840000000000002</v>
      </c>
      <c r="I400" s="119">
        <f t="shared" si="37"/>
        <v>252069.12088999886</v>
      </c>
      <c r="J400" s="747"/>
      <c r="L400" s="123"/>
    </row>
    <row r="401" spans="1:13" ht="21" customHeight="1">
      <c r="A401" s="120">
        <v>44518</v>
      </c>
      <c r="B401" s="122"/>
      <c r="C401" s="15" t="s">
        <v>807</v>
      </c>
      <c r="D401" s="124"/>
      <c r="E401" s="125">
        <v>76.44</v>
      </c>
      <c r="F401" s="117">
        <f t="shared" si="34"/>
        <v>0</v>
      </c>
      <c r="G401" s="118">
        <f t="shared" si="35"/>
        <v>0</v>
      </c>
      <c r="H401" s="496">
        <f t="shared" si="36"/>
        <v>0.45863999999999999</v>
      </c>
      <c r="I401" s="119">
        <f t="shared" si="37"/>
        <v>251992.22224999886</v>
      </c>
      <c r="J401" s="747"/>
      <c r="L401" s="123"/>
    </row>
    <row r="402" spans="1:13" ht="21" customHeight="1">
      <c r="A402" s="120">
        <v>44494</v>
      </c>
      <c r="B402" s="768">
        <v>151</v>
      </c>
      <c r="C402" s="128" t="s">
        <v>815</v>
      </c>
      <c r="D402" s="125">
        <v>400000</v>
      </c>
      <c r="E402" s="125">
        <v>400000</v>
      </c>
      <c r="F402" s="117">
        <f t="shared" si="34"/>
        <v>0</v>
      </c>
      <c r="G402" s="118"/>
      <c r="H402" s="496"/>
      <c r="I402" s="119">
        <f t="shared" si="37"/>
        <v>251992.22224999883</v>
      </c>
      <c r="J402" s="747"/>
      <c r="L402" s="123"/>
    </row>
    <row r="403" spans="1:13" ht="21" customHeight="1">
      <c r="A403" s="120">
        <v>44519</v>
      </c>
      <c r="B403" s="122"/>
      <c r="C403" s="15" t="s">
        <v>816</v>
      </c>
      <c r="D403" s="124"/>
      <c r="E403" s="125">
        <v>420</v>
      </c>
      <c r="F403" s="117">
        <f t="shared" si="34"/>
        <v>0</v>
      </c>
      <c r="G403" s="118">
        <f t="shared" si="35"/>
        <v>0</v>
      </c>
      <c r="H403" s="118">
        <f t="shared" si="36"/>
        <v>2.52</v>
      </c>
      <c r="I403" s="119">
        <f t="shared" si="37"/>
        <v>251569.70224999884</v>
      </c>
      <c r="J403" s="747"/>
      <c r="L403" s="123"/>
    </row>
    <row r="404" spans="1:13" ht="21" customHeight="1">
      <c r="A404" s="120">
        <v>44519</v>
      </c>
      <c r="B404" s="122"/>
      <c r="C404" s="15" t="s">
        <v>807</v>
      </c>
      <c r="D404" s="124"/>
      <c r="E404" s="125">
        <v>88.2</v>
      </c>
      <c r="F404" s="117">
        <f t="shared" si="34"/>
        <v>0</v>
      </c>
      <c r="G404" s="118">
        <f t="shared" si="35"/>
        <v>0</v>
      </c>
      <c r="H404" s="118">
        <f t="shared" si="36"/>
        <v>0.5292</v>
      </c>
      <c r="I404" s="119">
        <f t="shared" si="37"/>
        <v>251480.97304999884</v>
      </c>
      <c r="J404" s="747"/>
      <c r="L404" s="123"/>
      <c r="M404" s="683"/>
    </row>
    <row r="405" spans="1:13" ht="21" customHeight="1">
      <c r="A405" s="120">
        <v>44519</v>
      </c>
      <c r="B405" s="122"/>
      <c r="C405" s="754" t="s">
        <v>811</v>
      </c>
      <c r="D405" s="125">
        <v>800000</v>
      </c>
      <c r="E405" s="124"/>
      <c r="F405" s="117">
        <f t="shared" si="34"/>
        <v>0</v>
      </c>
      <c r="G405" s="496">
        <f t="shared" si="35"/>
        <v>4800</v>
      </c>
      <c r="H405" s="118">
        <f t="shared" si="36"/>
        <v>0</v>
      </c>
      <c r="I405" s="119">
        <f t="shared" si="37"/>
        <v>1046680.9730499987</v>
      </c>
      <c r="J405" s="747"/>
      <c r="L405" s="123"/>
    </row>
    <row r="406" spans="1:13" ht="21" customHeight="1">
      <c r="A406" s="120">
        <v>44519</v>
      </c>
      <c r="B406" s="122"/>
      <c r="C406" s="15" t="s">
        <v>816</v>
      </c>
      <c r="D406" s="124"/>
      <c r="E406" s="125">
        <v>420</v>
      </c>
      <c r="F406" s="117">
        <f t="shared" si="34"/>
        <v>0</v>
      </c>
      <c r="G406" s="118">
        <f t="shared" si="35"/>
        <v>0</v>
      </c>
      <c r="H406" s="496">
        <f t="shared" si="36"/>
        <v>2.52</v>
      </c>
      <c r="I406" s="119">
        <f t="shared" si="37"/>
        <v>1046258.4530499987</v>
      </c>
      <c r="J406" s="743"/>
      <c r="L406" s="123"/>
    </row>
    <row r="407" spans="1:13" ht="21" customHeight="1">
      <c r="A407" s="120">
        <v>44519</v>
      </c>
      <c r="B407" s="122"/>
      <c r="C407" s="15" t="s">
        <v>807</v>
      </c>
      <c r="D407" s="124"/>
      <c r="E407" s="125">
        <v>88.2</v>
      </c>
      <c r="F407" s="117">
        <f t="shared" si="32"/>
        <v>0</v>
      </c>
      <c r="G407" s="118">
        <f t="shared" si="35"/>
        <v>0</v>
      </c>
      <c r="H407" s="496">
        <f t="shared" si="33"/>
        <v>0.5292</v>
      </c>
      <c r="I407" s="119">
        <f t="shared" si="37"/>
        <v>1046169.7238499988</v>
      </c>
    </row>
    <row r="408" spans="1:13" ht="21" customHeight="1">
      <c r="A408" s="120">
        <v>44519</v>
      </c>
      <c r="B408" s="122"/>
      <c r="C408" s="15" t="s">
        <v>817</v>
      </c>
      <c r="D408" s="124"/>
      <c r="E408" s="125">
        <v>16000</v>
      </c>
      <c r="F408" s="117">
        <f t="shared" si="32"/>
        <v>0</v>
      </c>
      <c r="G408" s="118">
        <f t="shared" si="35"/>
        <v>0</v>
      </c>
      <c r="H408" s="496">
        <f t="shared" si="33"/>
        <v>96</v>
      </c>
      <c r="I408" s="119">
        <f t="shared" si="37"/>
        <v>1030073.7238499988</v>
      </c>
      <c r="J408" s="124">
        <v>12758.45</v>
      </c>
    </row>
    <row r="409" spans="1:13" ht="21" customHeight="1">
      <c r="A409" s="120">
        <v>44523</v>
      </c>
      <c r="B409" s="122"/>
      <c r="C409" s="15" t="s">
        <v>816</v>
      </c>
      <c r="D409" s="124"/>
      <c r="E409" s="125">
        <v>420</v>
      </c>
      <c r="F409" s="117">
        <f t="shared" si="32"/>
        <v>0</v>
      </c>
      <c r="G409" s="118">
        <f t="shared" si="35"/>
        <v>0</v>
      </c>
      <c r="H409" s="496">
        <f t="shared" si="33"/>
        <v>2.52</v>
      </c>
      <c r="I409" s="119">
        <f t="shared" si="37"/>
        <v>1029651.2038499988</v>
      </c>
      <c r="J409" s="124">
        <v>122270.87</v>
      </c>
    </row>
    <row r="410" spans="1:13" ht="21" customHeight="1">
      <c r="A410" s="120">
        <v>44523</v>
      </c>
      <c r="B410" s="122"/>
      <c r="C410" s="15" t="s">
        <v>807</v>
      </c>
      <c r="D410" s="124"/>
      <c r="E410" s="125">
        <v>88.2</v>
      </c>
      <c r="F410" s="117">
        <f t="shared" si="32"/>
        <v>0</v>
      </c>
      <c r="G410" s="118">
        <f t="shared" si="35"/>
        <v>0</v>
      </c>
      <c r="H410" s="496">
        <f t="shared" si="33"/>
        <v>0.5292</v>
      </c>
      <c r="I410" s="119">
        <f t="shared" si="37"/>
        <v>1029562.4746499988</v>
      </c>
      <c r="J410" s="124">
        <v>210757.55</v>
      </c>
    </row>
    <row r="411" spans="1:13" ht="21" customHeight="1">
      <c r="A411" s="120">
        <v>44523</v>
      </c>
      <c r="B411" s="122"/>
      <c r="C411" s="123" t="s">
        <v>818</v>
      </c>
      <c r="D411" s="124"/>
      <c r="E411" s="125">
        <v>18506.79</v>
      </c>
      <c r="F411" s="117">
        <f t="shared" si="32"/>
        <v>0</v>
      </c>
      <c r="G411" s="118">
        <f t="shared" si="35"/>
        <v>0</v>
      </c>
      <c r="H411" s="496">
        <f t="shared" si="33"/>
        <v>111.04074000000001</v>
      </c>
      <c r="I411" s="119">
        <f t="shared" si="37"/>
        <v>1010944.6439099988</v>
      </c>
      <c r="J411" s="124">
        <v>210757.55</v>
      </c>
    </row>
    <row r="412" spans="1:13" ht="21" customHeight="1">
      <c r="A412" s="120">
        <v>44517</v>
      </c>
      <c r="B412" s="122">
        <v>155</v>
      </c>
      <c r="C412" s="15" t="s">
        <v>803</v>
      </c>
      <c r="D412" s="124"/>
      <c r="E412" s="125">
        <v>200000</v>
      </c>
      <c r="F412" s="117">
        <f t="shared" si="32"/>
        <v>0</v>
      </c>
      <c r="G412" s="118">
        <f t="shared" si="35"/>
        <v>0</v>
      </c>
      <c r="H412" s="496">
        <f t="shared" si="33"/>
        <v>1200</v>
      </c>
      <c r="I412" s="119">
        <f t="shared" si="37"/>
        <v>809744.64390999882</v>
      </c>
    </row>
    <row r="413" spans="1:13" ht="21" customHeight="1">
      <c r="A413" s="120">
        <v>44518</v>
      </c>
      <c r="B413" s="122">
        <v>159</v>
      </c>
      <c r="C413" s="15" t="s">
        <v>803</v>
      </c>
      <c r="D413" s="124"/>
      <c r="E413" s="125">
        <v>300000</v>
      </c>
      <c r="F413" s="117">
        <f t="shared" si="32"/>
        <v>0</v>
      </c>
      <c r="G413" s="118">
        <f t="shared" si="35"/>
        <v>0</v>
      </c>
      <c r="H413" s="496">
        <f t="shared" si="33"/>
        <v>1800</v>
      </c>
      <c r="I413" s="119">
        <f t="shared" si="37"/>
        <v>507944.64390999882</v>
      </c>
    </row>
    <row r="414" spans="1:13" ht="21" customHeight="1">
      <c r="A414" s="120">
        <v>44519</v>
      </c>
      <c r="B414" s="122">
        <v>153</v>
      </c>
      <c r="C414" s="15" t="s">
        <v>803</v>
      </c>
      <c r="D414" s="124"/>
      <c r="E414" s="125">
        <v>400000</v>
      </c>
      <c r="F414" s="117">
        <f t="shared" si="32"/>
        <v>0</v>
      </c>
      <c r="G414" s="118">
        <f t="shared" si="35"/>
        <v>0</v>
      </c>
      <c r="H414" s="496">
        <f t="shared" si="33"/>
        <v>2400</v>
      </c>
      <c r="I414" s="119">
        <f t="shared" si="37"/>
        <v>105544.64390999882</v>
      </c>
    </row>
    <row r="415" spans="1:13" ht="21" customHeight="1">
      <c r="A415" s="120">
        <v>44523</v>
      </c>
      <c r="B415" s="122"/>
      <c r="C415" s="583" t="s">
        <v>819</v>
      </c>
      <c r="D415" s="125">
        <v>950000</v>
      </c>
      <c r="E415" s="124"/>
      <c r="F415" s="117">
        <f t="shared" si="32"/>
        <v>0</v>
      </c>
      <c r="G415" s="496">
        <f t="shared" si="35"/>
        <v>5700</v>
      </c>
      <c r="H415" s="118">
        <f t="shared" si="33"/>
        <v>0</v>
      </c>
      <c r="I415" s="119">
        <f t="shared" si="37"/>
        <v>1049844.6439099987</v>
      </c>
    </row>
    <row r="416" spans="1:13" ht="21" customHeight="1">
      <c r="A416" s="120">
        <v>44523</v>
      </c>
      <c r="B416" s="122"/>
      <c r="C416" s="583" t="s">
        <v>819</v>
      </c>
      <c r="D416" s="125">
        <v>950000</v>
      </c>
      <c r="E416" s="124"/>
      <c r="F416" s="117">
        <f t="shared" si="32"/>
        <v>0</v>
      </c>
      <c r="G416" s="496">
        <f t="shared" si="35"/>
        <v>5700</v>
      </c>
      <c r="H416" s="118">
        <f t="shared" si="33"/>
        <v>0</v>
      </c>
      <c r="I416" s="119">
        <f t="shared" si="37"/>
        <v>1994144.6439099987</v>
      </c>
    </row>
    <row r="417" spans="1:9" ht="21" customHeight="1">
      <c r="A417" s="120">
        <v>44522</v>
      </c>
      <c r="B417" s="122">
        <v>152</v>
      </c>
      <c r="C417" s="15" t="s">
        <v>803</v>
      </c>
      <c r="D417" s="124"/>
      <c r="E417" s="125">
        <v>300000</v>
      </c>
      <c r="F417" s="117">
        <f t="shared" si="32"/>
        <v>0</v>
      </c>
      <c r="G417" s="118">
        <f t="shared" si="35"/>
        <v>0</v>
      </c>
      <c r="H417" s="496">
        <f t="shared" si="33"/>
        <v>1800</v>
      </c>
      <c r="I417" s="119">
        <f t="shared" si="37"/>
        <v>1692344.6439099987</v>
      </c>
    </row>
    <row r="418" spans="1:9" ht="21" customHeight="1">
      <c r="A418" s="120">
        <v>44522</v>
      </c>
      <c r="B418" s="122">
        <v>174</v>
      </c>
      <c r="C418" s="15" t="s">
        <v>97</v>
      </c>
      <c r="D418" s="124"/>
      <c r="E418" s="125">
        <v>300000</v>
      </c>
      <c r="F418" s="117">
        <f t="shared" si="32"/>
        <v>0</v>
      </c>
      <c r="G418" s="118">
        <f t="shared" si="35"/>
        <v>0</v>
      </c>
      <c r="H418" s="496">
        <f t="shared" si="33"/>
        <v>1800</v>
      </c>
      <c r="I418" s="119">
        <f t="shared" si="37"/>
        <v>1390544.6439099987</v>
      </c>
    </row>
    <row r="419" spans="1:9" ht="21" customHeight="1">
      <c r="A419" s="120">
        <v>44523</v>
      </c>
      <c r="B419" s="122">
        <v>171</v>
      </c>
      <c r="C419" s="15" t="s">
        <v>97</v>
      </c>
      <c r="D419" s="124"/>
      <c r="E419" s="125">
        <v>400000</v>
      </c>
      <c r="F419" s="117">
        <f t="shared" si="32"/>
        <v>0</v>
      </c>
      <c r="G419" s="118">
        <f t="shared" si="35"/>
        <v>0</v>
      </c>
      <c r="H419" s="496">
        <f t="shared" si="33"/>
        <v>2400</v>
      </c>
      <c r="I419" s="119">
        <f t="shared" si="37"/>
        <v>988144.6439099987</v>
      </c>
    </row>
    <row r="420" spans="1:9" ht="21" customHeight="1">
      <c r="A420" s="120">
        <v>44496</v>
      </c>
      <c r="B420" s="122">
        <v>161</v>
      </c>
      <c r="C420" s="15" t="s">
        <v>803</v>
      </c>
      <c r="D420" s="124"/>
      <c r="E420" s="125">
        <v>400000</v>
      </c>
      <c r="F420" s="117">
        <f t="shared" si="32"/>
        <v>0</v>
      </c>
      <c r="G420" s="118">
        <f t="shared" si="35"/>
        <v>0</v>
      </c>
      <c r="H420" s="496">
        <f t="shared" si="33"/>
        <v>2400</v>
      </c>
      <c r="I420" s="119">
        <f t="shared" si="37"/>
        <v>585744.6439099987</v>
      </c>
    </row>
    <row r="421" spans="1:9" ht="21" customHeight="1">
      <c r="A421" s="120">
        <v>44525</v>
      </c>
      <c r="B421" s="122">
        <v>213</v>
      </c>
      <c r="C421" s="15" t="s">
        <v>820</v>
      </c>
      <c r="D421" s="124"/>
      <c r="E421" s="125">
        <v>400000</v>
      </c>
      <c r="F421" s="117">
        <f t="shared" si="32"/>
        <v>0</v>
      </c>
      <c r="G421" s="118">
        <f t="shared" si="35"/>
        <v>0</v>
      </c>
      <c r="H421" s="496">
        <f t="shared" si="33"/>
        <v>2400</v>
      </c>
      <c r="I421" s="119">
        <f t="shared" si="37"/>
        <v>183344.6439099987</v>
      </c>
    </row>
    <row r="422" spans="1:9" ht="21" customHeight="1">
      <c r="A422" s="120">
        <v>44524</v>
      </c>
      <c r="B422" s="122"/>
      <c r="C422" s="583" t="s">
        <v>819</v>
      </c>
      <c r="D422" s="125">
        <v>650000</v>
      </c>
      <c r="E422" s="124"/>
      <c r="F422" s="117">
        <f t="shared" si="32"/>
        <v>0</v>
      </c>
      <c r="G422" s="496">
        <f t="shared" si="35"/>
        <v>3900</v>
      </c>
      <c r="H422" s="118">
        <f t="shared" si="33"/>
        <v>0</v>
      </c>
      <c r="I422" s="119">
        <f t="shared" si="37"/>
        <v>829444.6439099987</v>
      </c>
    </row>
    <row r="423" spans="1:9" ht="21" customHeight="1">
      <c r="A423" s="120">
        <v>44524</v>
      </c>
      <c r="B423" s="122"/>
      <c r="C423" s="583" t="s">
        <v>819</v>
      </c>
      <c r="D423" s="125">
        <v>650000</v>
      </c>
      <c r="E423" s="124"/>
      <c r="F423" s="117">
        <f t="shared" si="32"/>
        <v>0</v>
      </c>
      <c r="G423" s="496">
        <f t="shared" si="35"/>
        <v>3900</v>
      </c>
      <c r="H423" s="118">
        <f t="shared" si="33"/>
        <v>0</v>
      </c>
      <c r="I423" s="119">
        <f t="shared" si="37"/>
        <v>1475544.6439099987</v>
      </c>
    </row>
    <row r="424" spans="1:9" ht="21" customHeight="1">
      <c r="A424" s="120">
        <v>44524</v>
      </c>
      <c r="B424" s="122"/>
      <c r="C424" s="15" t="s">
        <v>821</v>
      </c>
      <c r="D424" s="125">
        <v>8000</v>
      </c>
      <c r="E424" s="124"/>
      <c r="F424" s="117">
        <f t="shared" si="32"/>
        <v>0</v>
      </c>
      <c r="G424" s="496">
        <f t="shared" si="35"/>
        <v>48</v>
      </c>
      <c r="H424" s="118">
        <f t="shared" si="33"/>
        <v>0</v>
      </c>
      <c r="I424" s="119">
        <f t="shared" si="37"/>
        <v>1483496.6439099987</v>
      </c>
    </row>
    <row r="425" spans="1:9" ht="21" customHeight="1">
      <c r="A425" s="120">
        <v>44525</v>
      </c>
      <c r="B425" s="122"/>
      <c r="C425" s="583" t="s">
        <v>822</v>
      </c>
      <c r="D425" s="125">
        <v>350000</v>
      </c>
      <c r="E425" s="124"/>
      <c r="F425" s="117">
        <f t="shared" si="32"/>
        <v>0</v>
      </c>
      <c r="G425" s="496">
        <f t="shared" si="35"/>
        <v>2100</v>
      </c>
      <c r="H425" s="118">
        <f t="shared" si="33"/>
        <v>0</v>
      </c>
      <c r="I425" s="119">
        <f t="shared" si="37"/>
        <v>1831396.6439099987</v>
      </c>
    </row>
    <row r="426" spans="1:9" ht="21" customHeight="1">
      <c r="A426" s="120">
        <v>44525</v>
      </c>
      <c r="B426" s="122"/>
      <c r="C426" s="583" t="s">
        <v>819</v>
      </c>
      <c r="D426" s="125">
        <v>550000</v>
      </c>
      <c r="E426" s="124"/>
      <c r="F426" s="117">
        <f t="shared" si="32"/>
        <v>0</v>
      </c>
      <c r="G426" s="496">
        <f t="shared" si="35"/>
        <v>3300</v>
      </c>
      <c r="H426" s="118">
        <f t="shared" si="33"/>
        <v>0</v>
      </c>
      <c r="I426" s="119">
        <f t="shared" si="37"/>
        <v>2378096.6439099987</v>
      </c>
    </row>
    <row r="427" spans="1:9" ht="21" customHeight="1">
      <c r="A427" s="120">
        <v>44520</v>
      </c>
      <c r="B427" s="122">
        <v>50</v>
      </c>
      <c r="C427" s="15" t="s">
        <v>823</v>
      </c>
      <c r="D427" s="124"/>
      <c r="E427" s="125">
        <v>192258</v>
      </c>
      <c r="F427" s="117">
        <f t="shared" si="32"/>
        <v>0</v>
      </c>
      <c r="G427" s="118">
        <f t="shared" si="35"/>
        <v>0</v>
      </c>
      <c r="H427" s="496">
        <f t="shared" si="33"/>
        <v>1153.548</v>
      </c>
      <c r="I427" s="119">
        <f t="shared" si="37"/>
        <v>2184685.0959099988</v>
      </c>
    </row>
    <row r="428" spans="1:9" ht="21" customHeight="1">
      <c r="A428" s="120">
        <v>44524</v>
      </c>
      <c r="B428" s="122">
        <v>175</v>
      </c>
      <c r="C428" s="15" t="s">
        <v>97</v>
      </c>
      <c r="D428" s="124"/>
      <c r="E428" s="125">
        <v>400000</v>
      </c>
      <c r="F428" s="117">
        <f t="shared" si="32"/>
        <v>0</v>
      </c>
      <c r="G428" s="118">
        <f t="shared" si="35"/>
        <v>0</v>
      </c>
      <c r="H428" s="496">
        <f t="shared" si="33"/>
        <v>2400</v>
      </c>
      <c r="I428" s="119">
        <f t="shared" si="37"/>
        <v>1782285.0959099988</v>
      </c>
    </row>
    <row r="429" spans="1:9" ht="21" customHeight="1">
      <c r="A429" s="120">
        <v>44525</v>
      </c>
      <c r="B429" s="122">
        <v>166</v>
      </c>
      <c r="C429" s="15" t="s">
        <v>97</v>
      </c>
      <c r="D429" s="124"/>
      <c r="E429" s="125">
        <v>200000</v>
      </c>
      <c r="F429" s="117">
        <f t="shared" si="32"/>
        <v>0</v>
      </c>
      <c r="G429" s="118">
        <f t="shared" si="35"/>
        <v>0</v>
      </c>
      <c r="H429" s="496">
        <f t="shared" si="33"/>
        <v>1200</v>
      </c>
      <c r="I429" s="119">
        <f t="shared" si="37"/>
        <v>1581085.0959099988</v>
      </c>
    </row>
    <row r="430" spans="1:9" ht="21" customHeight="1">
      <c r="A430" s="120">
        <v>44530</v>
      </c>
      <c r="B430" s="122"/>
      <c r="C430" s="123" t="s">
        <v>824</v>
      </c>
      <c r="D430" s="124"/>
      <c r="E430" s="125">
        <v>11998.68</v>
      </c>
      <c r="F430" s="117">
        <f t="shared" si="32"/>
        <v>0</v>
      </c>
      <c r="G430" s="118">
        <f t="shared" si="35"/>
        <v>0</v>
      </c>
      <c r="H430" s="496">
        <f t="shared" si="33"/>
        <v>71.992080000000001</v>
      </c>
      <c r="I430" s="119">
        <f t="shared" si="37"/>
        <v>1569014.4238299988</v>
      </c>
    </row>
    <row r="431" spans="1:9" ht="21" customHeight="1">
      <c r="A431" s="120">
        <v>44526</v>
      </c>
      <c r="B431" s="122"/>
      <c r="C431" s="15" t="s">
        <v>825</v>
      </c>
      <c r="D431" s="124"/>
      <c r="E431" s="125">
        <f>607438.91+552500+48931.09-500000-594000-10000-885.63-6514.37</f>
        <v>97470.000000000233</v>
      </c>
      <c r="F431" s="117">
        <f t="shared" si="32"/>
        <v>0</v>
      </c>
      <c r="G431" s="118">
        <f t="shared" si="35"/>
        <v>0</v>
      </c>
      <c r="H431" s="496">
        <f t="shared" si="33"/>
        <v>584.82000000000141</v>
      </c>
      <c r="I431" s="119">
        <f t="shared" si="37"/>
        <v>1470959.6038299985</v>
      </c>
    </row>
    <row r="432" spans="1:9" ht="21" customHeight="1">
      <c r="A432" s="120">
        <v>44526</v>
      </c>
      <c r="B432" s="122"/>
      <c r="C432" s="15" t="s">
        <v>826</v>
      </c>
      <c r="D432" s="124"/>
      <c r="E432" s="125">
        <f>612500+658506.1-500000-594000-10751.12-5520</f>
        <v>160734.9800000001</v>
      </c>
      <c r="F432" s="117">
        <f t="shared" si="32"/>
        <v>0</v>
      </c>
      <c r="G432" s="118">
        <f t="shared" si="35"/>
        <v>0</v>
      </c>
      <c r="H432" s="496">
        <f t="shared" si="33"/>
        <v>964.40988000000061</v>
      </c>
      <c r="I432" s="119">
        <f t="shared" si="37"/>
        <v>1309260.2139499986</v>
      </c>
    </row>
    <row r="433" spans="1:11" ht="21" customHeight="1">
      <c r="A433" s="120">
        <v>44524</v>
      </c>
      <c r="B433" s="122">
        <v>40</v>
      </c>
      <c r="C433" s="15" t="s">
        <v>761</v>
      </c>
      <c r="D433" s="124"/>
      <c r="E433" s="125">
        <v>311613</v>
      </c>
      <c r="F433" s="117">
        <f t="shared" si="32"/>
        <v>0</v>
      </c>
      <c r="G433" s="118">
        <f t="shared" si="35"/>
        <v>0</v>
      </c>
      <c r="H433" s="496">
        <f t="shared" si="33"/>
        <v>1869.6780000000001</v>
      </c>
      <c r="I433" s="119">
        <f t="shared" si="37"/>
        <v>995777.53594999865</v>
      </c>
    </row>
    <row r="434" spans="1:11" ht="21" customHeight="1">
      <c r="A434" s="120">
        <v>44529</v>
      </c>
      <c r="B434" s="122"/>
      <c r="C434" s="15" t="s">
        <v>463</v>
      </c>
      <c r="D434" s="124"/>
      <c r="E434" s="125">
        <v>2030</v>
      </c>
      <c r="F434" s="117">
        <f t="shared" si="32"/>
        <v>0</v>
      </c>
      <c r="G434" s="118">
        <f t="shared" si="35"/>
        <v>0</v>
      </c>
      <c r="H434" s="496">
        <f t="shared" si="33"/>
        <v>12.18</v>
      </c>
      <c r="I434" s="119">
        <f t="shared" si="37"/>
        <v>993735.3559499986</v>
      </c>
    </row>
    <row r="435" spans="1:11" ht="21" customHeight="1">
      <c r="A435" s="120">
        <v>44529</v>
      </c>
      <c r="B435" s="122"/>
      <c r="C435" s="15" t="s">
        <v>107</v>
      </c>
      <c r="D435" s="124"/>
      <c r="E435" s="125">
        <v>30.45</v>
      </c>
      <c r="F435" s="117">
        <f t="shared" si="32"/>
        <v>0</v>
      </c>
      <c r="G435" s="118">
        <f t="shared" si="35"/>
        <v>0</v>
      </c>
      <c r="H435" s="496">
        <f t="shared" si="33"/>
        <v>0.1827</v>
      </c>
      <c r="I435" s="119">
        <f t="shared" si="37"/>
        <v>993704.72324999864</v>
      </c>
    </row>
    <row r="436" spans="1:11" ht="21" customHeight="1">
      <c r="A436" s="120">
        <v>44529</v>
      </c>
      <c r="B436" s="122"/>
      <c r="C436" s="15" t="s">
        <v>807</v>
      </c>
      <c r="D436"/>
      <c r="E436" s="125">
        <v>426.3</v>
      </c>
      <c r="F436" s="117">
        <f t="shared" si="32"/>
        <v>0</v>
      </c>
      <c r="G436" s="118">
        <f t="shared" si="35"/>
        <v>0</v>
      </c>
      <c r="H436" s="496">
        <f t="shared" si="33"/>
        <v>2.5578000000000003</v>
      </c>
      <c r="I436" s="119">
        <f t="shared" si="37"/>
        <v>993275.86544999864</v>
      </c>
    </row>
    <row r="437" spans="1:11" ht="21" customHeight="1">
      <c r="A437" s="120">
        <v>44529</v>
      </c>
      <c r="B437" s="122"/>
      <c r="C437" s="15" t="s">
        <v>107</v>
      </c>
      <c r="D437" s="124"/>
      <c r="E437" s="125">
        <v>60.9</v>
      </c>
      <c r="F437" s="117">
        <f t="shared" si="32"/>
        <v>0</v>
      </c>
      <c r="G437" s="118">
        <f t="shared" si="35"/>
        <v>0</v>
      </c>
      <c r="H437" s="496">
        <f t="shared" si="33"/>
        <v>0.3654</v>
      </c>
      <c r="I437" s="119">
        <f t="shared" si="37"/>
        <v>993214.60004999861</v>
      </c>
    </row>
    <row r="438" spans="1:11" ht="21" customHeight="1">
      <c r="A438" s="120">
        <v>44529</v>
      </c>
      <c r="B438" s="122"/>
      <c r="C438" s="15" t="s">
        <v>807</v>
      </c>
      <c r="D438" s="124"/>
      <c r="E438" s="125">
        <v>18.899999999999999</v>
      </c>
      <c r="F438" s="117">
        <f t="shared" si="32"/>
        <v>0</v>
      </c>
      <c r="G438" s="118">
        <f t="shared" si="35"/>
        <v>0</v>
      </c>
      <c r="H438" s="496">
        <f t="shared" si="33"/>
        <v>0.11339999999999999</v>
      </c>
      <c r="I438" s="119">
        <f t="shared" si="37"/>
        <v>993195.58664999856</v>
      </c>
    </row>
    <row r="439" spans="1:11" ht="21" customHeight="1">
      <c r="A439" s="120">
        <v>44529</v>
      </c>
      <c r="B439" s="122"/>
      <c r="C439" s="15" t="s">
        <v>460</v>
      </c>
      <c r="D439" s="124"/>
      <c r="E439" s="125">
        <v>90</v>
      </c>
      <c r="F439" s="117">
        <f t="shared" si="32"/>
        <v>0</v>
      </c>
      <c r="G439" s="118">
        <f t="shared" si="35"/>
        <v>0</v>
      </c>
      <c r="H439" s="496">
        <f t="shared" si="33"/>
        <v>0.54</v>
      </c>
      <c r="I439" s="119">
        <f t="shared" si="37"/>
        <v>993105.04664999852</v>
      </c>
      <c r="J439" s="501">
        <v>995501.75</v>
      </c>
      <c r="K439" s="119">
        <f>J439-I439</f>
        <v>2396.7033500014804</v>
      </c>
    </row>
    <row r="440" spans="1:11" ht="21" customHeight="1">
      <c r="A440" s="120"/>
      <c r="B440" s="122"/>
      <c r="C440" s="769" t="s">
        <v>827</v>
      </c>
      <c r="D440" s="124"/>
      <c r="E440" s="125">
        <v>28000</v>
      </c>
      <c r="F440" s="117">
        <f t="shared" si="32"/>
        <v>0</v>
      </c>
      <c r="G440" s="118">
        <f t="shared" si="35"/>
        <v>0</v>
      </c>
      <c r="H440" s="496">
        <f t="shared" si="33"/>
        <v>168</v>
      </c>
      <c r="I440" s="119">
        <f t="shared" si="37"/>
        <v>964937.04664999852</v>
      </c>
      <c r="J440" s="501">
        <v>965448.13</v>
      </c>
      <c r="K440" s="119">
        <f>J440-I440</f>
        <v>511.08335000148509</v>
      </c>
    </row>
    <row r="441" spans="1:11" ht="21" customHeight="1">
      <c r="A441" s="120"/>
      <c r="B441" s="122"/>
      <c r="C441" s="770"/>
      <c r="D441" s="124"/>
      <c r="E441" s="124"/>
      <c r="F441" s="117">
        <f t="shared" si="32"/>
        <v>0</v>
      </c>
      <c r="G441" s="118">
        <f t="shared" ref="G441:G504" si="38">D441*0.006</f>
        <v>0</v>
      </c>
      <c r="H441" s="118">
        <f t="shared" si="33"/>
        <v>0</v>
      </c>
      <c r="I441" s="119">
        <f t="shared" ref="I441:I504" si="39">I440+D441-E441-F441-G441-H441</f>
        <v>964937.04664999852</v>
      </c>
    </row>
    <row r="442" spans="1:11" ht="21" customHeight="1">
      <c r="A442" s="771" t="s">
        <v>828</v>
      </c>
      <c r="B442" s="772"/>
      <c r="C442" s="773"/>
      <c r="D442" s="774"/>
      <c r="E442" s="774"/>
      <c r="F442" s="775">
        <f t="shared" si="32"/>
        <v>0</v>
      </c>
      <c r="G442" s="775">
        <f t="shared" si="38"/>
        <v>0</v>
      </c>
      <c r="H442" s="775">
        <f t="shared" si="33"/>
        <v>0</v>
      </c>
      <c r="I442" s="776">
        <f t="shared" si="39"/>
        <v>964937.04664999852</v>
      </c>
      <c r="J442" s="777"/>
    </row>
    <row r="443" spans="1:11" ht="21" customHeight="1">
      <c r="A443" s="120"/>
      <c r="B443" s="122"/>
      <c r="C443" s="15"/>
      <c r="D443" s="124"/>
      <c r="E443" s="124"/>
      <c r="F443" s="117">
        <f t="shared" si="32"/>
        <v>0</v>
      </c>
      <c r="G443" s="118">
        <f t="shared" si="38"/>
        <v>0</v>
      </c>
      <c r="H443" s="118">
        <f t="shared" si="33"/>
        <v>0</v>
      </c>
      <c r="I443" s="119">
        <f t="shared" si="39"/>
        <v>964937.04664999852</v>
      </c>
    </row>
    <row r="444" spans="1:11" ht="21" customHeight="1">
      <c r="A444" s="120">
        <v>44532</v>
      </c>
      <c r="B444" s="122"/>
      <c r="C444" s="144" t="s">
        <v>829</v>
      </c>
      <c r="D444" s="124"/>
      <c r="E444" s="125">
        <v>584.92999999999995</v>
      </c>
      <c r="F444" s="117">
        <f t="shared" si="32"/>
        <v>0</v>
      </c>
      <c r="G444" s="118">
        <f t="shared" si="38"/>
        <v>0</v>
      </c>
      <c r="H444" s="496">
        <f t="shared" si="33"/>
        <v>3.5095799999999997</v>
      </c>
      <c r="I444" s="119">
        <f t="shared" si="39"/>
        <v>964348.60706999851</v>
      </c>
      <c r="J444" s="501">
        <v>964860.19</v>
      </c>
      <c r="K444" s="119">
        <f>J444-I444</f>
        <v>511.58293000143021</v>
      </c>
    </row>
    <row r="445" spans="1:11" ht="21" customHeight="1">
      <c r="A445" s="120">
        <v>44520</v>
      </c>
      <c r="B445" s="630" t="s">
        <v>718</v>
      </c>
      <c r="C445" s="133" t="s">
        <v>830</v>
      </c>
      <c r="D445" s="124"/>
      <c r="E445" s="125">
        <v>51995</v>
      </c>
      <c r="F445" s="117">
        <f t="shared" si="32"/>
        <v>0</v>
      </c>
      <c r="G445" s="118">
        <f t="shared" si="38"/>
        <v>0</v>
      </c>
      <c r="H445" s="118">
        <f t="shared" si="33"/>
        <v>311.97000000000003</v>
      </c>
      <c r="I445" s="119">
        <f t="shared" si="39"/>
        <v>912041.63706999854</v>
      </c>
    </row>
    <row r="446" spans="1:11" ht="21" customHeight="1">
      <c r="A446" s="120">
        <v>44537</v>
      </c>
      <c r="B446" s="122" t="s">
        <v>831</v>
      </c>
      <c r="C446" s="123" t="s">
        <v>802</v>
      </c>
      <c r="D446" s="125">
        <v>217425.66</v>
      </c>
      <c r="E446" s="124"/>
      <c r="F446" s="117">
        <f t="shared" si="32"/>
        <v>0</v>
      </c>
      <c r="G446" s="118">
        <f t="shared" si="38"/>
        <v>1304.55396</v>
      </c>
      <c r="H446" s="118">
        <f t="shared" si="33"/>
        <v>0</v>
      </c>
      <c r="I446" s="119">
        <f t="shared" si="39"/>
        <v>1128162.7431099985</v>
      </c>
    </row>
    <row r="447" spans="1:11" ht="21" customHeight="1">
      <c r="A447" s="120">
        <v>44537</v>
      </c>
      <c r="B447" s="122"/>
      <c r="C447" s="583" t="s">
        <v>832</v>
      </c>
      <c r="D447" s="125">
        <v>200000</v>
      </c>
      <c r="E447" s="124"/>
      <c r="F447" s="117">
        <f t="shared" si="32"/>
        <v>0</v>
      </c>
      <c r="G447" s="118">
        <f t="shared" si="38"/>
        <v>1200</v>
      </c>
      <c r="H447" s="118">
        <f t="shared" si="33"/>
        <v>0</v>
      </c>
      <c r="I447" s="119">
        <f t="shared" si="39"/>
        <v>1326962.7431099985</v>
      </c>
      <c r="J447" s="197"/>
    </row>
    <row r="448" spans="1:11" ht="21" customHeight="1">
      <c r="A448" s="120">
        <v>44537</v>
      </c>
      <c r="B448" s="122"/>
      <c r="C448" s="583" t="s">
        <v>832</v>
      </c>
      <c r="D448" s="125">
        <v>200000</v>
      </c>
      <c r="E448" s="124"/>
      <c r="F448" s="117">
        <f t="shared" si="32"/>
        <v>0</v>
      </c>
      <c r="G448" s="118">
        <f t="shared" si="38"/>
        <v>1200</v>
      </c>
      <c r="H448" s="118">
        <f t="shared" si="33"/>
        <v>0</v>
      </c>
      <c r="I448" s="119">
        <f t="shared" si="39"/>
        <v>1525762.7431099985</v>
      </c>
      <c r="J448" s="124"/>
    </row>
    <row r="449" spans="1:12" ht="21" customHeight="1">
      <c r="A449" s="120">
        <v>44536</v>
      </c>
      <c r="B449" s="122">
        <v>156</v>
      </c>
      <c r="C449" s="15" t="s">
        <v>803</v>
      </c>
      <c r="D449" s="124"/>
      <c r="E449" s="778">
        <v>200000</v>
      </c>
      <c r="F449" s="117">
        <f t="shared" si="32"/>
        <v>0</v>
      </c>
      <c r="G449" s="118">
        <f t="shared" si="38"/>
        <v>0</v>
      </c>
      <c r="H449" s="496">
        <f t="shared" si="33"/>
        <v>1200</v>
      </c>
      <c r="I449" s="119">
        <f t="shared" si="39"/>
        <v>1324562.7431099985</v>
      </c>
      <c r="J449" s="124"/>
    </row>
    <row r="450" spans="1:12" ht="21" customHeight="1">
      <c r="A450" s="120">
        <v>44537</v>
      </c>
      <c r="B450" s="122">
        <v>158</v>
      </c>
      <c r="C450" s="15" t="s">
        <v>803</v>
      </c>
      <c r="D450" s="121"/>
      <c r="E450" s="778">
        <v>300000</v>
      </c>
      <c r="F450" s="117">
        <f t="shared" si="32"/>
        <v>0</v>
      </c>
      <c r="G450" s="118">
        <f t="shared" si="38"/>
        <v>0</v>
      </c>
      <c r="H450" s="496">
        <f t="shared" si="33"/>
        <v>1800</v>
      </c>
      <c r="I450" s="119">
        <f t="shared" si="39"/>
        <v>1022762.7431099985</v>
      </c>
      <c r="J450" s="124"/>
    </row>
    <row r="451" spans="1:12" ht="21" customHeight="1">
      <c r="A451" s="120">
        <v>44538</v>
      </c>
      <c r="B451" s="122">
        <v>150</v>
      </c>
      <c r="C451" s="15" t="s">
        <v>803</v>
      </c>
      <c r="D451" s="121"/>
      <c r="E451" s="778">
        <v>400000</v>
      </c>
      <c r="F451" s="117">
        <f t="shared" si="32"/>
        <v>0</v>
      </c>
      <c r="G451" s="118">
        <f t="shared" si="38"/>
        <v>0</v>
      </c>
      <c r="H451" s="496">
        <f t="shared" si="33"/>
        <v>2400</v>
      </c>
      <c r="I451" s="119">
        <f t="shared" si="39"/>
        <v>620362.74310999853</v>
      </c>
      <c r="J451" s="119"/>
    </row>
    <row r="452" spans="1:12" ht="21" customHeight="1">
      <c r="A452" s="120">
        <v>44539</v>
      </c>
      <c r="B452" s="122">
        <v>154</v>
      </c>
      <c r="C452" s="15" t="s">
        <v>803</v>
      </c>
      <c r="D452" s="121"/>
      <c r="E452" s="778">
        <v>302793.36</v>
      </c>
      <c r="F452" s="117">
        <f t="shared" si="32"/>
        <v>0</v>
      </c>
      <c r="G452" s="118">
        <f t="shared" si="38"/>
        <v>0</v>
      </c>
      <c r="H452" s="496">
        <f t="shared" si="33"/>
        <v>1816.76016</v>
      </c>
      <c r="I452" s="119">
        <f t="shared" si="39"/>
        <v>315752.62294999853</v>
      </c>
      <c r="J452" s="119"/>
    </row>
    <row r="453" spans="1:12" ht="21" customHeight="1">
      <c r="A453" s="120">
        <v>44543</v>
      </c>
      <c r="B453" s="122"/>
      <c r="C453" s="583" t="s">
        <v>833</v>
      </c>
      <c r="D453" s="125">
        <v>800000</v>
      </c>
      <c r="E453" s="616"/>
      <c r="F453" s="117">
        <f t="shared" si="32"/>
        <v>0</v>
      </c>
      <c r="G453" s="496">
        <f t="shared" si="38"/>
        <v>4800</v>
      </c>
      <c r="H453" s="118">
        <f t="shared" si="33"/>
        <v>0</v>
      </c>
      <c r="I453" s="119">
        <f t="shared" si="39"/>
        <v>1110952.6229499986</v>
      </c>
      <c r="J453" s="119"/>
    </row>
    <row r="454" spans="1:12" ht="21" customHeight="1">
      <c r="A454" s="120">
        <v>44543</v>
      </c>
      <c r="B454" s="122"/>
      <c r="C454" s="123" t="s">
        <v>834</v>
      </c>
      <c r="D454" s="125">
        <v>72153.97</v>
      </c>
      <c r="E454" s="616"/>
      <c r="F454" s="117">
        <f t="shared" si="32"/>
        <v>0</v>
      </c>
      <c r="G454" s="496">
        <f t="shared" si="38"/>
        <v>432.92382000000003</v>
      </c>
      <c r="H454" s="118">
        <f t="shared" si="33"/>
        <v>0</v>
      </c>
      <c r="I454" s="119">
        <f t="shared" si="39"/>
        <v>1182673.6691299987</v>
      </c>
    </row>
    <row r="455" spans="1:12" ht="21" customHeight="1">
      <c r="A455" s="120">
        <v>44543</v>
      </c>
      <c r="B455" s="122"/>
      <c r="C455" s="123" t="s">
        <v>834</v>
      </c>
      <c r="D455" s="124"/>
      <c r="E455" s="125">
        <v>72153.97</v>
      </c>
      <c r="F455" s="117">
        <f t="shared" si="32"/>
        <v>0</v>
      </c>
      <c r="G455" s="118">
        <f t="shared" si="38"/>
        <v>0</v>
      </c>
      <c r="H455" s="496">
        <f t="shared" si="33"/>
        <v>432.92382000000003</v>
      </c>
      <c r="I455" s="119">
        <f t="shared" si="39"/>
        <v>1110086.7753099988</v>
      </c>
    </row>
    <row r="456" spans="1:12" ht="21" customHeight="1">
      <c r="A456" s="120">
        <v>44544</v>
      </c>
      <c r="B456" s="122">
        <v>62</v>
      </c>
      <c r="C456" s="123" t="s">
        <v>780</v>
      </c>
      <c r="D456" s="121"/>
      <c r="E456" s="778">
        <v>500000</v>
      </c>
      <c r="F456" s="117">
        <f t="shared" si="32"/>
        <v>0</v>
      </c>
      <c r="G456" s="118">
        <f t="shared" si="38"/>
        <v>0</v>
      </c>
      <c r="H456" s="496">
        <f t="shared" si="33"/>
        <v>3000</v>
      </c>
      <c r="I456" s="119">
        <f t="shared" si="39"/>
        <v>607086.77530999877</v>
      </c>
    </row>
    <row r="457" spans="1:12" ht="21" customHeight="1">
      <c r="A457" s="120">
        <v>44545</v>
      </c>
      <c r="B457" s="122"/>
      <c r="C457" s="583" t="s">
        <v>835</v>
      </c>
      <c r="D457" s="778">
        <v>500000</v>
      </c>
      <c r="E457" s="121"/>
      <c r="F457" s="117">
        <f t="shared" si="32"/>
        <v>0</v>
      </c>
      <c r="G457" s="496">
        <f t="shared" si="38"/>
        <v>3000</v>
      </c>
      <c r="H457" s="118">
        <f t="shared" si="33"/>
        <v>0</v>
      </c>
      <c r="I457" s="119">
        <f t="shared" si="39"/>
        <v>1104086.7753099988</v>
      </c>
    </row>
    <row r="458" spans="1:12" ht="21" customHeight="1">
      <c r="A458" s="120">
        <v>44545</v>
      </c>
      <c r="B458" s="122">
        <v>6</v>
      </c>
      <c r="C458" s="123" t="s">
        <v>836</v>
      </c>
      <c r="D458" s="778">
        <v>128301.86</v>
      </c>
      <c r="E458" s="121"/>
      <c r="F458" s="117">
        <f t="shared" si="32"/>
        <v>0</v>
      </c>
      <c r="G458" s="118">
        <f t="shared" si="38"/>
        <v>769.81115999999997</v>
      </c>
      <c r="H458" s="118">
        <f t="shared" si="33"/>
        <v>0</v>
      </c>
      <c r="I458" s="119">
        <f t="shared" si="39"/>
        <v>1231618.8241499988</v>
      </c>
      <c r="K458" s="137"/>
      <c r="L458" s="779"/>
    </row>
    <row r="459" spans="1:12" ht="21" customHeight="1">
      <c r="A459" s="120">
        <v>44545</v>
      </c>
      <c r="B459" s="122"/>
      <c r="C459" s="123" t="s">
        <v>837</v>
      </c>
      <c r="D459" s="145"/>
      <c r="E459" s="778">
        <v>33671.120000000003</v>
      </c>
      <c r="F459" s="117">
        <f t="shared" si="32"/>
        <v>0</v>
      </c>
      <c r="G459" s="118">
        <f t="shared" si="38"/>
        <v>0</v>
      </c>
      <c r="H459" s="496">
        <f t="shared" si="33"/>
        <v>202.02672000000001</v>
      </c>
      <c r="I459" s="119">
        <f t="shared" si="39"/>
        <v>1197745.6774299988</v>
      </c>
      <c r="K459" s="137"/>
      <c r="L459" s="779"/>
    </row>
    <row r="460" spans="1:12" ht="21" customHeight="1">
      <c r="A460" s="120">
        <v>44546</v>
      </c>
      <c r="B460" s="122"/>
      <c r="C460" s="123" t="s">
        <v>838</v>
      </c>
      <c r="D460" s="121"/>
      <c r="E460" s="778">
        <v>3994.28</v>
      </c>
      <c r="F460" s="117">
        <f t="shared" si="32"/>
        <v>0</v>
      </c>
      <c r="G460" s="118">
        <f t="shared" si="38"/>
        <v>0</v>
      </c>
      <c r="H460" s="496">
        <f t="shared" si="33"/>
        <v>23.965680000000003</v>
      </c>
      <c r="I460" s="119">
        <f t="shared" si="39"/>
        <v>1193727.4317499988</v>
      </c>
      <c r="K460" s="137"/>
      <c r="L460" s="779"/>
    </row>
    <row r="461" spans="1:12" ht="21" customHeight="1">
      <c r="A461" s="120">
        <v>44546</v>
      </c>
      <c r="B461" s="122"/>
      <c r="C461" s="583" t="s">
        <v>833</v>
      </c>
      <c r="D461" s="778">
        <v>800000</v>
      </c>
      <c r="E461" s="121"/>
      <c r="F461" s="117">
        <f t="shared" si="32"/>
        <v>0</v>
      </c>
      <c r="G461" s="496">
        <f t="shared" si="38"/>
        <v>4800</v>
      </c>
      <c r="H461" s="118">
        <f t="shared" si="33"/>
        <v>0</v>
      </c>
      <c r="I461" s="119">
        <f t="shared" si="39"/>
        <v>1988927.4317499988</v>
      </c>
      <c r="K461" s="137"/>
      <c r="L461" s="779"/>
    </row>
    <row r="462" spans="1:12" ht="21" customHeight="1">
      <c r="A462" s="120">
        <v>44545</v>
      </c>
      <c r="B462" s="122">
        <v>168</v>
      </c>
      <c r="C462" s="15" t="s">
        <v>97</v>
      </c>
      <c r="D462" s="121"/>
      <c r="E462" s="778">
        <v>400000</v>
      </c>
      <c r="F462" s="117">
        <f t="shared" si="32"/>
        <v>0</v>
      </c>
      <c r="G462" s="118">
        <f t="shared" si="38"/>
        <v>0</v>
      </c>
      <c r="H462" s="496">
        <f t="shared" si="33"/>
        <v>2400</v>
      </c>
      <c r="I462" s="119">
        <f t="shared" si="39"/>
        <v>1586527.4317499988</v>
      </c>
      <c r="K462" s="137"/>
      <c r="L462" s="779"/>
    </row>
    <row r="463" spans="1:12" ht="21" customHeight="1">
      <c r="A463" s="120">
        <v>44546</v>
      </c>
      <c r="B463" s="122">
        <v>165</v>
      </c>
      <c r="C463" s="15" t="s">
        <v>97</v>
      </c>
      <c r="D463" s="121"/>
      <c r="E463" s="778">
        <v>300000</v>
      </c>
      <c r="F463" s="117">
        <f t="shared" si="32"/>
        <v>0</v>
      </c>
      <c r="G463" s="118">
        <f t="shared" si="38"/>
        <v>0</v>
      </c>
      <c r="H463" s="496">
        <f t="shared" si="33"/>
        <v>1800</v>
      </c>
      <c r="I463" s="119">
        <f t="shared" si="39"/>
        <v>1284727.4317499988</v>
      </c>
      <c r="K463" s="137"/>
      <c r="L463" s="779"/>
    </row>
    <row r="464" spans="1:12" ht="21" customHeight="1">
      <c r="A464" s="120">
        <v>44546</v>
      </c>
      <c r="B464" s="122">
        <v>226</v>
      </c>
      <c r="C464" s="15" t="s">
        <v>103</v>
      </c>
      <c r="D464" s="121"/>
      <c r="E464" s="778">
        <v>568000</v>
      </c>
      <c r="F464" s="117">
        <f t="shared" si="32"/>
        <v>0</v>
      </c>
      <c r="G464" s="118">
        <f t="shared" si="38"/>
        <v>0</v>
      </c>
      <c r="H464" s="496">
        <f t="shared" si="33"/>
        <v>3408</v>
      </c>
      <c r="I464" s="119">
        <f t="shared" si="39"/>
        <v>713319.43174999882</v>
      </c>
      <c r="K464" s="137"/>
      <c r="L464" s="779"/>
    </row>
    <row r="465" spans="1:19" ht="21" customHeight="1">
      <c r="A465" s="120">
        <v>44544</v>
      </c>
      <c r="B465" s="122">
        <v>163</v>
      </c>
      <c r="C465" s="15" t="s">
        <v>97</v>
      </c>
      <c r="D465" s="121"/>
      <c r="E465" s="778">
        <v>300000</v>
      </c>
      <c r="F465" s="117">
        <f t="shared" si="32"/>
        <v>0</v>
      </c>
      <c r="G465" s="118">
        <f t="shared" si="38"/>
        <v>0</v>
      </c>
      <c r="H465" s="496">
        <f t="shared" si="33"/>
        <v>1800</v>
      </c>
      <c r="I465" s="119">
        <f t="shared" si="39"/>
        <v>411519.43174999882</v>
      </c>
      <c r="K465" s="137"/>
      <c r="L465" s="779"/>
    </row>
    <row r="466" spans="1:19" ht="21" customHeight="1">
      <c r="A466" s="120">
        <v>44547</v>
      </c>
      <c r="B466" s="122"/>
      <c r="C466" s="583" t="s">
        <v>832</v>
      </c>
      <c r="D466" s="778">
        <v>600000</v>
      </c>
      <c r="E466" s="124"/>
      <c r="F466" s="117">
        <f t="shared" si="32"/>
        <v>0</v>
      </c>
      <c r="G466" s="496">
        <f t="shared" si="38"/>
        <v>3600</v>
      </c>
      <c r="H466" s="118">
        <f t="shared" si="33"/>
        <v>0</v>
      </c>
      <c r="I466" s="119">
        <f t="shared" si="39"/>
        <v>1007919.4317499988</v>
      </c>
      <c r="K466" s="137"/>
      <c r="L466" s="779"/>
    </row>
    <row r="467" spans="1:19" customFormat="1" ht="21" customHeight="1">
      <c r="A467" s="120">
        <v>44547</v>
      </c>
      <c r="B467" s="122"/>
      <c r="C467" s="583" t="s">
        <v>832</v>
      </c>
      <c r="D467" s="778">
        <v>600000</v>
      </c>
      <c r="E467" s="124"/>
      <c r="F467" s="117">
        <f t="shared" si="32"/>
        <v>0</v>
      </c>
      <c r="G467" s="496">
        <f t="shared" si="38"/>
        <v>3600</v>
      </c>
      <c r="H467" s="118">
        <f t="shared" si="33"/>
        <v>0</v>
      </c>
      <c r="I467" s="119">
        <f t="shared" si="39"/>
        <v>1604319.4317499988</v>
      </c>
    </row>
    <row r="468" spans="1:19" customFormat="1" ht="21" customHeight="1">
      <c r="A468" s="120">
        <v>44547</v>
      </c>
      <c r="B468" s="122">
        <v>227</v>
      </c>
      <c r="C468" s="15" t="s">
        <v>103</v>
      </c>
      <c r="D468" s="121"/>
      <c r="E468" s="778">
        <v>568000</v>
      </c>
      <c r="F468" s="117">
        <f t="shared" si="32"/>
        <v>0</v>
      </c>
      <c r="G468" s="118">
        <f t="shared" si="38"/>
        <v>0</v>
      </c>
      <c r="H468" s="496">
        <f t="shared" si="33"/>
        <v>3408</v>
      </c>
      <c r="I468" s="119">
        <f t="shared" si="39"/>
        <v>1032911.4317499988</v>
      </c>
    </row>
    <row r="469" spans="1:19" customFormat="1" ht="21" customHeight="1">
      <c r="A469" s="120">
        <v>44547</v>
      </c>
      <c r="B469" s="122">
        <v>28413822</v>
      </c>
      <c r="C469" s="15" t="s">
        <v>839</v>
      </c>
      <c r="D469" s="125">
        <v>322545</v>
      </c>
      <c r="E469" s="124"/>
      <c r="F469" s="117">
        <f t="shared" si="32"/>
        <v>0</v>
      </c>
      <c r="G469" s="495">
        <f t="shared" si="38"/>
        <v>1935.27</v>
      </c>
      <c r="H469" s="118">
        <f t="shared" si="33"/>
        <v>0</v>
      </c>
      <c r="I469" s="119">
        <f t="shared" si="39"/>
        <v>1353521.1617499988</v>
      </c>
    </row>
    <row r="470" spans="1:19" customFormat="1" ht="21" customHeight="1">
      <c r="A470" s="120">
        <v>44550</v>
      </c>
      <c r="B470" s="122"/>
      <c r="C470" s="583" t="s">
        <v>840</v>
      </c>
      <c r="D470" s="780">
        <v>400000</v>
      </c>
      <c r="E470" s="124"/>
      <c r="F470" s="117">
        <f t="shared" si="32"/>
        <v>0</v>
      </c>
      <c r="G470" s="496">
        <f t="shared" si="38"/>
        <v>2400</v>
      </c>
      <c r="H470" s="118">
        <f t="shared" si="33"/>
        <v>0</v>
      </c>
      <c r="I470" s="119">
        <f t="shared" si="39"/>
        <v>1751121.1617499988</v>
      </c>
    </row>
    <row r="471" spans="1:19" customFormat="1" ht="21" customHeight="1">
      <c r="A471" s="120">
        <v>44551</v>
      </c>
      <c r="B471" s="122"/>
      <c r="C471" s="15" t="s">
        <v>107</v>
      </c>
      <c r="D471" s="124"/>
      <c r="E471" s="125">
        <v>33.869999999999997</v>
      </c>
      <c r="F471" s="117">
        <f t="shared" si="32"/>
        <v>0</v>
      </c>
      <c r="G471" s="118">
        <f t="shared" si="38"/>
        <v>0</v>
      </c>
      <c r="H471" s="495">
        <f t="shared" si="33"/>
        <v>0.20321999999999998</v>
      </c>
      <c r="I471" s="119">
        <f t="shared" si="39"/>
        <v>1751087.0885299987</v>
      </c>
    </row>
    <row r="472" spans="1:19" customFormat="1" ht="21" customHeight="1">
      <c r="A472" s="120">
        <v>44551</v>
      </c>
      <c r="B472" s="122"/>
      <c r="C472" s="15" t="s">
        <v>156</v>
      </c>
      <c r="D472" s="124"/>
      <c r="E472" s="125">
        <v>474.14</v>
      </c>
      <c r="F472" s="117">
        <f t="shared" si="32"/>
        <v>0</v>
      </c>
      <c r="G472" s="118">
        <f t="shared" si="38"/>
        <v>0</v>
      </c>
      <c r="H472" s="495">
        <f t="shared" si="33"/>
        <v>2.84484</v>
      </c>
      <c r="I472" s="119">
        <f t="shared" si="39"/>
        <v>1750610.1036899989</v>
      </c>
    </row>
    <row r="473" spans="1:19" customFormat="1" ht="21" customHeight="1">
      <c r="A473" s="120">
        <v>44551</v>
      </c>
      <c r="B473" s="122"/>
      <c r="C473" s="15" t="s">
        <v>458</v>
      </c>
      <c r="D473" s="124"/>
      <c r="E473" s="125">
        <v>67.73</v>
      </c>
      <c r="F473" s="117">
        <f t="shared" ref="F473:F536" si="40">D473*0%</f>
        <v>0</v>
      </c>
      <c r="G473" s="118">
        <f t="shared" si="38"/>
        <v>0</v>
      </c>
      <c r="H473" s="495">
        <f t="shared" ref="H473:H536" si="41">E473*0.006+F473*0.006</f>
        <v>0.40638000000000002</v>
      </c>
      <c r="I473" s="119">
        <f t="shared" si="39"/>
        <v>1750541.9673099988</v>
      </c>
    </row>
    <row r="474" spans="1:19" customFormat="1" ht="21" customHeight="1">
      <c r="A474" s="120">
        <v>44551</v>
      </c>
      <c r="B474" s="122"/>
      <c r="C474" s="15" t="s">
        <v>448</v>
      </c>
      <c r="D474" s="124"/>
      <c r="E474" s="125">
        <v>2257.8200000000002</v>
      </c>
      <c r="F474" s="117">
        <f t="shared" si="40"/>
        <v>0</v>
      </c>
      <c r="G474" s="118">
        <f t="shared" si="38"/>
        <v>0</v>
      </c>
      <c r="H474" s="495">
        <f t="shared" si="41"/>
        <v>13.546920000000002</v>
      </c>
      <c r="I474" s="119">
        <f t="shared" si="39"/>
        <v>1748270.6003899986</v>
      </c>
    </row>
    <row r="475" spans="1:19" customFormat="1" ht="21" customHeight="1">
      <c r="A475" s="120">
        <v>44548</v>
      </c>
      <c r="B475" s="122">
        <v>228</v>
      </c>
      <c r="C475" s="15" t="s">
        <v>103</v>
      </c>
      <c r="D475" s="121"/>
      <c r="E475" s="778">
        <v>568000</v>
      </c>
      <c r="F475" s="117">
        <f t="shared" si="40"/>
        <v>0</v>
      </c>
      <c r="G475" s="118">
        <f t="shared" si="38"/>
        <v>0</v>
      </c>
      <c r="H475" s="495">
        <f t="shared" si="41"/>
        <v>3408</v>
      </c>
      <c r="I475" s="119">
        <f t="shared" si="39"/>
        <v>1176862.6003899986</v>
      </c>
    </row>
    <row r="476" spans="1:19" customFormat="1" ht="21" customHeight="1">
      <c r="A476" s="120">
        <v>44550</v>
      </c>
      <c r="B476" s="122"/>
      <c r="C476" s="15" t="s">
        <v>841</v>
      </c>
      <c r="D476" s="121"/>
      <c r="E476" s="781">
        <f>105000+7500-5520</f>
        <v>106980</v>
      </c>
      <c r="F476" s="117">
        <f t="shared" si="40"/>
        <v>0</v>
      </c>
      <c r="G476" s="118">
        <f t="shared" si="38"/>
        <v>0</v>
      </c>
      <c r="H476" s="495">
        <f t="shared" si="41"/>
        <v>641.88</v>
      </c>
      <c r="I476" s="119">
        <f t="shared" si="39"/>
        <v>1069240.7203899988</v>
      </c>
    </row>
    <row r="477" spans="1:19" customFormat="1" ht="21" customHeight="1">
      <c r="A477" s="572">
        <v>44553</v>
      </c>
      <c r="B477" s="130"/>
      <c r="C477" s="571" t="s">
        <v>842</v>
      </c>
      <c r="D477" s="781">
        <v>650000</v>
      </c>
      <c r="E477" s="616"/>
      <c r="F477" s="117">
        <f t="shared" si="40"/>
        <v>0</v>
      </c>
      <c r="G477" s="495">
        <f t="shared" si="38"/>
        <v>3900</v>
      </c>
      <c r="H477" s="118">
        <f t="shared" si="41"/>
        <v>0</v>
      </c>
      <c r="I477" s="119">
        <f t="shared" si="39"/>
        <v>1715340.7203899988</v>
      </c>
      <c r="S477" s="782"/>
    </row>
    <row r="478" spans="1:19" customFormat="1" ht="21" customHeight="1">
      <c r="A478" s="120">
        <v>44551</v>
      </c>
      <c r="B478" s="756">
        <v>173</v>
      </c>
      <c r="C478" s="15" t="s">
        <v>100</v>
      </c>
      <c r="D478" s="121"/>
      <c r="E478" s="781">
        <v>300000</v>
      </c>
      <c r="F478" s="117">
        <f t="shared" si="40"/>
        <v>0</v>
      </c>
      <c r="G478" s="118">
        <f t="shared" si="38"/>
        <v>0</v>
      </c>
      <c r="H478" s="496">
        <f t="shared" si="41"/>
        <v>1800</v>
      </c>
      <c r="I478" s="119">
        <f t="shared" si="39"/>
        <v>1413540.7203899988</v>
      </c>
      <c r="K478" s="137"/>
      <c r="S478" s="783"/>
    </row>
    <row r="479" spans="1:19" ht="21" customHeight="1">
      <c r="A479" s="120">
        <v>44553</v>
      </c>
      <c r="B479" s="756">
        <v>162</v>
      </c>
      <c r="C479" s="15" t="s">
        <v>100</v>
      </c>
      <c r="D479" s="121"/>
      <c r="E479" s="781">
        <v>400000</v>
      </c>
      <c r="F479" s="117">
        <f t="shared" si="40"/>
        <v>0</v>
      </c>
      <c r="G479" s="118">
        <f t="shared" si="38"/>
        <v>0</v>
      </c>
      <c r="H479" s="496">
        <f t="shared" si="41"/>
        <v>2400</v>
      </c>
      <c r="I479" s="119">
        <f t="shared" si="39"/>
        <v>1011140.7203899988</v>
      </c>
      <c r="K479" s="137"/>
      <c r="L479" s="779"/>
    </row>
    <row r="480" spans="1:19" ht="21" customHeight="1">
      <c r="A480" s="120">
        <v>44550</v>
      </c>
      <c r="B480" s="756">
        <v>164</v>
      </c>
      <c r="C480" s="15" t="s">
        <v>100</v>
      </c>
      <c r="D480" s="121"/>
      <c r="E480" s="781">
        <v>400000</v>
      </c>
      <c r="F480" s="117">
        <f t="shared" si="40"/>
        <v>0</v>
      </c>
      <c r="G480" s="118">
        <f t="shared" si="38"/>
        <v>0</v>
      </c>
      <c r="H480" s="496">
        <f t="shared" si="41"/>
        <v>2400</v>
      </c>
      <c r="I480" s="119">
        <f t="shared" si="39"/>
        <v>608740.72038999875</v>
      </c>
      <c r="K480" s="137"/>
      <c r="L480" s="779"/>
    </row>
    <row r="481" spans="1:12" ht="21" customHeight="1">
      <c r="A481" s="120">
        <v>44557</v>
      </c>
      <c r="B481" s="133" t="s">
        <v>133</v>
      </c>
      <c r="C481" s="15" t="s">
        <v>843</v>
      </c>
      <c r="D481" s="124"/>
      <c r="E481" s="778">
        <f>28261.91+6056.12+45806.57+9815.69+28261.91+6056.12+45806.57+9815.69-15674.68+0.02</f>
        <v>164205.92000000001</v>
      </c>
      <c r="F481" s="117">
        <f t="shared" si="40"/>
        <v>0</v>
      </c>
      <c r="G481" s="118">
        <f t="shared" si="38"/>
        <v>0</v>
      </c>
      <c r="H481" s="496">
        <f t="shared" si="41"/>
        <v>985.23552000000007</v>
      </c>
      <c r="I481" s="119">
        <f t="shared" si="39"/>
        <v>443549.56486999872</v>
      </c>
      <c r="K481" s="137"/>
      <c r="L481" s="779"/>
    </row>
    <row r="482" spans="1:12" ht="21" customHeight="1">
      <c r="A482" s="120">
        <v>44559</v>
      </c>
      <c r="B482" s="133"/>
      <c r="C482" s="15" t="s">
        <v>844</v>
      </c>
      <c r="D482" s="781">
        <v>124617.48</v>
      </c>
      <c r="E482" s="616"/>
      <c r="F482" s="117">
        <f t="shared" si="40"/>
        <v>0</v>
      </c>
      <c r="G482" s="496">
        <f t="shared" si="38"/>
        <v>747.70488</v>
      </c>
      <c r="H482" s="118">
        <f t="shared" si="41"/>
        <v>0</v>
      </c>
      <c r="I482" s="119">
        <f t="shared" si="39"/>
        <v>567419.33998999873</v>
      </c>
      <c r="K482" s="137"/>
      <c r="L482" s="779"/>
    </row>
    <row r="483" spans="1:12" ht="21" customHeight="1">
      <c r="A483" s="40">
        <v>44560</v>
      </c>
      <c r="B483" s="2"/>
      <c r="C483" s="44" t="s">
        <v>845</v>
      </c>
      <c r="D483" s="116"/>
      <c r="E483" s="784">
        <v>2030</v>
      </c>
      <c r="F483" s="117">
        <f t="shared" si="40"/>
        <v>0</v>
      </c>
      <c r="G483" s="118">
        <f t="shared" si="38"/>
        <v>0</v>
      </c>
      <c r="H483" s="496">
        <f t="shared" si="41"/>
        <v>12.18</v>
      </c>
      <c r="I483" s="119">
        <f t="shared" si="39"/>
        <v>565377.15998999868</v>
      </c>
      <c r="K483" s="137"/>
      <c r="L483" s="779"/>
    </row>
    <row r="484" spans="1:12" ht="21" customHeight="1">
      <c r="A484" s="40">
        <v>44560</v>
      </c>
      <c r="B484" s="133"/>
      <c r="C484" s="15" t="s">
        <v>846</v>
      </c>
      <c r="D484" s="124"/>
      <c r="E484" s="784">
        <v>30.45</v>
      </c>
      <c r="F484" s="117">
        <f t="shared" si="40"/>
        <v>0</v>
      </c>
      <c r="G484" s="118">
        <f t="shared" si="38"/>
        <v>0</v>
      </c>
      <c r="H484" s="496">
        <f t="shared" si="41"/>
        <v>0.1827</v>
      </c>
      <c r="I484" s="119">
        <f t="shared" si="39"/>
        <v>565346.52728999872</v>
      </c>
      <c r="K484" s="137"/>
      <c r="L484" s="779"/>
    </row>
    <row r="485" spans="1:12" ht="21" customHeight="1">
      <c r="A485" s="40">
        <v>44560</v>
      </c>
      <c r="B485" s="133"/>
      <c r="C485" s="15" t="s">
        <v>847</v>
      </c>
      <c r="D485" s="124"/>
      <c r="E485" s="778">
        <v>426.3</v>
      </c>
      <c r="F485" s="117">
        <f t="shared" si="40"/>
        <v>0</v>
      </c>
      <c r="G485" s="118">
        <f t="shared" si="38"/>
        <v>0</v>
      </c>
      <c r="H485" s="496">
        <f t="shared" si="41"/>
        <v>2.5578000000000003</v>
      </c>
      <c r="I485" s="119">
        <f t="shared" si="39"/>
        <v>564917.66948999872</v>
      </c>
      <c r="K485" s="137"/>
      <c r="L485" s="779"/>
    </row>
    <row r="486" spans="1:12" ht="21" customHeight="1">
      <c r="A486" s="40">
        <v>44560</v>
      </c>
      <c r="B486" s="2"/>
      <c r="C486" s="44" t="s">
        <v>848</v>
      </c>
      <c r="D486" s="116"/>
      <c r="E486" s="784">
        <v>60.9</v>
      </c>
      <c r="F486" s="117">
        <f t="shared" si="40"/>
        <v>0</v>
      </c>
      <c r="G486" s="118">
        <f t="shared" si="38"/>
        <v>0</v>
      </c>
      <c r="H486" s="496">
        <f t="shared" si="41"/>
        <v>0.3654</v>
      </c>
      <c r="I486" s="119">
        <f t="shared" si="39"/>
        <v>564856.40408999869</v>
      </c>
      <c r="K486" s="137"/>
      <c r="L486" s="779"/>
    </row>
    <row r="487" spans="1:12" ht="21" customHeight="1">
      <c r="A487" s="40">
        <v>44560</v>
      </c>
      <c r="B487" s="2"/>
      <c r="C487" s="44" t="s">
        <v>849</v>
      </c>
      <c r="D487" s="116"/>
      <c r="E487" s="784">
        <v>225</v>
      </c>
      <c r="F487" s="117">
        <f t="shared" si="40"/>
        <v>0</v>
      </c>
      <c r="G487" s="118">
        <f t="shared" si="38"/>
        <v>0</v>
      </c>
      <c r="H487" s="496">
        <f t="shared" si="41"/>
        <v>1.35</v>
      </c>
      <c r="I487" s="119">
        <f t="shared" si="39"/>
        <v>564630.05408999871</v>
      </c>
      <c r="K487" s="137"/>
      <c r="L487" s="779"/>
    </row>
    <row r="488" spans="1:12" ht="21" customHeight="1">
      <c r="A488" s="40">
        <v>44560</v>
      </c>
      <c r="B488" s="2"/>
      <c r="C488" s="15" t="s">
        <v>847</v>
      </c>
      <c r="D488" s="116"/>
      <c r="E488" s="784">
        <v>47.25</v>
      </c>
      <c r="F488" s="117">
        <f t="shared" si="40"/>
        <v>0</v>
      </c>
      <c r="G488" s="118">
        <f t="shared" si="38"/>
        <v>0</v>
      </c>
      <c r="H488" s="496">
        <f t="shared" si="41"/>
        <v>0.28350000000000003</v>
      </c>
      <c r="I488" s="119">
        <f t="shared" si="39"/>
        <v>564582.52058999869</v>
      </c>
      <c r="J488" s="501">
        <v>565863.91</v>
      </c>
      <c r="K488" s="119">
        <f>J488-I488</f>
        <v>1281.3894100013422</v>
      </c>
      <c r="L488" s="779"/>
    </row>
    <row r="489" spans="1:12" ht="21" customHeight="1">
      <c r="A489" s="40"/>
      <c r="B489" s="2"/>
      <c r="C489" s="44"/>
      <c r="D489" s="116"/>
      <c r="E489" s="116"/>
      <c r="F489" s="117">
        <f t="shared" si="40"/>
        <v>0</v>
      </c>
      <c r="G489" s="118">
        <f t="shared" si="38"/>
        <v>0</v>
      </c>
      <c r="H489" s="118">
        <f t="shared" si="41"/>
        <v>0</v>
      </c>
      <c r="I489" s="119">
        <f t="shared" si="39"/>
        <v>564582.52058999869</v>
      </c>
      <c r="L489" s="779"/>
    </row>
    <row r="490" spans="1:12" ht="21" customHeight="1">
      <c r="A490" s="785" t="s">
        <v>850</v>
      </c>
      <c r="B490" s="786"/>
      <c r="C490" s="787"/>
      <c r="D490" s="788"/>
      <c r="E490" s="788"/>
      <c r="F490" s="789">
        <f t="shared" si="40"/>
        <v>0</v>
      </c>
      <c r="G490" s="789">
        <f t="shared" si="38"/>
        <v>0</v>
      </c>
      <c r="H490" s="789">
        <f t="shared" si="41"/>
        <v>0</v>
      </c>
      <c r="I490" s="790">
        <f t="shared" si="39"/>
        <v>564582.52058999869</v>
      </c>
      <c r="L490" s="779"/>
    </row>
    <row r="491" spans="1:12" ht="21" customHeight="1">
      <c r="A491" s="40"/>
      <c r="B491" s="2"/>
      <c r="C491" s="44"/>
      <c r="D491" s="116"/>
      <c r="E491" s="116"/>
      <c r="F491" s="117">
        <f t="shared" si="40"/>
        <v>0</v>
      </c>
      <c r="G491" s="118">
        <f t="shared" si="38"/>
        <v>0</v>
      </c>
      <c r="H491" s="118">
        <f t="shared" si="41"/>
        <v>0</v>
      </c>
      <c r="I491" s="119">
        <f t="shared" si="39"/>
        <v>564582.52058999869</v>
      </c>
      <c r="L491" s="779"/>
    </row>
    <row r="492" spans="1:12" ht="21" customHeight="1">
      <c r="A492" s="40">
        <v>44565</v>
      </c>
      <c r="B492" s="2"/>
      <c r="C492" s="44" t="s">
        <v>352</v>
      </c>
      <c r="D492" s="784">
        <v>500000</v>
      </c>
      <c r="E492" s="116"/>
      <c r="F492" s="117">
        <f t="shared" si="40"/>
        <v>0</v>
      </c>
      <c r="G492" s="496">
        <f t="shared" si="38"/>
        <v>3000</v>
      </c>
      <c r="H492" s="118">
        <f t="shared" si="41"/>
        <v>0</v>
      </c>
      <c r="I492" s="119">
        <f t="shared" si="39"/>
        <v>1061582.5205899987</v>
      </c>
    </row>
    <row r="493" spans="1:12" ht="21" customHeight="1">
      <c r="A493" s="120">
        <v>44561</v>
      </c>
      <c r="B493" s="2" t="s">
        <v>851</v>
      </c>
      <c r="C493" s="44" t="s">
        <v>852</v>
      </c>
      <c r="D493" s="121"/>
      <c r="E493" s="778">
        <v>56482.42</v>
      </c>
      <c r="F493" s="117">
        <f t="shared" si="40"/>
        <v>0</v>
      </c>
      <c r="G493" s="118">
        <f t="shared" si="38"/>
        <v>0</v>
      </c>
      <c r="H493" s="496">
        <f t="shared" si="41"/>
        <v>338.89452</v>
      </c>
      <c r="I493" s="119">
        <f t="shared" si="39"/>
        <v>1004761.2060699987</v>
      </c>
    </row>
    <row r="494" spans="1:12" ht="21" customHeight="1">
      <c r="A494" s="120">
        <v>44567</v>
      </c>
      <c r="B494" s="791"/>
      <c r="C494" s="15" t="s">
        <v>94</v>
      </c>
      <c r="D494" s="121"/>
      <c r="E494" s="778">
        <v>11718</v>
      </c>
      <c r="F494" s="117">
        <f t="shared" si="40"/>
        <v>0</v>
      </c>
      <c r="G494" s="118">
        <f t="shared" si="38"/>
        <v>0</v>
      </c>
      <c r="H494" s="496">
        <f t="shared" si="41"/>
        <v>70.308000000000007</v>
      </c>
      <c r="I494" s="119">
        <f t="shared" si="39"/>
        <v>992972.89806999872</v>
      </c>
    </row>
    <row r="495" spans="1:12" ht="21" customHeight="1">
      <c r="A495" s="120">
        <v>44567</v>
      </c>
      <c r="B495" s="122"/>
      <c r="C495" s="123" t="s">
        <v>95</v>
      </c>
      <c r="D495" s="124"/>
      <c r="E495" s="778">
        <v>1079.54</v>
      </c>
      <c r="F495" s="117">
        <f t="shared" si="40"/>
        <v>0</v>
      </c>
      <c r="G495" s="118">
        <f t="shared" si="38"/>
        <v>0</v>
      </c>
      <c r="H495" s="496">
        <f t="shared" si="41"/>
        <v>6.4772400000000001</v>
      </c>
      <c r="I495" s="119">
        <f t="shared" si="39"/>
        <v>991886.88082999864</v>
      </c>
    </row>
    <row r="496" spans="1:12" ht="21" customHeight="1">
      <c r="A496" s="120">
        <v>44567</v>
      </c>
      <c r="B496" s="791"/>
      <c r="C496" s="44" t="s">
        <v>352</v>
      </c>
      <c r="D496" s="784">
        <v>350000</v>
      </c>
      <c r="E496" s="506"/>
      <c r="F496" s="117">
        <f t="shared" si="40"/>
        <v>0</v>
      </c>
      <c r="G496" s="496">
        <f t="shared" si="38"/>
        <v>2100</v>
      </c>
      <c r="H496" s="118">
        <f t="shared" si="41"/>
        <v>0</v>
      </c>
      <c r="I496" s="119">
        <f t="shared" si="39"/>
        <v>1339786.8808299988</v>
      </c>
    </row>
    <row r="497" spans="1:9" ht="21" customHeight="1">
      <c r="A497" s="120">
        <v>44566</v>
      </c>
      <c r="B497" s="2">
        <v>63</v>
      </c>
      <c r="C497" s="44" t="s">
        <v>777</v>
      </c>
      <c r="D497" s="121"/>
      <c r="E497" s="125">
        <v>500000</v>
      </c>
      <c r="F497" s="117">
        <f t="shared" si="40"/>
        <v>0</v>
      </c>
      <c r="G497" s="118">
        <f t="shared" si="38"/>
        <v>0</v>
      </c>
      <c r="H497" s="496">
        <f t="shared" si="41"/>
        <v>3000</v>
      </c>
      <c r="I497" s="119">
        <f t="shared" si="39"/>
        <v>836786.88082999876</v>
      </c>
    </row>
    <row r="498" spans="1:9" ht="21" customHeight="1">
      <c r="A498" s="40">
        <v>44550</v>
      </c>
      <c r="B498" s="2">
        <v>51</v>
      </c>
      <c r="C498" s="44" t="s">
        <v>96</v>
      </c>
      <c r="D498" s="116"/>
      <c r="E498" s="784">
        <v>192258</v>
      </c>
      <c r="F498" s="117">
        <f t="shared" si="40"/>
        <v>0</v>
      </c>
      <c r="G498" s="118">
        <f t="shared" si="38"/>
        <v>0</v>
      </c>
      <c r="H498" s="496">
        <f t="shared" si="41"/>
        <v>1153.548</v>
      </c>
      <c r="I498" s="119">
        <f t="shared" si="39"/>
        <v>643375.33282999881</v>
      </c>
    </row>
    <row r="499" spans="1:9" ht="21" customHeight="1">
      <c r="A499" s="120">
        <v>44567</v>
      </c>
      <c r="B499" s="2">
        <v>167</v>
      </c>
      <c r="C499" s="44" t="s">
        <v>97</v>
      </c>
      <c r="D499" s="121"/>
      <c r="E499" s="125">
        <v>200000</v>
      </c>
      <c r="F499" s="117">
        <f t="shared" si="40"/>
        <v>0</v>
      </c>
      <c r="G499" s="118">
        <f t="shared" si="38"/>
        <v>0</v>
      </c>
      <c r="H499" s="496">
        <f t="shared" si="41"/>
        <v>1200</v>
      </c>
      <c r="I499" s="119">
        <f t="shared" si="39"/>
        <v>442175.33282999881</v>
      </c>
    </row>
    <row r="500" spans="1:9" ht="21" customHeight="1">
      <c r="A500" s="40">
        <v>44568</v>
      </c>
      <c r="B500" s="2"/>
      <c r="C500" s="44" t="s">
        <v>352</v>
      </c>
      <c r="D500" s="784">
        <v>400000</v>
      </c>
      <c r="E500" s="116"/>
      <c r="F500" s="117">
        <f t="shared" si="40"/>
        <v>0</v>
      </c>
      <c r="G500" s="496">
        <f t="shared" si="38"/>
        <v>2400</v>
      </c>
      <c r="H500" s="118">
        <f t="shared" si="41"/>
        <v>0</v>
      </c>
      <c r="I500" s="119">
        <f t="shared" si="39"/>
        <v>839775.33282999881</v>
      </c>
    </row>
    <row r="501" spans="1:9" ht="21" customHeight="1">
      <c r="A501" s="120">
        <v>44571</v>
      </c>
      <c r="B501" s="791"/>
      <c r="C501" s="15" t="s">
        <v>98</v>
      </c>
      <c r="D501" s="784">
        <v>1541.49</v>
      </c>
      <c r="E501" s="124"/>
      <c r="F501" s="117">
        <f t="shared" si="40"/>
        <v>0</v>
      </c>
      <c r="G501" s="118">
        <f t="shared" si="38"/>
        <v>9.248940000000001</v>
      </c>
      <c r="H501" s="118">
        <f t="shared" si="41"/>
        <v>0</v>
      </c>
      <c r="I501" s="119">
        <f t="shared" si="39"/>
        <v>841307.57388999884</v>
      </c>
    </row>
    <row r="502" spans="1:9" ht="21" customHeight="1">
      <c r="A502" s="120">
        <v>44571</v>
      </c>
      <c r="B502" s="2"/>
      <c r="C502" s="15" t="s">
        <v>98</v>
      </c>
      <c r="D502" s="784">
        <v>130000</v>
      </c>
      <c r="E502" s="124"/>
      <c r="F502" s="117">
        <f t="shared" si="40"/>
        <v>0</v>
      </c>
      <c r="G502" s="496">
        <f t="shared" si="38"/>
        <v>780</v>
      </c>
      <c r="H502" s="118">
        <f t="shared" si="41"/>
        <v>0</v>
      </c>
      <c r="I502" s="119">
        <f t="shared" si="39"/>
        <v>970527.57388999884</v>
      </c>
    </row>
    <row r="503" spans="1:9" ht="21" customHeight="1">
      <c r="A503" s="120">
        <v>44571</v>
      </c>
      <c r="B503" s="2"/>
      <c r="C503" s="44" t="s">
        <v>352</v>
      </c>
      <c r="D503" s="784">
        <v>300000</v>
      </c>
      <c r="E503" s="124"/>
      <c r="F503" s="117">
        <f t="shared" si="40"/>
        <v>0</v>
      </c>
      <c r="G503" s="496">
        <f t="shared" si="38"/>
        <v>1800</v>
      </c>
      <c r="H503" s="118">
        <f t="shared" si="41"/>
        <v>0</v>
      </c>
      <c r="I503" s="119">
        <f t="shared" si="39"/>
        <v>1268727.5738899987</v>
      </c>
    </row>
    <row r="504" spans="1:9" ht="21" customHeight="1">
      <c r="A504" s="120">
        <v>44571</v>
      </c>
      <c r="B504" s="791">
        <v>172</v>
      </c>
      <c r="C504" s="15" t="s">
        <v>97</v>
      </c>
      <c r="D504" s="121"/>
      <c r="E504" s="784">
        <v>400000</v>
      </c>
      <c r="F504" s="117">
        <f t="shared" si="40"/>
        <v>0</v>
      </c>
      <c r="G504" s="118">
        <f t="shared" si="38"/>
        <v>0</v>
      </c>
      <c r="H504" s="496">
        <f t="shared" si="41"/>
        <v>2400</v>
      </c>
      <c r="I504" s="119">
        <f t="shared" si="39"/>
        <v>866327.57388999872</v>
      </c>
    </row>
    <row r="505" spans="1:9" ht="21" customHeight="1">
      <c r="A505" s="40">
        <v>44572</v>
      </c>
      <c r="B505" s="2"/>
      <c r="C505" s="44" t="s">
        <v>99</v>
      </c>
      <c r="D505" s="116"/>
      <c r="E505" s="784">
        <v>15674.69</v>
      </c>
      <c r="F505" s="117">
        <f t="shared" si="40"/>
        <v>0</v>
      </c>
      <c r="G505" s="118">
        <f t="shared" ref="G505:G568" si="42">D505*0.006</f>
        <v>0</v>
      </c>
      <c r="H505" s="496">
        <f t="shared" si="41"/>
        <v>94.048140000000004</v>
      </c>
      <c r="I505" s="119">
        <f t="shared" ref="I505:I568" si="43">I504+D505-E505-F505-G505-H505</f>
        <v>850558.83574999881</v>
      </c>
    </row>
    <row r="506" spans="1:9" ht="21" customHeight="1">
      <c r="A506" s="40">
        <v>44572</v>
      </c>
      <c r="B506" s="2"/>
      <c r="C506" s="44" t="s">
        <v>853</v>
      </c>
      <c r="D506" s="784">
        <v>222916</v>
      </c>
      <c r="E506" s="116"/>
      <c r="F506" s="117">
        <f t="shared" si="40"/>
        <v>0</v>
      </c>
      <c r="G506" s="496">
        <f t="shared" si="42"/>
        <v>1337.4960000000001</v>
      </c>
      <c r="H506" s="118">
        <f t="shared" si="41"/>
        <v>0</v>
      </c>
      <c r="I506" s="119">
        <f t="shared" si="43"/>
        <v>1072137.3397499986</v>
      </c>
    </row>
    <row r="507" spans="1:9" ht="21" customHeight="1">
      <c r="A507" s="120">
        <v>44568</v>
      </c>
      <c r="B507" s="791">
        <v>169</v>
      </c>
      <c r="C507" s="15" t="s">
        <v>97</v>
      </c>
      <c r="D507" s="121"/>
      <c r="E507" s="125">
        <v>300000</v>
      </c>
      <c r="F507" s="117">
        <f t="shared" si="40"/>
        <v>0</v>
      </c>
      <c r="G507" s="118">
        <f t="shared" si="42"/>
        <v>0</v>
      </c>
      <c r="H507" s="496">
        <f t="shared" si="41"/>
        <v>1800</v>
      </c>
      <c r="I507" s="119">
        <f t="shared" si="43"/>
        <v>770337.33974999865</v>
      </c>
    </row>
    <row r="508" spans="1:9" ht="21" customHeight="1">
      <c r="A508" s="120">
        <v>44572</v>
      </c>
      <c r="B508" s="791">
        <v>170</v>
      </c>
      <c r="C508" s="15" t="s">
        <v>97</v>
      </c>
      <c r="D508" s="121"/>
      <c r="E508" s="784">
        <v>302793.36</v>
      </c>
      <c r="F508" s="117">
        <f t="shared" si="40"/>
        <v>0</v>
      </c>
      <c r="G508" s="118">
        <f t="shared" si="42"/>
        <v>0</v>
      </c>
      <c r="H508" s="496">
        <f t="shared" si="41"/>
        <v>1816.76016</v>
      </c>
      <c r="I508" s="119">
        <f t="shared" si="43"/>
        <v>465727.21958999865</v>
      </c>
    </row>
    <row r="509" spans="1:9" ht="21" customHeight="1">
      <c r="A509" s="120">
        <v>44574</v>
      </c>
      <c r="B509" s="2"/>
      <c r="C509" s="44" t="s">
        <v>352</v>
      </c>
      <c r="D509" s="784">
        <v>200000</v>
      </c>
      <c r="E509" s="116"/>
      <c r="F509" s="117">
        <f t="shared" si="40"/>
        <v>0</v>
      </c>
      <c r="G509" s="496">
        <f t="shared" si="42"/>
        <v>1200</v>
      </c>
      <c r="H509" s="118">
        <f t="shared" si="41"/>
        <v>0</v>
      </c>
      <c r="I509" s="119">
        <f t="shared" si="43"/>
        <v>664527.21958999871</v>
      </c>
    </row>
    <row r="510" spans="1:9" ht="21" customHeight="1">
      <c r="A510" s="120">
        <v>44574</v>
      </c>
      <c r="B510" s="791">
        <v>176</v>
      </c>
      <c r="C510" s="15" t="s">
        <v>100</v>
      </c>
      <c r="D510" s="121"/>
      <c r="E510" s="784">
        <v>200000</v>
      </c>
      <c r="F510" s="117">
        <f t="shared" si="40"/>
        <v>0</v>
      </c>
      <c r="G510" s="118">
        <f t="shared" si="42"/>
        <v>0</v>
      </c>
      <c r="H510" s="496">
        <f t="shared" si="41"/>
        <v>1200</v>
      </c>
      <c r="I510" s="119">
        <f t="shared" si="43"/>
        <v>463327.21958999871</v>
      </c>
    </row>
    <row r="511" spans="1:9" ht="21" customHeight="1">
      <c r="A511" s="120">
        <v>44575</v>
      </c>
      <c r="B511" s="791"/>
      <c r="C511" s="15" t="s">
        <v>101</v>
      </c>
      <c r="D511" s="121"/>
      <c r="E511" s="784">
        <v>226.96</v>
      </c>
      <c r="F511" s="117">
        <f t="shared" si="40"/>
        <v>0</v>
      </c>
      <c r="G511" s="118">
        <f t="shared" si="42"/>
        <v>0</v>
      </c>
      <c r="H511" s="496">
        <f t="shared" si="41"/>
        <v>1.3617600000000001</v>
      </c>
      <c r="I511" s="119">
        <f t="shared" si="43"/>
        <v>463098.89782999869</v>
      </c>
    </row>
    <row r="512" spans="1:9" ht="21" customHeight="1" thickBot="1">
      <c r="A512" s="120">
        <v>44575</v>
      </c>
      <c r="B512" s="791"/>
      <c r="C512" s="15" t="s">
        <v>352</v>
      </c>
      <c r="D512" s="784">
        <v>600000</v>
      </c>
      <c r="E512" s="121"/>
      <c r="F512" s="117">
        <f t="shared" si="40"/>
        <v>0</v>
      </c>
      <c r="G512" s="496">
        <f t="shared" si="42"/>
        <v>3600</v>
      </c>
      <c r="H512" s="118">
        <f t="shared" si="41"/>
        <v>0</v>
      </c>
      <c r="I512" s="119">
        <f t="shared" si="43"/>
        <v>1059498.8978299988</v>
      </c>
    </row>
    <row r="513" spans="1:9" ht="21" customHeight="1" thickBot="1">
      <c r="A513" s="120">
        <v>44573</v>
      </c>
      <c r="B513" s="792">
        <v>239</v>
      </c>
      <c r="C513" s="15" t="s">
        <v>102</v>
      </c>
      <c r="D513" s="121"/>
      <c r="E513" s="784">
        <v>196890.87</v>
      </c>
      <c r="F513" s="117">
        <f t="shared" si="40"/>
        <v>0</v>
      </c>
      <c r="G513" s="118">
        <f t="shared" si="42"/>
        <v>0</v>
      </c>
      <c r="H513" s="495">
        <f t="shared" si="41"/>
        <v>1181.3452199999999</v>
      </c>
      <c r="I513" s="119">
        <f t="shared" si="43"/>
        <v>861426.68260999874</v>
      </c>
    </row>
    <row r="514" spans="1:9" ht="21" customHeight="1">
      <c r="A514" s="120">
        <v>44578</v>
      </c>
      <c r="B514" s="791"/>
      <c r="C514" s="15" t="s">
        <v>352</v>
      </c>
      <c r="D514" s="784">
        <v>1000000</v>
      </c>
      <c r="E514" s="124"/>
      <c r="F514" s="117">
        <f t="shared" si="40"/>
        <v>0</v>
      </c>
      <c r="G514" s="495">
        <f t="shared" si="42"/>
        <v>6000</v>
      </c>
      <c r="H514" s="118">
        <f t="shared" si="41"/>
        <v>0</v>
      </c>
      <c r="I514" s="119">
        <f t="shared" si="43"/>
        <v>1855426.6826099986</v>
      </c>
    </row>
    <row r="515" spans="1:9" ht="21" customHeight="1">
      <c r="A515" s="120">
        <v>44575</v>
      </c>
      <c r="B515" s="791">
        <v>188</v>
      </c>
      <c r="C515" s="15" t="s">
        <v>100</v>
      </c>
      <c r="D515" s="121"/>
      <c r="E515" s="486">
        <v>300000</v>
      </c>
      <c r="F515" s="117">
        <f t="shared" si="40"/>
        <v>0</v>
      </c>
      <c r="G515" s="118">
        <f t="shared" si="42"/>
        <v>0</v>
      </c>
      <c r="H515" s="496">
        <f t="shared" si="41"/>
        <v>1800</v>
      </c>
      <c r="I515" s="119">
        <f t="shared" si="43"/>
        <v>1553626.6826099986</v>
      </c>
    </row>
    <row r="516" spans="1:9" ht="21" customHeight="1">
      <c r="A516" s="120">
        <v>44578</v>
      </c>
      <c r="B516" s="791">
        <v>187</v>
      </c>
      <c r="C516" s="15" t="s">
        <v>100</v>
      </c>
      <c r="D516" s="121"/>
      <c r="E516" s="486">
        <v>400000</v>
      </c>
      <c r="F516" s="117">
        <f t="shared" si="40"/>
        <v>0</v>
      </c>
      <c r="G516" s="118">
        <f t="shared" si="42"/>
        <v>0</v>
      </c>
      <c r="H516" s="496">
        <f t="shared" si="41"/>
        <v>2400</v>
      </c>
      <c r="I516" s="119">
        <f t="shared" si="43"/>
        <v>1151226.6826099986</v>
      </c>
    </row>
    <row r="517" spans="1:9" ht="21" customHeight="1">
      <c r="A517" s="120">
        <v>44577</v>
      </c>
      <c r="B517" s="122">
        <v>229</v>
      </c>
      <c r="C517" s="15" t="s">
        <v>103</v>
      </c>
      <c r="D517" s="121"/>
      <c r="E517" s="486">
        <v>568000</v>
      </c>
      <c r="F517" s="117">
        <f t="shared" si="40"/>
        <v>0</v>
      </c>
      <c r="G517" s="118">
        <f t="shared" si="42"/>
        <v>0</v>
      </c>
      <c r="H517" s="496">
        <f t="shared" si="41"/>
        <v>3408</v>
      </c>
      <c r="I517" s="119">
        <f t="shared" si="43"/>
        <v>579818.68260999862</v>
      </c>
    </row>
    <row r="518" spans="1:9" ht="21" customHeight="1">
      <c r="A518" s="120">
        <v>44578</v>
      </c>
      <c r="B518" s="122">
        <v>230</v>
      </c>
      <c r="C518" s="15" t="s">
        <v>103</v>
      </c>
      <c r="D518" s="121"/>
      <c r="E518" s="486">
        <v>568000</v>
      </c>
      <c r="F518" s="117">
        <f t="shared" si="40"/>
        <v>0</v>
      </c>
      <c r="G518" s="118">
        <f t="shared" si="42"/>
        <v>0</v>
      </c>
      <c r="H518" s="496">
        <f t="shared" si="41"/>
        <v>3408</v>
      </c>
      <c r="I518" s="119">
        <f t="shared" si="43"/>
        <v>8410.682609998621</v>
      </c>
    </row>
    <row r="519" spans="1:9" ht="21" customHeight="1">
      <c r="A519" s="120">
        <v>44579</v>
      </c>
      <c r="B519" s="791"/>
      <c r="C519" s="15" t="s">
        <v>352</v>
      </c>
      <c r="D519" s="784">
        <v>1100000</v>
      </c>
      <c r="E519" s="124"/>
      <c r="F519" s="117">
        <f t="shared" si="40"/>
        <v>0</v>
      </c>
      <c r="G519" s="496">
        <f t="shared" si="42"/>
        <v>6600</v>
      </c>
      <c r="H519" s="118">
        <f t="shared" si="41"/>
        <v>0</v>
      </c>
      <c r="I519" s="119">
        <f t="shared" si="43"/>
        <v>1101810.6826099986</v>
      </c>
    </row>
    <row r="520" spans="1:9" ht="21" customHeight="1">
      <c r="A520" s="120">
        <v>44580</v>
      </c>
      <c r="B520" s="791"/>
      <c r="C520" s="15" t="s">
        <v>352</v>
      </c>
      <c r="D520" s="486">
        <v>400000</v>
      </c>
      <c r="E520" s="124"/>
      <c r="F520" s="117">
        <f t="shared" si="40"/>
        <v>0</v>
      </c>
      <c r="G520" s="496">
        <f t="shared" si="42"/>
        <v>2400</v>
      </c>
      <c r="H520" s="118">
        <f t="shared" si="41"/>
        <v>0</v>
      </c>
      <c r="I520" s="119">
        <f t="shared" si="43"/>
        <v>1499410.6826099986</v>
      </c>
    </row>
    <row r="521" spans="1:9" ht="21" customHeight="1">
      <c r="A521" s="120">
        <v>44579</v>
      </c>
      <c r="B521" s="791">
        <v>181</v>
      </c>
      <c r="C521" s="15" t="s">
        <v>100</v>
      </c>
      <c r="D521" s="121"/>
      <c r="E521" s="125">
        <v>300000</v>
      </c>
      <c r="F521" s="117">
        <f t="shared" si="40"/>
        <v>0</v>
      </c>
      <c r="G521" s="118">
        <f t="shared" si="42"/>
        <v>0</v>
      </c>
      <c r="H521" s="496">
        <f t="shared" si="41"/>
        <v>1800</v>
      </c>
      <c r="I521" s="119">
        <f t="shared" si="43"/>
        <v>1197610.6826099986</v>
      </c>
    </row>
    <row r="522" spans="1:9" ht="21" customHeight="1">
      <c r="A522" s="120">
        <v>44579</v>
      </c>
      <c r="B522" s="122">
        <v>231</v>
      </c>
      <c r="C522" s="15" t="s">
        <v>103</v>
      </c>
      <c r="D522" s="121"/>
      <c r="E522" s="125">
        <v>568000</v>
      </c>
      <c r="F522" s="117">
        <f t="shared" si="40"/>
        <v>0</v>
      </c>
      <c r="G522" s="118">
        <f t="shared" si="42"/>
        <v>0</v>
      </c>
      <c r="H522" s="496">
        <f t="shared" si="41"/>
        <v>3408</v>
      </c>
      <c r="I522" s="119">
        <f t="shared" si="43"/>
        <v>626202.68260999862</v>
      </c>
    </row>
    <row r="523" spans="1:9" ht="21" customHeight="1">
      <c r="A523" s="120">
        <v>44580</v>
      </c>
      <c r="B523" s="791">
        <v>186</v>
      </c>
      <c r="C523" s="15" t="s">
        <v>104</v>
      </c>
      <c r="D523" s="121"/>
      <c r="E523" s="125">
        <v>400000</v>
      </c>
      <c r="F523" s="117">
        <f t="shared" si="40"/>
        <v>0</v>
      </c>
      <c r="G523" s="118">
        <f t="shared" si="42"/>
        <v>0</v>
      </c>
      <c r="H523" s="496">
        <f t="shared" si="41"/>
        <v>2400</v>
      </c>
      <c r="I523" s="119">
        <f t="shared" si="43"/>
        <v>223802.68260999862</v>
      </c>
    </row>
    <row r="524" spans="1:9" ht="21" customHeight="1">
      <c r="A524" s="40">
        <v>44581</v>
      </c>
      <c r="B524" s="2"/>
      <c r="C524" s="44" t="s">
        <v>352</v>
      </c>
      <c r="D524" s="125">
        <v>600000</v>
      </c>
      <c r="E524" s="116"/>
      <c r="F524" s="117">
        <f t="shared" si="40"/>
        <v>0</v>
      </c>
      <c r="G524" s="496">
        <f t="shared" si="42"/>
        <v>3600</v>
      </c>
      <c r="H524" s="118">
        <f t="shared" si="41"/>
        <v>0</v>
      </c>
      <c r="I524" s="119">
        <f t="shared" si="43"/>
        <v>820202.68260999862</v>
      </c>
    </row>
    <row r="525" spans="1:9" ht="21" customHeight="1">
      <c r="A525" s="120">
        <v>44581</v>
      </c>
      <c r="B525" s="791">
        <v>191</v>
      </c>
      <c r="C525" s="15" t="s">
        <v>104</v>
      </c>
      <c r="D525" s="121"/>
      <c r="E525" s="125">
        <v>300000</v>
      </c>
      <c r="F525" s="117">
        <f t="shared" si="40"/>
        <v>0</v>
      </c>
      <c r="G525" s="118">
        <f t="shared" si="42"/>
        <v>0</v>
      </c>
      <c r="H525" s="495">
        <f t="shared" si="41"/>
        <v>1800</v>
      </c>
      <c r="I525" s="119">
        <f t="shared" si="43"/>
        <v>518402.68260999862</v>
      </c>
    </row>
    <row r="526" spans="1:9" ht="21" customHeight="1">
      <c r="A526" s="120">
        <v>44582</v>
      </c>
      <c r="B526" s="122"/>
      <c r="C526" s="15" t="s">
        <v>352</v>
      </c>
      <c r="D526" s="125">
        <v>800000</v>
      </c>
      <c r="E526" s="616"/>
      <c r="F526" s="117">
        <f t="shared" si="40"/>
        <v>0</v>
      </c>
      <c r="G526" s="495">
        <f t="shared" si="42"/>
        <v>4800</v>
      </c>
      <c r="H526" s="118">
        <f t="shared" si="41"/>
        <v>0</v>
      </c>
      <c r="I526" s="119">
        <f t="shared" si="43"/>
        <v>1313602.6826099986</v>
      </c>
    </row>
    <row r="527" spans="1:9" ht="21" customHeight="1">
      <c r="A527" s="120">
        <v>44581</v>
      </c>
      <c r="B527" s="122">
        <v>52</v>
      </c>
      <c r="C527" s="15" t="s">
        <v>105</v>
      </c>
      <c r="D527" s="121"/>
      <c r="E527" s="486">
        <v>192258</v>
      </c>
      <c r="F527" s="117">
        <f t="shared" si="40"/>
        <v>0</v>
      </c>
      <c r="G527" s="118">
        <f t="shared" si="42"/>
        <v>0</v>
      </c>
      <c r="H527" s="496">
        <f t="shared" si="41"/>
        <v>1153.548</v>
      </c>
      <c r="I527" s="119">
        <f t="shared" si="43"/>
        <v>1120191.1346099987</v>
      </c>
    </row>
    <row r="528" spans="1:9" ht="21" customHeight="1">
      <c r="A528" s="120">
        <v>44582</v>
      </c>
      <c r="B528" s="793">
        <v>179</v>
      </c>
      <c r="C528" s="15" t="s">
        <v>104</v>
      </c>
      <c r="D528" s="121"/>
      <c r="E528" s="486">
        <v>400000</v>
      </c>
      <c r="F528" s="117">
        <f t="shared" si="40"/>
        <v>0</v>
      </c>
      <c r="G528" s="118">
        <f t="shared" si="42"/>
        <v>0</v>
      </c>
      <c r="H528" s="496">
        <f t="shared" si="41"/>
        <v>2400</v>
      </c>
      <c r="I528" s="119">
        <f t="shared" si="43"/>
        <v>717791.13460999867</v>
      </c>
    </row>
    <row r="529" spans="1:11" ht="21" customHeight="1">
      <c r="A529" s="40">
        <v>44585</v>
      </c>
      <c r="B529" s="122"/>
      <c r="C529" s="15" t="s">
        <v>352</v>
      </c>
      <c r="D529" s="125">
        <v>500000</v>
      </c>
      <c r="E529" s="124"/>
      <c r="F529" s="117">
        <f t="shared" si="40"/>
        <v>0</v>
      </c>
      <c r="G529" s="496">
        <f t="shared" si="42"/>
        <v>3000</v>
      </c>
      <c r="H529" s="118">
        <f t="shared" si="41"/>
        <v>0</v>
      </c>
      <c r="I529" s="119">
        <f t="shared" si="43"/>
        <v>1214791.1346099987</v>
      </c>
    </row>
    <row r="530" spans="1:11" ht="21" customHeight="1">
      <c r="A530" s="120">
        <v>44585</v>
      </c>
      <c r="B530" s="793">
        <v>183</v>
      </c>
      <c r="C530" s="15" t="s">
        <v>104</v>
      </c>
      <c r="D530" s="121"/>
      <c r="E530" s="125">
        <v>200000</v>
      </c>
      <c r="F530" s="117">
        <f t="shared" si="40"/>
        <v>0</v>
      </c>
      <c r="G530" s="118">
        <f t="shared" si="42"/>
        <v>0</v>
      </c>
      <c r="H530" s="495">
        <f t="shared" si="41"/>
        <v>1200</v>
      </c>
      <c r="I530" s="119">
        <f t="shared" si="43"/>
        <v>1013591.1346099987</v>
      </c>
      <c r="J530" s="676">
        <v>1014881.7</v>
      </c>
    </row>
    <row r="531" spans="1:11" ht="21" customHeight="1">
      <c r="A531" s="40">
        <v>44586</v>
      </c>
      <c r="B531" s="122" t="s">
        <v>854</v>
      </c>
      <c r="C531" s="15" t="s">
        <v>106</v>
      </c>
      <c r="D531" s="124"/>
      <c r="E531" s="486">
        <v>164205.89000000001</v>
      </c>
      <c r="F531" s="117">
        <f t="shared" si="40"/>
        <v>0</v>
      </c>
      <c r="G531" s="118">
        <f t="shared" si="42"/>
        <v>0</v>
      </c>
      <c r="H531" s="495">
        <f t="shared" si="41"/>
        <v>985.23534000000006</v>
      </c>
      <c r="I531" s="119">
        <f t="shared" si="43"/>
        <v>848400.00926999864</v>
      </c>
    </row>
    <row r="532" spans="1:11" ht="21" customHeight="1">
      <c r="A532" s="40">
        <v>44589</v>
      </c>
      <c r="B532" s="2"/>
      <c r="C532" s="15" t="s">
        <v>463</v>
      </c>
      <c r="D532" s="124"/>
      <c r="E532" s="125">
        <v>2850</v>
      </c>
      <c r="F532" s="117">
        <f t="shared" si="40"/>
        <v>0</v>
      </c>
      <c r="G532" s="118">
        <f t="shared" si="42"/>
        <v>0</v>
      </c>
      <c r="H532" s="495">
        <f t="shared" si="41"/>
        <v>17.100000000000001</v>
      </c>
      <c r="I532" s="119">
        <f t="shared" si="43"/>
        <v>845532.90926999866</v>
      </c>
      <c r="J532" s="501">
        <v>846840</v>
      </c>
    </row>
    <row r="533" spans="1:11" ht="21" customHeight="1">
      <c r="A533" s="40">
        <v>44589</v>
      </c>
      <c r="B533" s="2"/>
      <c r="C533" s="15" t="s">
        <v>107</v>
      </c>
      <c r="D533" s="124"/>
      <c r="E533" s="125">
        <v>42.75</v>
      </c>
      <c r="F533" s="117">
        <f t="shared" si="40"/>
        <v>0</v>
      </c>
      <c r="G533" s="118">
        <f t="shared" si="42"/>
        <v>0</v>
      </c>
      <c r="H533" s="495">
        <f t="shared" si="41"/>
        <v>0.25650000000000001</v>
      </c>
      <c r="I533" s="119">
        <f t="shared" si="43"/>
        <v>845489.90276999865</v>
      </c>
    </row>
    <row r="534" spans="1:11" ht="21" customHeight="1">
      <c r="A534" s="40">
        <v>44589</v>
      </c>
      <c r="B534" s="2"/>
      <c r="C534" s="15" t="s">
        <v>807</v>
      </c>
      <c r="D534"/>
      <c r="E534" s="125">
        <v>598.5</v>
      </c>
      <c r="F534" s="117">
        <f t="shared" si="40"/>
        <v>0</v>
      </c>
      <c r="G534" s="118">
        <f t="shared" si="42"/>
        <v>0</v>
      </c>
      <c r="H534" s="495">
        <f t="shared" si="41"/>
        <v>3.5910000000000002</v>
      </c>
      <c r="I534" s="119">
        <f t="shared" si="43"/>
        <v>844887.81176999863</v>
      </c>
    </row>
    <row r="535" spans="1:11" ht="21" customHeight="1">
      <c r="A535" s="40">
        <v>44589</v>
      </c>
      <c r="B535" s="2"/>
      <c r="C535" s="15" t="s">
        <v>107</v>
      </c>
      <c r="D535" s="124"/>
      <c r="E535" s="125">
        <v>85.5</v>
      </c>
      <c r="F535" s="117">
        <f t="shared" si="40"/>
        <v>0</v>
      </c>
      <c r="G535" s="118">
        <f t="shared" si="42"/>
        <v>0</v>
      </c>
      <c r="H535" s="495">
        <f t="shared" si="41"/>
        <v>0.51300000000000001</v>
      </c>
      <c r="I535" s="119">
        <f t="shared" si="43"/>
        <v>844801.7987699986</v>
      </c>
    </row>
    <row r="536" spans="1:11" ht="21" customHeight="1">
      <c r="A536" s="40">
        <v>44589</v>
      </c>
      <c r="B536" s="2"/>
      <c r="C536" s="15" t="s">
        <v>807</v>
      </c>
      <c r="D536" s="124"/>
      <c r="E536" s="125">
        <v>95.55</v>
      </c>
      <c r="F536" s="117">
        <f t="shared" si="40"/>
        <v>0</v>
      </c>
      <c r="G536" s="118">
        <f t="shared" si="42"/>
        <v>0</v>
      </c>
      <c r="H536" s="495">
        <f t="shared" si="41"/>
        <v>0.57330000000000003</v>
      </c>
      <c r="I536" s="119">
        <f t="shared" si="43"/>
        <v>844705.6754699985</v>
      </c>
    </row>
    <row r="537" spans="1:11" ht="21" customHeight="1">
      <c r="A537" s="40">
        <v>44589</v>
      </c>
      <c r="B537" s="2"/>
      <c r="C537" s="15" t="s">
        <v>460</v>
      </c>
      <c r="D537" s="124"/>
      <c r="E537" s="125">
        <v>455</v>
      </c>
      <c r="F537" s="117">
        <f t="shared" ref="F537:F600" si="44">D537*0%</f>
        <v>0</v>
      </c>
      <c r="G537" s="118">
        <f t="shared" si="42"/>
        <v>0</v>
      </c>
      <c r="H537" s="495">
        <f t="shared" ref="H537:H600" si="45">E537*0.006+F537*0.006</f>
        <v>2.73</v>
      </c>
      <c r="I537" s="119">
        <f t="shared" si="43"/>
        <v>844247.94546999852</v>
      </c>
      <c r="J537" s="501">
        <v>845563.27</v>
      </c>
    </row>
    <row r="538" spans="1:11" ht="21" customHeight="1">
      <c r="A538" s="120">
        <v>44589</v>
      </c>
      <c r="B538" s="122"/>
      <c r="C538" s="15" t="s">
        <v>855</v>
      </c>
      <c r="D538" s="124"/>
      <c r="E538" s="781">
        <f>552500+656370-11880-5520-500000-594000</f>
        <v>97470</v>
      </c>
      <c r="F538" s="117">
        <f t="shared" si="44"/>
        <v>0</v>
      </c>
      <c r="G538" s="118">
        <f t="shared" si="42"/>
        <v>0</v>
      </c>
      <c r="H538" s="495">
        <f t="shared" si="45"/>
        <v>584.82000000000005</v>
      </c>
      <c r="I538" s="119">
        <f t="shared" si="43"/>
        <v>746193.12546999857</v>
      </c>
    </row>
    <row r="539" spans="1:11" ht="21" customHeight="1">
      <c r="A539" s="40">
        <v>44592</v>
      </c>
      <c r="B539" s="2"/>
      <c r="C539" s="44" t="s">
        <v>108</v>
      </c>
      <c r="D539" s="116"/>
      <c r="E539" s="784">
        <v>12706</v>
      </c>
      <c r="F539" s="117">
        <f t="shared" si="44"/>
        <v>0</v>
      </c>
      <c r="G539" s="118">
        <f t="shared" si="42"/>
        <v>0</v>
      </c>
      <c r="H539" s="496">
        <f t="shared" si="45"/>
        <v>76.236000000000004</v>
      </c>
      <c r="I539" s="119">
        <f t="shared" si="43"/>
        <v>733410.88946999854</v>
      </c>
    </row>
    <row r="540" spans="1:11" ht="21" customHeight="1">
      <c r="A540" s="40">
        <v>44592</v>
      </c>
      <c r="B540" s="793"/>
      <c r="C540" s="15" t="s">
        <v>856</v>
      </c>
      <c r="D540" s="794">
        <v>9260</v>
      </c>
      <c r="E540" s="124"/>
      <c r="F540" s="117">
        <f t="shared" si="44"/>
        <v>0</v>
      </c>
      <c r="G540" s="496">
        <f t="shared" si="42"/>
        <v>55.56</v>
      </c>
      <c r="H540" s="118">
        <f t="shared" si="45"/>
        <v>0</v>
      </c>
      <c r="I540" s="119">
        <f t="shared" si="43"/>
        <v>742615.32946999848</v>
      </c>
    </row>
    <row r="541" spans="1:11" ht="21" customHeight="1">
      <c r="A541" s="40">
        <v>44592</v>
      </c>
      <c r="B541" s="793"/>
      <c r="C541" s="15" t="s">
        <v>856</v>
      </c>
      <c r="D541" s="794">
        <v>120000</v>
      </c>
      <c r="E541" s="124"/>
      <c r="F541" s="117">
        <f t="shared" si="44"/>
        <v>0</v>
      </c>
      <c r="G541" s="496">
        <f t="shared" si="42"/>
        <v>720</v>
      </c>
      <c r="H541" s="118">
        <f t="shared" si="45"/>
        <v>0</v>
      </c>
      <c r="I541" s="119">
        <f t="shared" si="43"/>
        <v>861895.32946999848</v>
      </c>
    </row>
    <row r="542" spans="1:11" ht="21" customHeight="1">
      <c r="A542" s="126" t="s">
        <v>109</v>
      </c>
      <c r="B542" s="127"/>
      <c r="C542" s="128"/>
      <c r="D542" s="129"/>
      <c r="E542" s="125"/>
      <c r="F542" s="496">
        <f t="shared" si="44"/>
        <v>0</v>
      </c>
      <c r="G542" s="496">
        <f t="shared" si="42"/>
        <v>0</v>
      </c>
      <c r="H542" s="496">
        <f t="shared" si="45"/>
        <v>0</v>
      </c>
      <c r="I542" s="755">
        <f t="shared" si="43"/>
        <v>861895.32946999848</v>
      </c>
    </row>
    <row r="543" spans="1:11" ht="21" customHeight="1">
      <c r="A543" s="120">
        <v>44593</v>
      </c>
      <c r="B543" s="122"/>
      <c r="C543" s="15" t="s">
        <v>857</v>
      </c>
      <c r="D543" s="124"/>
      <c r="E543" s="778">
        <v>1680</v>
      </c>
      <c r="F543" s="117">
        <f t="shared" si="44"/>
        <v>0</v>
      </c>
      <c r="G543" s="118">
        <f t="shared" si="42"/>
        <v>0</v>
      </c>
      <c r="H543" s="496">
        <f t="shared" si="45"/>
        <v>10.08</v>
      </c>
      <c r="I543" s="119">
        <f t="shared" si="43"/>
        <v>860205.24946999853</v>
      </c>
      <c r="K543" s="795"/>
    </row>
    <row r="544" spans="1:11" ht="21" customHeight="1">
      <c r="A544" s="120">
        <v>44593</v>
      </c>
      <c r="B544" s="130"/>
      <c r="C544" s="131" t="s">
        <v>110</v>
      </c>
      <c r="D544" s="124"/>
      <c r="E544" s="125">
        <v>352.8</v>
      </c>
      <c r="F544" s="117">
        <f t="shared" si="44"/>
        <v>0</v>
      </c>
      <c r="G544" s="118">
        <f t="shared" si="42"/>
        <v>0</v>
      </c>
      <c r="H544" s="496">
        <f t="shared" si="45"/>
        <v>2.1168</v>
      </c>
      <c r="I544" s="119">
        <f t="shared" si="43"/>
        <v>859850.33266999852</v>
      </c>
      <c r="K544" s="795"/>
    </row>
    <row r="545" spans="1:15" ht="21" customHeight="1">
      <c r="A545" s="120">
        <v>44593</v>
      </c>
      <c r="B545" s="122"/>
      <c r="C545" s="15" t="s">
        <v>858</v>
      </c>
      <c r="D545" s="121"/>
      <c r="E545" s="125">
        <f>329253.39+612500+329253.39-16271.13-594000-500000</f>
        <v>160735.65000000014</v>
      </c>
      <c r="F545" s="117">
        <f t="shared" si="44"/>
        <v>0</v>
      </c>
      <c r="G545" s="118">
        <f t="shared" si="42"/>
        <v>0</v>
      </c>
      <c r="H545" s="496">
        <f t="shared" si="45"/>
        <v>964.41390000000081</v>
      </c>
      <c r="I545" s="119">
        <f t="shared" si="43"/>
        <v>698150.26876999834</v>
      </c>
      <c r="J545" s="501">
        <v>699415.07</v>
      </c>
    </row>
    <row r="546" spans="1:15" ht="21" customHeight="1">
      <c r="A546" s="40">
        <v>44595</v>
      </c>
      <c r="B546" s="122"/>
      <c r="C546" s="132" t="s">
        <v>352</v>
      </c>
      <c r="D546" s="794">
        <v>400000</v>
      </c>
      <c r="E546" s="124"/>
      <c r="F546" s="117">
        <f t="shared" si="44"/>
        <v>0</v>
      </c>
      <c r="G546" s="495">
        <f t="shared" si="42"/>
        <v>2400</v>
      </c>
      <c r="H546" s="118">
        <f t="shared" si="45"/>
        <v>0</v>
      </c>
      <c r="I546" s="119">
        <f t="shared" si="43"/>
        <v>1095750.2687699983</v>
      </c>
    </row>
    <row r="547" spans="1:15" ht="21" customHeight="1">
      <c r="A547" s="120">
        <v>44596</v>
      </c>
      <c r="B547" s="132"/>
      <c r="C547" s="123" t="s">
        <v>111</v>
      </c>
      <c r="D547" s="794">
        <v>100000</v>
      </c>
      <c r="E547" s="616"/>
      <c r="F547" s="117">
        <f t="shared" si="44"/>
        <v>0</v>
      </c>
      <c r="G547" s="496">
        <f t="shared" si="42"/>
        <v>600</v>
      </c>
      <c r="H547" s="118">
        <f t="shared" si="45"/>
        <v>0</v>
      </c>
      <c r="I547" s="119">
        <f t="shared" si="43"/>
        <v>1195150.2687699983</v>
      </c>
    </row>
    <row r="548" spans="1:15" ht="21" customHeight="1">
      <c r="A548" s="120">
        <v>44596</v>
      </c>
      <c r="B548" s="132"/>
      <c r="C548" s="123" t="s">
        <v>111</v>
      </c>
      <c r="D548" s="794">
        <v>100000</v>
      </c>
      <c r="E548" s="616"/>
      <c r="F548" s="117">
        <f t="shared" si="44"/>
        <v>0</v>
      </c>
      <c r="G548" s="496">
        <f t="shared" si="42"/>
        <v>600</v>
      </c>
      <c r="H548" s="118">
        <f t="shared" si="45"/>
        <v>0</v>
      </c>
      <c r="I548" s="119">
        <f t="shared" si="43"/>
        <v>1294550.2687699983</v>
      </c>
    </row>
    <row r="549" spans="1:15" ht="21" customHeight="1">
      <c r="A549" s="120">
        <v>44596</v>
      </c>
      <c r="B549" s="132"/>
      <c r="C549" s="123" t="s">
        <v>111</v>
      </c>
      <c r="D549" s="794">
        <v>21500</v>
      </c>
      <c r="E549" s="616"/>
      <c r="F549" s="117">
        <f t="shared" si="44"/>
        <v>0</v>
      </c>
      <c r="G549" s="496">
        <f t="shared" si="42"/>
        <v>129</v>
      </c>
      <c r="H549" s="118">
        <f t="shared" si="45"/>
        <v>0</v>
      </c>
      <c r="I549" s="119">
        <f t="shared" si="43"/>
        <v>1315921.2687699983</v>
      </c>
    </row>
    <row r="550" spans="1:15" ht="21" customHeight="1">
      <c r="A550" s="120">
        <v>44596</v>
      </c>
      <c r="B550" s="132"/>
      <c r="C550" s="123" t="s">
        <v>111</v>
      </c>
      <c r="D550" s="794">
        <v>6000</v>
      </c>
      <c r="E550" s="616"/>
      <c r="F550" s="117">
        <f t="shared" si="44"/>
        <v>0</v>
      </c>
      <c r="G550" s="496">
        <f t="shared" si="42"/>
        <v>36</v>
      </c>
      <c r="H550" s="118">
        <f t="shared" si="45"/>
        <v>0</v>
      </c>
      <c r="I550" s="119">
        <f t="shared" si="43"/>
        <v>1321885.2687699983</v>
      </c>
    </row>
    <row r="551" spans="1:15" ht="21" customHeight="1">
      <c r="A551" s="120">
        <v>44596</v>
      </c>
      <c r="B551" s="132">
        <v>65</v>
      </c>
      <c r="C551" s="132" t="s">
        <v>777</v>
      </c>
      <c r="D551" s="132"/>
      <c r="E551" s="778">
        <v>500000</v>
      </c>
      <c r="F551" s="117">
        <f t="shared" si="44"/>
        <v>0</v>
      </c>
      <c r="G551" s="118">
        <f t="shared" si="42"/>
        <v>0</v>
      </c>
      <c r="H551" s="495">
        <f t="shared" si="45"/>
        <v>3000</v>
      </c>
      <c r="I551" s="119">
        <f t="shared" si="43"/>
        <v>818885.26876999834</v>
      </c>
    </row>
    <row r="552" spans="1:15" ht="21" customHeight="1">
      <c r="A552" s="120">
        <v>44599</v>
      </c>
      <c r="B552" s="132"/>
      <c r="C552" s="15" t="s">
        <v>112</v>
      </c>
      <c r="D552" s="132"/>
      <c r="E552" s="781">
        <v>12116.64</v>
      </c>
      <c r="F552" s="117">
        <f t="shared" si="44"/>
        <v>0</v>
      </c>
      <c r="G552" s="118">
        <f t="shared" si="42"/>
        <v>0</v>
      </c>
      <c r="H552" s="495">
        <f t="shared" si="45"/>
        <v>72.699839999999995</v>
      </c>
      <c r="I552" s="119">
        <f t="shared" si="43"/>
        <v>806695.92892999831</v>
      </c>
    </row>
    <row r="553" spans="1:15" ht="21" customHeight="1">
      <c r="A553" s="120">
        <v>44599</v>
      </c>
      <c r="B553" s="132"/>
      <c r="C553" s="132" t="s">
        <v>352</v>
      </c>
      <c r="D553" s="778">
        <v>200000</v>
      </c>
      <c r="E553" s="616"/>
      <c r="F553" s="117">
        <f t="shared" si="44"/>
        <v>0</v>
      </c>
      <c r="G553" s="495">
        <f t="shared" si="42"/>
        <v>1200</v>
      </c>
      <c r="H553" s="118">
        <f t="shared" si="45"/>
        <v>0</v>
      </c>
      <c r="I553" s="119">
        <f t="shared" si="43"/>
        <v>1005495.9289299983</v>
      </c>
    </row>
    <row r="554" spans="1:15" ht="21" customHeight="1">
      <c r="A554" s="120">
        <v>44569</v>
      </c>
      <c r="B554" s="132"/>
      <c r="C554" s="132" t="s">
        <v>352</v>
      </c>
      <c r="D554" s="778">
        <v>300000</v>
      </c>
      <c r="E554" s="616"/>
      <c r="F554" s="117">
        <f t="shared" si="44"/>
        <v>0</v>
      </c>
      <c r="G554" s="496">
        <f t="shared" si="42"/>
        <v>1800</v>
      </c>
      <c r="H554" s="118">
        <f t="shared" si="45"/>
        <v>0</v>
      </c>
      <c r="I554" s="119">
        <f t="shared" si="43"/>
        <v>1303695.9289299983</v>
      </c>
    </row>
    <row r="555" spans="1:15" ht="21" customHeight="1">
      <c r="A555" s="120">
        <v>44569</v>
      </c>
      <c r="B555" s="132"/>
      <c r="C555" s="132" t="s">
        <v>113</v>
      </c>
      <c r="D555" s="132"/>
      <c r="E555" s="778">
        <v>609.59</v>
      </c>
      <c r="F555" s="117">
        <f t="shared" si="44"/>
        <v>0</v>
      </c>
      <c r="G555" s="118">
        <f t="shared" si="42"/>
        <v>0</v>
      </c>
      <c r="H555" s="496">
        <f t="shared" si="45"/>
        <v>3.6575400000000005</v>
      </c>
      <c r="I555" s="119">
        <f t="shared" si="43"/>
        <v>1303082.6813899982</v>
      </c>
    </row>
    <row r="556" spans="1:15" ht="21" customHeight="1">
      <c r="A556" s="120">
        <v>44569</v>
      </c>
      <c r="B556" s="132"/>
      <c r="C556" s="132" t="s">
        <v>114</v>
      </c>
      <c r="D556" s="132"/>
      <c r="E556" s="778">
        <v>1210.93</v>
      </c>
      <c r="F556" s="117">
        <f t="shared" si="44"/>
        <v>0</v>
      </c>
      <c r="G556" s="118">
        <f t="shared" si="42"/>
        <v>0</v>
      </c>
      <c r="H556" s="496">
        <f t="shared" si="45"/>
        <v>7.2655800000000008</v>
      </c>
      <c r="I556" s="119">
        <f t="shared" si="43"/>
        <v>1301864.4858099984</v>
      </c>
    </row>
    <row r="557" spans="1:15" ht="21" customHeight="1">
      <c r="A557" s="120">
        <v>44569</v>
      </c>
      <c r="B557" s="132"/>
      <c r="C557" s="123" t="s">
        <v>115</v>
      </c>
      <c r="D557" s="132"/>
      <c r="E557" s="778">
        <v>49345.89</v>
      </c>
      <c r="F557" s="117">
        <f t="shared" si="44"/>
        <v>0</v>
      </c>
      <c r="G557" s="118">
        <f t="shared" si="42"/>
        <v>0</v>
      </c>
      <c r="H557" s="496">
        <f t="shared" si="45"/>
        <v>296.07533999999998</v>
      </c>
      <c r="I557" s="119">
        <f t="shared" si="43"/>
        <v>1252222.5204699985</v>
      </c>
    </row>
    <row r="558" spans="1:15" ht="21" customHeight="1">
      <c r="A558" s="120">
        <v>44601</v>
      </c>
      <c r="B558" s="132"/>
      <c r="C558" s="132" t="s">
        <v>116</v>
      </c>
      <c r="D558" s="132"/>
      <c r="E558" s="781">
        <v>37976.199999999997</v>
      </c>
      <c r="F558" s="117">
        <f t="shared" si="44"/>
        <v>0</v>
      </c>
      <c r="G558" s="118">
        <f t="shared" si="42"/>
        <v>0</v>
      </c>
      <c r="H558" s="495">
        <f t="shared" si="45"/>
        <v>227.85719999999998</v>
      </c>
      <c r="I558" s="119">
        <f t="shared" si="43"/>
        <v>1214018.4632699986</v>
      </c>
      <c r="K558"/>
      <c r="L558"/>
      <c r="M558"/>
      <c r="N558"/>
      <c r="O558"/>
    </row>
    <row r="559" spans="1:15" ht="21" customHeight="1">
      <c r="A559" s="120">
        <v>44601</v>
      </c>
      <c r="B559" s="132"/>
      <c r="C559" s="123" t="s">
        <v>352</v>
      </c>
      <c r="D559" s="778">
        <v>300000</v>
      </c>
      <c r="E559" s="616"/>
      <c r="F559" s="117">
        <f t="shared" si="44"/>
        <v>0</v>
      </c>
      <c r="G559" s="495">
        <f t="shared" si="42"/>
        <v>1800</v>
      </c>
      <c r="H559" s="118">
        <f t="shared" si="45"/>
        <v>0</v>
      </c>
      <c r="I559" s="119">
        <f t="shared" si="43"/>
        <v>1512218.4632699986</v>
      </c>
      <c r="K559"/>
      <c r="L559"/>
      <c r="M559"/>
      <c r="N559"/>
      <c r="O559"/>
    </row>
    <row r="560" spans="1:15" ht="21" customHeight="1">
      <c r="A560" s="120">
        <v>44602</v>
      </c>
      <c r="B560" s="132"/>
      <c r="C560" s="123" t="s">
        <v>117</v>
      </c>
      <c r="D560" s="778">
        <v>338690.63</v>
      </c>
      <c r="E560" s="616"/>
      <c r="F560" s="117">
        <f t="shared" si="44"/>
        <v>0</v>
      </c>
      <c r="G560" s="496">
        <f t="shared" si="42"/>
        <v>2032.1437800000001</v>
      </c>
      <c r="H560" s="118">
        <f t="shared" si="45"/>
        <v>0</v>
      </c>
      <c r="I560" s="119">
        <f t="shared" si="43"/>
        <v>1848876.9494899986</v>
      </c>
      <c r="K560"/>
      <c r="L560"/>
      <c r="M560"/>
      <c r="N560"/>
      <c r="O560"/>
    </row>
    <row r="561" spans="1:15" ht="21" customHeight="1">
      <c r="A561" s="120">
        <v>44602</v>
      </c>
      <c r="B561" s="132"/>
      <c r="C561" s="123" t="s">
        <v>118</v>
      </c>
      <c r="D561" s="616"/>
      <c r="E561" s="781">
        <v>2370.83</v>
      </c>
      <c r="F561" s="117">
        <f t="shared" si="44"/>
        <v>0</v>
      </c>
      <c r="G561" s="118">
        <f t="shared" si="42"/>
        <v>0</v>
      </c>
      <c r="H561" s="496">
        <f t="shared" si="45"/>
        <v>14.22498</v>
      </c>
      <c r="I561" s="119">
        <f t="shared" si="43"/>
        <v>1846491.8945099986</v>
      </c>
      <c r="K561"/>
      <c r="L561"/>
      <c r="M561"/>
      <c r="N561"/>
      <c r="O561"/>
    </row>
    <row r="562" spans="1:15" ht="21" customHeight="1">
      <c r="A562" s="120">
        <v>44602</v>
      </c>
      <c r="B562" s="132"/>
      <c r="C562" s="123" t="s">
        <v>107</v>
      </c>
      <c r="D562" s="616"/>
      <c r="E562" s="781">
        <v>35.56</v>
      </c>
      <c r="F562" s="117">
        <f t="shared" si="44"/>
        <v>0</v>
      </c>
      <c r="G562" s="118">
        <f t="shared" si="42"/>
        <v>0</v>
      </c>
      <c r="H562" s="496">
        <f t="shared" si="45"/>
        <v>0.21336000000000002</v>
      </c>
      <c r="I562" s="119">
        <f t="shared" si="43"/>
        <v>1846456.1211499986</v>
      </c>
      <c r="K562"/>
      <c r="L562"/>
      <c r="M562"/>
      <c r="N562"/>
      <c r="O562"/>
    </row>
    <row r="563" spans="1:15" ht="21" customHeight="1">
      <c r="A563" s="120">
        <v>44602</v>
      </c>
      <c r="B563" s="132"/>
      <c r="C563" s="123" t="s">
        <v>859</v>
      </c>
      <c r="D563" s="616"/>
      <c r="E563" s="781">
        <v>497.87</v>
      </c>
      <c r="F563" s="117">
        <f t="shared" si="44"/>
        <v>0</v>
      </c>
      <c r="G563" s="118">
        <f t="shared" si="42"/>
        <v>0</v>
      </c>
      <c r="H563" s="496">
        <f t="shared" si="45"/>
        <v>2.9872200000000002</v>
      </c>
      <c r="I563" s="119">
        <f t="shared" si="43"/>
        <v>1845955.2639299985</v>
      </c>
      <c r="K563"/>
      <c r="L563"/>
      <c r="M563"/>
      <c r="N563"/>
      <c r="O563"/>
    </row>
    <row r="564" spans="1:15" ht="21" customHeight="1">
      <c r="A564" s="120">
        <v>44602</v>
      </c>
      <c r="B564" s="132"/>
      <c r="C564" s="123" t="s">
        <v>453</v>
      </c>
      <c r="D564" s="616"/>
      <c r="E564" s="781">
        <v>71.12</v>
      </c>
      <c r="F564" s="117">
        <f t="shared" si="44"/>
        <v>0</v>
      </c>
      <c r="G564" s="118">
        <f t="shared" si="42"/>
        <v>0</v>
      </c>
      <c r="H564" s="496">
        <f t="shared" si="45"/>
        <v>0.42672000000000004</v>
      </c>
      <c r="I564" s="119">
        <f t="shared" si="43"/>
        <v>1845883.7172099983</v>
      </c>
    </row>
    <row r="565" spans="1:15" ht="21" customHeight="1">
      <c r="A565" s="120">
        <v>44602</v>
      </c>
      <c r="B565" s="132"/>
      <c r="C565" s="123" t="s">
        <v>352</v>
      </c>
      <c r="D565" s="778">
        <v>250000</v>
      </c>
      <c r="E565" s="616"/>
      <c r="F565" s="117">
        <f t="shared" si="44"/>
        <v>0</v>
      </c>
      <c r="G565" s="496">
        <f t="shared" si="42"/>
        <v>1500</v>
      </c>
      <c r="H565" s="118">
        <f t="shared" si="45"/>
        <v>0</v>
      </c>
      <c r="I565" s="119">
        <f t="shared" si="43"/>
        <v>2094383.7172099983</v>
      </c>
      <c r="K565"/>
    </row>
    <row r="566" spans="1:15" ht="21" customHeight="1">
      <c r="A566" s="120">
        <v>44599</v>
      </c>
      <c r="B566" s="132">
        <v>190</v>
      </c>
      <c r="C566" s="132" t="s">
        <v>100</v>
      </c>
      <c r="D566" s="132"/>
      <c r="E566" s="778">
        <v>300000</v>
      </c>
      <c r="F566" s="117">
        <f t="shared" si="44"/>
        <v>0</v>
      </c>
      <c r="G566" s="118">
        <f t="shared" si="42"/>
        <v>0</v>
      </c>
      <c r="H566" s="495">
        <f t="shared" si="45"/>
        <v>1800</v>
      </c>
      <c r="I566" s="119">
        <f t="shared" si="43"/>
        <v>1792583.7172099983</v>
      </c>
      <c r="K566" s="796"/>
    </row>
    <row r="567" spans="1:15" ht="21" customHeight="1">
      <c r="A567" s="120">
        <v>44596</v>
      </c>
      <c r="B567" s="132">
        <v>189</v>
      </c>
      <c r="C567" s="132" t="s">
        <v>100</v>
      </c>
      <c r="D567" s="132"/>
      <c r="E567" s="778">
        <v>200000</v>
      </c>
      <c r="F567" s="117">
        <f t="shared" si="44"/>
        <v>0</v>
      </c>
      <c r="G567" s="118">
        <f t="shared" si="42"/>
        <v>0</v>
      </c>
      <c r="H567" s="495">
        <f t="shared" si="45"/>
        <v>1200</v>
      </c>
      <c r="I567" s="119">
        <f t="shared" si="43"/>
        <v>1591383.7172099983</v>
      </c>
      <c r="K567"/>
    </row>
    <row r="568" spans="1:15" ht="21" customHeight="1">
      <c r="A568" s="120">
        <v>44600</v>
      </c>
      <c r="B568" s="132">
        <v>178</v>
      </c>
      <c r="C568" s="132" t="s">
        <v>100</v>
      </c>
      <c r="D568" s="132"/>
      <c r="E568" s="778">
        <v>400000</v>
      </c>
      <c r="F568" s="117">
        <f t="shared" si="44"/>
        <v>0</v>
      </c>
      <c r="G568" s="118">
        <f t="shared" si="42"/>
        <v>0</v>
      </c>
      <c r="H568" s="495">
        <f t="shared" si="45"/>
        <v>2400</v>
      </c>
      <c r="I568" s="119">
        <f t="shared" si="43"/>
        <v>1188983.7172099983</v>
      </c>
      <c r="K568" s="796"/>
    </row>
    <row r="569" spans="1:15" ht="21" customHeight="1">
      <c r="A569" s="120">
        <v>44601</v>
      </c>
      <c r="B569" s="132">
        <v>180</v>
      </c>
      <c r="C569" s="132" t="s">
        <v>100</v>
      </c>
      <c r="D569" s="132"/>
      <c r="E569" s="778">
        <v>302793.36</v>
      </c>
      <c r="F569" s="117">
        <f t="shared" si="44"/>
        <v>0</v>
      </c>
      <c r="G569" s="118">
        <f t="shared" ref="G569" si="46">D569*0.006</f>
        <v>0</v>
      </c>
      <c r="H569" s="495">
        <f t="shared" si="45"/>
        <v>1816.76016</v>
      </c>
      <c r="I569" s="119">
        <f t="shared" ref="I569:I632" si="47">I568+D569-E569-F569-G569-H569</f>
        <v>884373.59704999835</v>
      </c>
      <c r="K569"/>
    </row>
    <row r="570" spans="1:15" ht="21" customHeight="1">
      <c r="A570" s="120">
        <v>44606</v>
      </c>
      <c r="B570" s="132"/>
      <c r="C570" s="123" t="s">
        <v>119</v>
      </c>
      <c r="D570" s="781">
        <v>134183.18</v>
      </c>
      <c r="E570" s="616"/>
      <c r="F570" s="117">
        <f t="shared" si="44"/>
        <v>0</v>
      </c>
      <c r="G570" s="118"/>
      <c r="H570" s="118">
        <f t="shared" si="45"/>
        <v>0</v>
      </c>
      <c r="I570" s="119">
        <f t="shared" si="47"/>
        <v>1018556.7770499983</v>
      </c>
      <c r="K570" s="796"/>
    </row>
    <row r="571" spans="1:15" ht="21" customHeight="1">
      <c r="A571" s="120">
        <v>44607</v>
      </c>
      <c r="B571" s="132"/>
      <c r="C571" s="123" t="s">
        <v>352</v>
      </c>
      <c r="D571" s="781">
        <v>600000</v>
      </c>
      <c r="E571" s="616"/>
      <c r="F571" s="117">
        <f t="shared" si="44"/>
        <v>0</v>
      </c>
      <c r="G571" s="495">
        <f t="shared" ref="G571:G634" si="48">D571*0.006</f>
        <v>3600</v>
      </c>
      <c r="H571" s="118">
        <f t="shared" si="45"/>
        <v>0</v>
      </c>
      <c r="I571" s="119">
        <f t="shared" si="47"/>
        <v>1614956.7770499983</v>
      </c>
      <c r="K571"/>
    </row>
    <row r="572" spans="1:15" ht="21" customHeight="1">
      <c r="A572" s="120">
        <v>44608</v>
      </c>
      <c r="B572" s="132"/>
      <c r="C572" s="132" t="s">
        <v>352</v>
      </c>
      <c r="D572" s="781">
        <v>500000</v>
      </c>
      <c r="E572" s="616"/>
      <c r="F572" s="117">
        <f t="shared" si="44"/>
        <v>0</v>
      </c>
      <c r="G572" s="495">
        <f t="shared" si="48"/>
        <v>3000</v>
      </c>
      <c r="H572" s="118">
        <f t="shared" si="45"/>
        <v>0</v>
      </c>
      <c r="I572" s="119">
        <f t="shared" si="47"/>
        <v>2111956.7770499983</v>
      </c>
    </row>
    <row r="573" spans="1:15" ht="21" customHeight="1">
      <c r="A573" s="120">
        <v>44608</v>
      </c>
      <c r="B573" s="133">
        <v>232</v>
      </c>
      <c r="C573" s="15" t="s">
        <v>103</v>
      </c>
      <c r="E573" s="486">
        <v>568000</v>
      </c>
      <c r="F573" s="117">
        <f t="shared" si="44"/>
        <v>0</v>
      </c>
      <c r="G573" s="118">
        <f t="shared" si="48"/>
        <v>0</v>
      </c>
      <c r="H573" s="495">
        <f t="shared" si="45"/>
        <v>3408</v>
      </c>
      <c r="I573" s="119">
        <f t="shared" si="47"/>
        <v>1540548.7770499983</v>
      </c>
      <c r="J573" s="501">
        <v>1545221.62</v>
      </c>
    </row>
    <row r="574" spans="1:15" ht="21" customHeight="1">
      <c r="A574" s="120">
        <v>44609</v>
      </c>
      <c r="B574" s="132"/>
      <c r="C574" s="132" t="s">
        <v>352</v>
      </c>
      <c r="D574" s="781">
        <v>1000000</v>
      </c>
      <c r="E574" s="616"/>
      <c r="F574" s="117">
        <f t="shared" si="44"/>
        <v>0</v>
      </c>
      <c r="G574" s="495">
        <f t="shared" si="48"/>
        <v>6000</v>
      </c>
      <c r="H574" s="118">
        <f t="shared" si="45"/>
        <v>0</v>
      </c>
      <c r="I574" s="119">
        <f t="shared" si="47"/>
        <v>2534548.7770499983</v>
      </c>
    </row>
    <row r="575" spans="1:15" ht="21" customHeight="1">
      <c r="A575" s="120">
        <v>44609</v>
      </c>
      <c r="B575" s="133">
        <v>233</v>
      </c>
      <c r="C575" s="15" t="s">
        <v>103</v>
      </c>
      <c r="D575" s="616"/>
      <c r="E575" s="781">
        <v>568000</v>
      </c>
      <c r="F575" s="117">
        <f t="shared" si="44"/>
        <v>0</v>
      </c>
      <c r="G575" s="118">
        <f t="shared" si="48"/>
        <v>0</v>
      </c>
      <c r="H575" s="495">
        <f t="shared" si="45"/>
        <v>3408</v>
      </c>
      <c r="I575" s="119">
        <f t="shared" si="47"/>
        <v>1963140.7770499983</v>
      </c>
    </row>
    <row r="576" spans="1:15" ht="21" customHeight="1">
      <c r="A576" s="120">
        <v>44610</v>
      </c>
      <c r="B576" s="133"/>
      <c r="C576" s="132" t="s">
        <v>352</v>
      </c>
      <c r="D576" s="797">
        <v>800000</v>
      </c>
      <c r="E576" s="616"/>
      <c r="F576" s="117">
        <f t="shared" si="44"/>
        <v>0</v>
      </c>
      <c r="G576" s="798">
        <f t="shared" si="48"/>
        <v>4800</v>
      </c>
      <c r="H576" s="118">
        <f t="shared" si="45"/>
        <v>0</v>
      </c>
      <c r="I576" s="119">
        <f t="shared" si="47"/>
        <v>2758340.7770499983</v>
      </c>
    </row>
    <row r="577" spans="1:10" ht="21" customHeight="1">
      <c r="A577" s="799">
        <v>44610</v>
      </c>
      <c r="B577" s="800"/>
      <c r="C577" s="801" t="s">
        <v>860</v>
      </c>
      <c r="D577" s="257"/>
      <c r="E577" s="802">
        <v>2217.44</v>
      </c>
      <c r="F577" s="117">
        <f t="shared" si="44"/>
        <v>0</v>
      </c>
      <c r="G577" s="118">
        <f t="shared" si="48"/>
        <v>0</v>
      </c>
      <c r="H577" s="803">
        <f t="shared" si="45"/>
        <v>13.304640000000001</v>
      </c>
      <c r="I577" s="119">
        <f t="shared" si="47"/>
        <v>2756110.0324099981</v>
      </c>
    </row>
    <row r="578" spans="1:10" ht="21" customHeight="1">
      <c r="A578" s="799">
        <v>44613</v>
      </c>
      <c r="B578" s="804">
        <v>177</v>
      </c>
      <c r="C578" s="804" t="s">
        <v>104</v>
      </c>
      <c r="D578" s="132"/>
      <c r="E578" s="802">
        <v>300000</v>
      </c>
      <c r="F578" s="117">
        <f t="shared" si="44"/>
        <v>0</v>
      </c>
      <c r="G578" s="118">
        <f t="shared" si="48"/>
        <v>0</v>
      </c>
      <c r="H578" s="805">
        <f t="shared" si="45"/>
        <v>1800</v>
      </c>
      <c r="I578" s="119">
        <f t="shared" si="47"/>
        <v>2454310.0324099981</v>
      </c>
    </row>
    <row r="579" spans="1:10" ht="21" customHeight="1">
      <c r="A579" s="799">
        <v>44613</v>
      </c>
      <c r="B579" s="804">
        <v>184</v>
      </c>
      <c r="C579" s="804" t="s">
        <v>104</v>
      </c>
      <c r="D579" s="132"/>
      <c r="E579" s="802">
        <v>400000</v>
      </c>
      <c r="F579" s="117">
        <f t="shared" si="44"/>
        <v>0</v>
      </c>
      <c r="G579" s="118">
        <f t="shared" si="48"/>
        <v>0</v>
      </c>
      <c r="H579" s="805">
        <f t="shared" si="45"/>
        <v>2400</v>
      </c>
      <c r="I579" s="119">
        <f t="shared" si="47"/>
        <v>2051910.0324099981</v>
      </c>
    </row>
    <row r="580" spans="1:10" ht="21" customHeight="1">
      <c r="A580" s="799">
        <v>44613</v>
      </c>
      <c r="B580" s="804">
        <v>182</v>
      </c>
      <c r="C580" s="804" t="s">
        <v>104</v>
      </c>
      <c r="D580" s="132"/>
      <c r="E580" s="802">
        <v>300000</v>
      </c>
      <c r="F580" s="117">
        <f t="shared" si="44"/>
        <v>0</v>
      </c>
      <c r="G580" s="118">
        <f t="shared" si="48"/>
        <v>0</v>
      </c>
      <c r="H580" s="554">
        <f t="shared" si="45"/>
        <v>1800</v>
      </c>
      <c r="I580" s="119">
        <f t="shared" si="47"/>
        <v>1750110.0324099981</v>
      </c>
    </row>
    <row r="581" spans="1:10" ht="21" customHeight="1">
      <c r="A581" s="799">
        <v>44613</v>
      </c>
      <c r="B581" s="804">
        <v>185</v>
      </c>
      <c r="C581" s="804" t="s">
        <v>104</v>
      </c>
      <c r="D581" s="135"/>
      <c r="E581" s="802">
        <v>200000</v>
      </c>
      <c r="F581" s="117">
        <f t="shared" si="44"/>
        <v>0</v>
      </c>
      <c r="G581" s="118">
        <f t="shared" si="48"/>
        <v>0</v>
      </c>
      <c r="H581" s="554">
        <f t="shared" si="45"/>
        <v>1200</v>
      </c>
      <c r="I581" s="119">
        <f t="shared" si="47"/>
        <v>1548910.0324099981</v>
      </c>
    </row>
    <row r="582" spans="1:10" ht="21" customHeight="1">
      <c r="A582" s="799">
        <v>44613</v>
      </c>
      <c r="B582" s="806"/>
      <c r="C582" s="804" t="s">
        <v>352</v>
      </c>
      <c r="D582" s="802">
        <v>400000</v>
      </c>
      <c r="E582"/>
      <c r="F582" s="117">
        <f t="shared" si="44"/>
        <v>0</v>
      </c>
      <c r="G582" s="554">
        <f t="shared" si="48"/>
        <v>2400</v>
      </c>
      <c r="H582" s="118">
        <f t="shared" si="45"/>
        <v>0</v>
      </c>
      <c r="I582" s="119">
        <f t="shared" si="47"/>
        <v>1946510.0324099981</v>
      </c>
    </row>
    <row r="583" spans="1:10" ht="21" customHeight="1">
      <c r="A583" s="799">
        <v>44614</v>
      </c>
      <c r="B583" s="806"/>
      <c r="C583" s="804" t="s">
        <v>352</v>
      </c>
      <c r="D583" s="807">
        <v>300000</v>
      </c>
      <c r="E583"/>
      <c r="F583" s="117">
        <f t="shared" si="44"/>
        <v>0</v>
      </c>
      <c r="G583" s="554">
        <f t="shared" si="48"/>
        <v>1800</v>
      </c>
      <c r="H583" s="118">
        <f t="shared" si="45"/>
        <v>0</v>
      </c>
      <c r="I583" s="119">
        <f t="shared" si="47"/>
        <v>2244710.0324099981</v>
      </c>
      <c r="J583" s="808"/>
    </row>
    <row r="584" spans="1:10" ht="21" customHeight="1">
      <c r="A584" s="799">
        <v>44616</v>
      </c>
      <c r="B584" s="800"/>
      <c r="C584" s="809" t="s">
        <v>463</v>
      </c>
      <c r="D584" s="124"/>
      <c r="E584" s="780">
        <v>2850</v>
      </c>
      <c r="F584" s="117">
        <f t="shared" si="44"/>
        <v>0</v>
      </c>
      <c r="G584" s="118">
        <f t="shared" si="48"/>
        <v>0</v>
      </c>
      <c r="H584" s="810">
        <f t="shared" si="45"/>
        <v>17.100000000000001</v>
      </c>
      <c r="I584" s="119">
        <f t="shared" si="47"/>
        <v>2241842.932409998</v>
      </c>
      <c r="J584" s="679"/>
    </row>
    <row r="585" spans="1:10" ht="21" customHeight="1">
      <c r="A585" s="799">
        <v>44616</v>
      </c>
      <c r="B585" s="811"/>
      <c r="C585" s="809" t="s">
        <v>107</v>
      </c>
      <c r="D585" s="124"/>
      <c r="E585" s="780">
        <v>42.75</v>
      </c>
      <c r="F585" s="117">
        <f t="shared" si="44"/>
        <v>0</v>
      </c>
      <c r="G585" s="118">
        <f t="shared" si="48"/>
        <v>0</v>
      </c>
      <c r="H585" s="810">
        <f t="shared" si="45"/>
        <v>0.25650000000000001</v>
      </c>
      <c r="I585" s="119">
        <f t="shared" si="47"/>
        <v>2241799.9259099979</v>
      </c>
    </row>
    <row r="586" spans="1:10" ht="21" customHeight="1">
      <c r="A586" s="799">
        <v>44616</v>
      </c>
      <c r="B586" s="800"/>
      <c r="C586" s="809" t="s">
        <v>807</v>
      </c>
      <c r="D586"/>
      <c r="E586" s="780">
        <v>598.5</v>
      </c>
      <c r="F586" s="117">
        <f t="shared" si="44"/>
        <v>0</v>
      </c>
      <c r="G586" s="118">
        <f t="shared" si="48"/>
        <v>0</v>
      </c>
      <c r="H586" s="810">
        <f t="shared" si="45"/>
        <v>3.5910000000000002</v>
      </c>
      <c r="I586" s="119">
        <f t="shared" si="47"/>
        <v>2241197.8349099979</v>
      </c>
      <c r="J586" s="812"/>
    </row>
    <row r="587" spans="1:10" ht="21" customHeight="1">
      <c r="A587" s="799">
        <v>44616</v>
      </c>
      <c r="B587" s="811"/>
      <c r="C587" s="809" t="s">
        <v>107</v>
      </c>
      <c r="D587" s="124"/>
      <c r="E587" s="780">
        <v>85.5</v>
      </c>
      <c r="F587" s="117">
        <f t="shared" si="44"/>
        <v>0</v>
      </c>
      <c r="G587" s="118">
        <f t="shared" si="48"/>
        <v>0</v>
      </c>
      <c r="H587" s="810">
        <f t="shared" si="45"/>
        <v>0.51300000000000001</v>
      </c>
      <c r="I587" s="119">
        <f t="shared" si="47"/>
        <v>2241111.8219099981</v>
      </c>
    </row>
    <row r="588" spans="1:10" ht="21" customHeight="1">
      <c r="A588" s="799">
        <v>44616</v>
      </c>
      <c r="B588" s="813"/>
      <c r="C588" s="809" t="s">
        <v>807</v>
      </c>
      <c r="D588" s="124"/>
      <c r="E588" s="780">
        <v>40.950000000000003</v>
      </c>
      <c r="F588" s="117">
        <f t="shared" si="44"/>
        <v>0</v>
      </c>
      <c r="G588" s="118">
        <f t="shared" si="48"/>
        <v>0</v>
      </c>
      <c r="H588" s="810">
        <f t="shared" si="45"/>
        <v>0.24570000000000003</v>
      </c>
      <c r="I588" s="119">
        <f t="shared" si="47"/>
        <v>2241070.626209998</v>
      </c>
    </row>
    <row r="589" spans="1:10" ht="21" customHeight="1">
      <c r="A589" s="799">
        <v>44616</v>
      </c>
      <c r="B589" s="804"/>
      <c r="C589" s="809" t="s">
        <v>460</v>
      </c>
      <c r="D589" s="124"/>
      <c r="E589" s="780">
        <v>195</v>
      </c>
      <c r="F589" s="117">
        <f t="shared" si="44"/>
        <v>0</v>
      </c>
      <c r="G589" s="118">
        <f t="shared" si="48"/>
        <v>0</v>
      </c>
      <c r="H589" s="810">
        <f t="shared" si="45"/>
        <v>1.17</v>
      </c>
      <c r="I589" s="119">
        <f t="shared" si="47"/>
        <v>2240874.4562099981</v>
      </c>
    </row>
    <row r="590" spans="1:10" ht="21" customHeight="1">
      <c r="A590" s="799">
        <v>44616</v>
      </c>
      <c r="B590" s="804"/>
      <c r="C590" s="804" t="s">
        <v>352</v>
      </c>
      <c r="D590" s="814">
        <v>160000</v>
      </c>
      <c r="E590" s="616"/>
      <c r="F590" s="117">
        <f t="shared" si="44"/>
        <v>0</v>
      </c>
      <c r="G590" s="496">
        <f t="shared" si="48"/>
        <v>960</v>
      </c>
      <c r="H590" s="810">
        <f t="shared" si="45"/>
        <v>0</v>
      </c>
      <c r="I590" s="119">
        <f t="shared" si="47"/>
        <v>2399914.4562099981</v>
      </c>
    </row>
    <row r="591" spans="1:10" ht="21" customHeight="1">
      <c r="A591" s="799">
        <v>44616</v>
      </c>
      <c r="B591" s="813">
        <v>234</v>
      </c>
      <c r="C591" s="809" t="s">
        <v>103</v>
      </c>
      <c r="D591" s="616"/>
      <c r="E591" s="815">
        <v>568000</v>
      </c>
      <c r="F591" s="117">
        <f t="shared" si="44"/>
        <v>0</v>
      </c>
      <c r="G591" s="118">
        <f t="shared" si="48"/>
        <v>0</v>
      </c>
      <c r="H591" s="810">
        <f t="shared" si="45"/>
        <v>3408</v>
      </c>
      <c r="I591" s="119">
        <f t="shared" si="47"/>
        <v>1828506.4562099981</v>
      </c>
    </row>
    <row r="592" spans="1:10" ht="21" customHeight="1">
      <c r="A592" s="799">
        <v>44616</v>
      </c>
      <c r="B592" s="813"/>
      <c r="C592" s="816" t="s">
        <v>861</v>
      </c>
      <c r="D592" s="817">
        <v>2217.4299999999998</v>
      </c>
      <c r="E592" s="136"/>
      <c r="F592" s="117">
        <f t="shared" si="44"/>
        <v>0</v>
      </c>
      <c r="G592" s="496">
        <f t="shared" si="48"/>
        <v>13.30458</v>
      </c>
      <c r="H592" s="118">
        <f t="shared" si="45"/>
        <v>0</v>
      </c>
      <c r="I592" s="119">
        <f t="shared" si="47"/>
        <v>1830710.5816299981</v>
      </c>
    </row>
    <row r="593" spans="1:10" ht="21" customHeight="1">
      <c r="A593" s="799">
        <v>44617</v>
      </c>
      <c r="B593" s="804">
        <v>53</v>
      </c>
      <c r="C593" s="804" t="s">
        <v>120</v>
      </c>
      <c r="D593" s="616"/>
      <c r="E593" s="815">
        <v>192258</v>
      </c>
      <c r="F593" s="117">
        <f t="shared" si="44"/>
        <v>0</v>
      </c>
      <c r="G593" s="118">
        <f t="shared" si="48"/>
        <v>0</v>
      </c>
      <c r="H593" s="496">
        <f t="shared" si="45"/>
        <v>1153.548</v>
      </c>
      <c r="I593" s="119">
        <f t="shared" si="47"/>
        <v>1637299.0336299981</v>
      </c>
    </row>
    <row r="594" spans="1:10" ht="21" customHeight="1">
      <c r="A594" s="799">
        <v>44617</v>
      </c>
      <c r="B594" s="746"/>
      <c r="C594" s="137" t="s">
        <v>121</v>
      </c>
      <c r="D594" s="138"/>
      <c r="E594" s="817">
        <v>2217.4299999999998</v>
      </c>
      <c r="F594" s="117">
        <f t="shared" si="44"/>
        <v>0</v>
      </c>
      <c r="G594" s="118">
        <f t="shared" si="48"/>
        <v>0</v>
      </c>
      <c r="H594" s="496">
        <f t="shared" si="45"/>
        <v>13.30458</v>
      </c>
      <c r="I594" s="119">
        <f t="shared" si="47"/>
        <v>1635068.2990499982</v>
      </c>
    </row>
    <row r="595" spans="1:10" ht="21" customHeight="1">
      <c r="A595" s="120">
        <v>44614</v>
      </c>
      <c r="B595" s="132">
        <v>194</v>
      </c>
      <c r="C595" s="132" t="s">
        <v>122</v>
      </c>
      <c r="D595" s="132"/>
      <c r="E595" s="778">
        <v>400000</v>
      </c>
      <c r="F595" s="117">
        <f t="shared" si="44"/>
        <v>0</v>
      </c>
      <c r="G595" s="118">
        <f t="shared" si="48"/>
        <v>0</v>
      </c>
      <c r="H595" s="496">
        <f t="shared" si="45"/>
        <v>2400</v>
      </c>
      <c r="I595" s="119">
        <f t="shared" si="47"/>
        <v>1232668.2990499982</v>
      </c>
    </row>
    <row r="596" spans="1:10" ht="21" customHeight="1">
      <c r="A596" s="120">
        <v>44615</v>
      </c>
      <c r="B596" s="132">
        <v>195</v>
      </c>
      <c r="C596" s="132" t="s">
        <v>122</v>
      </c>
      <c r="D596" s="132"/>
      <c r="E596" s="778">
        <v>300000</v>
      </c>
      <c r="F596" s="117">
        <f t="shared" si="44"/>
        <v>0</v>
      </c>
      <c r="G596" s="118">
        <f t="shared" si="48"/>
        <v>0</v>
      </c>
      <c r="H596" s="496">
        <f t="shared" si="45"/>
        <v>1800</v>
      </c>
      <c r="I596" s="119">
        <f t="shared" si="47"/>
        <v>930868.29904999817</v>
      </c>
    </row>
    <row r="597" spans="1:10" ht="21" customHeight="1">
      <c r="A597" s="120">
        <v>44616</v>
      </c>
      <c r="B597" s="132">
        <v>192</v>
      </c>
      <c r="C597" s="132" t="s">
        <v>122</v>
      </c>
      <c r="D597" s="132"/>
      <c r="E597" s="778">
        <v>400000</v>
      </c>
      <c r="F597" s="117">
        <f t="shared" si="44"/>
        <v>0</v>
      </c>
      <c r="G597" s="118">
        <f t="shared" si="48"/>
        <v>0</v>
      </c>
      <c r="H597" s="496">
        <f t="shared" si="45"/>
        <v>2400</v>
      </c>
      <c r="I597" s="119">
        <f t="shared" si="47"/>
        <v>528468.29904999817</v>
      </c>
    </row>
    <row r="598" spans="1:10" ht="21" customHeight="1">
      <c r="A598" s="120">
        <v>44617</v>
      </c>
      <c r="B598" s="132">
        <v>197</v>
      </c>
      <c r="C598" s="132" t="s">
        <v>122</v>
      </c>
      <c r="D598" s="132"/>
      <c r="E598" s="778">
        <v>200000</v>
      </c>
      <c r="F598" s="117">
        <f t="shared" si="44"/>
        <v>0</v>
      </c>
      <c r="G598" s="118">
        <f t="shared" si="48"/>
        <v>0</v>
      </c>
      <c r="H598" s="496">
        <f t="shared" si="45"/>
        <v>1200</v>
      </c>
      <c r="I598" s="119">
        <f t="shared" si="47"/>
        <v>327268.29904999817</v>
      </c>
    </row>
    <row r="599" spans="1:10" ht="21" customHeight="1">
      <c r="A599" s="120"/>
      <c r="B599" s="133"/>
      <c r="C599" s="96"/>
      <c r="D599" s="139"/>
      <c r="E599" s="135"/>
      <c r="F599" s="117">
        <f t="shared" si="44"/>
        <v>0</v>
      </c>
      <c r="G599" s="118">
        <f t="shared" si="48"/>
        <v>0</v>
      </c>
      <c r="H599" s="118">
        <f t="shared" si="45"/>
        <v>0</v>
      </c>
      <c r="I599" s="119">
        <f t="shared" si="47"/>
        <v>327268.29904999817</v>
      </c>
    </row>
    <row r="600" spans="1:10" ht="21" customHeight="1">
      <c r="A600" s="140"/>
      <c r="B600" s="141"/>
      <c r="C600" s="141"/>
      <c r="D600" s="141"/>
      <c r="E600" s="142"/>
      <c r="F600" s="143">
        <f t="shared" si="44"/>
        <v>0</v>
      </c>
      <c r="G600" s="143">
        <f t="shared" si="48"/>
        <v>0</v>
      </c>
      <c r="H600" s="143">
        <f t="shared" si="45"/>
        <v>0</v>
      </c>
      <c r="I600" s="818">
        <f t="shared" si="47"/>
        <v>327268.29904999817</v>
      </c>
      <c r="J600" s="819"/>
    </row>
    <row r="601" spans="1:10" ht="21" customHeight="1">
      <c r="A601" s="120">
        <v>44623</v>
      </c>
      <c r="B601" s="132"/>
      <c r="C601" s="132" t="s">
        <v>107</v>
      </c>
      <c r="D601" s="132"/>
      <c r="E601" s="778">
        <v>37.340000000000003</v>
      </c>
      <c r="F601" s="117">
        <f t="shared" ref="F601:F664" si="49">D601*0%</f>
        <v>0</v>
      </c>
      <c r="G601" s="118">
        <f t="shared" si="48"/>
        <v>0</v>
      </c>
      <c r="H601" s="495">
        <f t="shared" ref="H601:H664" si="50">E601*0.006+F601*0.006</f>
        <v>0.22404000000000002</v>
      </c>
      <c r="I601" s="119">
        <f t="shared" si="47"/>
        <v>327230.73500999814</v>
      </c>
    </row>
    <row r="602" spans="1:10" ht="21" customHeight="1">
      <c r="A602" s="120">
        <v>44623</v>
      </c>
      <c r="B602" s="132"/>
      <c r="C602" s="132" t="s">
        <v>458</v>
      </c>
      <c r="D602" s="132"/>
      <c r="E602" s="778">
        <v>74.680000000000007</v>
      </c>
      <c r="F602" s="117">
        <f t="shared" si="49"/>
        <v>0</v>
      </c>
      <c r="G602" s="118">
        <f t="shared" si="48"/>
        <v>0</v>
      </c>
      <c r="H602" s="495">
        <f t="shared" si="50"/>
        <v>0.44808000000000003</v>
      </c>
      <c r="I602" s="119">
        <f t="shared" si="47"/>
        <v>327155.60692999815</v>
      </c>
    </row>
    <row r="603" spans="1:10" ht="21" customHeight="1">
      <c r="A603" s="120">
        <v>44623</v>
      </c>
      <c r="B603" s="132"/>
      <c r="C603" s="132" t="s">
        <v>862</v>
      </c>
      <c r="D603" s="820"/>
      <c r="E603" s="778">
        <v>522.77</v>
      </c>
      <c r="F603" s="117">
        <f t="shared" si="49"/>
        <v>0</v>
      </c>
      <c r="G603" s="118">
        <f t="shared" si="48"/>
        <v>0</v>
      </c>
      <c r="H603" s="495">
        <f t="shared" si="50"/>
        <v>3.1366199999999997</v>
      </c>
      <c r="I603" s="119">
        <f t="shared" si="47"/>
        <v>326629.70030999812</v>
      </c>
    </row>
    <row r="604" spans="1:10" ht="21" customHeight="1">
      <c r="A604" s="120">
        <v>44623</v>
      </c>
      <c r="B604" s="2"/>
      <c r="C604" s="132" t="s">
        <v>118</v>
      </c>
      <c r="D604" s="261"/>
      <c r="E604" s="778">
        <v>2489.38</v>
      </c>
      <c r="F604" s="117">
        <f t="shared" si="49"/>
        <v>0</v>
      </c>
      <c r="G604" s="118">
        <f t="shared" si="48"/>
        <v>0</v>
      </c>
      <c r="H604" s="495">
        <f t="shared" si="50"/>
        <v>14.936280000000002</v>
      </c>
      <c r="I604" s="119">
        <f t="shared" si="47"/>
        <v>324125.38402999809</v>
      </c>
    </row>
    <row r="605" spans="1:10" ht="21" customHeight="1">
      <c r="A605" s="40">
        <v>44618</v>
      </c>
      <c r="B605" s="2">
        <v>31333524</v>
      </c>
      <c r="C605" s="15" t="s">
        <v>863</v>
      </c>
      <c r="D605" s="778">
        <v>355625.17</v>
      </c>
      <c r="E605" s="778">
        <v>355625.17</v>
      </c>
      <c r="F605" s="117">
        <f t="shared" si="49"/>
        <v>0</v>
      </c>
      <c r="G605" s="118"/>
      <c r="H605" s="118"/>
      <c r="I605" s="119">
        <f t="shared" si="47"/>
        <v>324125.38402999815</v>
      </c>
    </row>
    <row r="606" spans="1:10" ht="21" customHeight="1">
      <c r="A606" s="40">
        <v>44627</v>
      </c>
      <c r="B606" s="133"/>
      <c r="C606" s="123" t="s">
        <v>123</v>
      </c>
      <c r="D606" s="144"/>
      <c r="E606" s="778">
        <v>12565.33</v>
      </c>
      <c r="F606" s="117">
        <f t="shared" si="49"/>
        <v>0</v>
      </c>
      <c r="G606" s="118">
        <f t="shared" si="48"/>
        <v>0</v>
      </c>
      <c r="H606" s="118">
        <f t="shared" si="50"/>
        <v>75.391980000000004</v>
      </c>
      <c r="I606" s="119">
        <f t="shared" si="47"/>
        <v>311484.66204999812</v>
      </c>
    </row>
    <row r="607" spans="1:10" ht="21" customHeight="1">
      <c r="A607" s="40">
        <v>44627</v>
      </c>
      <c r="B607" s="133">
        <v>10</v>
      </c>
      <c r="C607" s="123" t="s">
        <v>864</v>
      </c>
      <c r="D607" s="781">
        <v>45640</v>
      </c>
      <c r="E607" s="616"/>
      <c r="F607" s="117">
        <f t="shared" si="49"/>
        <v>0</v>
      </c>
      <c r="G607" s="496">
        <f t="shared" si="48"/>
        <v>273.84000000000003</v>
      </c>
      <c r="H607" s="118">
        <f t="shared" si="50"/>
        <v>0</v>
      </c>
      <c r="I607" s="119">
        <f t="shared" si="47"/>
        <v>356850.8220499981</v>
      </c>
    </row>
    <row r="608" spans="1:10" ht="21" customHeight="1">
      <c r="A608" s="40">
        <v>44627</v>
      </c>
      <c r="B608" s="133"/>
      <c r="C608" s="123" t="s">
        <v>865</v>
      </c>
      <c r="D608" s="781">
        <f>27598+23000</f>
        <v>50598</v>
      </c>
      <c r="E608" s="616"/>
      <c r="F608" s="117">
        <f t="shared" si="49"/>
        <v>0</v>
      </c>
      <c r="G608" s="496">
        <f t="shared" si="48"/>
        <v>303.58800000000002</v>
      </c>
      <c r="H608" s="118">
        <f t="shared" si="50"/>
        <v>0</v>
      </c>
      <c r="I608" s="119">
        <f t="shared" si="47"/>
        <v>407145.23404999811</v>
      </c>
    </row>
    <row r="609" spans="1:14" ht="21" customHeight="1">
      <c r="A609" s="40">
        <v>44627</v>
      </c>
      <c r="B609" s="133">
        <v>10</v>
      </c>
      <c r="C609" s="123" t="s">
        <v>865</v>
      </c>
      <c r="D609" s="781">
        <f>18000+18000</f>
        <v>36000</v>
      </c>
      <c r="E609" s="616"/>
      <c r="F609" s="117">
        <f t="shared" si="49"/>
        <v>0</v>
      </c>
      <c r="G609" s="495">
        <f t="shared" si="48"/>
        <v>216</v>
      </c>
      <c r="H609" s="118">
        <f t="shared" si="50"/>
        <v>0</v>
      </c>
      <c r="I609" s="119">
        <f t="shared" si="47"/>
        <v>442929.23404999811</v>
      </c>
    </row>
    <row r="610" spans="1:14" ht="21" customHeight="1">
      <c r="A610" s="40">
        <v>44627</v>
      </c>
      <c r="B610" s="133"/>
      <c r="C610" s="15" t="s">
        <v>352</v>
      </c>
      <c r="D610" s="781">
        <v>700000</v>
      </c>
      <c r="E610" s="616"/>
      <c r="F610" s="117">
        <f t="shared" si="49"/>
        <v>0</v>
      </c>
      <c r="G610" s="496">
        <f t="shared" si="48"/>
        <v>4200</v>
      </c>
      <c r="H610" s="118">
        <f t="shared" si="50"/>
        <v>0</v>
      </c>
      <c r="I610" s="119">
        <f t="shared" si="47"/>
        <v>1138729.2340499982</v>
      </c>
      <c r="K610"/>
      <c r="L610"/>
      <c r="M610"/>
      <c r="N610"/>
    </row>
    <row r="611" spans="1:14" ht="21" customHeight="1">
      <c r="A611" s="40">
        <v>44628</v>
      </c>
      <c r="B611" s="133"/>
      <c r="C611" s="123" t="s">
        <v>866</v>
      </c>
      <c r="D611" s="781">
        <v>600000</v>
      </c>
      <c r="E611" s="616"/>
      <c r="F611" s="117">
        <f t="shared" si="49"/>
        <v>0</v>
      </c>
      <c r="G611" s="495">
        <f t="shared" si="48"/>
        <v>3600</v>
      </c>
      <c r="H611" s="118">
        <f t="shared" si="50"/>
        <v>0</v>
      </c>
      <c r="I611" s="119">
        <f t="shared" si="47"/>
        <v>1735129.2340499982</v>
      </c>
      <c r="K611"/>
      <c r="L611"/>
      <c r="M611"/>
      <c r="N611"/>
    </row>
    <row r="612" spans="1:14" ht="21" customHeight="1">
      <c r="A612" s="40">
        <v>44629</v>
      </c>
      <c r="B612" s="122" t="s">
        <v>124</v>
      </c>
      <c r="C612" s="123" t="s">
        <v>125</v>
      </c>
      <c r="D612" s="781">
        <v>236000</v>
      </c>
      <c r="E612" s="616"/>
      <c r="F612" s="117">
        <f t="shared" si="49"/>
        <v>0</v>
      </c>
      <c r="G612" s="496">
        <f t="shared" si="48"/>
        <v>1416</v>
      </c>
      <c r="H612" s="118">
        <f t="shared" si="50"/>
        <v>0</v>
      </c>
      <c r="I612" s="119">
        <f t="shared" si="47"/>
        <v>1969713.2340499982</v>
      </c>
      <c r="K612"/>
      <c r="L612"/>
      <c r="M612"/>
      <c r="N612"/>
    </row>
    <row r="613" spans="1:14" ht="21" customHeight="1">
      <c r="A613" s="120">
        <v>44630</v>
      </c>
      <c r="B613" s="133"/>
      <c r="C613" s="123" t="s">
        <v>126</v>
      </c>
      <c r="D613" s="145"/>
      <c r="E613" s="125">
        <v>567.32000000000005</v>
      </c>
      <c r="F613" s="117">
        <f t="shared" si="49"/>
        <v>0</v>
      </c>
      <c r="G613" s="118">
        <f t="shared" si="48"/>
        <v>0</v>
      </c>
      <c r="H613" s="496">
        <f t="shared" si="50"/>
        <v>3.4039200000000003</v>
      </c>
      <c r="I613" s="119">
        <f t="shared" si="47"/>
        <v>1969142.5101299982</v>
      </c>
      <c r="K613"/>
      <c r="L613"/>
      <c r="M613"/>
      <c r="N613"/>
    </row>
    <row r="614" spans="1:14" ht="21" customHeight="1">
      <c r="A614" s="120">
        <v>44630</v>
      </c>
      <c r="B614" s="133"/>
      <c r="C614" s="123" t="s">
        <v>127</v>
      </c>
      <c r="D614" s="145"/>
      <c r="E614" s="125">
        <v>141229.09</v>
      </c>
      <c r="F614" s="117">
        <f t="shared" si="49"/>
        <v>0</v>
      </c>
      <c r="G614" s="118">
        <f t="shared" si="48"/>
        <v>0</v>
      </c>
      <c r="H614" s="496">
        <f t="shared" si="50"/>
        <v>847.37454000000002</v>
      </c>
      <c r="I614" s="119">
        <f t="shared" si="47"/>
        <v>1827066.0455899981</v>
      </c>
      <c r="K614"/>
      <c r="L614"/>
      <c r="M614"/>
      <c r="N614"/>
    </row>
    <row r="615" spans="1:14" ht="21" customHeight="1">
      <c r="A615" s="40">
        <v>44634</v>
      </c>
      <c r="B615" s="2"/>
      <c r="C615" s="15" t="s">
        <v>128</v>
      </c>
      <c r="D615" s="781">
        <v>139314.39000000001</v>
      </c>
      <c r="E615" s="124"/>
      <c r="F615" s="117">
        <f t="shared" si="49"/>
        <v>0</v>
      </c>
      <c r="G615" s="118"/>
      <c r="H615" s="118">
        <f t="shared" si="50"/>
        <v>0</v>
      </c>
      <c r="I615" s="119">
        <f t="shared" si="47"/>
        <v>1966380.435589998</v>
      </c>
      <c r="J615" s="501" t="s">
        <v>867</v>
      </c>
      <c r="K615"/>
      <c r="L615"/>
      <c r="M615"/>
      <c r="N615"/>
    </row>
    <row r="616" spans="1:14" ht="21" customHeight="1">
      <c r="A616" s="40">
        <v>44634</v>
      </c>
      <c r="B616" s="133"/>
      <c r="C616" s="123" t="s">
        <v>453</v>
      </c>
      <c r="D616" s="145"/>
      <c r="E616" s="781">
        <v>74.680000000000007</v>
      </c>
      <c r="F616" s="117">
        <f t="shared" si="49"/>
        <v>0</v>
      </c>
      <c r="G616" s="118">
        <f t="shared" si="48"/>
        <v>0</v>
      </c>
      <c r="H616" s="495">
        <f t="shared" si="50"/>
        <v>0.44808000000000003</v>
      </c>
      <c r="I616" s="119">
        <f t="shared" si="47"/>
        <v>1966305.3075099981</v>
      </c>
      <c r="K616"/>
      <c r="L616"/>
      <c r="M616"/>
      <c r="N616"/>
    </row>
    <row r="617" spans="1:14" ht="21" customHeight="1">
      <c r="A617" s="40">
        <v>44634</v>
      </c>
      <c r="B617" s="133"/>
      <c r="C617" s="123" t="s">
        <v>110</v>
      </c>
      <c r="D617" s="145"/>
      <c r="E617" s="781">
        <v>522.77</v>
      </c>
      <c r="F617" s="117">
        <f t="shared" si="49"/>
        <v>0</v>
      </c>
      <c r="G617" s="118">
        <f t="shared" si="48"/>
        <v>0</v>
      </c>
      <c r="H617" s="495">
        <f t="shared" si="50"/>
        <v>3.1366199999999997</v>
      </c>
      <c r="I617" s="119">
        <f t="shared" si="47"/>
        <v>1965779.4008899981</v>
      </c>
      <c r="K617"/>
      <c r="L617"/>
      <c r="M617"/>
      <c r="N617"/>
    </row>
    <row r="618" spans="1:14" ht="21" customHeight="1">
      <c r="A618" s="40">
        <v>44634</v>
      </c>
      <c r="B618" s="133"/>
      <c r="C618" s="123" t="s">
        <v>107</v>
      </c>
      <c r="D618" s="145"/>
      <c r="E618" s="781">
        <v>37.340000000000003</v>
      </c>
      <c r="F618" s="117">
        <f t="shared" si="49"/>
        <v>0</v>
      </c>
      <c r="G618" s="118">
        <f t="shared" si="48"/>
        <v>0</v>
      </c>
      <c r="H618" s="495">
        <f t="shared" si="50"/>
        <v>0.22404000000000002</v>
      </c>
      <c r="I618" s="119">
        <f t="shared" si="47"/>
        <v>1965741.836849998</v>
      </c>
      <c r="K618"/>
      <c r="L618"/>
      <c r="M618"/>
      <c r="N618" s="821"/>
    </row>
    <row r="619" spans="1:14" ht="21" customHeight="1">
      <c r="A619" s="40">
        <v>44634</v>
      </c>
      <c r="B619" s="133"/>
      <c r="C619" s="123" t="s">
        <v>868</v>
      </c>
      <c r="D619" s="145"/>
      <c r="E619" s="781">
        <v>2489.38</v>
      </c>
      <c r="F619" s="117">
        <f t="shared" si="49"/>
        <v>0</v>
      </c>
      <c r="G619" s="118">
        <f t="shared" si="48"/>
        <v>0</v>
      </c>
      <c r="H619" s="495">
        <f t="shared" si="50"/>
        <v>14.936280000000002</v>
      </c>
      <c r="I619" s="119">
        <f t="shared" si="47"/>
        <v>1963237.5205699981</v>
      </c>
      <c r="K619"/>
      <c r="L619"/>
      <c r="M619"/>
      <c r="N619"/>
    </row>
    <row r="620" spans="1:14" ht="21" customHeight="1">
      <c r="A620" s="40">
        <v>44634</v>
      </c>
      <c r="B620" s="133"/>
      <c r="C620" s="123" t="s">
        <v>110</v>
      </c>
      <c r="D620" s="145"/>
      <c r="E620" s="781">
        <v>125.24</v>
      </c>
      <c r="F620" s="117">
        <f t="shared" si="49"/>
        <v>0</v>
      </c>
      <c r="G620" s="118">
        <f t="shared" si="48"/>
        <v>0</v>
      </c>
      <c r="H620" s="495">
        <f t="shared" si="50"/>
        <v>0.75144</v>
      </c>
      <c r="I620" s="119">
        <f t="shared" si="47"/>
        <v>1963111.5291299981</v>
      </c>
      <c r="K620"/>
      <c r="L620"/>
      <c r="M620"/>
      <c r="N620"/>
    </row>
    <row r="621" spans="1:14" ht="21" customHeight="1">
      <c r="A621" s="40">
        <v>44634</v>
      </c>
      <c r="B621" s="133"/>
      <c r="C621" s="123" t="s">
        <v>107</v>
      </c>
      <c r="D621" s="145"/>
      <c r="E621" s="781">
        <v>8.9499999999999993</v>
      </c>
      <c r="F621" s="117">
        <f t="shared" si="49"/>
        <v>0</v>
      </c>
      <c r="G621" s="118">
        <f t="shared" si="48"/>
        <v>0</v>
      </c>
      <c r="H621" s="495">
        <f t="shared" si="50"/>
        <v>5.3699999999999998E-2</v>
      </c>
      <c r="I621" s="119">
        <f t="shared" si="47"/>
        <v>1963102.5254299981</v>
      </c>
      <c r="K621"/>
      <c r="L621"/>
      <c r="M621"/>
      <c r="N621"/>
    </row>
    <row r="622" spans="1:14" ht="21" customHeight="1">
      <c r="A622" s="40">
        <v>44634</v>
      </c>
      <c r="B622" s="133"/>
      <c r="C622" s="123" t="s">
        <v>868</v>
      </c>
      <c r="D622" s="145"/>
      <c r="E622" s="781">
        <v>596.4</v>
      </c>
      <c r="F622" s="117">
        <f t="shared" si="49"/>
        <v>0</v>
      </c>
      <c r="G622" s="118">
        <f t="shared" si="48"/>
        <v>0</v>
      </c>
      <c r="H622" s="495">
        <f t="shared" si="50"/>
        <v>3.5783999999999998</v>
      </c>
      <c r="I622" s="119">
        <f t="shared" si="47"/>
        <v>1962502.5470299982</v>
      </c>
      <c r="K622"/>
      <c r="L622"/>
      <c r="M622"/>
      <c r="N622"/>
    </row>
    <row r="623" spans="1:14" ht="21" customHeight="1">
      <c r="A623" s="120">
        <v>44630</v>
      </c>
      <c r="B623" s="133">
        <v>31333524</v>
      </c>
      <c r="C623" s="15" t="s">
        <v>869</v>
      </c>
      <c r="D623" s="781">
        <v>355625.17</v>
      </c>
      <c r="E623" s="124"/>
      <c r="F623" s="117">
        <f t="shared" si="49"/>
        <v>0</v>
      </c>
      <c r="G623" s="495">
        <f t="shared" si="48"/>
        <v>2133.7510200000002</v>
      </c>
      <c r="H623" s="118">
        <f t="shared" si="50"/>
        <v>0</v>
      </c>
      <c r="I623" s="119">
        <f t="shared" si="47"/>
        <v>2315993.9660099982</v>
      </c>
    </row>
    <row r="624" spans="1:14" ht="21" customHeight="1">
      <c r="A624" s="120">
        <v>44631</v>
      </c>
      <c r="B624" s="133"/>
      <c r="C624" s="123" t="s">
        <v>129</v>
      </c>
      <c r="D624" s="781">
        <v>85200</v>
      </c>
      <c r="E624" s="124"/>
      <c r="F624" s="117">
        <f t="shared" si="49"/>
        <v>0</v>
      </c>
      <c r="G624" s="495">
        <f t="shared" si="48"/>
        <v>511.2</v>
      </c>
      <c r="H624" s="118">
        <f t="shared" si="50"/>
        <v>0</v>
      </c>
      <c r="I624" s="119">
        <f t="shared" si="47"/>
        <v>2400682.766009998</v>
      </c>
      <c r="J624" s="501" t="s">
        <v>867</v>
      </c>
    </row>
    <row r="625" spans="1:10" ht="21" customHeight="1">
      <c r="A625" s="40"/>
      <c r="B625" s="2"/>
      <c r="C625" s="123" t="s">
        <v>130</v>
      </c>
      <c r="D625" s="132"/>
      <c r="E625" s="486">
        <v>90265.89</v>
      </c>
      <c r="F625" s="117">
        <f t="shared" si="49"/>
        <v>0</v>
      </c>
      <c r="G625" s="118">
        <f t="shared" si="48"/>
        <v>0</v>
      </c>
      <c r="H625" s="495">
        <f t="shared" si="50"/>
        <v>541.59533999999996</v>
      </c>
      <c r="I625" s="119">
        <f t="shared" si="47"/>
        <v>2309875.2806699979</v>
      </c>
    </row>
    <row r="626" spans="1:10" ht="21" customHeight="1">
      <c r="A626" s="120">
        <v>44608</v>
      </c>
      <c r="B626" s="2">
        <v>240</v>
      </c>
      <c r="C626" s="123" t="s">
        <v>870</v>
      </c>
      <c r="D626" s="261"/>
      <c r="E626" s="486">
        <v>150000</v>
      </c>
      <c r="F626" s="117">
        <f t="shared" si="49"/>
        <v>0</v>
      </c>
      <c r="G626" s="118">
        <f t="shared" si="48"/>
        <v>0</v>
      </c>
      <c r="H626" s="495">
        <f t="shared" si="50"/>
        <v>900</v>
      </c>
      <c r="I626" s="119">
        <f t="shared" si="47"/>
        <v>2158975.2806699979</v>
      </c>
    </row>
    <row r="627" spans="1:10" ht="21" customHeight="1">
      <c r="A627" s="120">
        <v>44609</v>
      </c>
      <c r="B627" s="746">
        <v>241</v>
      </c>
      <c r="C627" s="123" t="s">
        <v>870</v>
      </c>
      <c r="D627" s="138"/>
      <c r="E627" s="486">
        <v>150000</v>
      </c>
      <c r="F627" s="117">
        <f t="shared" si="49"/>
        <v>0</v>
      </c>
      <c r="G627" s="118">
        <f t="shared" si="48"/>
        <v>0</v>
      </c>
      <c r="H627" s="495">
        <f t="shared" si="50"/>
        <v>900</v>
      </c>
      <c r="I627" s="119">
        <f t="shared" si="47"/>
        <v>2008075.2806699979</v>
      </c>
    </row>
    <row r="628" spans="1:10" ht="21" customHeight="1">
      <c r="A628" s="120">
        <v>44635</v>
      </c>
      <c r="B628" s="146">
        <v>245</v>
      </c>
      <c r="C628" s="123" t="s">
        <v>871</v>
      </c>
      <c r="D628" s="147"/>
      <c r="E628" s="486">
        <v>150000</v>
      </c>
      <c r="F628" s="117">
        <f t="shared" si="49"/>
        <v>0</v>
      </c>
      <c r="G628" s="118">
        <f t="shared" si="48"/>
        <v>0</v>
      </c>
      <c r="H628" s="495">
        <f t="shared" si="50"/>
        <v>900</v>
      </c>
      <c r="I628" s="119">
        <f t="shared" si="47"/>
        <v>1857175.2806699979</v>
      </c>
    </row>
    <row r="629" spans="1:10" ht="21" customHeight="1">
      <c r="A629" s="120">
        <v>44624</v>
      </c>
      <c r="B629" s="133">
        <v>201</v>
      </c>
      <c r="C629" s="123" t="s">
        <v>104</v>
      </c>
      <c r="D629" s="145"/>
      <c r="E629" s="125">
        <v>300000</v>
      </c>
      <c r="F629" s="117">
        <f t="shared" si="49"/>
        <v>0</v>
      </c>
      <c r="G629" s="118">
        <f t="shared" si="48"/>
        <v>0</v>
      </c>
      <c r="H629" s="118">
        <f t="shared" si="50"/>
        <v>1800</v>
      </c>
      <c r="I629" s="119">
        <f t="shared" si="47"/>
        <v>1555375.2806699979</v>
      </c>
    </row>
    <row r="630" spans="1:10" ht="21" customHeight="1">
      <c r="A630" s="120">
        <v>44627</v>
      </c>
      <c r="B630" s="133">
        <v>198</v>
      </c>
      <c r="C630" s="123" t="s">
        <v>104</v>
      </c>
      <c r="D630" s="145"/>
      <c r="E630" s="125">
        <v>400000</v>
      </c>
      <c r="F630" s="117">
        <f t="shared" si="49"/>
        <v>0</v>
      </c>
      <c r="G630" s="118">
        <f t="shared" si="48"/>
        <v>0</v>
      </c>
      <c r="H630" s="118">
        <f t="shared" si="50"/>
        <v>2400</v>
      </c>
      <c r="I630" s="119">
        <f t="shared" si="47"/>
        <v>1152975.2806699979</v>
      </c>
    </row>
    <row r="631" spans="1:10" ht="21" customHeight="1">
      <c r="A631" s="120">
        <v>44628</v>
      </c>
      <c r="B631" s="133">
        <v>204</v>
      </c>
      <c r="C631" s="123" t="s">
        <v>104</v>
      </c>
      <c r="D631" s="145"/>
      <c r="E631" s="125">
        <v>302793.36</v>
      </c>
      <c r="F631" s="117">
        <f t="shared" si="49"/>
        <v>0</v>
      </c>
      <c r="G631" s="118">
        <f t="shared" si="48"/>
        <v>0</v>
      </c>
      <c r="H631" s="118">
        <f t="shared" si="50"/>
        <v>1816.76016</v>
      </c>
      <c r="I631" s="119">
        <f t="shared" si="47"/>
        <v>848365.16050999798</v>
      </c>
    </row>
    <row r="632" spans="1:10" ht="21" customHeight="1">
      <c r="A632" s="120">
        <v>44636</v>
      </c>
      <c r="B632" s="146"/>
      <c r="C632" s="137" t="s">
        <v>352</v>
      </c>
      <c r="D632" s="125">
        <v>1000000</v>
      </c>
      <c r="E632" s="136"/>
      <c r="F632" s="117">
        <f t="shared" si="49"/>
        <v>0</v>
      </c>
      <c r="G632" s="495">
        <f t="shared" si="48"/>
        <v>6000</v>
      </c>
      <c r="H632" s="118">
        <f t="shared" si="50"/>
        <v>0</v>
      </c>
      <c r="I632" s="119">
        <f t="shared" si="47"/>
        <v>1842365.160509998</v>
      </c>
    </row>
    <row r="633" spans="1:10" ht="21" customHeight="1">
      <c r="A633" s="120">
        <v>44636</v>
      </c>
      <c r="B633" s="133">
        <v>235</v>
      </c>
      <c r="C633" s="123" t="s">
        <v>103</v>
      </c>
      <c r="D633" s="145"/>
      <c r="E633" s="125">
        <v>576520</v>
      </c>
      <c r="F633" s="117">
        <f t="shared" si="49"/>
        <v>0</v>
      </c>
      <c r="G633" s="118">
        <f t="shared" si="48"/>
        <v>0</v>
      </c>
      <c r="H633" s="495">
        <f t="shared" si="50"/>
        <v>3459.12</v>
      </c>
      <c r="I633" s="119">
        <f t="shared" ref="I633:I684" si="51">I632+D633-E633-F633-G633-H633</f>
        <v>1262386.0405099979</v>
      </c>
    </row>
    <row r="634" spans="1:10" ht="21" customHeight="1">
      <c r="A634" s="120">
        <v>44636</v>
      </c>
      <c r="B634" s="146"/>
      <c r="C634" s="137" t="s">
        <v>352</v>
      </c>
      <c r="D634" s="125">
        <v>1000000</v>
      </c>
      <c r="E634" s="136"/>
      <c r="F634" s="117">
        <f t="shared" si="49"/>
        <v>0</v>
      </c>
      <c r="G634" s="495">
        <f t="shared" si="48"/>
        <v>6000</v>
      </c>
      <c r="H634" s="118">
        <f t="shared" si="50"/>
        <v>0</v>
      </c>
      <c r="I634" s="119">
        <f t="shared" si="51"/>
        <v>2256386.0405099979</v>
      </c>
      <c r="J634" s="501">
        <v>1267110.01</v>
      </c>
    </row>
    <row r="635" spans="1:10" ht="21" customHeight="1">
      <c r="A635" s="120">
        <v>44637</v>
      </c>
      <c r="B635" s="146">
        <v>236</v>
      </c>
      <c r="C635" s="123" t="s">
        <v>103</v>
      </c>
      <c r="D635" s="145"/>
      <c r="E635" s="486">
        <v>576520</v>
      </c>
      <c r="F635" s="117">
        <f t="shared" si="49"/>
        <v>0</v>
      </c>
      <c r="G635" s="118">
        <f t="shared" ref="G635:G684" si="52">D635*0.006</f>
        <v>0</v>
      </c>
      <c r="H635" s="495">
        <f t="shared" si="50"/>
        <v>3459.12</v>
      </c>
      <c r="I635" s="119">
        <f t="shared" si="51"/>
        <v>1676406.9205099978</v>
      </c>
    </row>
    <row r="636" spans="1:10" ht="21" customHeight="1">
      <c r="A636" s="40">
        <v>44638</v>
      </c>
      <c r="C636" s="123" t="s">
        <v>131</v>
      </c>
      <c r="D636" s="121"/>
      <c r="E636" s="616">
        <v>49499.95</v>
      </c>
      <c r="F636" s="117">
        <f t="shared" si="49"/>
        <v>0</v>
      </c>
      <c r="G636" s="118">
        <f t="shared" si="52"/>
        <v>0</v>
      </c>
      <c r="H636" s="495">
        <f t="shared" si="50"/>
        <v>296.99969999999996</v>
      </c>
      <c r="I636" s="119">
        <f t="shared" si="51"/>
        <v>1626609.9708099978</v>
      </c>
    </row>
    <row r="637" spans="1:10" ht="21" customHeight="1">
      <c r="A637" s="120">
        <v>44638</v>
      </c>
      <c r="B637" s="133">
        <v>237</v>
      </c>
      <c r="C637" s="123" t="s">
        <v>872</v>
      </c>
      <c r="D637" s="145"/>
      <c r="E637" s="124">
        <v>0</v>
      </c>
      <c r="F637" s="117">
        <f t="shared" si="49"/>
        <v>0</v>
      </c>
      <c r="G637" s="118">
        <f t="shared" si="52"/>
        <v>0</v>
      </c>
      <c r="H637" s="118">
        <f t="shared" si="50"/>
        <v>0</v>
      </c>
      <c r="I637" s="119">
        <f t="shared" si="51"/>
        <v>1626609.9708099978</v>
      </c>
    </row>
    <row r="638" spans="1:10" ht="21" customHeight="1">
      <c r="A638" s="120">
        <v>44638</v>
      </c>
      <c r="B638" s="146"/>
      <c r="C638" s="137" t="s">
        <v>352</v>
      </c>
      <c r="D638" s="125">
        <v>600000</v>
      </c>
      <c r="E638" s="136"/>
      <c r="F638" s="117">
        <f t="shared" si="49"/>
        <v>0</v>
      </c>
      <c r="G638" s="495">
        <f t="shared" si="52"/>
        <v>3600</v>
      </c>
      <c r="H638" s="118">
        <f t="shared" si="50"/>
        <v>0</v>
      </c>
      <c r="I638" s="119">
        <f t="shared" si="51"/>
        <v>2223009.970809998</v>
      </c>
    </row>
    <row r="639" spans="1:10" ht="21" customHeight="1">
      <c r="A639" s="120">
        <v>44638</v>
      </c>
      <c r="B639" s="133">
        <v>238</v>
      </c>
      <c r="C639" s="123" t="s">
        <v>103</v>
      </c>
      <c r="D639" s="145"/>
      <c r="E639" s="486">
        <v>550960</v>
      </c>
      <c r="F639" s="117">
        <f t="shared" si="49"/>
        <v>0</v>
      </c>
      <c r="G639" s="118">
        <f t="shared" si="52"/>
        <v>0</v>
      </c>
      <c r="H639" s="495">
        <f t="shared" si="50"/>
        <v>3305.76</v>
      </c>
      <c r="I639" s="119">
        <f t="shared" si="51"/>
        <v>1668744.210809998</v>
      </c>
    </row>
    <row r="640" spans="1:10" ht="21" customHeight="1">
      <c r="A640" s="120">
        <v>44635</v>
      </c>
      <c r="B640" s="146">
        <v>214</v>
      </c>
      <c r="C640" s="123" t="s">
        <v>873</v>
      </c>
      <c r="D640" s="121"/>
      <c r="E640" s="781">
        <v>84342.96</v>
      </c>
      <c r="F640" s="117">
        <f t="shared" si="49"/>
        <v>0</v>
      </c>
      <c r="G640" s="118">
        <f t="shared" si="52"/>
        <v>0</v>
      </c>
      <c r="H640" s="495">
        <f t="shared" si="50"/>
        <v>506.05776000000003</v>
      </c>
      <c r="I640" s="119">
        <f t="shared" si="51"/>
        <v>1583895.193049998</v>
      </c>
    </row>
    <row r="641" spans="1:10" ht="21" customHeight="1">
      <c r="A641" s="120">
        <v>44641</v>
      </c>
      <c r="B641" s="146"/>
      <c r="C641" s="137" t="s">
        <v>352</v>
      </c>
      <c r="D641" s="781">
        <v>500000</v>
      </c>
      <c r="E641" s="136"/>
      <c r="F641" s="117">
        <f t="shared" si="49"/>
        <v>0</v>
      </c>
      <c r="G641" s="495">
        <f t="shared" si="52"/>
        <v>3000</v>
      </c>
      <c r="H641" s="495">
        <f t="shared" si="50"/>
        <v>0</v>
      </c>
      <c r="I641" s="119">
        <f t="shared" si="51"/>
        <v>2080895.193049998</v>
      </c>
    </row>
    <row r="642" spans="1:10" ht="21" customHeight="1">
      <c r="A642" s="120">
        <v>44640</v>
      </c>
      <c r="B642" s="630">
        <v>54</v>
      </c>
      <c r="C642" s="123" t="s">
        <v>874</v>
      </c>
      <c r="E642" s="486">
        <v>192258</v>
      </c>
      <c r="F642" s="117">
        <f t="shared" si="49"/>
        <v>0</v>
      </c>
      <c r="G642" s="118">
        <f t="shared" si="52"/>
        <v>0</v>
      </c>
      <c r="H642" s="495">
        <f t="shared" si="50"/>
        <v>1153.548</v>
      </c>
      <c r="I642" s="119">
        <f t="shared" si="51"/>
        <v>1887483.6450499981</v>
      </c>
    </row>
    <row r="643" spans="1:10" ht="21" customHeight="1">
      <c r="A643" s="120">
        <v>44634</v>
      </c>
      <c r="B643" s="146">
        <v>200</v>
      </c>
      <c r="C643" s="123" t="s">
        <v>122</v>
      </c>
      <c r="D643" s="145"/>
      <c r="E643" s="486">
        <v>300000</v>
      </c>
      <c r="F643" s="117">
        <f t="shared" si="49"/>
        <v>0</v>
      </c>
      <c r="G643" s="118">
        <f t="shared" si="52"/>
        <v>0</v>
      </c>
      <c r="H643" s="495">
        <f t="shared" si="50"/>
        <v>1800</v>
      </c>
      <c r="I643" s="119">
        <f t="shared" si="51"/>
        <v>1585683.6450499981</v>
      </c>
    </row>
    <row r="644" spans="1:10" ht="21" customHeight="1">
      <c r="A644" s="120">
        <v>44635</v>
      </c>
      <c r="B644" s="146">
        <v>196</v>
      </c>
      <c r="C644" s="123" t="s">
        <v>122</v>
      </c>
      <c r="D644" s="145"/>
      <c r="E644" s="486">
        <v>400000</v>
      </c>
      <c r="F644" s="117">
        <f t="shared" si="49"/>
        <v>0</v>
      </c>
      <c r="G644" s="118">
        <f t="shared" si="52"/>
        <v>0</v>
      </c>
      <c r="H644" s="495">
        <f t="shared" si="50"/>
        <v>2400</v>
      </c>
      <c r="I644" s="119">
        <f t="shared" si="51"/>
        <v>1183283.6450499981</v>
      </c>
    </row>
    <row r="645" spans="1:10" ht="21" customHeight="1">
      <c r="A645" s="120">
        <v>44636</v>
      </c>
      <c r="B645" s="146">
        <v>199</v>
      </c>
      <c r="C645" s="123" t="s">
        <v>122</v>
      </c>
      <c r="D645" s="145"/>
      <c r="E645" s="486">
        <v>300000</v>
      </c>
      <c r="F645" s="117">
        <f t="shared" si="49"/>
        <v>0</v>
      </c>
      <c r="G645" s="118">
        <f t="shared" si="52"/>
        <v>0</v>
      </c>
      <c r="H645" s="495">
        <f t="shared" si="50"/>
        <v>1800</v>
      </c>
      <c r="I645" s="119">
        <f t="shared" si="51"/>
        <v>881483.64504999807</v>
      </c>
    </row>
    <row r="646" spans="1:10" ht="21" customHeight="1">
      <c r="A646" s="120">
        <v>44637</v>
      </c>
      <c r="B646" s="146">
        <v>202</v>
      </c>
      <c r="C646" s="123" t="s">
        <v>122</v>
      </c>
      <c r="D646" s="145"/>
      <c r="E646" s="486">
        <v>200000</v>
      </c>
      <c r="F646" s="117">
        <f t="shared" si="49"/>
        <v>0</v>
      </c>
      <c r="G646" s="118">
        <f t="shared" si="52"/>
        <v>0</v>
      </c>
      <c r="H646" s="495">
        <f t="shared" si="50"/>
        <v>1200</v>
      </c>
      <c r="I646" s="119">
        <f t="shared" si="51"/>
        <v>680283.64504999807</v>
      </c>
    </row>
    <row r="647" spans="1:10" ht="21" customHeight="1">
      <c r="A647" s="120">
        <v>44635</v>
      </c>
      <c r="B647" s="146">
        <v>215</v>
      </c>
      <c r="C647" s="123" t="s">
        <v>132</v>
      </c>
      <c r="E647" s="486">
        <v>11954.87</v>
      </c>
      <c r="F647" s="117">
        <f t="shared" si="49"/>
        <v>0</v>
      </c>
      <c r="G647" s="118">
        <f t="shared" si="52"/>
        <v>0</v>
      </c>
      <c r="H647" s="495">
        <f t="shared" si="50"/>
        <v>71.729220000000012</v>
      </c>
      <c r="I647" s="119">
        <f t="shared" si="51"/>
        <v>668257.0458299981</v>
      </c>
    </row>
    <row r="648" spans="1:10" ht="21" customHeight="1">
      <c r="A648" s="120">
        <v>44642</v>
      </c>
      <c r="B648" s="146"/>
      <c r="C648" s="123" t="s">
        <v>875</v>
      </c>
      <c r="D648" s="822">
        <v>400000</v>
      </c>
      <c r="E648" s="124"/>
      <c r="F648" s="117">
        <f t="shared" si="49"/>
        <v>0</v>
      </c>
      <c r="G648" s="495">
        <f t="shared" si="52"/>
        <v>2400</v>
      </c>
      <c r="H648" s="118">
        <f t="shared" si="50"/>
        <v>0</v>
      </c>
      <c r="I648" s="119">
        <f t="shared" si="51"/>
        <v>1065857.0458299981</v>
      </c>
    </row>
    <row r="649" spans="1:10" ht="21" customHeight="1">
      <c r="A649" s="120">
        <v>44643</v>
      </c>
      <c r="B649" s="146" t="s">
        <v>133</v>
      </c>
      <c r="C649" s="123" t="s">
        <v>876</v>
      </c>
      <c r="D649" s="124"/>
      <c r="E649" s="486">
        <v>84342.96</v>
      </c>
      <c r="F649" s="117">
        <f t="shared" si="49"/>
        <v>0</v>
      </c>
      <c r="G649" s="118">
        <f t="shared" si="52"/>
        <v>0</v>
      </c>
      <c r="H649" s="496">
        <f t="shared" si="50"/>
        <v>506.05776000000003</v>
      </c>
      <c r="I649" s="119">
        <f t="shared" si="51"/>
        <v>981008.02806999814</v>
      </c>
    </row>
    <row r="650" spans="1:10" ht="21" customHeight="1">
      <c r="A650" s="120">
        <v>44643</v>
      </c>
      <c r="B650" s="146"/>
      <c r="C650" s="123" t="s">
        <v>875</v>
      </c>
      <c r="D650" s="822">
        <v>400000</v>
      </c>
      <c r="E650" s="124"/>
      <c r="F650" s="117">
        <f t="shared" si="49"/>
        <v>0</v>
      </c>
      <c r="G650" s="496">
        <f t="shared" si="52"/>
        <v>2400</v>
      </c>
      <c r="H650" s="118">
        <f t="shared" si="50"/>
        <v>0</v>
      </c>
      <c r="I650" s="119">
        <f t="shared" si="51"/>
        <v>1378608.0280699981</v>
      </c>
    </row>
    <row r="651" spans="1:10" ht="21" customHeight="1">
      <c r="A651" s="120">
        <v>44648</v>
      </c>
      <c r="B651" s="146"/>
      <c r="C651" s="123" t="s">
        <v>877</v>
      </c>
      <c r="D651" s="486">
        <v>1145000</v>
      </c>
      <c r="E651" s="124"/>
      <c r="F651" s="117">
        <f t="shared" si="49"/>
        <v>0</v>
      </c>
      <c r="G651" s="495">
        <f t="shared" si="52"/>
        <v>6870</v>
      </c>
      <c r="H651" s="118">
        <f t="shared" si="50"/>
        <v>0</v>
      </c>
      <c r="I651" s="119">
        <f t="shared" si="51"/>
        <v>2516738.0280699981</v>
      </c>
    </row>
    <row r="652" spans="1:10" ht="21" customHeight="1">
      <c r="A652" s="120">
        <v>44648</v>
      </c>
      <c r="B652" s="146"/>
      <c r="C652" s="123" t="s">
        <v>134</v>
      </c>
      <c r="D652" s="145"/>
      <c r="E652" s="486">
        <v>1171276.6000000001</v>
      </c>
      <c r="F652" s="117">
        <f>D652*0%</f>
        <v>0</v>
      </c>
      <c r="G652" s="118">
        <f>D652*0.006</f>
        <v>0</v>
      </c>
      <c r="H652" s="495">
        <f>E652*0.006+F652*0.006</f>
        <v>7027.6596000000009</v>
      </c>
      <c r="I652" s="119">
        <f t="shared" si="51"/>
        <v>1338433.7684699981</v>
      </c>
    </row>
    <row r="653" spans="1:10" ht="21" customHeight="1">
      <c r="A653" s="120">
        <v>44648</v>
      </c>
      <c r="B653" s="146"/>
      <c r="C653" s="123" t="s">
        <v>878</v>
      </c>
      <c r="D653" s="145"/>
      <c r="E653" s="486">
        <v>250</v>
      </c>
      <c r="F653" s="117">
        <f>D653*0%</f>
        <v>0</v>
      </c>
      <c r="G653" s="118">
        <f>D653*0.006</f>
        <v>0</v>
      </c>
      <c r="H653" s="118"/>
      <c r="I653" s="119">
        <f t="shared" si="51"/>
        <v>1338183.7684699981</v>
      </c>
      <c r="J653" s="679"/>
    </row>
    <row r="654" spans="1:10" ht="21" customHeight="1">
      <c r="A654" s="120">
        <v>44648</v>
      </c>
      <c r="B654" s="146"/>
      <c r="C654" s="123" t="s">
        <v>110</v>
      </c>
      <c r="D654" s="145"/>
      <c r="E654" s="486">
        <v>52.5</v>
      </c>
      <c r="F654" s="117">
        <f t="shared" ref="F654:F656" si="53">D654*0%</f>
        <v>0</v>
      </c>
      <c r="G654" s="118">
        <f t="shared" ref="G654:G656" si="54">D654*0.006</f>
        <v>0</v>
      </c>
      <c r="H654" s="118"/>
      <c r="I654" s="119">
        <f t="shared" si="51"/>
        <v>1338131.2684699981</v>
      </c>
    </row>
    <row r="655" spans="1:10" ht="21" customHeight="1">
      <c r="A655" s="120">
        <v>44649</v>
      </c>
      <c r="B655" s="146"/>
      <c r="C655" s="123" t="s">
        <v>875</v>
      </c>
      <c r="D655" s="823">
        <v>500000</v>
      </c>
      <c r="E655" s="124"/>
      <c r="F655" s="117">
        <f t="shared" si="53"/>
        <v>0</v>
      </c>
      <c r="G655" s="803">
        <f t="shared" si="54"/>
        <v>3000</v>
      </c>
      <c r="H655" s="118">
        <f t="shared" ref="H655:H656" si="55">E655*0.006+F655*0.006</f>
        <v>0</v>
      </c>
      <c r="I655" s="119">
        <f t="shared" si="51"/>
        <v>1835131.2684699981</v>
      </c>
    </row>
    <row r="656" spans="1:10" ht="21" customHeight="1">
      <c r="A656" s="120">
        <v>44650</v>
      </c>
      <c r="B656" s="146"/>
      <c r="C656" s="809" t="s">
        <v>463</v>
      </c>
      <c r="D656" s="124"/>
      <c r="E656" s="780">
        <v>2850</v>
      </c>
      <c r="F656" s="117">
        <f t="shared" si="53"/>
        <v>0</v>
      </c>
      <c r="G656" s="118">
        <f t="shared" si="54"/>
        <v>0</v>
      </c>
      <c r="H656" s="803">
        <f t="shared" si="55"/>
        <v>17.100000000000001</v>
      </c>
      <c r="I656" s="119">
        <f t="shared" si="51"/>
        <v>1832264.1684699981</v>
      </c>
    </row>
    <row r="657" spans="1:9" ht="21" customHeight="1">
      <c r="A657" s="120">
        <v>44650</v>
      </c>
      <c r="B657" s="133"/>
      <c r="C657" s="809" t="s">
        <v>107</v>
      </c>
      <c r="D657" s="124"/>
      <c r="E657" s="780">
        <v>42.75</v>
      </c>
      <c r="F657" s="117">
        <f t="shared" si="49"/>
        <v>0</v>
      </c>
      <c r="G657" s="118">
        <f t="shared" si="52"/>
        <v>0</v>
      </c>
      <c r="H657" s="803">
        <f t="shared" si="50"/>
        <v>0.25650000000000001</v>
      </c>
      <c r="I657" s="119">
        <f t="shared" si="51"/>
        <v>1832221.1619699982</v>
      </c>
    </row>
    <row r="658" spans="1:9" ht="21" customHeight="1">
      <c r="A658" s="120">
        <v>44650</v>
      </c>
      <c r="B658" s="133"/>
      <c r="C658" s="809" t="s">
        <v>807</v>
      </c>
      <c r="D658"/>
      <c r="E658" s="780">
        <v>598.5</v>
      </c>
      <c r="F658" s="117">
        <f t="shared" si="49"/>
        <v>0</v>
      </c>
      <c r="G658" s="118">
        <f t="shared" si="52"/>
        <v>0</v>
      </c>
      <c r="H658" s="803">
        <f t="shared" si="50"/>
        <v>3.5910000000000002</v>
      </c>
      <c r="I658" s="119">
        <f t="shared" si="51"/>
        <v>1831619.0709699981</v>
      </c>
    </row>
    <row r="659" spans="1:9" ht="21" customHeight="1">
      <c r="A659" s="120">
        <v>44650</v>
      </c>
      <c r="B659" s="133"/>
      <c r="C659" s="809" t="s">
        <v>107</v>
      </c>
      <c r="D659" s="124"/>
      <c r="E659" s="780">
        <v>85.5</v>
      </c>
      <c r="F659" s="117">
        <f t="shared" si="49"/>
        <v>0</v>
      </c>
      <c r="G659" s="118">
        <f t="shared" si="52"/>
        <v>0</v>
      </c>
      <c r="H659" s="803">
        <f t="shared" si="50"/>
        <v>0.51300000000000001</v>
      </c>
      <c r="I659" s="119">
        <f t="shared" si="51"/>
        <v>1831533.0579699981</v>
      </c>
    </row>
    <row r="660" spans="1:9" ht="21" customHeight="1">
      <c r="A660" s="120">
        <v>44650</v>
      </c>
      <c r="B660" s="133"/>
      <c r="C660" s="809" t="s">
        <v>807</v>
      </c>
      <c r="D660" s="124"/>
      <c r="E660" s="780">
        <v>81.900000000000006</v>
      </c>
      <c r="F660" s="117">
        <f t="shared" si="49"/>
        <v>0</v>
      </c>
      <c r="G660" s="118">
        <f t="shared" si="52"/>
        <v>0</v>
      </c>
      <c r="H660" s="803">
        <f t="shared" si="50"/>
        <v>0.49140000000000006</v>
      </c>
      <c r="I660" s="119">
        <f t="shared" si="51"/>
        <v>1831450.6665699983</v>
      </c>
    </row>
    <row r="661" spans="1:9" ht="21" customHeight="1">
      <c r="A661" s="120">
        <v>44650</v>
      </c>
      <c r="B661" s="133"/>
      <c r="C661" s="809" t="s">
        <v>460</v>
      </c>
      <c r="D661" s="124"/>
      <c r="E661" s="780">
        <v>390</v>
      </c>
      <c r="F661" s="117">
        <f t="shared" si="49"/>
        <v>0</v>
      </c>
      <c r="G661" s="118">
        <f t="shared" si="52"/>
        <v>0</v>
      </c>
      <c r="H661" s="803">
        <f t="shared" si="50"/>
        <v>2.34</v>
      </c>
      <c r="I661" s="119">
        <f t="shared" si="51"/>
        <v>1831058.3265699982</v>
      </c>
    </row>
    <row r="662" spans="1:9" ht="21" customHeight="1">
      <c r="A662" s="120">
        <v>44650</v>
      </c>
      <c r="B662" s="133"/>
      <c r="C662" s="131" t="s">
        <v>879</v>
      </c>
      <c r="D662" s="125">
        <f>7400</f>
        <v>7400</v>
      </c>
      <c r="E662" s="124"/>
      <c r="F662" s="117">
        <f t="shared" si="49"/>
        <v>0</v>
      </c>
      <c r="G662" s="803">
        <f t="shared" si="52"/>
        <v>44.4</v>
      </c>
      <c r="H662" s="118">
        <f t="shared" si="50"/>
        <v>0</v>
      </c>
      <c r="I662" s="119">
        <f t="shared" si="51"/>
        <v>1838413.9265699983</v>
      </c>
    </row>
    <row r="663" spans="1:9" ht="21" customHeight="1">
      <c r="A663" s="120">
        <v>44650</v>
      </c>
      <c r="B663" s="133"/>
      <c r="C663" s="131" t="s">
        <v>880</v>
      </c>
      <c r="D663" s="125">
        <f>114032</f>
        <v>114032</v>
      </c>
      <c r="E663" s="136"/>
      <c r="F663" s="117">
        <f t="shared" si="49"/>
        <v>0</v>
      </c>
      <c r="G663" s="803">
        <f t="shared" si="52"/>
        <v>684.19200000000001</v>
      </c>
      <c r="H663" s="118">
        <f t="shared" si="50"/>
        <v>0</v>
      </c>
      <c r="I663" s="119">
        <f t="shared" si="51"/>
        <v>1951761.7345699982</v>
      </c>
    </row>
    <row r="664" spans="1:9" ht="21" customHeight="1">
      <c r="A664" s="120">
        <v>44651</v>
      </c>
      <c r="B664" s="146"/>
      <c r="C664" s="131" t="s">
        <v>881</v>
      </c>
      <c r="D664" s="125">
        <v>38564.94</v>
      </c>
      <c r="E664" s="124"/>
      <c r="F664" s="117">
        <f t="shared" si="49"/>
        <v>0</v>
      </c>
      <c r="G664" s="496">
        <f t="shared" si="52"/>
        <v>231.38964000000001</v>
      </c>
      <c r="H664" s="118">
        <f t="shared" si="50"/>
        <v>0</v>
      </c>
      <c r="I664" s="119">
        <f t="shared" si="51"/>
        <v>1990095.2849299982</v>
      </c>
    </row>
    <row r="665" spans="1:9" ht="21" customHeight="1">
      <c r="A665" s="120">
        <v>44651</v>
      </c>
      <c r="B665" s="146"/>
      <c r="C665" s="149" t="s">
        <v>882</v>
      </c>
      <c r="D665" s="147"/>
      <c r="E665" s="780">
        <v>539.91</v>
      </c>
      <c r="F665" s="117">
        <f t="shared" ref="F665:F728" si="56">D665*0%</f>
        <v>0</v>
      </c>
      <c r="G665" s="118">
        <f t="shared" si="52"/>
        <v>0</v>
      </c>
      <c r="H665" s="496">
        <f t="shared" ref="H665:H728" si="57">E665*0.006+F665*0.006</f>
        <v>3.2394599999999998</v>
      </c>
      <c r="I665" s="119">
        <f t="shared" si="51"/>
        <v>1989552.1354699982</v>
      </c>
    </row>
    <row r="666" spans="1:9" ht="21" customHeight="1">
      <c r="A666" s="120">
        <v>44651</v>
      </c>
      <c r="B666" s="146"/>
      <c r="C666" s="15" t="s">
        <v>107</v>
      </c>
      <c r="D666" s="147"/>
      <c r="E666" s="780">
        <v>8.1</v>
      </c>
      <c r="F666" s="117">
        <f t="shared" si="56"/>
        <v>0</v>
      </c>
      <c r="G666" s="118">
        <f t="shared" si="52"/>
        <v>0</v>
      </c>
      <c r="H666" s="496">
        <f t="shared" si="57"/>
        <v>4.8599999999999997E-2</v>
      </c>
      <c r="I666" s="119">
        <f t="shared" si="51"/>
        <v>1989543.986869998</v>
      </c>
    </row>
    <row r="667" spans="1:9" ht="21" customHeight="1">
      <c r="A667" s="120">
        <v>44651</v>
      </c>
      <c r="B667" s="146"/>
      <c r="C667" s="15" t="s">
        <v>807</v>
      </c>
      <c r="D667" s="147"/>
      <c r="E667" s="780">
        <v>113.38</v>
      </c>
      <c r="F667" s="117">
        <f t="shared" si="56"/>
        <v>0</v>
      </c>
      <c r="G667" s="118">
        <f t="shared" si="52"/>
        <v>0</v>
      </c>
      <c r="H667" s="496">
        <f t="shared" si="57"/>
        <v>0.68028</v>
      </c>
      <c r="I667" s="119">
        <f t="shared" si="51"/>
        <v>1989429.9265899982</v>
      </c>
    </row>
    <row r="668" spans="1:9" ht="21" customHeight="1">
      <c r="A668" s="120">
        <v>44651</v>
      </c>
      <c r="B668" s="146"/>
      <c r="C668" s="149" t="s">
        <v>883</v>
      </c>
      <c r="D668" s="125">
        <v>500000</v>
      </c>
      <c r="E668" s="150"/>
      <c r="F668" s="117">
        <f t="shared" si="56"/>
        <v>0</v>
      </c>
      <c r="G668" s="496">
        <f t="shared" si="52"/>
        <v>3000</v>
      </c>
      <c r="H668" s="118">
        <f t="shared" si="57"/>
        <v>0</v>
      </c>
      <c r="I668" s="119">
        <f t="shared" si="51"/>
        <v>2486429.9265899984</v>
      </c>
    </row>
    <row r="669" spans="1:9" ht="21" customHeight="1">
      <c r="A669" s="120"/>
      <c r="B669" s="146"/>
      <c r="C669" s="149"/>
      <c r="D669" s="124"/>
      <c r="E669" s="150"/>
      <c r="F669" s="117">
        <f t="shared" si="56"/>
        <v>0</v>
      </c>
      <c r="G669" s="118">
        <f t="shared" si="52"/>
        <v>0</v>
      </c>
      <c r="H669" s="118">
        <f t="shared" si="57"/>
        <v>0</v>
      </c>
      <c r="I669" s="119">
        <f t="shared" si="51"/>
        <v>2486429.9265899984</v>
      </c>
    </row>
    <row r="670" spans="1:9" ht="21" customHeight="1">
      <c r="A670" s="140" t="s">
        <v>135</v>
      </c>
      <c r="B670" s="151"/>
      <c r="C670" s="152"/>
      <c r="D670" s="153"/>
      <c r="E670" s="154"/>
      <c r="F670" s="143">
        <f t="shared" si="56"/>
        <v>0</v>
      </c>
      <c r="G670" s="143">
        <f t="shared" si="52"/>
        <v>0</v>
      </c>
      <c r="H670" s="143">
        <f t="shared" si="57"/>
        <v>0</v>
      </c>
      <c r="I670" s="818">
        <f t="shared" si="51"/>
        <v>2486429.9265899984</v>
      </c>
    </row>
    <row r="671" spans="1:9" ht="21" customHeight="1">
      <c r="A671" s="120">
        <v>44652</v>
      </c>
      <c r="B671" s="146" t="s">
        <v>133</v>
      </c>
      <c r="C671" s="149" t="s">
        <v>136</v>
      </c>
      <c r="D671" s="124"/>
      <c r="E671" s="824">
        <v>97470</v>
      </c>
      <c r="F671" s="117">
        <f t="shared" si="56"/>
        <v>0</v>
      </c>
      <c r="G671" s="118">
        <f t="shared" si="52"/>
        <v>0</v>
      </c>
      <c r="H671" s="495">
        <f t="shared" si="57"/>
        <v>584.82000000000005</v>
      </c>
      <c r="I671" s="119">
        <f t="shared" si="51"/>
        <v>2388375.1065899986</v>
      </c>
    </row>
    <row r="672" spans="1:9" ht="21" customHeight="1">
      <c r="A672" s="120">
        <v>44652</v>
      </c>
      <c r="B672" s="146" t="s">
        <v>133</v>
      </c>
      <c r="C672" s="149" t="s">
        <v>137</v>
      </c>
      <c r="D672" s="147"/>
      <c r="E672" s="824">
        <v>58235.65</v>
      </c>
      <c r="F672" s="117">
        <f t="shared" si="56"/>
        <v>0</v>
      </c>
      <c r="G672" s="118">
        <f t="shared" si="52"/>
        <v>0</v>
      </c>
      <c r="H672" s="495">
        <f t="shared" si="57"/>
        <v>349.41390000000001</v>
      </c>
      <c r="I672" s="119">
        <f t="shared" si="51"/>
        <v>2329790.0426899986</v>
      </c>
    </row>
    <row r="673" spans="1:10" ht="21" customHeight="1">
      <c r="A673" s="120">
        <v>44656</v>
      </c>
      <c r="B673" s="146"/>
      <c r="C673" s="149" t="s">
        <v>138</v>
      </c>
      <c r="D673" s="147"/>
      <c r="E673" s="824">
        <v>12878.48</v>
      </c>
      <c r="F673" s="117">
        <f t="shared" si="56"/>
        <v>0</v>
      </c>
      <c r="G673" s="118">
        <f t="shared" si="52"/>
        <v>0</v>
      </c>
      <c r="H673" s="495">
        <f t="shared" si="57"/>
        <v>77.270880000000005</v>
      </c>
      <c r="I673" s="119">
        <f t="shared" si="51"/>
        <v>2316834.2918099985</v>
      </c>
    </row>
    <row r="674" spans="1:10" ht="21" customHeight="1">
      <c r="A674" s="120">
        <v>44656</v>
      </c>
      <c r="B674" s="146"/>
      <c r="C674" s="149" t="s">
        <v>884</v>
      </c>
      <c r="D674" s="147"/>
      <c r="E674" s="150"/>
      <c r="F674" s="117">
        <f t="shared" si="56"/>
        <v>0</v>
      </c>
      <c r="G674" s="118">
        <f t="shared" si="52"/>
        <v>0</v>
      </c>
      <c r="H674" s="118">
        <f t="shared" si="57"/>
        <v>0</v>
      </c>
      <c r="I674" s="119">
        <f t="shared" si="51"/>
        <v>2316834.2918099985</v>
      </c>
    </row>
    <row r="675" spans="1:10" ht="21" customHeight="1">
      <c r="A675" s="120">
        <v>44658</v>
      </c>
      <c r="B675" s="146"/>
      <c r="C675" s="149" t="s">
        <v>139</v>
      </c>
      <c r="D675" s="125">
        <v>247674.26</v>
      </c>
      <c r="E675" s="150"/>
      <c r="F675" s="117">
        <f t="shared" si="56"/>
        <v>0</v>
      </c>
      <c r="G675" s="495">
        <f t="shared" si="52"/>
        <v>1486.04556</v>
      </c>
      <c r="H675" s="118">
        <f t="shared" si="57"/>
        <v>0</v>
      </c>
      <c r="I675" s="119">
        <f t="shared" si="51"/>
        <v>2563022.5062499982</v>
      </c>
    </row>
    <row r="676" spans="1:10" ht="21" customHeight="1">
      <c r="A676" s="120">
        <v>44662</v>
      </c>
      <c r="B676" s="146"/>
      <c r="C676" s="149" t="s">
        <v>140</v>
      </c>
      <c r="D676" s="125">
        <v>146200</v>
      </c>
      <c r="E676" s="150"/>
      <c r="F676" s="117">
        <f t="shared" si="56"/>
        <v>0</v>
      </c>
      <c r="G676" s="495">
        <f t="shared" si="52"/>
        <v>877.2</v>
      </c>
      <c r="H676" s="118">
        <f t="shared" si="57"/>
        <v>0</v>
      </c>
      <c r="I676" s="119">
        <f t="shared" si="51"/>
        <v>2708345.306249998</v>
      </c>
    </row>
    <row r="677" spans="1:10" ht="21" customHeight="1">
      <c r="A677" s="120">
        <v>44663</v>
      </c>
      <c r="B677" s="146"/>
      <c r="C677" s="149" t="s">
        <v>885</v>
      </c>
      <c r="D677" s="147"/>
      <c r="E677" s="486">
        <v>5597.34</v>
      </c>
      <c r="F677" s="117">
        <f t="shared" si="56"/>
        <v>0</v>
      </c>
      <c r="G677" s="118">
        <f t="shared" si="52"/>
        <v>0</v>
      </c>
      <c r="H677" s="495">
        <f t="shared" si="57"/>
        <v>33.584040000000002</v>
      </c>
      <c r="I677" s="119">
        <f t="shared" si="51"/>
        <v>2702714.3822099981</v>
      </c>
    </row>
    <row r="678" spans="1:10" ht="21" customHeight="1">
      <c r="A678" s="120">
        <v>44662</v>
      </c>
      <c r="B678" s="146">
        <v>205</v>
      </c>
      <c r="C678" s="15" t="s">
        <v>122</v>
      </c>
      <c r="D678" s="121"/>
      <c r="E678" s="486">
        <v>400000</v>
      </c>
      <c r="F678" s="117">
        <f t="shared" si="56"/>
        <v>0</v>
      </c>
      <c r="G678" s="118">
        <f t="shared" si="52"/>
        <v>0</v>
      </c>
      <c r="H678" s="495">
        <f t="shared" si="57"/>
        <v>2400</v>
      </c>
      <c r="I678" s="119">
        <f t="shared" si="51"/>
        <v>2300314.3822099981</v>
      </c>
    </row>
    <row r="679" spans="1:10" ht="21" customHeight="1">
      <c r="A679" s="120">
        <v>44663</v>
      </c>
      <c r="B679" s="146">
        <v>193</v>
      </c>
      <c r="C679" s="15" t="s">
        <v>122</v>
      </c>
      <c r="D679" s="121"/>
      <c r="E679" s="486">
        <v>302793.36</v>
      </c>
      <c r="F679" s="117">
        <f t="shared" si="56"/>
        <v>0</v>
      </c>
      <c r="G679" s="118">
        <f t="shared" si="52"/>
        <v>0</v>
      </c>
      <c r="H679" s="495">
        <f t="shared" si="57"/>
        <v>1816.76016</v>
      </c>
      <c r="I679" s="119">
        <f t="shared" si="51"/>
        <v>1995704.2620499982</v>
      </c>
    </row>
    <row r="680" spans="1:10" ht="21" customHeight="1">
      <c r="A680" s="120">
        <v>44659</v>
      </c>
      <c r="B680" s="146">
        <v>203</v>
      </c>
      <c r="C680" s="15" t="s">
        <v>122</v>
      </c>
      <c r="D680" s="121"/>
      <c r="E680" s="486">
        <v>300000</v>
      </c>
      <c r="F680" s="117">
        <f t="shared" si="56"/>
        <v>0</v>
      </c>
      <c r="G680" s="118">
        <f t="shared" si="52"/>
        <v>0</v>
      </c>
      <c r="H680" s="495">
        <f t="shared" si="57"/>
        <v>1800</v>
      </c>
      <c r="I680" s="119">
        <f t="shared" si="51"/>
        <v>1693904.2620499982</v>
      </c>
    </row>
    <row r="681" spans="1:10" ht="21" customHeight="1">
      <c r="A681" s="120">
        <v>44636</v>
      </c>
      <c r="B681" s="146">
        <v>246</v>
      </c>
      <c r="C681" s="15" t="s">
        <v>886</v>
      </c>
      <c r="D681" s="121"/>
      <c r="E681" s="486">
        <v>150000</v>
      </c>
      <c r="F681" s="117">
        <f t="shared" si="56"/>
        <v>0</v>
      </c>
      <c r="G681" s="118">
        <f t="shared" si="52"/>
        <v>0</v>
      </c>
      <c r="H681" s="495">
        <f t="shared" si="57"/>
        <v>900</v>
      </c>
      <c r="I681" s="119">
        <f t="shared" si="51"/>
        <v>1543004.2620499982</v>
      </c>
    </row>
    <row r="682" spans="1:10" ht="21" customHeight="1">
      <c r="A682" s="120">
        <v>44637</v>
      </c>
      <c r="B682" s="146">
        <v>242</v>
      </c>
      <c r="C682" s="15" t="s">
        <v>887</v>
      </c>
      <c r="D682" s="121"/>
      <c r="E682" s="486">
        <v>150000</v>
      </c>
      <c r="F682" s="117">
        <f t="shared" si="56"/>
        <v>0</v>
      </c>
      <c r="G682" s="118">
        <f t="shared" si="52"/>
        <v>0</v>
      </c>
      <c r="H682" s="495">
        <f t="shared" si="57"/>
        <v>900</v>
      </c>
      <c r="I682" s="119">
        <f t="shared" si="51"/>
        <v>1392104.2620499982</v>
      </c>
    </row>
    <row r="683" spans="1:10" ht="21" customHeight="1">
      <c r="A683" s="120">
        <v>44638</v>
      </c>
      <c r="B683" s="146">
        <v>243</v>
      </c>
      <c r="C683" s="15" t="s">
        <v>887</v>
      </c>
      <c r="D683" s="121"/>
      <c r="E683" s="486">
        <v>144000</v>
      </c>
      <c r="F683" s="117">
        <f t="shared" si="56"/>
        <v>0</v>
      </c>
      <c r="G683" s="118">
        <f t="shared" si="52"/>
        <v>0</v>
      </c>
      <c r="H683" s="495">
        <f t="shared" si="57"/>
        <v>864</v>
      </c>
      <c r="I683" s="119">
        <f t="shared" si="51"/>
        <v>1247240.2620499982</v>
      </c>
    </row>
    <row r="684" spans="1:10" ht="21" customHeight="1">
      <c r="A684" s="120">
        <v>44671</v>
      </c>
      <c r="B684" s="122">
        <v>55</v>
      </c>
      <c r="C684" s="123" t="s">
        <v>141</v>
      </c>
      <c r="E684" s="486">
        <v>192258</v>
      </c>
      <c r="F684" s="117">
        <f t="shared" si="56"/>
        <v>0</v>
      </c>
      <c r="G684" s="118">
        <f t="shared" si="52"/>
        <v>0</v>
      </c>
      <c r="H684" s="495">
        <f t="shared" si="57"/>
        <v>1153.548</v>
      </c>
      <c r="I684" s="529">
        <f t="shared" si="51"/>
        <v>1053828.7140499982</v>
      </c>
    </row>
    <row r="685" spans="1:10" ht="21" customHeight="1">
      <c r="A685" s="120">
        <v>44676</v>
      </c>
      <c r="C685" s="123" t="s">
        <v>142</v>
      </c>
      <c r="E685" s="486">
        <v>174504.22</v>
      </c>
      <c r="F685" s="118">
        <f>D685*0%</f>
        <v>0</v>
      </c>
      <c r="G685" s="118">
        <f>D685*0.006</f>
        <v>0</v>
      </c>
      <c r="H685" s="495">
        <f>E685*0.006+F685*0.006</f>
        <v>1047.02532</v>
      </c>
      <c r="I685" s="155">
        <f>I684+D685-E685-F685-G685-H685</f>
        <v>878277.46872999822</v>
      </c>
      <c r="J685" s="120"/>
    </row>
    <row r="686" spans="1:10" ht="21" customHeight="1">
      <c r="A686" s="120">
        <v>44677</v>
      </c>
      <c r="B686" s="146">
        <v>31333540</v>
      </c>
      <c r="C686" s="15" t="s">
        <v>143</v>
      </c>
      <c r="D686" s="486">
        <v>380000</v>
      </c>
      <c r="E686" s="156"/>
      <c r="F686" s="118">
        <f>D686*0%</f>
        <v>0</v>
      </c>
      <c r="G686" s="495">
        <f>D686*0.006</f>
        <v>2280</v>
      </c>
      <c r="H686" s="118">
        <f>E686*0.006+F686*0.006</f>
        <v>0</v>
      </c>
      <c r="I686" s="155">
        <f>I685+D686-E686-F686-G686-H686</f>
        <v>1255997.4687299982</v>
      </c>
      <c r="J686" s="120"/>
    </row>
    <row r="687" spans="1:10" ht="21" customHeight="1">
      <c r="A687" s="120">
        <v>44677</v>
      </c>
      <c r="B687" s="146"/>
      <c r="C687" s="15" t="s">
        <v>144</v>
      </c>
      <c r="D687" s="121"/>
      <c r="E687" s="486">
        <f>2660+39.9+558.6+79.8</f>
        <v>3338.3</v>
      </c>
      <c r="F687" s="118">
        <f>D687*0%</f>
        <v>0</v>
      </c>
      <c r="G687" s="118">
        <f>D687*0.006</f>
        <v>0</v>
      </c>
      <c r="H687" s="118">
        <f>E687*0.006+F687*0.006</f>
        <v>20.029800000000002</v>
      </c>
      <c r="I687" s="155">
        <f>I686+D687-E687-F687-G687-H687</f>
        <v>1252639.1389299983</v>
      </c>
      <c r="J687" s="120"/>
    </row>
    <row r="688" spans="1:10" ht="21" customHeight="1">
      <c r="A688" s="120">
        <v>44678</v>
      </c>
      <c r="B688" s="146"/>
      <c r="C688" s="123" t="s">
        <v>145</v>
      </c>
      <c r="D688" s="121"/>
      <c r="E688" s="486">
        <v>20126.21</v>
      </c>
      <c r="F688" s="118">
        <f>D688*0%</f>
        <v>0</v>
      </c>
      <c r="G688" s="118">
        <f>D688*0.006</f>
        <v>0</v>
      </c>
      <c r="H688" s="118">
        <f>E688*0.006+F688*0.006</f>
        <v>120.75726</v>
      </c>
      <c r="I688" s="155">
        <f>I687+D688-E688-F688-G688-H688</f>
        <v>1232392.1716699982</v>
      </c>
      <c r="J688" s="120"/>
    </row>
    <row r="689" spans="1:10" ht="21" customHeight="1">
      <c r="A689" s="120">
        <v>44679</v>
      </c>
      <c r="B689" s="122"/>
      <c r="C689" s="123" t="s">
        <v>463</v>
      </c>
      <c r="D689" s="121"/>
      <c r="E689" s="486">
        <v>2850</v>
      </c>
      <c r="F689" s="118">
        <f>D689*0%</f>
        <v>0</v>
      </c>
      <c r="G689" s="118">
        <f>D689*0.006</f>
        <v>0</v>
      </c>
      <c r="H689" s="495">
        <f>E689*0.006+F689*0.006</f>
        <v>17.100000000000001</v>
      </c>
      <c r="I689" s="155">
        <f>I688+D689-E689-F689-G689-H689</f>
        <v>1229525.0716699981</v>
      </c>
      <c r="J689" s="120"/>
    </row>
    <row r="690" spans="1:10" ht="21" customHeight="1">
      <c r="A690" s="120">
        <v>44679</v>
      </c>
      <c r="B690" s="146"/>
      <c r="C690" s="123" t="s">
        <v>107</v>
      </c>
      <c r="D690" s="121"/>
      <c r="E690" s="486">
        <v>42.75</v>
      </c>
      <c r="F690" s="118">
        <f t="shared" ref="F690:F707" si="58">D690*0%</f>
        <v>0</v>
      </c>
      <c r="G690" s="118">
        <f t="shared" ref="G690:G753" si="59">D690*0.006</f>
        <v>0</v>
      </c>
      <c r="H690" s="495">
        <f t="shared" ref="H690:H707" si="60">E690*0.006+F690*0.006</f>
        <v>0.25650000000000001</v>
      </c>
      <c r="I690" s="155">
        <f t="shared" ref="I690:I753" si="61">I689+D690-E690-F690-G690-H690</f>
        <v>1229482.0651699982</v>
      </c>
      <c r="J690" s="120"/>
    </row>
    <row r="691" spans="1:10" ht="21" customHeight="1">
      <c r="A691" s="120">
        <v>44679</v>
      </c>
      <c r="B691" s="146"/>
      <c r="C691" s="123" t="s">
        <v>807</v>
      </c>
      <c r="D691" s="121"/>
      <c r="E691" s="486">
        <v>598.5</v>
      </c>
      <c r="F691" s="118">
        <f t="shared" si="58"/>
        <v>0</v>
      </c>
      <c r="G691" s="118">
        <f t="shared" si="59"/>
        <v>0</v>
      </c>
      <c r="H691" s="495">
        <f t="shared" si="60"/>
        <v>3.5910000000000002</v>
      </c>
      <c r="I691" s="155">
        <f t="shared" si="61"/>
        <v>1228879.9741699982</v>
      </c>
      <c r="J691" s="120"/>
    </row>
    <row r="692" spans="1:10" ht="21" customHeight="1">
      <c r="A692" s="120">
        <v>44679</v>
      </c>
      <c r="B692" s="146"/>
      <c r="C692" s="123" t="s">
        <v>107</v>
      </c>
      <c r="D692" s="121"/>
      <c r="E692" s="486">
        <v>85.5</v>
      </c>
      <c r="F692" s="118">
        <f>D692*0%</f>
        <v>0</v>
      </c>
      <c r="G692" s="118">
        <f>D692*0.006</f>
        <v>0</v>
      </c>
      <c r="H692" s="495">
        <f>E692*0.006+F692*0.006</f>
        <v>0.51300000000000001</v>
      </c>
      <c r="I692" s="155">
        <f>I691+D692-E692-F692-G692-H692</f>
        <v>1228793.9611699982</v>
      </c>
    </row>
    <row r="693" spans="1:10" ht="21" customHeight="1">
      <c r="A693" s="120">
        <v>44679</v>
      </c>
      <c r="B693" s="146"/>
      <c r="C693" s="123" t="s">
        <v>849</v>
      </c>
      <c r="D693" s="121"/>
      <c r="E693" s="486">
        <v>65</v>
      </c>
      <c r="F693" s="118">
        <f t="shared" ref="F693:F694" si="62">D693*0%</f>
        <v>0</v>
      </c>
      <c r="G693" s="118">
        <f t="shared" ref="G693:G694" si="63">D693*0.006</f>
        <v>0</v>
      </c>
      <c r="H693" s="495">
        <f t="shared" ref="H693:H694" si="64">E693*0.006+F693*0.006</f>
        <v>0.39</v>
      </c>
      <c r="I693" s="155">
        <f t="shared" ref="I693:I694" si="65">I692+D693-E693-F693-G693-H693</f>
        <v>1228728.5711699983</v>
      </c>
    </row>
    <row r="694" spans="1:10" ht="21" customHeight="1">
      <c r="A694" s="120">
        <v>44679</v>
      </c>
      <c r="B694" s="146"/>
      <c r="C694" s="123" t="s">
        <v>807</v>
      </c>
      <c r="D694" s="121"/>
      <c r="E694" s="486">
        <v>13.65</v>
      </c>
      <c r="F694" s="118">
        <f t="shared" si="62"/>
        <v>0</v>
      </c>
      <c r="G694" s="118">
        <f t="shared" si="63"/>
        <v>0</v>
      </c>
      <c r="H694" s="495">
        <f t="shared" si="64"/>
        <v>8.1900000000000001E-2</v>
      </c>
      <c r="I694" s="155">
        <f t="shared" si="65"/>
        <v>1228714.8392699983</v>
      </c>
    </row>
    <row r="695" spans="1:10" ht="21" customHeight="1">
      <c r="A695" s="120">
        <v>44679</v>
      </c>
      <c r="B695" s="146"/>
      <c r="C695" s="15" t="s">
        <v>146</v>
      </c>
      <c r="D695" s="121"/>
      <c r="E695" s="486">
        <v>500000</v>
      </c>
      <c r="F695" s="118">
        <f>D695*0%</f>
        <v>0</v>
      </c>
      <c r="G695" s="118">
        <f>D695*0.006</f>
        <v>0</v>
      </c>
      <c r="H695" s="495">
        <f>E695*0.006+F695*0.006</f>
        <v>3000</v>
      </c>
      <c r="I695" s="155">
        <f>I694+D695-E695-F695-G695-H695</f>
        <v>725714.83926999825</v>
      </c>
    </row>
    <row r="696" spans="1:10" ht="21" customHeight="1">
      <c r="A696" s="157">
        <v>44707</v>
      </c>
      <c r="B696" s="122">
        <v>31333541</v>
      </c>
      <c r="C696" s="15" t="s">
        <v>888</v>
      </c>
      <c r="D696" s="158">
        <v>380000</v>
      </c>
      <c r="E696" s="158">
        <v>380000</v>
      </c>
      <c r="F696" s="118"/>
      <c r="G696" s="118"/>
      <c r="H696" s="118"/>
      <c r="I696" s="155">
        <f t="shared" ref="I696:I706" si="66">I695+D696-E696-F696-G696-H696</f>
        <v>725714.83926999825</v>
      </c>
    </row>
    <row r="697" spans="1:10" ht="21" customHeight="1">
      <c r="A697" s="157">
        <v>44738</v>
      </c>
      <c r="B697" s="122">
        <v>31333542</v>
      </c>
      <c r="C697" s="15" t="s">
        <v>147</v>
      </c>
      <c r="D697" s="158">
        <v>380000</v>
      </c>
      <c r="E697" s="158">
        <v>380000</v>
      </c>
      <c r="F697" s="118"/>
      <c r="G697" s="118"/>
      <c r="H697" s="118"/>
      <c r="I697" s="155">
        <f t="shared" si="66"/>
        <v>725714.83926999825</v>
      </c>
    </row>
    <row r="698" spans="1:10" ht="21" customHeight="1">
      <c r="A698" s="157">
        <v>44768</v>
      </c>
      <c r="B698" s="122">
        <v>31333543</v>
      </c>
      <c r="C698" s="15" t="s">
        <v>147</v>
      </c>
      <c r="D698" s="158">
        <v>380000</v>
      </c>
      <c r="E698" s="158">
        <v>380000</v>
      </c>
      <c r="F698" s="118"/>
      <c r="G698" s="118"/>
      <c r="H698" s="118"/>
      <c r="I698" s="155">
        <f t="shared" si="66"/>
        <v>725714.83926999825</v>
      </c>
    </row>
    <row r="699" spans="1:10" ht="21" customHeight="1">
      <c r="A699" s="157">
        <v>44799</v>
      </c>
      <c r="B699" s="122">
        <v>31333544</v>
      </c>
      <c r="C699" s="15" t="s">
        <v>147</v>
      </c>
      <c r="D699" s="158">
        <v>380000</v>
      </c>
      <c r="E699" s="158">
        <v>380000</v>
      </c>
      <c r="F699" s="118"/>
      <c r="G699" s="118"/>
      <c r="H699" s="118"/>
      <c r="I699" s="155">
        <f t="shared" si="66"/>
        <v>725714.83926999825</v>
      </c>
    </row>
    <row r="700" spans="1:10" ht="21" customHeight="1">
      <c r="A700" s="157">
        <v>44830</v>
      </c>
      <c r="B700" s="122">
        <v>31333545</v>
      </c>
      <c r="C700" s="15" t="s">
        <v>147</v>
      </c>
      <c r="D700" s="158">
        <v>380000</v>
      </c>
      <c r="E700" s="158">
        <v>380000</v>
      </c>
      <c r="F700" s="118"/>
      <c r="G700" s="118"/>
      <c r="H700" s="118"/>
      <c r="I700" s="155">
        <f t="shared" si="66"/>
        <v>725714.83926999825</v>
      </c>
    </row>
    <row r="701" spans="1:10" ht="21" customHeight="1">
      <c r="A701" s="159"/>
      <c r="B701" s="160"/>
      <c r="C701" s="161"/>
      <c r="D701" s="162"/>
      <c r="E701" s="825"/>
      <c r="F701" s="826">
        <f t="shared" ref="F701:F706" si="67">D701*0%</f>
        <v>0</v>
      </c>
      <c r="G701" s="826">
        <f t="shared" ref="G701:G706" si="68">D701*0.006</f>
        <v>0</v>
      </c>
      <c r="H701" s="826">
        <f t="shared" ref="H701:H706" si="69">E701*0.006+F701*0.006</f>
        <v>0</v>
      </c>
      <c r="I701" s="827">
        <f t="shared" si="66"/>
        <v>725714.83926999825</v>
      </c>
    </row>
    <row r="702" spans="1:10" ht="21" customHeight="1">
      <c r="A702" s="120">
        <v>44684</v>
      </c>
      <c r="C702" s="15" t="s">
        <v>148</v>
      </c>
      <c r="D702" s="124"/>
      <c r="E702" s="486">
        <v>84342.96</v>
      </c>
      <c r="F702" s="118">
        <f t="shared" si="67"/>
        <v>0</v>
      </c>
      <c r="G702" s="118">
        <f t="shared" si="68"/>
        <v>0</v>
      </c>
      <c r="H702" s="495">
        <f t="shared" si="69"/>
        <v>506.05776000000003</v>
      </c>
      <c r="I702" s="155">
        <f t="shared" si="66"/>
        <v>640865.82150999829</v>
      </c>
    </row>
    <row r="703" spans="1:10" ht="21" customHeight="1">
      <c r="A703" s="120">
        <v>44685</v>
      </c>
      <c r="B703" s="146"/>
      <c r="C703" s="15" t="s">
        <v>149</v>
      </c>
      <c r="D703" s="138"/>
      <c r="E703" s="495">
        <v>567.32000000000005</v>
      </c>
      <c r="F703" s="118">
        <f t="shared" si="67"/>
        <v>0</v>
      </c>
      <c r="G703" s="118">
        <f t="shared" si="68"/>
        <v>0</v>
      </c>
      <c r="H703" s="118">
        <f t="shared" si="69"/>
        <v>3.4039200000000003</v>
      </c>
      <c r="I703" s="155">
        <f t="shared" si="66"/>
        <v>640295.09758999839</v>
      </c>
    </row>
    <row r="704" spans="1:10" ht="21" customHeight="1">
      <c r="A704" s="120">
        <v>44685</v>
      </c>
      <c r="C704" s="15" t="s">
        <v>150</v>
      </c>
      <c r="D704" s="124"/>
      <c r="E704" s="486">
        <v>13368.16</v>
      </c>
      <c r="F704" s="118">
        <f t="shared" si="67"/>
        <v>0</v>
      </c>
      <c r="G704" s="118">
        <f t="shared" si="68"/>
        <v>0</v>
      </c>
      <c r="H704" s="118">
        <f t="shared" si="69"/>
        <v>80.208960000000005</v>
      </c>
      <c r="I704" s="155">
        <f t="shared" si="66"/>
        <v>626846.7286299984</v>
      </c>
    </row>
    <row r="705" spans="1:13" ht="21" customHeight="1">
      <c r="A705" s="120">
        <v>44686</v>
      </c>
      <c r="C705" s="15" t="s">
        <v>889</v>
      </c>
      <c r="D705" s="486">
        <v>132158</v>
      </c>
      <c r="E705" s="156"/>
      <c r="F705" s="118">
        <f t="shared" si="67"/>
        <v>0</v>
      </c>
      <c r="G705" s="495">
        <f t="shared" si="68"/>
        <v>792.94799999999998</v>
      </c>
      <c r="H705" s="118">
        <f t="shared" si="69"/>
        <v>0</v>
      </c>
      <c r="I705" s="155">
        <f t="shared" si="66"/>
        <v>758211.78062999842</v>
      </c>
      <c r="M705" s="134"/>
    </row>
    <row r="706" spans="1:13" ht="21" customHeight="1">
      <c r="A706" s="120">
        <v>44686</v>
      </c>
      <c r="B706" s="122"/>
      <c r="C706" s="15" t="s">
        <v>118</v>
      </c>
      <c r="E706" s="486">
        <v>1850.21</v>
      </c>
      <c r="F706" s="118">
        <f t="shared" si="67"/>
        <v>0</v>
      </c>
      <c r="G706" s="118">
        <f t="shared" si="68"/>
        <v>0</v>
      </c>
      <c r="H706" s="495">
        <f t="shared" si="69"/>
        <v>11.10126</v>
      </c>
      <c r="I706" s="155">
        <f t="shared" si="66"/>
        <v>756350.46936999843</v>
      </c>
    </row>
    <row r="707" spans="1:13" ht="21" customHeight="1">
      <c r="A707" s="120">
        <v>44686</v>
      </c>
      <c r="B707" s="122"/>
      <c r="C707" s="15" t="s">
        <v>107</v>
      </c>
      <c r="E707" s="486">
        <v>27.75</v>
      </c>
      <c r="F707" s="118">
        <f t="shared" si="58"/>
        <v>0</v>
      </c>
      <c r="G707" s="118">
        <f t="shared" si="59"/>
        <v>0</v>
      </c>
      <c r="H707" s="495">
        <f t="shared" si="60"/>
        <v>0.16650000000000001</v>
      </c>
      <c r="I707" s="155">
        <f t="shared" si="61"/>
        <v>756322.55286999838</v>
      </c>
    </row>
    <row r="708" spans="1:13" ht="21" customHeight="1">
      <c r="A708" s="120">
        <v>44686</v>
      </c>
      <c r="B708" s="122"/>
      <c r="C708" s="15" t="s">
        <v>110</v>
      </c>
      <c r="E708" s="486">
        <v>388.54</v>
      </c>
      <c r="F708" s="117">
        <f t="shared" si="56"/>
        <v>0</v>
      </c>
      <c r="G708" s="118">
        <f t="shared" si="59"/>
        <v>0</v>
      </c>
      <c r="H708" s="495">
        <f t="shared" si="57"/>
        <v>2.3312400000000002</v>
      </c>
      <c r="I708" s="119">
        <f t="shared" si="61"/>
        <v>755931.68162999838</v>
      </c>
    </row>
    <row r="709" spans="1:13" ht="21" customHeight="1">
      <c r="A709" s="120">
        <v>44686</v>
      </c>
      <c r="B709" s="146"/>
      <c r="C709" s="123" t="s">
        <v>125</v>
      </c>
      <c r="D709" s="486">
        <v>260903.43</v>
      </c>
      <c r="E709" s="156"/>
      <c r="F709" s="117">
        <f t="shared" si="56"/>
        <v>0</v>
      </c>
      <c r="G709" s="495">
        <f t="shared" si="59"/>
        <v>1565.42058</v>
      </c>
      <c r="H709" s="118">
        <f t="shared" si="57"/>
        <v>0</v>
      </c>
      <c r="I709" s="119">
        <f t="shared" si="61"/>
        <v>1015269.6910499983</v>
      </c>
    </row>
    <row r="710" spans="1:13" ht="21" customHeight="1">
      <c r="A710" s="120">
        <v>44692</v>
      </c>
      <c r="B710" s="146"/>
      <c r="C710" s="15" t="s">
        <v>890</v>
      </c>
      <c r="D710" s="121"/>
      <c r="E710" s="486">
        <v>242696.42</v>
      </c>
      <c r="F710" s="117">
        <f t="shared" si="56"/>
        <v>0</v>
      </c>
      <c r="G710" s="118">
        <f t="shared" si="59"/>
        <v>0</v>
      </c>
      <c r="H710" s="495">
        <f t="shared" si="57"/>
        <v>1456.1785200000002</v>
      </c>
      <c r="I710" s="119">
        <f t="shared" si="61"/>
        <v>771117.09252999828</v>
      </c>
    </row>
    <row r="711" spans="1:13" ht="21" customHeight="1">
      <c r="A711" s="120">
        <v>44697</v>
      </c>
      <c r="B711" s="133">
        <v>9</v>
      </c>
      <c r="C711" s="123" t="s">
        <v>151</v>
      </c>
      <c r="D711" s="486">
        <v>153921.13</v>
      </c>
      <c r="E711" s="156"/>
      <c r="F711" s="117">
        <f t="shared" si="56"/>
        <v>0</v>
      </c>
      <c r="G711" s="495">
        <f t="shared" si="59"/>
        <v>923.52678000000003</v>
      </c>
      <c r="H711" s="118">
        <f t="shared" si="57"/>
        <v>0</v>
      </c>
      <c r="I711" s="119">
        <f t="shared" si="61"/>
        <v>924114.69574999833</v>
      </c>
    </row>
    <row r="712" spans="1:13" ht="21" customHeight="1">
      <c r="A712" s="120">
        <v>44700</v>
      </c>
      <c r="B712" s="133"/>
      <c r="C712" s="123" t="s">
        <v>255</v>
      </c>
      <c r="D712" s="486">
        <v>5000000</v>
      </c>
      <c r="E712" s="156"/>
      <c r="F712" s="117">
        <f t="shared" si="56"/>
        <v>0</v>
      </c>
      <c r="G712" s="495">
        <f t="shared" si="59"/>
        <v>30000</v>
      </c>
      <c r="H712" s="118">
        <f t="shared" si="57"/>
        <v>0</v>
      </c>
      <c r="I712" s="119">
        <f t="shared" si="61"/>
        <v>5894114.6957499981</v>
      </c>
    </row>
    <row r="713" spans="1:13" ht="21" customHeight="1">
      <c r="A713" s="120">
        <v>44700</v>
      </c>
      <c r="B713" s="133"/>
      <c r="C713" s="15" t="s">
        <v>152</v>
      </c>
      <c r="D713" s="121"/>
      <c r="E713" s="486">
        <v>910.58</v>
      </c>
      <c r="F713" s="117">
        <f t="shared" si="56"/>
        <v>0</v>
      </c>
      <c r="G713" s="118">
        <f t="shared" si="59"/>
        <v>0</v>
      </c>
      <c r="H713" s="495">
        <f t="shared" si="57"/>
        <v>5.4634800000000006</v>
      </c>
      <c r="I713" s="119">
        <f t="shared" si="61"/>
        <v>5893198.6522699976</v>
      </c>
    </row>
    <row r="714" spans="1:13" ht="21" customHeight="1" thickBot="1">
      <c r="A714" s="120">
        <v>44701</v>
      </c>
      <c r="B714" s="133"/>
      <c r="C714" s="15" t="s">
        <v>153</v>
      </c>
      <c r="D714" s="121"/>
      <c r="E714" s="486">
        <v>115856.23</v>
      </c>
      <c r="F714" s="117">
        <f t="shared" si="56"/>
        <v>0</v>
      </c>
      <c r="G714" s="118">
        <f t="shared" si="59"/>
        <v>0</v>
      </c>
      <c r="H714" s="495">
        <f t="shared" si="57"/>
        <v>695.13738000000001</v>
      </c>
      <c r="I714" s="119">
        <f t="shared" si="61"/>
        <v>5776647.284889997</v>
      </c>
    </row>
    <row r="715" spans="1:13" ht="21" customHeight="1">
      <c r="A715" s="120">
        <v>44701</v>
      </c>
      <c r="B715" s="133"/>
      <c r="C715" s="828" t="s">
        <v>154</v>
      </c>
      <c r="D715" s="121"/>
      <c r="E715" s="486">
        <v>5040183.41</v>
      </c>
      <c r="F715" s="117">
        <f t="shared" si="56"/>
        <v>0</v>
      </c>
      <c r="G715" s="118">
        <f t="shared" si="59"/>
        <v>0</v>
      </c>
      <c r="H715" s="495">
        <f t="shared" si="57"/>
        <v>30241.100460000001</v>
      </c>
      <c r="I715" s="119">
        <f t="shared" si="61"/>
        <v>706222.77442999685</v>
      </c>
    </row>
    <row r="716" spans="1:13" ht="21" customHeight="1" thickBot="1">
      <c r="A716" s="120">
        <v>44701</v>
      </c>
      <c r="B716" s="146"/>
      <c r="C716" s="829" t="s">
        <v>155</v>
      </c>
      <c r="D716" s="121"/>
      <c r="E716" s="486">
        <v>980</v>
      </c>
      <c r="F716" s="117">
        <f t="shared" si="56"/>
        <v>0</v>
      </c>
      <c r="G716" s="118">
        <f t="shared" si="59"/>
        <v>0</v>
      </c>
      <c r="H716" s="495">
        <f t="shared" si="57"/>
        <v>5.88</v>
      </c>
      <c r="I716" s="119">
        <f t="shared" si="61"/>
        <v>705236.89442999684</v>
      </c>
    </row>
    <row r="717" spans="1:13" ht="21" customHeight="1">
      <c r="A717" s="120">
        <v>44701</v>
      </c>
      <c r="B717" s="146"/>
      <c r="C717" s="15" t="s">
        <v>107</v>
      </c>
      <c r="D717" s="121"/>
      <c r="E717" s="486">
        <v>14.7</v>
      </c>
      <c r="F717" s="117">
        <f t="shared" si="56"/>
        <v>0</v>
      </c>
      <c r="G717" s="118">
        <f t="shared" si="59"/>
        <v>0</v>
      </c>
      <c r="H717" s="495">
        <f t="shared" si="57"/>
        <v>8.8200000000000001E-2</v>
      </c>
      <c r="I717" s="119">
        <f t="shared" si="61"/>
        <v>705222.10622999689</v>
      </c>
    </row>
    <row r="718" spans="1:13" ht="21" customHeight="1">
      <c r="A718" s="120">
        <v>44701</v>
      </c>
      <c r="B718" s="146"/>
      <c r="C718" s="15" t="s">
        <v>156</v>
      </c>
      <c r="D718" s="121"/>
      <c r="E718" s="486">
        <v>205.8</v>
      </c>
      <c r="F718" s="117">
        <f t="shared" si="56"/>
        <v>0</v>
      </c>
      <c r="G718" s="118">
        <f t="shared" si="59"/>
        <v>0</v>
      </c>
      <c r="H718" s="495">
        <f t="shared" si="57"/>
        <v>1.2348000000000001</v>
      </c>
      <c r="I718" s="119">
        <f t="shared" si="61"/>
        <v>705015.07142999687</v>
      </c>
    </row>
    <row r="719" spans="1:13" ht="21" customHeight="1">
      <c r="A719" s="120">
        <v>44701</v>
      </c>
      <c r="B719" s="148">
        <v>56</v>
      </c>
      <c r="C719" s="123" t="s">
        <v>157</v>
      </c>
      <c r="E719" s="486">
        <v>192258</v>
      </c>
      <c r="F719" s="117">
        <f t="shared" si="56"/>
        <v>0</v>
      </c>
      <c r="G719" s="118">
        <f t="shared" si="59"/>
        <v>0</v>
      </c>
      <c r="H719" s="495">
        <f t="shared" si="57"/>
        <v>1153.548</v>
      </c>
      <c r="I719" s="119">
        <f t="shared" si="61"/>
        <v>511603.52342999686</v>
      </c>
    </row>
    <row r="720" spans="1:13" ht="21" customHeight="1">
      <c r="A720" s="120">
        <v>44704</v>
      </c>
      <c r="B720" s="122"/>
      <c r="C720" s="15" t="s">
        <v>352</v>
      </c>
      <c r="D720" s="486">
        <v>500000</v>
      </c>
      <c r="E720" s="124"/>
      <c r="F720" s="117">
        <f t="shared" si="56"/>
        <v>0</v>
      </c>
      <c r="G720" s="495">
        <f t="shared" si="59"/>
        <v>3000</v>
      </c>
      <c r="H720" s="118">
        <f t="shared" si="57"/>
        <v>0</v>
      </c>
      <c r="I720" s="119">
        <f t="shared" si="61"/>
        <v>1008603.5234299968</v>
      </c>
      <c r="K720" s="830"/>
    </row>
    <row r="721" spans="1:9" ht="21" customHeight="1">
      <c r="A721" s="120">
        <v>44708</v>
      </c>
      <c r="C721" s="15" t="s">
        <v>158</v>
      </c>
      <c r="D721" s="486">
        <v>6087878.2999999998</v>
      </c>
      <c r="E721" s="156"/>
      <c r="F721" s="117">
        <f t="shared" si="56"/>
        <v>0</v>
      </c>
      <c r="G721" s="495">
        <f t="shared" si="59"/>
        <v>36527.269800000002</v>
      </c>
      <c r="H721" s="118">
        <f t="shared" si="57"/>
        <v>0</v>
      </c>
      <c r="I721" s="119">
        <f t="shared" si="61"/>
        <v>7059954.5536299963</v>
      </c>
    </row>
    <row r="722" spans="1:9" ht="21" customHeight="1">
      <c r="A722" s="120">
        <v>44707</v>
      </c>
      <c r="B722" s="122">
        <v>31333510</v>
      </c>
      <c r="C722" s="15" t="s">
        <v>143</v>
      </c>
      <c r="D722" s="486">
        <v>380000</v>
      </c>
      <c r="E722" s="156"/>
      <c r="F722" s="117">
        <f t="shared" si="56"/>
        <v>0</v>
      </c>
      <c r="G722" s="495">
        <f t="shared" si="59"/>
        <v>2280</v>
      </c>
      <c r="H722" s="118">
        <f t="shared" si="57"/>
        <v>0</v>
      </c>
      <c r="I722" s="119">
        <f t="shared" si="61"/>
        <v>7437674.5536299963</v>
      </c>
    </row>
    <row r="723" spans="1:9" ht="21" customHeight="1">
      <c r="A723" s="120">
        <v>44708</v>
      </c>
      <c r="C723" s="15" t="s">
        <v>118</v>
      </c>
      <c r="D723" s="121"/>
      <c r="E723" s="486">
        <v>2660</v>
      </c>
      <c r="F723" s="117">
        <f t="shared" si="56"/>
        <v>0</v>
      </c>
      <c r="G723" s="118">
        <f t="shared" si="59"/>
        <v>0</v>
      </c>
      <c r="H723" s="495">
        <f t="shared" si="57"/>
        <v>15.96</v>
      </c>
      <c r="I723" s="119">
        <f t="shared" si="61"/>
        <v>7434998.5936299963</v>
      </c>
    </row>
    <row r="724" spans="1:9" ht="21" customHeight="1">
      <c r="A724" s="120">
        <v>44708</v>
      </c>
      <c r="C724" s="15" t="s">
        <v>107</v>
      </c>
      <c r="D724" s="121"/>
      <c r="E724" s="486">
        <v>39.9</v>
      </c>
      <c r="F724" s="117">
        <f t="shared" si="56"/>
        <v>0</v>
      </c>
      <c r="G724" s="118">
        <f t="shared" si="59"/>
        <v>0</v>
      </c>
      <c r="H724" s="495">
        <f t="shared" si="57"/>
        <v>0.2394</v>
      </c>
      <c r="I724" s="119">
        <f t="shared" si="61"/>
        <v>7434958.4542299956</v>
      </c>
    </row>
    <row r="725" spans="1:9" ht="21" customHeight="1">
      <c r="A725" s="120">
        <v>44708</v>
      </c>
      <c r="C725" s="15" t="s">
        <v>110</v>
      </c>
      <c r="D725" s="121"/>
      <c r="E725" s="486">
        <v>558.6</v>
      </c>
      <c r="F725" s="117">
        <f t="shared" si="56"/>
        <v>0</v>
      </c>
      <c r="G725" s="118">
        <f t="shared" si="59"/>
        <v>0</v>
      </c>
      <c r="H725" s="495">
        <f t="shared" si="57"/>
        <v>3.3516000000000004</v>
      </c>
      <c r="I725" s="119">
        <f t="shared" si="61"/>
        <v>7434396.5026299963</v>
      </c>
    </row>
    <row r="726" spans="1:9" ht="21" customHeight="1">
      <c r="A726" s="120">
        <v>44708</v>
      </c>
      <c r="C726" s="15" t="s">
        <v>453</v>
      </c>
      <c r="D726" s="121"/>
      <c r="E726" s="486">
        <v>79.8</v>
      </c>
      <c r="F726" s="117">
        <f t="shared" si="56"/>
        <v>0</v>
      </c>
      <c r="G726" s="118">
        <f t="shared" si="59"/>
        <v>0</v>
      </c>
      <c r="H726" s="495">
        <f t="shared" si="57"/>
        <v>0.4788</v>
      </c>
      <c r="I726" s="119">
        <f t="shared" si="61"/>
        <v>7434316.2238299968</v>
      </c>
    </row>
    <row r="727" spans="1:9" ht="21" customHeight="1">
      <c r="A727" s="120">
        <v>44708</v>
      </c>
      <c r="C727" s="15" t="s">
        <v>118</v>
      </c>
      <c r="D727" s="121"/>
      <c r="E727" s="486">
        <v>42615.15</v>
      </c>
      <c r="F727" s="117">
        <f t="shared" si="56"/>
        <v>0</v>
      </c>
      <c r="G727" s="118">
        <f t="shared" si="59"/>
        <v>0</v>
      </c>
      <c r="H727" s="495">
        <f t="shared" si="57"/>
        <v>255.69090000000003</v>
      </c>
      <c r="I727" s="119">
        <f t="shared" si="61"/>
        <v>7391445.3829299966</v>
      </c>
    </row>
    <row r="728" spans="1:9" ht="21" customHeight="1">
      <c r="A728" s="120">
        <v>44708</v>
      </c>
      <c r="C728" s="15" t="s">
        <v>107</v>
      </c>
      <c r="D728" s="121"/>
      <c r="E728" s="486">
        <v>639.23</v>
      </c>
      <c r="F728" s="117">
        <f t="shared" si="56"/>
        <v>0</v>
      </c>
      <c r="G728" s="118">
        <f t="shared" si="59"/>
        <v>0</v>
      </c>
      <c r="H728" s="495">
        <f t="shared" si="57"/>
        <v>3.8353800000000002</v>
      </c>
      <c r="I728" s="119">
        <f t="shared" si="61"/>
        <v>7390802.3175499961</v>
      </c>
    </row>
    <row r="729" spans="1:9" ht="21" customHeight="1">
      <c r="A729" s="120">
        <v>44708</v>
      </c>
      <c r="B729" s="146"/>
      <c r="C729" s="15" t="s">
        <v>453</v>
      </c>
      <c r="D729" s="121"/>
      <c r="E729" s="486">
        <v>1278.45</v>
      </c>
      <c r="F729" s="117">
        <f t="shared" ref="F729:F792" si="70">D729*0%</f>
        <v>0</v>
      </c>
      <c r="G729" s="118">
        <f t="shared" si="59"/>
        <v>0</v>
      </c>
      <c r="H729" s="495">
        <f t="shared" ref="H729:H788" si="71">E729*0.006+F729*0.006</f>
        <v>7.6707000000000001</v>
      </c>
      <c r="I729" s="119">
        <f t="shared" si="61"/>
        <v>7389516.1968499962</v>
      </c>
    </row>
    <row r="730" spans="1:9" ht="21" customHeight="1">
      <c r="A730" s="120">
        <v>44708</v>
      </c>
      <c r="B730" s="146"/>
      <c r="C730" s="15" t="s">
        <v>110</v>
      </c>
      <c r="D730" s="121"/>
      <c r="E730" s="486">
        <v>8949.18</v>
      </c>
      <c r="F730" s="117">
        <f t="shared" si="70"/>
        <v>0</v>
      </c>
      <c r="G730" s="118">
        <f t="shared" si="59"/>
        <v>0</v>
      </c>
      <c r="H730" s="495">
        <f t="shared" si="71"/>
        <v>53.695080000000004</v>
      </c>
      <c r="I730" s="119">
        <f t="shared" si="61"/>
        <v>7380513.3217699965</v>
      </c>
    </row>
    <row r="731" spans="1:9" ht="21" customHeight="1">
      <c r="A731" s="120">
        <v>44708</v>
      </c>
      <c r="B731" s="146"/>
      <c r="C731" s="15" t="s">
        <v>159</v>
      </c>
      <c r="D731" s="486">
        <v>4315000</v>
      </c>
      <c r="E731" s="156"/>
      <c r="F731" s="117">
        <f t="shared" si="70"/>
        <v>0</v>
      </c>
      <c r="G731" s="495">
        <f t="shared" si="59"/>
        <v>25890</v>
      </c>
      <c r="H731" s="118">
        <f t="shared" si="71"/>
        <v>0</v>
      </c>
      <c r="I731" s="119">
        <f t="shared" si="61"/>
        <v>11669623.321769997</v>
      </c>
    </row>
    <row r="732" spans="1:9" ht="21" customHeight="1">
      <c r="A732" s="120">
        <v>44711</v>
      </c>
      <c r="B732" s="146"/>
      <c r="C732" s="15" t="s">
        <v>160</v>
      </c>
      <c r="D732" s="121"/>
      <c r="E732" s="486">
        <v>10237125.859999999</v>
      </c>
      <c r="F732" s="117">
        <f t="shared" si="70"/>
        <v>0</v>
      </c>
      <c r="G732" s="118">
        <f t="shared" si="59"/>
        <v>0</v>
      </c>
      <c r="H732" s="495">
        <f t="shared" si="71"/>
        <v>61422.755160000001</v>
      </c>
      <c r="I732" s="119">
        <f t="shared" si="61"/>
        <v>1371074.7066099981</v>
      </c>
    </row>
    <row r="733" spans="1:9" ht="21" customHeight="1">
      <c r="A733" s="120">
        <v>44711</v>
      </c>
      <c r="B733" s="146"/>
      <c r="C733" s="15" t="s">
        <v>452</v>
      </c>
      <c r="D733" s="121"/>
      <c r="E733" s="486">
        <v>2850</v>
      </c>
      <c r="F733" s="117">
        <f t="shared" si="70"/>
        <v>0</v>
      </c>
      <c r="G733" s="118">
        <f t="shared" si="59"/>
        <v>0</v>
      </c>
      <c r="H733" s="495">
        <f t="shared" si="71"/>
        <v>17.100000000000001</v>
      </c>
      <c r="I733" s="119">
        <f t="shared" si="61"/>
        <v>1368207.606609998</v>
      </c>
    </row>
    <row r="734" spans="1:9" ht="21" customHeight="1">
      <c r="A734" s="120">
        <v>44711</v>
      </c>
      <c r="B734" s="146"/>
      <c r="C734" s="15" t="s">
        <v>107</v>
      </c>
      <c r="D734" s="121"/>
      <c r="E734" s="486">
        <v>42.75</v>
      </c>
      <c r="F734" s="117">
        <f t="shared" si="70"/>
        <v>0</v>
      </c>
      <c r="G734" s="118">
        <f t="shared" si="59"/>
        <v>0</v>
      </c>
      <c r="H734" s="495">
        <f t="shared" si="71"/>
        <v>0.25650000000000001</v>
      </c>
      <c r="I734" s="119">
        <f t="shared" si="61"/>
        <v>1368164.6001099981</v>
      </c>
    </row>
    <row r="735" spans="1:9" ht="21" customHeight="1">
      <c r="A735" s="120">
        <v>44711</v>
      </c>
      <c r="B735" s="146"/>
      <c r="C735" s="15" t="s">
        <v>110</v>
      </c>
      <c r="D735" s="121"/>
      <c r="E735" s="486">
        <v>598.5</v>
      </c>
      <c r="F735" s="117">
        <f t="shared" si="70"/>
        <v>0</v>
      </c>
      <c r="G735" s="118">
        <f t="shared" si="59"/>
        <v>0</v>
      </c>
      <c r="H735" s="495">
        <f t="shared" si="71"/>
        <v>3.5910000000000002</v>
      </c>
      <c r="I735" s="119">
        <f t="shared" si="61"/>
        <v>1367562.5091099981</v>
      </c>
    </row>
    <row r="736" spans="1:9" ht="21" customHeight="1">
      <c r="A736" s="120">
        <v>44711</v>
      </c>
      <c r="B736" s="146"/>
      <c r="C736" s="15" t="s">
        <v>453</v>
      </c>
      <c r="D736" s="121"/>
      <c r="E736" s="486">
        <v>85.5</v>
      </c>
      <c r="F736" s="117">
        <f t="shared" si="70"/>
        <v>0</v>
      </c>
      <c r="G736" s="118">
        <f t="shared" si="59"/>
        <v>0</v>
      </c>
      <c r="H736" s="495">
        <f t="shared" si="71"/>
        <v>0.51300000000000001</v>
      </c>
      <c r="I736" s="119">
        <f t="shared" si="61"/>
        <v>1367476.4961099981</v>
      </c>
    </row>
    <row r="737" spans="1:10" ht="21" customHeight="1">
      <c r="A737" s="120">
        <v>44711</v>
      </c>
      <c r="B737" s="146"/>
      <c r="C737" s="15" t="s">
        <v>891</v>
      </c>
      <c r="D737" s="121"/>
      <c r="E737" s="486">
        <v>65</v>
      </c>
      <c r="F737" s="117">
        <f t="shared" si="70"/>
        <v>0</v>
      </c>
      <c r="G737" s="118">
        <f t="shared" si="59"/>
        <v>0</v>
      </c>
      <c r="H737" s="495">
        <f t="shared" si="71"/>
        <v>0.39</v>
      </c>
      <c r="I737" s="119">
        <f t="shared" si="61"/>
        <v>1367411.1061099982</v>
      </c>
    </row>
    <row r="738" spans="1:10" ht="21" customHeight="1">
      <c r="A738" s="120">
        <v>44711</v>
      </c>
      <c r="B738" s="146"/>
      <c r="C738" s="15" t="s">
        <v>110</v>
      </c>
      <c r="D738" s="121"/>
      <c r="E738" s="486">
        <v>13.65</v>
      </c>
      <c r="F738" s="117">
        <f t="shared" si="70"/>
        <v>0</v>
      </c>
      <c r="G738" s="118">
        <f t="shared" si="59"/>
        <v>0</v>
      </c>
      <c r="H738" s="495">
        <f t="shared" si="71"/>
        <v>8.1900000000000001E-2</v>
      </c>
      <c r="I738" s="119">
        <f t="shared" si="61"/>
        <v>1367397.3742099982</v>
      </c>
      <c r="J738" s="501">
        <v>1369585.47</v>
      </c>
    </row>
    <row r="739" spans="1:10" ht="21" customHeight="1">
      <c r="A739" s="120">
        <v>44712</v>
      </c>
      <c r="B739" s="146"/>
      <c r="C739" s="15" t="s">
        <v>892</v>
      </c>
      <c r="D739" s="486">
        <v>10000</v>
      </c>
      <c r="E739" s="156"/>
      <c r="F739" s="117">
        <f t="shared" si="70"/>
        <v>0</v>
      </c>
      <c r="G739" s="495">
        <f t="shared" si="59"/>
        <v>60</v>
      </c>
      <c r="H739" s="118">
        <f t="shared" si="71"/>
        <v>0</v>
      </c>
      <c r="I739" s="119">
        <f t="shared" si="61"/>
        <v>1377337.3742099982</v>
      </c>
    </row>
    <row r="740" spans="1:10" ht="21" customHeight="1">
      <c r="A740" s="120"/>
      <c r="B740" s="146"/>
      <c r="C740" s="15" t="s">
        <v>892</v>
      </c>
      <c r="D740" s="486">
        <v>50000</v>
      </c>
      <c r="E740" s="156"/>
      <c r="F740" s="117">
        <f t="shared" si="70"/>
        <v>0</v>
      </c>
      <c r="G740" s="486">
        <f t="shared" si="59"/>
        <v>300</v>
      </c>
      <c r="H740" s="118">
        <f t="shared" si="71"/>
        <v>0</v>
      </c>
      <c r="I740" s="119">
        <f t="shared" si="61"/>
        <v>1427037.3742099982</v>
      </c>
    </row>
    <row r="741" spans="1:10" ht="21" customHeight="1">
      <c r="A741" s="120"/>
      <c r="B741" s="146"/>
      <c r="C741" s="15" t="s">
        <v>892</v>
      </c>
      <c r="D741" s="486">
        <v>70000</v>
      </c>
      <c r="E741" s="156"/>
      <c r="F741" s="117">
        <f t="shared" si="70"/>
        <v>0</v>
      </c>
      <c r="G741" s="486">
        <f t="shared" si="59"/>
        <v>420</v>
      </c>
      <c r="H741" s="118">
        <f t="shared" si="71"/>
        <v>0</v>
      </c>
      <c r="I741" s="119">
        <f t="shared" si="61"/>
        <v>1496617.3742099982</v>
      </c>
    </row>
    <row r="742" spans="1:10" ht="21" customHeight="1">
      <c r="A742" s="120"/>
      <c r="B742" s="146"/>
      <c r="C742" s="15" t="s">
        <v>893</v>
      </c>
      <c r="D742" s="124">
        <v>2188.09</v>
      </c>
      <c r="E742" s="124"/>
      <c r="F742" s="117">
        <f t="shared" si="70"/>
        <v>0</v>
      </c>
      <c r="G742" s="118"/>
      <c r="H742" s="118">
        <f t="shared" si="71"/>
        <v>0</v>
      </c>
      <c r="I742" s="119">
        <f t="shared" si="61"/>
        <v>1498805.4642099983</v>
      </c>
    </row>
    <row r="743" spans="1:10" ht="21" customHeight="1">
      <c r="A743" s="164" t="s">
        <v>161</v>
      </c>
      <c r="B743" s="165"/>
      <c r="C743" s="166"/>
      <c r="D743" s="167"/>
      <c r="E743" s="167"/>
      <c r="F743" s="511">
        <f t="shared" si="70"/>
        <v>0</v>
      </c>
      <c r="G743" s="511">
        <f t="shared" si="59"/>
        <v>0</v>
      </c>
      <c r="H743" s="511">
        <f t="shared" si="71"/>
        <v>0</v>
      </c>
      <c r="I743" s="512">
        <f t="shared" si="61"/>
        <v>1498805.4642099983</v>
      </c>
    </row>
    <row r="744" spans="1:10" ht="21" customHeight="1">
      <c r="A744" s="120">
        <v>44714</v>
      </c>
      <c r="B744" s="146"/>
      <c r="C744" s="15" t="s">
        <v>459</v>
      </c>
      <c r="D744" s="124"/>
      <c r="E744" s="486">
        <v>840</v>
      </c>
      <c r="F744" s="117">
        <f t="shared" si="70"/>
        <v>0</v>
      </c>
      <c r="G744" s="118">
        <f t="shared" si="59"/>
        <v>0</v>
      </c>
      <c r="H744" s="486">
        <f t="shared" si="71"/>
        <v>5.04</v>
      </c>
      <c r="I744" s="119">
        <f t="shared" si="61"/>
        <v>1497960.4242099982</v>
      </c>
    </row>
    <row r="745" spans="1:10" ht="21" customHeight="1">
      <c r="A745" s="120">
        <v>44714</v>
      </c>
      <c r="B745" s="146"/>
      <c r="C745" s="15" t="s">
        <v>894</v>
      </c>
      <c r="D745" s="124"/>
      <c r="E745" s="486">
        <v>12.6</v>
      </c>
      <c r="F745" s="117">
        <f t="shared" si="70"/>
        <v>0</v>
      </c>
      <c r="G745" s="118">
        <f t="shared" si="59"/>
        <v>0</v>
      </c>
      <c r="H745" s="486">
        <f t="shared" si="71"/>
        <v>7.5600000000000001E-2</v>
      </c>
      <c r="I745" s="119">
        <f t="shared" si="61"/>
        <v>1497947.748609998</v>
      </c>
    </row>
    <row r="746" spans="1:10" ht="21" customHeight="1">
      <c r="A746" s="120">
        <v>44714</v>
      </c>
      <c r="B746" s="146"/>
      <c r="C746" s="15" t="s">
        <v>110</v>
      </c>
      <c r="D746" s="121"/>
      <c r="E746" s="486">
        <v>176.4</v>
      </c>
      <c r="F746" s="117">
        <f t="shared" si="70"/>
        <v>0</v>
      </c>
      <c r="G746" s="118">
        <f t="shared" si="59"/>
        <v>0</v>
      </c>
      <c r="H746" s="486">
        <f t="shared" si="71"/>
        <v>1.0584</v>
      </c>
      <c r="I746" s="119">
        <f t="shared" si="61"/>
        <v>1497770.2902099981</v>
      </c>
      <c r="J746" s="501">
        <v>1483783.48</v>
      </c>
    </row>
    <row r="747" spans="1:10" ht="21" customHeight="1">
      <c r="A747" s="120">
        <v>44719</v>
      </c>
      <c r="B747" s="122"/>
      <c r="C747" s="131" t="s">
        <v>162</v>
      </c>
      <c r="D747" s="124"/>
      <c r="E747" s="486">
        <v>13903.39</v>
      </c>
      <c r="F747" s="117">
        <f t="shared" si="70"/>
        <v>0</v>
      </c>
      <c r="G747" s="118">
        <f t="shared" si="59"/>
        <v>0</v>
      </c>
      <c r="H747" s="495">
        <f t="shared" si="71"/>
        <v>83.420339999999996</v>
      </c>
      <c r="I747" s="119">
        <f t="shared" si="61"/>
        <v>1483783.4798699983</v>
      </c>
      <c r="J747" s="679">
        <f>J746-I747</f>
        <v>1.3000168837606907E-4</v>
      </c>
    </row>
    <row r="748" spans="1:10" ht="21" customHeight="1">
      <c r="A748" s="120">
        <v>44722</v>
      </c>
      <c r="B748" s="122"/>
      <c r="C748" s="131" t="s">
        <v>895</v>
      </c>
      <c r="D748" s="486">
        <v>270000</v>
      </c>
      <c r="E748" s="124"/>
      <c r="F748" s="117">
        <f t="shared" si="70"/>
        <v>0</v>
      </c>
      <c r="G748" s="495">
        <f t="shared" si="59"/>
        <v>1620</v>
      </c>
      <c r="H748" s="118">
        <f t="shared" si="71"/>
        <v>0</v>
      </c>
      <c r="I748" s="119">
        <f t="shared" si="61"/>
        <v>1752163.4798699983</v>
      </c>
    </row>
    <row r="749" spans="1:10" ht="21" customHeight="1">
      <c r="A749" s="120">
        <v>44725</v>
      </c>
      <c r="B749" s="122"/>
      <c r="C749" s="15" t="s">
        <v>163</v>
      </c>
      <c r="E749" s="486">
        <f>567.32-59.57</f>
        <v>507.75000000000006</v>
      </c>
      <c r="F749" s="117">
        <f t="shared" si="70"/>
        <v>0</v>
      </c>
      <c r="G749" s="118">
        <f t="shared" si="59"/>
        <v>0</v>
      </c>
      <c r="H749" s="495">
        <f t="shared" si="71"/>
        <v>3.0465000000000004</v>
      </c>
      <c r="I749" s="119">
        <f t="shared" si="61"/>
        <v>1751652.6833699984</v>
      </c>
    </row>
    <row r="750" spans="1:10" ht="21" customHeight="1">
      <c r="A750" s="120">
        <v>44700</v>
      </c>
      <c r="B750" s="146">
        <v>252</v>
      </c>
      <c r="C750" s="15" t="s">
        <v>896</v>
      </c>
      <c r="D750" s="124"/>
      <c r="E750" s="486">
        <v>144000</v>
      </c>
      <c r="F750" s="117">
        <f t="shared" si="70"/>
        <v>0</v>
      </c>
      <c r="G750" s="118">
        <f t="shared" si="59"/>
        <v>0</v>
      </c>
      <c r="H750" s="495">
        <f t="shared" si="71"/>
        <v>864</v>
      </c>
      <c r="I750" s="119">
        <f t="shared" si="61"/>
        <v>1606788.6833699984</v>
      </c>
    </row>
    <row r="751" spans="1:10" ht="21" customHeight="1">
      <c r="A751" s="120">
        <v>44712</v>
      </c>
      <c r="B751" s="146">
        <v>248</v>
      </c>
      <c r="C751" s="15" t="s">
        <v>897</v>
      </c>
      <c r="D751" s="121"/>
      <c r="E751" s="486">
        <v>144000</v>
      </c>
      <c r="F751" s="117">
        <f t="shared" si="70"/>
        <v>0</v>
      </c>
      <c r="G751" s="118">
        <f t="shared" si="59"/>
        <v>0</v>
      </c>
      <c r="H751" s="495">
        <f t="shared" si="71"/>
        <v>864</v>
      </c>
      <c r="I751" s="119">
        <f t="shared" si="61"/>
        <v>1461924.6833699984</v>
      </c>
    </row>
    <row r="752" spans="1:10" ht="21" customHeight="1">
      <c r="A752" s="120">
        <v>44707</v>
      </c>
      <c r="B752" s="146">
        <v>247</v>
      </c>
      <c r="C752" s="15" t="s">
        <v>897</v>
      </c>
      <c r="D752" s="121"/>
      <c r="E752" s="486">
        <v>150000</v>
      </c>
      <c r="F752" s="117">
        <f t="shared" si="70"/>
        <v>0</v>
      </c>
      <c r="G752" s="118">
        <f t="shared" si="59"/>
        <v>0</v>
      </c>
      <c r="H752" s="495">
        <f t="shared" si="71"/>
        <v>900</v>
      </c>
      <c r="I752" s="119">
        <f t="shared" si="61"/>
        <v>1311024.6833699984</v>
      </c>
    </row>
    <row r="753" spans="1:10" ht="21" customHeight="1">
      <c r="A753" s="120">
        <v>44694</v>
      </c>
      <c r="B753" s="146">
        <v>250</v>
      </c>
      <c r="C753" s="15" t="s">
        <v>898</v>
      </c>
      <c r="D753" s="124"/>
      <c r="E753" s="486">
        <v>150000</v>
      </c>
      <c r="F753" s="117">
        <f t="shared" si="70"/>
        <v>0</v>
      </c>
      <c r="G753" s="118">
        <f t="shared" si="59"/>
        <v>0</v>
      </c>
      <c r="H753" s="495">
        <f t="shared" si="71"/>
        <v>900</v>
      </c>
      <c r="I753" s="119">
        <f t="shared" si="61"/>
        <v>1160124.6833699984</v>
      </c>
    </row>
    <row r="754" spans="1:10" ht="21" customHeight="1">
      <c r="A754" s="120">
        <v>44698</v>
      </c>
      <c r="B754" s="146">
        <v>251</v>
      </c>
      <c r="C754" s="15" t="s">
        <v>898</v>
      </c>
      <c r="D754" s="124"/>
      <c r="E754" s="486">
        <v>150000</v>
      </c>
      <c r="F754" s="117">
        <f t="shared" si="70"/>
        <v>0</v>
      </c>
      <c r="G754" s="118">
        <f t="shared" ref="G754:H790" si="72">D754*0.006</f>
        <v>0</v>
      </c>
      <c r="H754" s="495">
        <f t="shared" si="71"/>
        <v>900</v>
      </c>
      <c r="I754" s="529">
        <f t="shared" ref="I754:I817" si="73">I753+D754-E754-F754-G754-H754</f>
        <v>1009224.6833699984</v>
      </c>
    </row>
    <row r="755" spans="1:10" ht="21" customHeight="1">
      <c r="A755" s="120">
        <v>44733</v>
      </c>
      <c r="B755" s="146"/>
      <c r="C755" s="15" t="s">
        <v>164</v>
      </c>
      <c r="D755" s="486">
        <v>159502.21</v>
      </c>
      <c r="E755" s="124"/>
      <c r="F755" s="117">
        <f t="shared" si="70"/>
        <v>0</v>
      </c>
      <c r="G755" s="118"/>
      <c r="H755" s="118">
        <f t="shared" si="71"/>
        <v>0</v>
      </c>
      <c r="I755" s="119">
        <f t="shared" si="73"/>
        <v>1168726.8933699983</v>
      </c>
    </row>
    <row r="756" spans="1:10" ht="21" customHeight="1">
      <c r="A756" s="120">
        <v>44733</v>
      </c>
      <c r="B756" s="148" t="s">
        <v>165</v>
      </c>
      <c r="C756" s="15" t="s">
        <v>166</v>
      </c>
      <c r="D756" s="124"/>
      <c r="E756" s="486">
        <v>51780.51</v>
      </c>
      <c r="F756" s="117">
        <f t="shared" si="70"/>
        <v>0</v>
      </c>
      <c r="G756" s="118">
        <f t="shared" si="72"/>
        <v>0</v>
      </c>
      <c r="H756" s="495">
        <f t="shared" si="71"/>
        <v>310.68306000000001</v>
      </c>
      <c r="I756" s="119">
        <f t="shared" si="73"/>
        <v>1116635.7003099984</v>
      </c>
    </row>
    <row r="757" spans="1:10" ht="21" customHeight="1">
      <c r="A757" s="120">
        <v>44735</v>
      </c>
      <c r="B757" s="146"/>
      <c r="C757" s="15" t="s">
        <v>145</v>
      </c>
      <c r="D757" s="121"/>
      <c r="E757" s="486">
        <v>859.56</v>
      </c>
      <c r="F757" s="117">
        <f t="shared" si="70"/>
        <v>0</v>
      </c>
      <c r="G757" s="118">
        <f t="shared" si="72"/>
        <v>0</v>
      </c>
      <c r="H757" s="495">
        <v>5.37</v>
      </c>
      <c r="I757" s="119">
        <f t="shared" si="73"/>
        <v>1115770.7703099982</v>
      </c>
    </row>
    <row r="758" spans="1:10" ht="21" customHeight="1">
      <c r="A758" s="120">
        <v>44741</v>
      </c>
      <c r="B758" s="122"/>
      <c r="C758" s="15" t="s">
        <v>452</v>
      </c>
      <c r="D758" s="121"/>
      <c r="E758" s="486">
        <v>2850</v>
      </c>
      <c r="F758" s="117">
        <f t="shared" si="70"/>
        <v>0</v>
      </c>
      <c r="G758" s="118">
        <f t="shared" si="72"/>
        <v>0</v>
      </c>
      <c r="H758" s="495">
        <f t="shared" si="71"/>
        <v>17.100000000000001</v>
      </c>
      <c r="I758" s="119">
        <f t="shared" si="73"/>
        <v>1112903.6703099981</v>
      </c>
    </row>
    <row r="759" spans="1:10" ht="21" customHeight="1">
      <c r="A759" s="120">
        <v>44741</v>
      </c>
      <c r="B759" s="146"/>
      <c r="C759" s="15" t="s">
        <v>107</v>
      </c>
      <c r="D759" s="121"/>
      <c r="E759" s="486">
        <v>42.75</v>
      </c>
      <c r="F759" s="117">
        <f t="shared" si="70"/>
        <v>0</v>
      </c>
      <c r="G759" s="118">
        <f t="shared" si="72"/>
        <v>0</v>
      </c>
      <c r="H759" s="495">
        <f t="shared" si="71"/>
        <v>0.25650000000000001</v>
      </c>
      <c r="I759" s="119">
        <f t="shared" si="73"/>
        <v>1112860.6638099982</v>
      </c>
    </row>
    <row r="760" spans="1:10" ht="21" customHeight="1">
      <c r="A760" s="120">
        <v>44741</v>
      </c>
      <c r="B760" s="146"/>
      <c r="C760" s="15" t="s">
        <v>110</v>
      </c>
      <c r="D760" s="121"/>
      <c r="E760" s="486">
        <v>598.5</v>
      </c>
      <c r="F760" s="117">
        <f t="shared" si="70"/>
        <v>0</v>
      </c>
      <c r="G760" s="118">
        <f t="shared" si="72"/>
        <v>0</v>
      </c>
      <c r="H760" s="495">
        <f t="shared" si="71"/>
        <v>3.5910000000000002</v>
      </c>
      <c r="I760" s="119">
        <f t="shared" si="73"/>
        <v>1112258.5728099982</v>
      </c>
    </row>
    <row r="761" spans="1:10" ht="21" customHeight="1">
      <c r="A761" s="120">
        <v>44741</v>
      </c>
      <c r="B761" s="146"/>
      <c r="C761" s="15" t="s">
        <v>453</v>
      </c>
      <c r="D761" s="121"/>
      <c r="E761" s="486">
        <v>85.5</v>
      </c>
      <c r="F761" s="117">
        <f t="shared" si="70"/>
        <v>0</v>
      </c>
      <c r="G761" s="118">
        <f t="shared" si="72"/>
        <v>0</v>
      </c>
      <c r="H761" s="495">
        <f t="shared" si="71"/>
        <v>0.51300000000000001</v>
      </c>
      <c r="I761" s="119">
        <f t="shared" si="73"/>
        <v>1112172.5598099981</v>
      </c>
    </row>
    <row r="762" spans="1:10" ht="21" customHeight="1">
      <c r="A762" s="120">
        <v>44741</v>
      </c>
      <c r="B762" s="146"/>
      <c r="C762" s="15" t="s">
        <v>891</v>
      </c>
      <c r="D762" s="121"/>
      <c r="E762" s="486">
        <v>65</v>
      </c>
      <c r="F762" s="117">
        <f t="shared" si="70"/>
        <v>0</v>
      </c>
      <c r="G762" s="118">
        <f t="shared" si="72"/>
        <v>0</v>
      </c>
      <c r="H762" s="495">
        <f t="shared" si="71"/>
        <v>0.39</v>
      </c>
      <c r="I762" s="119">
        <f t="shared" si="73"/>
        <v>1112107.1698099982</v>
      </c>
    </row>
    <row r="763" spans="1:10" ht="21" customHeight="1">
      <c r="A763" s="120">
        <v>44741</v>
      </c>
      <c r="B763" s="146"/>
      <c r="C763" s="15" t="s">
        <v>110</v>
      </c>
      <c r="D763" s="121"/>
      <c r="E763" s="486">
        <v>13.65</v>
      </c>
      <c r="F763" s="117">
        <f t="shared" si="70"/>
        <v>0</v>
      </c>
      <c r="G763" s="118">
        <f t="shared" si="72"/>
        <v>0</v>
      </c>
      <c r="H763" s="495">
        <f t="shared" si="71"/>
        <v>8.1900000000000001E-2</v>
      </c>
      <c r="I763" s="119">
        <f t="shared" si="73"/>
        <v>1112093.4379099982</v>
      </c>
    </row>
    <row r="764" spans="1:10" ht="21" customHeight="1">
      <c r="A764" s="120">
        <v>44741</v>
      </c>
      <c r="B764" s="146" t="s">
        <v>167</v>
      </c>
      <c r="C764" s="15" t="s">
        <v>168</v>
      </c>
      <c r="D764" s="393"/>
      <c r="E764" s="486">
        <v>900000</v>
      </c>
      <c r="F764" s="117">
        <f t="shared" si="70"/>
        <v>0</v>
      </c>
      <c r="G764" s="118">
        <f t="shared" si="72"/>
        <v>0</v>
      </c>
      <c r="H764" s="495">
        <f t="shared" si="71"/>
        <v>5400</v>
      </c>
      <c r="I764" s="119">
        <f t="shared" si="73"/>
        <v>206693.43790999823</v>
      </c>
    </row>
    <row r="765" spans="1:10" ht="21" customHeight="1">
      <c r="A765" s="120">
        <v>44741</v>
      </c>
      <c r="B765" s="146"/>
      <c r="C765" s="15" t="s">
        <v>899</v>
      </c>
      <c r="D765" s="121"/>
      <c r="E765" s="486">
        <v>100</v>
      </c>
      <c r="F765" s="117">
        <f t="shared" si="70"/>
        <v>0</v>
      </c>
      <c r="G765" s="118">
        <f t="shared" si="72"/>
        <v>0</v>
      </c>
      <c r="H765" s="495">
        <f t="shared" si="71"/>
        <v>0.6</v>
      </c>
      <c r="I765" s="119">
        <f t="shared" si="73"/>
        <v>206592.83790999823</v>
      </c>
    </row>
    <row r="766" spans="1:10" ht="21" customHeight="1">
      <c r="A766" s="120">
        <v>44748</v>
      </c>
      <c r="B766" s="146"/>
      <c r="C766" s="15" t="s">
        <v>169</v>
      </c>
      <c r="D766" s="121"/>
      <c r="E766" s="486">
        <v>14472.77</v>
      </c>
      <c r="F766" s="117">
        <f t="shared" si="70"/>
        <v>0</v>
      </c>
      <c r="G766" s="118">
        <f t="shared" si="72"/>
        <v>0</v>
      </c>
      <c r="H766" s="495">
        <f t="shared" si="71"/>
        <v>86.836620000000011</v>
      </c>
      <c r="I766" s="119">
        <f t="shared" si="73"/>
        <v>192033.23128999825</v>
      </c>
    </row>
    <row r="767" spans="1:10" ht="21" customHeight="1">
      <c r="A767" s="120">
        <v>44748</v>
      </c>
      <c r="B767" s="146"/>
      <c r="C767" s="15" t="s">
        <v>170</v>
      </c>
      <c r="D767" s="121"/>
      <c r="E767" s="486">
        <v>567.32000000000005</v>
      </c>
      <c r="F767" s="117">
        <f t="shared" si="70"/>
        <v>0</v>
      </c>
      <c r="G767" s="118">
        <f t="shared" si="72"/>
        <v>0</v>
      </c>
      <c r="H767" s="495">
        <f t="shared" si="71"/>
        <v>3.4039200000000003</v>
      </c>
      <c r="I767" s="119">
        <f t="shared" si="73"/>
        <v>191462.50736999823</v>
      </c>
    </row>
    <row r="768" spans="1:10" ht="21" customHeight="1">
      <c r="A768" s="120">
        <v>44749</v>
      </c>
      <c r="B768" s="146"/>
      <c r="C768" s="15" t="s">
        <v>171</v>
      </c>
      <c r="D768" s="831">
        <v>10000</v>
      </c>
      <c r="E768" s="116"/>
      <c r="F768" s="117">
        <f t="shared" si="70"/>
        <v>0</v>
      </c>
      <c r="G768" s="495">
        <f t="shared" si="72"/>
        <v>60</v>
      </c>
      <c r="H768" s="118">
        <f t="shared" si="71"/>
        <v>0</v>
      </c>
      <c r="I768" s="119">
        <f t="shared" si="73"/>
        <v>201402.50736999823</v>
      </c>
      <c r="J768" s="679">
        <f>201366.51-I768</f>
        <v>-35.997369998221984</v>
      </c>
    </row>
    <row r="769" spans="1:10" ht="21" customHeight="1">
      <c r="A769" s="120">
        <v>44750</v>
      </c>
      <c r="B769" s="146"/>
      <c r="C769" s="15" t="s">
        <v>171</v>
      </c>
      <c r="D769" s="831">
        <v>90000</v>
      </c>
      <c r="E769" s="506"/>
      <c r="F769" s="117">
        <f t="shared" si="70"/>
        <v>0</v>
      </c>
      <c r="G769" s="495">
        <f t="shared" si="72"/>
        <v>540</v>
      </c>
      <c r="H769" s="118">
        <f t="shared" si="71"/>
        <v>0</v>
      </c>
      <c r="I769" s="119">
        <f t="shared" si="73"/>
        <v>290862.50736999826</v>
      </c>
    </row>
    <row r="770" spans="1:10" ht="21" customHeight="1">
      <c r="A770" s="120">
        <v>44750</v>
      </c>
      <c r="B770" s="146"/>
      <c r="C770" s="15" t="s">
        <v>172</v>
      </c>
      <c r="D770" s="506">
        <v>189168</v>
      </c>
      <c r="E770" s="506">
        <v>189168</v>
      </c>
      <c r="F770" s="117"/>
      <c r="G770" s="118"/>
      <c r="H770" s="118"/>
      <c r="I770" s="119">
        <f t="shared" si="73"/>
        <v>290862.50736999826</v>
      </c>
    </row>
    <row r="771" spans="1:10" ht="21" customHeight="1">
      <c r="A771" s="120">
        <v>44753</v>
      </c>
      <c r="B771" s="146"/>
      <c r="C771" s="15" t="s">
        <v>173</v>
      </c>
      <c r="D771" s="831">
        <v>200000</v>
      </c>
      <c r="E771" s="506"/>
      <c r="F771" s="117">
        <f t="shared" ref="F771:F777" si="74">D771*0%</f>
        <v>0</v>
      </c>
      <c r="G771" s="118">
        <f t="shared" ref="G771:G777" si="75">D771*0.006</f>
        <v>1200</v>
      </c>
      <c r="H771" s="118">
        <f t="shared" ref="H771:H777" si="76">E771*0.006+F771*0.006</f>
        <v>0</v>
      </c>
      <c r="I771" s="119">
        <f t="shared" si="73"/>
        <v>489662.50736999826</v>
      </c>
    </row>
    <row r="772" spans="1:10" ht="21" customHeight="1">
      <c r="A772" s="120">
        <v>44753</v>
      </c>
      <c r="B772" s="146"/>
      <c r="C772" s="15" t="s">
        <v>173</v>
      </c>
      <c r="D772" s="831">
        <v>69000</v>
      </c>
      <c r="E772" s="506"/>
      <c r="F772" s="117">
        <f t="shared" si="74"/>
        <v>0</v>
      </c>
      <c r="G772" s="118">
        <f t="shared" si="75"/>
        <v>414</v>
      </c>
      <c r="H772" s="118">
        <f t="shared" si="76"/>
        <v>0</v>
      </c>
      <c r="I772" s="119">
        <f t="shared" si="73"/>
        <v>558248.50736999826</v>
      </c>
    </row>
    <row r="773" spans="1:10" ht="21" customHeight="1">
      <c r="A773" s="120">
        <v>44753</v>
      </c>
      <c r="B773" s="146"/>
      <c r="C773" s="144" t="s">
        <v>900</v>
      </c>
      <c r="D773" s="831">
        <v>19411.34</v>
      </c>
      <c r="E773" s="506"/>
      <c r="F773" s="117">
        <f t="shared" si="74"/>
        <v>0</v>
      </c>
      <c r="G773" s="118">
        <f t="shared" si="75"/>
        <v>116.46804</v>
      </c>
      <c r="H773" s="118">
        <f t="shared" si="76"/>
        <v>0</v>
      </c>
      <c r="I773" s="119">
        <f t="shared" si="73"/>
        <v>577543.37932999828</v>
      </c>
    </row>
    <row r="774" spans="1:10" ht="21" customHeight="1">
      <c r="A774" s="120">
        <v>44752</v>
      </c>
      <c r="B774" s="146" t="s">
        <v>165</v>
      </c>
      <c r="C774" s="168" t="s">
        <v>174</v>
      </c>
      <c r="D774" s="121"/>
      <c r="E774" s="507">
        <v>122743.96</v>
      </c>
      <c r="F774" s="117">
        <f t="shared" si="74"/>
        <v>0</v>
      </c>
      <c r="G774" s="118">
        <f t="shared" si="75"/>
        <v>0</v>
      </c>
      <c r="H774" s="554">
        <f t="shared" si="76"/>
        <v>736.46376000000009</v>
      </c>
      <c r="I774" s="119">
        <f t="shared" si="73"/>
        <v>454062.95556999824</v>
      </c>
    </row>
    <row r="775" spans="1:10" ht="21" customHeight="1">
      <c r="A775" s="120">
        <v>44760</v>
      </c>
      <c r="B775" s="146"/>
      <c r="C775" s="123" t="s">
        <v>151</v>
      </c>
      <c r="D775" s="780">
        <v>170014.64</v>
      </c>
      <c r="E775" s="506"/>
      <c r="F775" s="117">
        <f t="shared" si="74"/>
        <v>0</v>
      </c>
      <c r="G775" s="118"/>
      <c r="H775" s="118">
        <f t="shared" si="76"/>
        <v>0</v>
      </c>
      <c r="I775" s="119">
        <f t="shared" si="73"/>
        <v>624077.59556999826</v>
      </c>
      <c r="J775" s="506"/>
    </row>
    <row r="776" spans="1:10" ht="21" customHeight="1">
      <c r="A776" s="120">
        <v>44761</v>
      </c>
      <c r="B776" s="146"/>
      <c r="C776" s="15" t="s">
        <v>901</v>
      </c>
      <c r="D776" s="832">
        <v>5000</v>
      </c>
      <c r="E776" s="506"/>
      <c r="F776" s="117">
        <f t="shared" si="74"/>
        <v>0</v>
      </c>
      <c r="G776" s="496">
        <f t="shared" si="75"/>
        <v>30</v>
      </c>
      <c r="H776" s="118">
        <f t="shared" si="76"/>
        <v>0</v>
      </c>
      <c r="I776" s="119">
        <f t="shared" si="73"/>
        <v>629047.59556999826</v>
      </c>
    </row>
    <row r="777" spans="1:10" ht="21" customHeight="1">
      <c r="A777" s="120">
        <v>44762</v>
      </c>
      <c r="B777" s="148" t="s">
        <v>175</v>
      </c>
      <c r="C777" s="131" t="s">
        <v>176</v>
      </c>
      <c r="D777" s="124"/>
      <c r="E777" s="780">
        <v>51776</v>
      </c>
      <c r="F777" s="117">
        <f t="shared" si="74"/>
        <v>0</v>
      </c>
      <c r="G777" s="118">
        <f t="shared" si="75"/>
        <v>0</v>
      </c>
      <c r="H777" s="496">
        <f t="shared" si="76"/>
        <v>310.65600000000001</v>
      </c>
      <c r="I777" s="119">
        <f t="shared" si="73"/>
        <v>576960.9395699983</v>
      </c>
      <c r="J777" s="750">
        <v>577235.6</v>
      </c>
    </row>
    <row r="778" spans="1:10" ht="21" customHeight="1">
      <c r="A778" s="120">
        <v>44763</v>
      </c>
      <c r="B778" s="144">
        <v>32168527</v>
      </c>
      <c r="C778" s="168" t="s">
        <v>902</v>
      </c>
      <c r="D778" s="832">
        <v>125000</v>
      </c>
      <c r="E778" s="506"/>
      <c r="F778" s="117">
        <f t="shared" si="70"/>
        <v>0</v>
      </c>
      <c r="G778" s="118">
        <f t="shared" si="72"/>
        <v>750</v>
      </c>
      <c r="H778" s="118">
        <f t="shared" si="71"/>
        <v>0</v>
      </c>
      <c r="I778" s="119">
        <f t="shared" si="73"/>
        <v>701210.9395699983</v>
      </c>
    </row>
    <row r="779" spans="1:10" ht="21" customHeight="1">
      <c r="A779" s="120">
        <v>44763</v>
      </c>
      <c r="B779" s="146"/>
      <c r="C779" s="15" t="s">
        <v>459</v>
      </c>
      <c r="D779" s="121"/>
      <c r="E779" s="832">
        <v>875</v>
      </c>
      <c r="F779" s="117">
        <f t="shared" si="70"/>
        <v>0</v>
      </c>
      <c r="G779" s="118">
        <f t="shared" si="72"/>
        <v>0</v>
      </c>
      <c r="H779" s="496">
        <f t="shared" si="71"/>
        <v>5.25</v>
      </c>
      <c r="I779" s="119">
        <f t="shared" si="73"/>
        <v>700330.6895699983</v>
      </c>
    </row>
    <row r="780" spans="1:10" ht="21" customHeight="1">
      <c r="A780" s="120">
        <v>44763</v>
      </c>
      <c r="B780" s="146"/>
      <c r="C780" s="15" t="s">
        <v>903</v>
      </c>
      <c r="D780" s="124"/>
      <c r="E780" s="780">
        <v>183.75</v>
      </c>
      <c r="F780" s="117">
        <f t="shared" si="70"/>
        <v>0</v>
      </c>
      <c r="G780" s="118">
        <f t="shared" si="72"/>
        <v>0</v>
      </c>
      <c r="H780" s="496">
        <f t="shared" si="71"/>
        <v>1.1025</v>
      </c>
      <c r="I780" s="119">
        <f t="shared" si="73"/>
        <v>700145.83706999826</v>
      </c>
    </row>
    <row r="781" spans="1:10" ht="21" customHeight="1">
      <c r="A781" s="120">
        <v>44768</v>
      </c>
      <c r="B781" s="146"/>
      <c r="C781" s="123" t="s">
        <v>904</v>
      </c>
      <c r="D781" s="124"/>
      <c r="E781" s="125">
        <v>5597.35</v>
      </c>
      <c r="F781" s="117">
        <f t="shared" si="70"/>
        <v>0</v>
      </c>
      <c r="G781" s="118">
        <f t="shared" si="72"/>
        <v>0</v>
      </c>
      <c r="H781" s="496">
        <f t="shared" si="71"/>
        <v>33.584099999999999</v>
      </c>
      <c r="I781" s="119">
        <f t="shared" si="73"/>
        <v>694514.90296999831</v>
      </c>
    </row>
    <row r="782" spans="1:10" ht="21" customHeight="1">
      <c r="A782" s="120">
        <v>44767</v>
      </c>
      <c r="B782" s="146">
        <v>34083557</v>
      </c>
      <c r="C782" s="15" t="s">
        <v>177</v>
      </c>
      <c r="D782" s="125">
        <v>92000</v>
      </c>
      <c r="E782" s="124"/>
      <c r="F782" s="117">
        <f t="shared" si="70"/>
        <v>0</v>
      </c>
      <c r="G782" s="118">
        <f t="shared" si="72"/>
        <v>552</v>
      </c>
      <c r="H782" s="118">
        <f t="shared" si="71"/>
        <v>0</v>
      </c>
      <c r="I782" s="119">
        <f t="shared" si="73"/>
        <v>785962.90296999831</v>
      </c>
    </row>
    <row r="783" spans="1:10" ht="21" customHeight="1">
      <c r="A783" s="120">
        <v>44767</v>
      </c>
      <c r="B783" s="146"/>
      <c r="C783" s="15" t="s">
        <v>459</v>
      </c>
      <c r="D783" s="121"/>
      <c r="E783" s="832">
        <v>644</v>
      </c>
      <c r="F783" s="117">
        <f t="shared" si="70"/>
        <v>0</v>
      </c>
      <c r="G783" s="118">
        <f t="shared" si="72"/>
        <v>0</v>
      </c>
      <c r="H783" s="495">
        <f t="shared" si="71"/>
        <v>3.8639999999999999</v>
      </c>
      <c r="I783" s="119">
        <f t="shared" si="73"/>
        <v>785315.03896999836</v>
      </c>
    </row>
    <row r="784" spans="1:10" ht="21" customHeight="1">
      <c r="A784" s="120">
        <v>44767</v>
      </c>
      <c r="B784" s="146"/>
      <c r="C784" s="15" t="s">
        <v>905</v>
      </c>
      <c r="D784" s="124"/>
      <c r="E784" s="780">
        <f>135.24+9.66</f>
        <v>144.9</v>
      </c>
      <c r="F784" s="117">
        <f t="shared" si="70"/>
        <v>0</v>
      </c>
      <c r="G784" s="118">
        <f t="shared" si="72"/>
        <v>0</v>
      </c>
      <c r="H784" s="495">
        <f t="shared" si="71"/>
        <v>0.86940000000000006</v>
      </c>
      <c r="I784" s="119">
        <f t="shared" si="73"/>
        <v>785169.26956999837</v>
      </c>
    </row>
    <row r="785" spans="1:10" ht="21" customHeight="1">
      <c r="A785" s="120">
        <v>44770</v>
      </c>
      <c r="B785" s="146"/>
      <c r="C785" s="15" t="s">
        <v>452</v>
      </c>
      <c r="D785" s="121"/>
      <c r="E785" s="486">
        <v>3300</v>
      </c>
      <c r="F785" s="117">
        <f t="shared" si="70"/>
        <v>0</v>
      </c>
      <c r="G785" s="118">
        <f t="shared" si="72"/>
        <v>0</v>
      </c>
      <c r="H785" s="495">
        <f t="shared" si="71"/>
        <v>19.8</v>
      </c>
      <c r="I785" s="119">
        <f t="shared" si="73"/>
        <v>781849.46956999833</v>
      </c>
    </row>
    <row r="786" spans="1:10" ht="21" customHeight="1">
      <c r="A786" s="120">
        <v>44770</v>
      </c>
      <c r="B786" s="146"/>
      <c r="C786" s="15" t="s">
        <v>107</v>
      </c>
      <c r="D786" s="121"/>
      <c r="E786" s="486">
        <v>49.5</v>
      </c>
      <c r="F786" s="117">
        <f t="shared" si="70"/>
        <v>0</v>
      </c>
      <c r="G786" s="118">
        <f t="shared" si="72"/>
        <v>0</v>
      </c>
      <c r="H786" s="495">
        <f t="shared" si="71"/>
        <v>0.29699999999999999</v>
      </c>
      <c r="I786" s="119">
        <f t="shared" si="73"/>
        <v>781799.67256999831</v>
      </c>
    </row>
    <row r="787" spans="1:10" ht="21" customHeight="1">
      <c r="A787" s="120">
        <v>44770</v>
      </c>
      <c r="B787" s="146"/>
      <c r="C787" s="15" t="s">
        <v>110</v>
      </c>
      <c r="D787" s="121"/>
      <c r="E787" s="486">
        <v>693</v>
      </c>
      <c r="F787" s="117">
        <f t="shared" si="70"/>
        <v>0</v>
      </c>
      <c r="G787" s="118">
        <f t="shared" si="72"/>
        <v>0</v>
      </c>
      <c r="H787" s="495">
        <f t="shared" si="71"/>
        <v>4.1580000000000004</v>
      </c>
      <c r="I787" s="119">
        <f t="shared" si="73"/>
        <v>781102.51456999825</v>
      </c>
    </row>
    <row r="788" spans="1:10" ht="21" customHeight="1">
      <c r="A788" s="120">
        <v>44770</v>
      </c>
      <c r="B788" s="146"/>
      <c r="C788" s="15" t="s">
        <v>453</v>
      </c>
      <c r="D788" s="121"/>
      <c r="E788" s="486">
        <v>99</v>
      </c>
      <c r="F788" s="117">
        <f t="shared" si="70"/>
        <v>0</v>
      </c>
      <c r="G788" s="118">
        <f t="shared" si="72"/>
        <v>0</v>
      </c>
      <c r="H788" s="495">
        <f t="shared" si="71"/>
        <v>0.59399999999999997</v>
      </c>
      <c r="I788" s="119">
        <f t="shared" si="73"/>
        <v>781002.92056999821</v>
      </c>
      <c r="J788" s="679">
        <f>J789-I788</f>
        <v>-49.200569998240098</v>
      </c>
    </row>
    <row r="789" spans="1:10" ht="21" customHeight="1">
      <c r="A789" s="120"/>
      <c r="B789" s="146"/>
      <c r="C789" s="15" t="s">
        <v>906</v>
      </c>
      <c r="D789" s="121"/>
      <c r="E789" s="121">
        <v>49.2</v>
      </c>
      <c r="F789" s="117">
        <f t="shared" si="70"/>
        <v>0</v>
      </c>
      <c r="G789" s="118">
        <f t="shared" si="72"/>
        <v>0</v>
      </c>
      <c r="H789" s="118"/>
      <c r="I789" s="119">
        <f t="shared" si="73"/>
        <v>780953.72056999826</v>
      </c>
      <c r="J789" s="501">
        <v>780953.72</v>
      </c>
    </row>
    <row r="790" spans="1:10" ht="21" customHeight="1">
      <c r="A790" s="120"/>
      <c r="B790" s="146"/>
      <c r="C790" s="15"/>
      <c r="D790" s="121"/>
      <c r="E790" s="121"/>
      <c r="F790" s="117">
        <f t="shared" si="70"/>
        <v>0</v>
      </c>
      <c r="G790" s="118">
        <f t="shared" si="72"/>
        <v>0</v>
      </c>
      <c r="H790" s="118">
        <f t="shared" si="72"/>
        <v>0</v>
      </c>
      <c r="I790" s="119">
        <f t="shared" si="73"/>
        <v>780953.72056999826</v>
      </c>
    </row>
    <row r="791" spans="1:10" ht="21" customHeight="1">
      <c r="A791" s="833" t="s">
        <v>907</v>
      </c>
      <c r="B791" s="834"/>
      <c r="C791" s="835"/>
      <c r="D791" s="836"/>
      <c r="E791" s="836"/>
      <c r="F791" s="837">
        <f t="shared" si="70"/>
        <v>0</v>
      </c>
      <c r="G791" s="837">
        <f t="shared" ref="G791:H806" si="77">D791*0.006</f>
        <v>0</v>
      </c>
      <c r="H791" s="837">
        <f t="shared" si="77"/>
        <v>0</v>
      </c>
      <c r="I791" s="838">
        <f t="shared" si="73"/>
        <v>780953.72056999826</v>
      </c>
      <c r="J791" s="839"/>
    </row>
    <row r="792" spans="1:10" ht="21" customHeight="1">
      <c r="A792" s="120">
        <v>44777</v>
      </c>
      <c r="B792" s="146"/>
      <c r="C792" s="15" t="s">
        <v>318</v>
      </c>
      <c r="D792" s="486">
        <v>307698</v>
      </c>
      <c r="E792" s="121"/>
      <c r="F792" s="117">
        <f t="shared" si="70"/>
        <v>0</v>
      </c>
      <c r="G792" s="495">
        <f t="shared" si="77"/>
        <v>1846.1880000000001</v>
      </c>
      <c r="H792" s="118">
        <f t="shared" si="77"/>
        <v>0</v>
      </c>
      <c r="I792" s="119">
        <f t="shared" si="73"/>
        <v>1086805.5325699982</v>
      </c>
    </row>
    <row r="793" spans="1:10" ht="21" customHeight="1">
      <c r="A793" s="120">
        <v>44781</v>
      </c>
      <c r="B793" s="146"/>
      <c r="C793" s="15" t="s">
        <v>319</v>
      </c>
      <c r="D793" s="121"/>
      <c r="E793" s="486">
        <v>680.77</v>
      </c>
      <c r="F793" s="117">
        <f t="shared" ref="F793:F839" si="78">D793*0%</f>
        <v>0</v>
      </c>
      <c r="G793" s="118">
        <f t="shared" si="77"/>
        <v>0</v>
      </c>
      <c r="H793" s="495">
        <f t="shared" ref="H793:H856" si="79">E793*0.006+F793*0.006</f>
        <v>4.0846200000000001</v>
      </c>
      <c r="I793" s="119">
        <f t="shared" si="73"/>
        <v>1086120.6779499981</v>
      </c>
    </row>
    <row r="794" spans="1:10" ht="21" customHeight="1">
      <c r="A794" s="120">
        <v>44781</v>
      </c>
      <c r="B794" s="146"/>
      <c r="C794" s="15" t="s">
        <v>320</v>
      </c>
      <c r="D794" s="121"/>
      <c r="E794" s="486">
        <v>15326.87</v>
      </c>
      <c r="F794" s="117">
        <f t="shared" si="78"/>
        <v>0</v>
      </c>
      <c r="G794" s="118">
        <f t="shared" si="77"/>
        <v>0</v>
      </c>
      <c r="H794" s="495">
        <f t="shared" si="79"/>
        <v>91.961220000000012</v>
      </c>
      <c r="I794" s="119">
        <f t="shared" si="73"/>
        <v>1070701.846729998</v>
      </c>
    </row>
    <row r="795" spans="1:10" ht="21" customHeight="1">
      <c r="A795" s="120">
        <v>44781</v>
      </c>
      <c r="B795" s="146" t="s">
        <v>337</v>
      </c>
      <c r="C795" s="15" t="s">
        <v>321</v>
      </c>
      <c r="D795" s="197"/>
      <c r="E795" s="486">
        <v>84342.95</v>
      </c>
      <c r="F795" s="117">
        <f t="shared" si="78"/>
        <v>0</v>
      </c>
      <c r="G795" s="118">
        <f t="shared" si="77"/>
        <v>0</v>
      </c>
      <c r="H795" s="495">
        <f t="shared" si="79"/>
        <v>506.05770000000001</v>
      </c>
      <c r="I795" s="119">
        <f t="shared" si="73"/>
        <v>985852.83902999805</v>
      </c>
    </row>
    <row r="796" spans="1:10" ht="21" customHeight="1">
      <c r="A796" s="120">
        <v>44782</v>
      </c>
      <c r="B796" s="146" t="s">
        <v>908</v>
      </c>
      <c r="C796" s="15" t="s">
        <v>322</v>
      </c>
      <c r="D796" s="124"/>
      <c r="E796" s="486">
        <v>105460</v>
      </c>
      <c r="F796" s="117">
        <f t="shared" si="78"/>
        <v>0</v>
      </c>
      <c r="G796" s="118">
        <f t="shared" si="77"/>
        <v>0</v>
      </c>
      <c r="H796" s="495">
        <f t="shared" si="79"/>
        <v>632.76</v>
      </c>
      <c r="I796" s="119">
        <f t="shared" si="73"/>
        <v>879760.07902999804</v>
      </c>
    </row>
    <row r="797" spans="1:10" ht="21" customHeight="1">
      <c r="A797" s="120">
        <v>44783</v>
      </c>
      <c r="B797" s="122" t="s">
        <v>323</v>
      </c>
      <c r="C797" s="168" t="s">
        <v>450</v>
      </c>
      <c r="D797" s="146"/>
      <c r="E797" s="486">
        <v>122738</v>
      </c>
      <c r="F797" s="117">
        <f t="shared" si="78"/>
        <v>0</v>
      </c>
      <c r="G797" s="118">
        <f t="shared" si="77"/>
        <v>0</v>
      </c>
      <c r="H797" s="495">
        <f t="shared" si="79"/>
        <v>736.428</v>
      </c>
      <c r="I797" s="119">
        <f t="shared" si="73"/>
        <v>756285.65102999809</v>
      </c>
    </row>
    <row r="798" spans="1:10" ht="21" customHeight="1">
      <c r="A798" s="120">
        <v>44784</v>
      </c>
      <c r="B798" s="146"/>
      <c r="C798" s="15" t="s">
        <v>909</v>
      </c>
      <c r="D798" s="486">
        <v>506000</v>
      </c>
      <c r="E798" s="124"/>
      <c r="F798" s="117">
        <f t="shared" si="78"/>
        <v>0</v>
      </c>
      <c r="G798" s="495">
        <f t="shared" si="77"/>
        <v>3036</v>
      </c>
      <c r="H798" s="118">
        <f t="shared" si="79"/>
        <v>0</v>
      </c>
      <c r="I798" s="119">
        <f t="shared" si="73"/>
        <v>1259249.651029998</v>
      </c>
    </row>
    <row r="799" spans="1:10" ht="21" customHeight="1">
      <c r="A799" s="120">
        <v>44785</v>
      </c>
      <c r="B799" s="146"/>
      <c r="C799" s="15" t="s">
        <v>909</v>
      </c>
      <c r="D799" s="486">
        <v>506000</v>
      </c>
      <c r="E799" s="124"/>
      <c r="F799" s="117">
        <f t="shared" si="78"/>
        <v>0</v>
      </c>
      <c r="G799" s="495">
        <f t="shared" si="77"/>
        <v>3036</v>
      </c>
      <c r="H799" s="118">
        <f t="shared" si="79"/>
        <v>0</v>
      </c>
      <c r="I799" s="119">
        <f t="shared" si="73"/>
        <v>1762213.651029998</v>
      </c>
    </row>
    <row r="800" spans="1:10" ht="21" customHeight="1">
      <c r="A800" s="120">
        <v>44789</v>
      </c>
      <c r="B800" s="146"/>
      <c r="C800" s="15" t="s">
        <v>324</v>
      </c>
      <c r="D800" s="486">
        <v>181570.74</v>
      </c>
      <c r="E800" s="124"/>
      <c r="F800" s="117">
        <f t="shared" si="78"/>
        <v>0</v>
      </c>
      <c r="G800" s="495"/>
      <c r="H800" s="118">
        <f t="shared" si="79"/>
        <v>0</v>
      </c>
      <c r="I800" s="119">
        <f t="shared" si="73"/>
        <v>1943784.391029998</v>
      </c>
    </row>
    <row r="801" spans="1:12" ht="21" customHeight="1">
      <c r="A801" s="120">
        <v>44789</v>
      </c>
      <c r="B801" s="146"/>
      <c r="C801" s="15" t="s">
        <v>325</v>
      </c>
      <c r="D801" s="124"/>
      <c r="E801" s="486">
        <v>140407.4</v>
      </c>
      <c r="F801" s="117">
        <f t="shared" si="78"/>
        <v>0</v>
      </c>
      <c r="G801" s="118">
        <f t="shared" si="77"/>
        <v>0</v>
      </c>
      <c r="H801" s="495">
        <f t="shared" si="79"/>
        <v>842.44439999999997</v>
      </c>
      <c r="I801" s="119">
        <f t="shared" si="73"/>
        <v>1802534.5466299981</v>
      </c>
    </row>
    <row r="802" spans="1:12" ht="21" customHeight="1">
      <c r="A802" s="120">
        <v>44789</v>
      </c>
      <c r="B802" s="146"/>
      <c r="C802" s="15" t="s">
        <v>910</v>
      </c>
      <c r="D802" s="486">
        <f>240000+535000</f>
        <v>775000</v>
      </c>
      <c r="E802" s="124"/>
      <c r="F802" s="117">
        <f t="shared" si="78"/>
        <v>0</v>
      </c>
      <c r="G802" s="495">
        <f t="shared" si="77"/>
        <v>4650</v>
      </c>
      <c r="H802" s="118">
        <f t="shared" si="79"/>
        <v>0</v>
      </c>
      <c r="I802" s="119">
        <f t="shared" si="73"/>
        <v>2572884.5466299979</v>
      </c>
    </row>
    <row r="803" spans="1:12" ht="21" customHeight="1">
      <c r="A803" s="120">
        <v>44790</v>
      </c>
      <c r="C803" s="15" t="s">
        <v>326</v>
      </c>
      <c r="D803" s="124"/>
      <c r="E803" s="486">
        <v>51776</v>
      </c>
      <c r="F803" s="117">
        <f t="shared" si="78"/>
        <v>0</v>
      </c>
      <c r="G803" s="118">
        <f t="shared" si="77"/>
        <v>0</v>
      </c>
      <c r="H803" s="495">
        <f t="shared" si="79"/>
        <v>310.65600000000001</v>
      </c>
      <c r="I803" s="119">
        <f t="shared" si="73"/>
        <v>2520797.8906299979</v>
      </c>
    </row>
    <row r="804" spans="1:12" ht="21" customHeight="1">
      <c r="A804" s="120">
        <v>44785</v>
      </c>
      <c r="B804" s="146">
        <v>216</v>
      </c>
      <c r="C804" s="15" t="s">
        <v>327</v>
      </c>
      <c r="D804" s="124"/>
      <c r="E804" s="486">
        <v>500000</v>
      </c>
      <c r="F804" s="117">
        <f t="shared" si="78"/>
        <v>0</v>
      </c>
      <c r="G804" s="118">
        <f t="shared" si="77"/>
        <v>0</v>
      </c>
      <c r="H804" s="495">
        <f t="shared" si="79"/>
        <v>3000</v>
      </c>
      <c r="I804" s="119">
        <f t="shared" si="73"/>
        <v>2017797.8906299979</v>
      </c>
    </row>
    <row r="805" spans="1:12" ht="21" customHeight="1">
      <c r="A805" s="120">
        <v>44792</v>
      </c>
      <c r="B805" s="146"/>
      <c r="C805" s="15" t="s">
        <v>911</v>
      </c>
      <c r="D805" s="124"/>
      <c r="E805" s="486">
        <v>14167.52</v>
      </c>
      <c r="F805" s="117">
        <f t="shared" si="78"/>
        <v>0</v>
      </c>
      <c r="G805" s="118">
        <f t="shared" si="77"/>
        <v>0</v>
      </c>
      <c r="H805" s="495">
        <f t="shared" si="79"/>
        <v>85.005120000000005</v>
      </c>
      <c r="I805" s="119">
        <f t="shared" si="73"/>
        <v>2003545.3655099978</v>
      </c>
    </row>
    <row r="806" spans="1:12" ht="21" customHeight="1">
      <c r="A806" s="120">
        <v>44792</v>
      </c>
      <c r="B806" s="146"/>
      <c r="C806" s="15" t="s">
        <v>912</v>
      </c>
      <c r="D806" s="124"/>
      <c r="E806" s="486">
        <v>1321.32</v>
      </c>
      <c r="F806" s="117">
        <f t="shared" si="78"/>
        <v>0</v>
      </c>
      <c r="G806" s="118">
        <f t="shared" si="77"/>
        <v>0</v>
      </c>
      <c r="H806" s="495">
        <f t="shared" si="79"/>
        <v>7.9279199999999994</v>
      </c>
      <c r="I806" s="119">
        <f t="shared" si="73"/>
        <v>2002216.1175899978</v>
      </c>
    </row>
    <row r="807" spans="1:12" ht="21" customHeight="1">
      <c r="A807" s="120">
        <v>44792</v>
      </c>
      <c r="B807" s="146"/>
      <c r="C807" s="15" t="s">
        <v>913</v>
      </c>
      <c r="D807" s="124"/>
      <c r="E807" s="486">
        <v>16428.82</v>
      </c>
      <c r="F807" s="117">
        <f t="shared" si="78"/>
        <v>0</v>
      </c>
      <c r="G807" s="118">
        <f t="shared" ref="G807:G843" si="80">D807*0.006</f>
        <v>0</v>
      </c>
      <c r="H807" s="495">
        <f t="shared" si="79"/>
        <v>98.572919999999996</v>
      </c>
      <c r="I807" s="119">
        <f t="shared" si="73"/>
        <v>1985688.7246699978</v>
      </c>
    </row>
    <row r="808" spans="1:12" ht="21" customHeight="1">
      <c r="A808" s="120">
        <v>44790</v>
      </c>
      <c r="B808" s="146">
        <v>218</v>
      </c>
      <c r="C808" s="15" t="s">
        <v>327</v>
      </c>
      <c r="D808" s="124"/>
      <c r="E808" s="486">
        <v>766666.67</v>
      </c>
      <c r="F808" s="117">
        <f t="shared" si="78"/>
        <v>0</v>
      </c>
      <c r="G808" s="118">
        <f t="shared" si="80"/>
        <v>0</v>
      </c>
      <c r="H808" s="495">
        <f t="shared" si="79"/>
        <v>4600.0000200000004</v>
      </c>
      <c r="I808" s="119">
        <f t="shared" si="73"/>
        <v>1214422.0546499977</v>
      </c>
    </row>
    <row r="809" spans="1:12" ht="21" customHeight="1">
      <c r="A809" s="120">
        <v>44797</v>
      </c>
      <c r="B809" s="146"/>
      <c r="C809" s="144" t="s">
        <v>328</v>
      </c>
      <c r="D809" s="486">
        <v>117873.60000000001</v>
      </c>
      <c r="E809" s="124"/>
      <c r="F809" s="117">
        <f t="shared" si="78"/>
        <v>0</v>
      </c>
      <c r="G809" s="118"/>
      <c r="H809" s="118">
        <f t="shared" si="79"/>
        <v>0</v>
      </c>
      <c r="I809" s="119">
        <f t="shared" si="73"/>
        <v>1332295.6546499978</v>
      </c>
      <c r="L809" s="119"/>
    </row>
    <row r="810" spans="1:12" ht="21" customHeight="1">
      <c r="A810" s="120">
        <v>44798</v>
      </c>
      <c r="B810" s="146"/>
      <c r="C810" s="144" t="s">
        <v>329</v>
      </c>
      <c r="D810" s="486">
        <v>245570</v>
      </c>
      <c r="E810" s="124"/>
      <c r="F810" s="117">
        <f t="shared" si="78"/>
        <v>0</v>
      </c>
      <c r="G810" s="118"/>
      <c r="H810" s="118">
        <f t="shared" si="79"/>
        <v>0</v>
      </c>
      <c r="I810" s="119">
        <f t="shared" si="73"/>
        <v>1577865.6546499978</v>
      </c>
      <c r="L810" s="119"/>
    </row>
    <row r="811" spans="1:12" ht="21" customHeight="1">
      <c r="A811" s="120">
        <v>44803</v>
      </c>
      <c r="B811" s="146"/>
      <c r="C811" s="15" t="s">
        <v>452</v>
      </c>
      <c r="D811" s="121"/>
      <c r="E811" s="486">
        <v>3300</v>
      </c>
      <c r="F811" s="117">
        <f t="shared" si="78"/>
        <v>0</v>
      </c>
      <c r="G811" s="118">
        <f t="shared" si="80"/>
        <v>0</v>
      </c>
      <c r="H811" s="495">
        <f t="shared" si="79"/>
        <v>19.8</v>
      </c>
      <c r="I811" s="119">
        <f t="shared" si="73"/>
        <v>1574545.8546499978</v>
      </c>
      <c r="L811" s="119"/>
    </row>
    <row r="812" spans="1:12" ht="21" customHeight="1">
      <c r="A812" s="120">
        <v>44803</v>
      </c>
      <c r="B812" s="146"/>
      <c r="C812" s="15" t="s">
        <v>107</v>
      </c>
      <c r="D812" s="121"/>
      <c r="E812" s="486">
        <v>49.5</v>
      </c>
      <c r="F812" s="117">
        <f t="shared" si="78"/>
        <v>0</v>
      </c>
      <c r="G812" s="118"/>
      <c r="H812" s="495">
        <f t="shared" si="79"/>
        <v>0.29699999999999999</v>
      </c>
      <c r="I812" s="119">
        <f t="shared" si="73"/>
        <v>1574496.0576499978</v>
      </c>
      <c r="L812" s="119"/>
    </row>
    <row r="813" spans="1:12" ht="21" customHeight="1">
      <c r="A813" s="120">
        <v>44803</v>
      </c>
      <c r="B813" s="146"/>
      <c r="C813" s="15" t="s">
        <v>110</v>
      </c>
      <c r="D813" s="121"/>
      <c r="E813" s="486">
        <v>693</v>
      </c>
      <c r="F813" s="117">
        <f t="shared" si="78"/>
        <v>0</v>
      </c>
      <c r="G813" s="118">
        <f t="shared" ref="G813" si="81">D813*0.006</f>
        <v>0</v>
      </c>
      <c r="H813" s="495">
        <f t="shared" si="79"/>
        <v>4.1580000000000004</v>
      </c>
      <c r="I813" s="119">
        <f t="shared" si="73"/>
        <v>1573798.8996499977</v>
      </c>
      <c r="L813" s="119"/>
    </row>
    <row r="814" spans="1:12" ht="21" customHeight="1">
      <c r="A814" s="120">
        <v>44803</v>
      </c>
      <c r="B814" s="146"/>
      <c r="C814" s="15" t="s">
        <v>453</v>
      </c>
      <c r="D814" s="121"/>
      <c r="E814" s="486">
        <v>99</v>
      </c>
      <c r="F814" s="117">
        <f t="shared" si="78"/>
        <v>0</v>
      </c>
      <c r="G814" s="118"/>
      <c r="H814" s="495">
        <f t="shared" si="79"/>
        <v>0.59399999999999997</v>
      </c>
      <c r="I814" s="119">
        <f t="shared" si="73"/>
        <v>1573699.3056499977</v>
      </c>
    </row>
    <row r="815" spans="1:12" ht="21" customHeight="1">
      <c r="A815" s="120">
        <v>44803</v>
      </c>
      <c r="B815" s="146"/>
      <c r="C815" s="15" t="s">
        <v>330</v>
      </c>
      <c r="D815" s="124"/>
      <c r="E815" s="486">
        <v>19280</v>
      </c>
      <c r="F815" s="117">
        <f t="shared" si="78"/>
        <v>0</v>
      </c>
      <c r="G815" s="118">
        <f t="shared" ref="G815" si="82">D815*0.006</f>
        <v>0</v>
      </c>
      <c r="H815" s="495">
        <f t="shared" si="79"/>
        <v>115.68</v>
      </c>
      <c r="I815" s="119">
        <f t="shared" si="73"/>
        <v>1554303.6256499977</v>
      </c>
    </row>
    <row r="816" spans="1:12" ht="21" customHeight="1">
      <c r="A816" s="120"/>
      <c r="B816" s="146"/>
      <c r="C816" s="15" t="s">
        <v>331</v>
      </c>
      <c r="D816" s="124"/>
      <c r="E816" s="486">
        <v>500000</v>
      </c>
      <c r="F816" s="117">
        <f t="shared" si="78"/>
        <v>0</v>
      </c>
      <c r="G816" s="118"/>
      <c r="H816" s="495">
        <f t="shared" si="79"/>
        <v>3000</v>
      </c>
      <c r="I816" s="119">
        <f t="shared" si="73"/>
        <v>1051303.6256499977</v>
      </c>
    </row>
    <row r="817" spans="1:10" ht="21" customHeight="1">
      <c r="A817" s="120">
        <v>44805</v>
      </c>
      <c r="B817" s="146"/>
      <c r="C817" s="15" t="s">
        <v>914</v>
      </c>
      <c r="D817" s="124"/>
      <c r="E817" s="486">
        <v>10000</v>
      </c>
      <c r="F817" s="117">
        <f>D817*0%</f>
        <v>0</v>
      </c>
      <c r="G817" s="118">
        <f>D817*0.006</f>
        <v>0</v>
      </c>
      <c r="H817" s="495">
        <f>E817*0.006+F817*0.006</f>
        <v>60</v>
      </c>
      <c r="I817" s="119">
        <f t="shared" si="73"/>
        <v>1041243.6256499977</v>
      </c>
    </row>
    <row r="818" spans="1:10" ht="21" customHeight="1">
      <c r="A818" s="120">
        <v>44805</v>
      </c>
      <c r="B818" s="146"/>
      <c r="C818" s="15" t="s">
        <v>449</v>
      </c>
      <c r="D818" s="124"/>
      <c r="E818" s="486">
        <v>150</v>
      </c>
      <c r="F818" s="117">
        <f t="shared" ref="F818:F820" si="83">D818*0%</f>
        <v>0</v>
      </c>
      <c r="G818" s="118"/>
      <c r="H818" s="495">
        <f t="shared" ref="H818:H820" si="84">E818*0.006+F818*0.006</f>
        <v>0.9</v>
      </c>
      <c r="I818" s="119">
        <f t="shared" ref="I818:I881" si="85">I817+D818-E818-F818-G818-H818</f>
        <v>1041092.7256499977</v>
      </c>
    </row>
    <row r="819" spans="1:10" ht="21" customHeight="1">
      <c r="A819" s="120">
        <v>44805</v>
      </c>
      <c r="B819" s="146"/>
      <c r="C819" s="15" t="s">
        <v>110</v>
      </c>
      <c r="D819" s="124"/>
      <c r="E819" s="486">
        <v>2100</v>
      </c>
      <c r="F819" s="117">
        <f t="shared" si="83"/>
        <v>0</v>
      </c>
      <c r="G819" s="118">
        <f>D819*0.006</f>
        <v>0</v>
      </c>
      <c r="H819" s="495">
        <f t="shared" si="84"/>
        <v>12.6</v>
      </c>
      <c r="I819" s="119">
        <f t="shared" si="85"/>
        <v>1038980.1256499977</v>
      </c>
    </row>
    <row r="820" spans="1:10" ht="21" customHeight="1">
      <c r="A820" s="120">
        <v>44805</v>
      </c>
      <c r="B820" s="146"/>
      <c r="C820" s="15" t="s">
        <v>453</v>
      </c>
      <c r="D820" s="124"/>
      <c r="E820" s="486">
        <v>300</v>
      </c>
      <c r="F820" s="117">
        <f t="shared" si="83"/>
        <v>0</v>
      </c>
      <c r="G820" s="118">
        <f>D820*0.006</f>
        <v>0</v>
      </c>
      <c r="H820" s="495">
        <f t="shared" si="84"/>
        <v>1.8</v>
      </c>
      <c r="I820" s="119">
        <f t="shared" si="85"/>
        <v>1038678.3256499977</v>
      </c>
    </row>
    <row r="821" spans="1:10" ht="21" customHeight="1">
      <c r="A821" s="120"/>
      <c r="B821" s="146"/>
      <c r="C821" s="15"/>
      <c r="D821" s="124"/>
      <c r="E821" s="124"/>
      <c r="F821" s="117">
        <f t="shared" si="78"/>
        <v>0</v>
      </c>
      <c r="G821" s="118"/>
      <c r="H821" s="118">
        <f t="shared" si="79"/>
        <v>0</v>
      </c>
      <c r="I821" s="119">
        <f t="shared" si="85"/>
        <v>1038678.3256499977</v>
      </c>
      <c r="J821" s="501">
        <v>1038678.32</v>
      </c>
    </row>
    <row r="822" spans="1:10" ht="21" customHeight="1">
      <c r="A822" s="549" t="s">
        <v>447</v>
      </c>
      <c r="B822" s="550"/>
      <c r="C822" s="551"/>
      <c r="D822" s="552"/>
      <c r="E822" s="552"/>
      <c r="F822" s="553">
        <f t="shared" si="78"/>
        <v>0</v>
      </c>
      <c r="G822" s="553">
        <f t="shared" si="80"/>
        <v>0</v>
      </c>
      <c r="H822" s="553">
        <f t="shared" si="79"/>
        <v>0</v>
      </c>
      <c r="I822" s="119">
        <f t="shared" si="85"/>
        <v>1038678.3256499977</v>
      </c>
    </row>
    <row r="823" spans="1:10" ht="21" customHeight="1">
      <c r="A823" s="120">
        <v>44809</v>
      </c>
      <c r="B823" s="146"/>
      <c r="C823" s="15" t="s">
        <v>335</v>
      </c>
      <c r="D823" s="124"/>
      <c r="E823" s="486">
        <v>16138.82</v>
      </c>
      <c r="F823" s="117">
        <f t="shared" si="78"/>
        <v>0</v>
      </c>
      <c r="G823" s="118">
        <f t="shared" si="80"/>
        <v>0</v>
      </c>
      <c r="H823" s="495">
        <f t="shared" si="79"/>
        <v>96.832920000000001</v>
      </c>
      <c r="I823" s="119">
        <f t="shared" si="85"/>
        <v>1022442.6727299978</v>
      </c>
    </row>
    <row r="824" spans="1:10" ht="21" customHeight="1">
      <c r="A824" s="120">
        <v>44810</v>
      </c>
      <c r="B824" s="146"/>
      <c r="C824" s="15" t="s">
        <v>336</v>
      </c>
      <c r="D824" s="486">
        <v>27083.86</v>
      </c>
      <c r="E824" s="124"/>
      <c r="F824" s="117">
        <f t="shared" si="78"/>
        <v>0</v>
      </c>
      <c r="G824" s="495">
        <f t="shared" si="80"/>
        <v>162.50316000000001</v>
      </c>
      <c r="H824" s="118">
        <f t="shared" si="79"/>
        <v>0</v>
      </c>
      <c r="I824" s="119">
        <f t="shared" si="85"/>
        <v>1049364.0295699977</v>
      </c>
    </row>
    <row r="825" spans="1:10" ht="21" customHeight="1">
      <c r="A825" s="120">
        <v>44810</v>
      </c>
      <c r="B825" s="146"/>
      <c r="C825" s="15" t="s">
        <v>336</v>
      </c>
      <c r="D825" s="486">
        <v>102500</v>
      </c>
      <c r="E825" s="124"/>
      <c r="F825" s="117">
        <f t="shared" si="78"/>
        <v>0</v>
      </c>
      <c r="G825" s="495">
        <f t="shared" si="80"/>
        <v>615</v>
      </c>
      <c r="H825" s="118">
        <f t="shared" si="79"/>
        <v>0</v>
      </c>
      <c r="I825" s="119">
        <f t="shared" si="85"/>
        <v>1151249.0295699977</v>
      </c>
    </row>
    <row r="826" spans="1:10" ht="21" customHeight="1">
      <c r="A826" s="120">
        <v>44810</v>
      </c>
      <c r="B826" s="146"/>
      <c r="C826" s="15" t="s">
        <v>448</v>
      </c>
      <c r="D826" s="124"/>
      <c r="E826" s="486">
        <v>1624.59</v>
      </c>
      <c r="F826" s="117">
        <f t="shared" si="78"/>
        <v>0</v>
      </c>
      <c r="G826" s="118">
        <f t="shared" si="80"/>
        <v>0</v>
      </c>
      <c r="H826" s="495">
        <f t="shared" si="79"/>
        <v>9.747539999999999</v>
      </c>
      <c r="I826" s="119">
        <f t="shared" si="85"/>
        <v>1149614.6920299977</v>
      </c>
    </row>
    <row r="827" spans="1:10" ht="21" customHeight="1">
      <c r="A827" s="120">
        <v>44810</v>
      </c>
      <c r="B827" s="146"/>
      <c r="C827" s="15" t="s">
        <v>449</v>
      </c>
      <c r="D827" s="124"/>
      <c r="E827" s="486">
        <v>24.37</v>
      </c>
      <c r="F827" s="117">
        <f t="shared" si="78"/>
        <v>0</v>
      </c>
      <c r="G827" s="118">
        <f t="shared" si="80"/>
        <v>0</v>
      </c>
      <c r="H827" s="495">
        <f t="shared" si="79"/>
        <v>0.14622000000000002</v>
      </c>
      <c r="I827" s="119">
        <f t="shared" si="85"/>
        <v>1149590.1758099976</v>
      </c>
    </row>
    <row r="828" spans="1:10" ht="21" customHeight="1">
      <c r="A828" s="120">
        <v>44810</v>
      </c>
      <c r="B828" s="146"/>
      <c r="C828" s="15" t="s">
        <v>110</v>
      </c>
      <c r="D828" s="124"/>
      <c r="E828" s="486">
        <v>341.16</v>
      </c>
      <c r="F828" s="117">
        <f t="shared" si="78"/>
        <v>0</v>
      </c>
      <c r="G828" s="118">
        <f t="shared" si="80"/>
        <v>0</v>
      </c>
      <c r="H828" s="495">
        <f t="shared" si="79"/>
        <v>2.0469600000000003</v>
      </c>
      <c r="I828" s="119">
        <f t="shared" si="85"/>
        <v>1149246.9688499977</v>
      </c>
    </row>
    <row r="829" spans="1:10" ht="21" customHeight="1">
      <c r="A829" s="120">
        <v>44810</v>
      </c>
      <c r="B829" s="146" t="s">
        <v>337</v>
      </c>
      <c r="C829" s="144" t="s">
        <v>338</v>
      </c>
      <c r="D829" s="124"/>
      <c r="E829" s="486">
        <v>117873.60000000001</v>
      </c>
      <c r="F829" s="117">
        <f t="shared" si="78"/>
        <v>0</v>
      </c>
      <c r="G829" s="118">
        <f t="shared" si="80"/>
        <v>0</v>
      </c>
      <c r="H829" s="495">
        <f t="shared" si="79"/>
        <v>707.24160000000006</v>
      </c>
      <c r="I829" s="119">
        <f t="shared" si="85"/>
        <v>1030666.1272499978</v>
      </c>
    </row>
    <row r="830" spans="1:10" ht="21" customHeight="1">
      <c r="A830" s="120">
        <v>44803</v>
      </c>
      <c r="B830" s="146">
        <v>267</v>
      </c>
      <c r="C830" s="15" t="s">
        <v>339</v>
      </c>
      <c r="D830" s="124"/>
      <c r="E830" s="486">
        <v>150000</v>
      </c>
      <c r="F830" s="117">
        <f t="shared" si="78"/>
        <v>0</v>
      </c>
      <c r="G830" s="118">
        <f t="shared" si="80"/>
        <v>0</v>
      </c>
      <c r="H830" s="495">
        <f t="shared" si="79"/>
        <v>900</v>
      </c>
      <c r="I830" s="119">
        <f t="shared" si="85"/>
        <v>879766.12724999781</v>
      </c>
    </row>
    <row r="831" spans="1:10" ht="21" customHeight="1">
      <c r="A831" s="120">
        <v>44811</v>
      </c>
      <c r="B831" s="146"/>
      <c r="C831" s="15" t="s">
        <v>340</v>
      </c>
      <c r="D831" s="124"/>
      <c r="E831" s="486">
        <v>680.7</v>
      </c>
      <c r="F831" s="117">
        <f t="shared" si="78"/>
        <v>0</v>
      </c>
      <c r="G831" s="118">
        <f t="shared" si="80"/>
        <v>0</v>
      </c>
      <c r="H831" s="495">
        <f t="shared" si="79"/>
        <v>4.0842000000000001</v>
      </c>
      <c r="I831" s="119">
        <f t="shared" si="85"/>
        <v>879081.34304999781</v>
      </c>
    </row>
    <row r="832" spans="1:10" ht="21" customHeight="1">
      <c r="A832" s="120">
        <v>44811</v>
      </c>
      <c r="B832" s="146"/>
      <c r="C832" s="15" t="s">
        <v>341</v>
      </c>
      <c r="D832" s="124"/>
      <c r="E832" s="486">
        <v>236775</v>
      </c>
      <c r="F832" s="117">
        <f t="shared" si="78"/>
        <v>0</v>
      </c>
      <c r="G832" s="118">
        <f t="shared" si="80"/>
        <v>0</v>
      </c>
      <c r="H832" s="495">
        <f t="shared" si="79"/>
        <v>1420.65</v>
      </c>
      <c r="I832" s="119">
        <f t="shared" si="85"/>
        <v>640885.69304999779</v>
      </c>
    </row>
    <row r="833" spans="1:9" ht="21" customHeight="1">
      <c r="A833" s="120">
        <v>44812</v>
      </c>
      <c r="B833" s="146"/>
      <c r="C833" s="15" t="s">
        <v>342</v>
      </c>
      <c r="D833" s="486">
        <v>138000</v>
      </c>
      <c r="E833" s="124"/>
      <c r="F833" s="117">
        <f t="shared" si="78"/>
        <v>0</v>
      </c>
      <c r="G833" s="495">
        <f t="shared" si="80"/>
        <v>828</v>
      </c>
      <c r="H833" s="118">
        <f t="shared" si="79"/>
        <v>0</v>
      </c>
      <c r="I833" s="119">
        <f t="shared" si="85"/>
        <v>778057.69304999779</v>
      </c>
    </row>
    <row r="834" spans="1:9" ht="21" customHeight="1">
      <c r="A834" s="120">
        <v>44813</v>
      </c>
      <c r="B834" s="146"/>
      <c r="C834" s="15" t="s">
        <v>342</v>
      </c>
      <c r="D834" s="486">
        <v>190670</v>
      </c>
      <c r="E834" s="124"/>
      <c r="F834" s="117">
        <f t="shared" si="78"/>
        <v>0</v>
      </c>
      <c r="G834" s="495">
        <f t="shared" si="80"/>
        <v>1144.02</v>
      </c>
      <c r="H834" s="118">
        <f t="shared" si="79"/>
        <v>0</v>
      </c>
      <c r="I834" s="119">
        <f t="shared" si="85"/>
        <v>967583.67304999777</v>
      </c>
    </row>
    <row r="835" spans="1:9" ht="21" customHeight="1">
      <c r="A835" s="120">
        <v>44818</v>
      </c>
      <c r="B835" s="122" t="s">
        <v>343</v>
      </c>
      <c r="C835" s="168" t="s">
        <v>450</v>
      </c>
      <c r="D835" s="191"/>
      <c r="E835" s="486">
        <v>122738</v>
      </c>
      <c r="F835" s="117">
        <f t="shared" si="78"/>
        <v>0</v>
      </c>
      <c r="G835" s="118">
        <f t="shared" si="80"/>
        <v>0</v>
      </c>
      <c r="H835" s="554">
        <f t="shared" si="79"/>
        <v>736.428</v>
      </c>
      <c r="I835" s="119">
        <f t="shared" si="85"/>
        <v>844109.24504999781</v>
      </c>
    </row>
    <row r="836" spans="1:9" ht="21" customHeight="1">
      <c r="A836" s="120">
        <v>44817</v>
      </c>
      <c r="B836" s="146"/>
      <c r="C836" s="15" t="s">
        <v>345</v>
      </c>
      <c r="D836" s="486">
        <v>720000</v>
      </c>
      <c r="E836" s="124"/>
      <c r="F836" s="117">
        <f t="shared" si="78"/>
        <v>0</v>
      </c>
      <c r="G836" s="496">
        <f t="shared" si="80"/>
        <v>4320</v>
      </c>
      <c r="H836" s="118">
        <f t="shared" si="79"/>
        <v>0</v>
      </c>
      <c r="I836" s="119">
        <f t="shared" si="85"/>
        <v>1559789.2450499977</v>
      </c>
    </row>
    <row r="837" spans="1:9" ht="21" customHeight="1">
      <c r="A837" s="120">
        <v>44818</v>
      </c>
      <c r="B837" s="146">
        <v>225</v>
      </c>
      <c r="C837" s="131" t="s">
        <v>346</v>
      </c>
      <c r="D837" s="124"/>
      <c r="E837" s="486">
        <v>500000</v>
      </c>
      <c r="F837" s="117">
        <f t="shared" si="78"/>
        <v>0</v>
      </c>
      <c r="G837" s="118">
        <f t="shared" si="80"/>
        <v>0</v>
      </c>
      <c r="H837" s="554">
        <f t="shared" si="79"/>
        <v>3000</v>
      </c>
      <c r="I837" s="119">
        <f t="shared" si="85"/>
        <v>1056789.2450499977</v>
      </c>
    </row>
    <row r="838" spans="1:9" ht="21" customHeight="1">
      <c r="A838" s="120">
        <v>44818</v>
      </c>
      <c r="B838" s="146">
        <v>217</v>
      </c>
      <c r="C838" s="15" t="s">
        <v>327</v>
      </c>
      <c r="D838" s="124"/>
      <c r="E838" s="486">
        <v>500000</v>
      </c>
      <c r="F838" s="117">
        <f t="shared" si="78"/>
        <v>0</v>
      </c>
      <c r="G838" s="118">
        <f t="shared" si="80"/>
        <v>0</v>
      </c>
      <c r="H838" s="554">
        <f t="shared" si="79"/>
        <v>3000</v>
      </c>
      <c r="I838" s="119">
        <f t="shared" si="85"/>
        <v>553789.2450499977</v>
      </c>
    </row>
    <row r="839" spans="1:9" ht="21" customHeight="1">
      <c r="A839" s="120">
        <v>44818</v>
      </c>
      <c r="B839" s="146"/>
      <c r="C839" s="15" t="s">
        <v>345</v>
      </c>
      <c r="D839" s="486">
        <f>500000*2</f>
        <v>1000000</v>
      </c>
      <c r="E839" s="124"/>
      <c r="F839" s="117">
        <f t="shared" si="78"/>
        <v>0</v>
      </c>
      <c r="G839" s="554">
        <f t="shared" si="80"/>
        <v>6000</v>
      </c>
      <c r="H839" s="118">
        <f t="shared" si="79"/>
        <v>0</v>
      </c>
      <c r="I839" s="119">
        <f t="shared" si="85"/>
        <v>1547789.2450499977</v>
      </c>
    </row>
    <row r="840" spans="1:9" ht="21" customHeight="1">
      <c r="A840" s="120">
        <v>44819</v>
      </c>
      <c r="B840" s="146">
        <v>219</v>
      </c>
      <c r="C840" s="15" t="s">
        <v>327</v>
      </c>
      <c r="D840" s="124"/>
      <c r="E840" s="486">
        <v>500000</v>
      </c>
      <c r="F840" s="117">
        <f>D840*0%</f>
        <v>0</v>
      </c>
      <c r="G840" s="118">
        <f t="shared" si="80"/>
        <v>0</v>
      </c>
      <c r="H840" s="495">
        <f t="shared" si="79"/>
        <v>3000</v>
      </c>
      <c r="I840" s="119">
        <f t="shared" si="85"/>
        <v>1044789.2450499977</v>
      </c>
    </row>
    <row r="841" spans="1:9" ht="21" customHeight="1">
      <c r="A841" s="120">
        <v>44819</v>
      </c>
      <c r="B841" s="146"/>
      <c r="C841" s="15" t="s">
        <v>345</v>
      </c>
      <c r="D841" s="486">
        <v>400000</v>
      </c>
      <c r="E841" s="124"/>
      <c r="F841" s="117">
        <f>D841*0%</f>
        <v>0</v>
      </c>
      <c r="G841" s="495">
        <f t="shared" si="80"/>
        <v>2400</v>
      </c>
      <c r="H841" s="118">
        <f t="shared" si="79"/>
        <v>0</v>
      </c>
      <c r="I841" s="119">
        <f t="shared" si="85"/>
        <v>1442389.2450499977</v>
      </c>
    </row>
    <row r="842" spans="1:9" ht="21" customHeight="1">
      <c r="A842" s="120">
        <v>44820</v>
      </c>
      <c r="B842" s="146"/>
      <c r="C842" s="15" t="s">
        <v>345</v>
      </c>
      <c r="D842" s="486">
        <v>100000</v>
      </c>
      <c r="E842" s="124"/>
      <c r="F842" s="117">
        <f>D842*0%</f>
        <v>0</v>
      </c>
      <c r="G842" s="495">
        <f t="shared" si="80"/>
        <v>600</v>
      </c>
      <c r="H842" s="118">
        <f t="shared" si="79"/>
        <v>0</v>
      </c>
      <c r="I842" s="119">
        <f t="shared" si="85"/>
        <v>1541789.2450499977</v>
      </c>
    </row>
    <row r="843" spans="1:9" ht="21" customHeight="1">
      <c r="A843" s="120">
        <v>44820</v>
      </c>
      <c r="B843" s="146">
        <v>428</v>
      </c>
      <c r="C843" s="131" t="s">
        <v>346</v>
      </c>
      <c r="D843" s="124"/>
      <c r="E843" s="486">
        <v>419918.37</v>
      </c>
      <c r="F843" s="117">
        <f>D843*0%</f>
        <v>0</v>
      </c>
      <c r="G843" s="118">
        <f t="shared" si="80"/>
        <v>0</v>
      </c>
      <c r="H843" s="495">
        <f t="shared" si="79"/>
        <v>2519.5102200000001</v>
      </c>
      <c r="I843" s="119">
        <f t="shared" si="85"/>
        <v>1119351.3648299975</v>
      </c>
    </row>
    <row r="844" spans="1:9" ht="21" customHeight="1">
      <c r="A844" s="120">
        <v>44823</v>
      </c>
      <c r="B844" s="146"/>
      <c r="C844" s="131" t="s">
        <v>324</v>
      </c>
      <c r="D844" s="486">
        <v>193942.15</v>
      </c>
      <c r="E844" s="124"/>
      <c r="F844" s="117">
        <f>D844*0%</f>
        <v>0</v>
      </c>
      <c r="G844" s="118"/>
      <c r="H844" s="118">
        <f t="shared" si="79"/>
        <v>0</v>
      </c>
      <c r="I844" s="119">
        <f t="shared" si="85"/>
        <v>1313293.5148299974</v>
      </c>
    </row>
    <row r="845" spans="1:9" ht="21" customHeight="1">
      <c r="A845" s="120">
        <v>44824</v>
      </c>
      <c r="B845" s="146"/>
      <c r="C845" s="131" t="s">
        <v>347</v>
      </c>
      <c r="D845" s="124"/>
      <c r="E845" s="486">
        <v>341664.3</v>
      </c>
      <c r="F845" s="117">
        <f t="shared" ref="F845:F908" si="86">D845*0%</f>
        <v>0</v>
      </c>
      <c r="G845" s="118">
        <f t="shared" ref="G845:G866" si="87">D845*0.006</f>
        <v>0</v>
      </c>
      <c r="H845" s="118">
        <f t="shared" si="79"/>
        <v>2049.9857999999999</v>
      </c>
      <c r="I845" s="119">
        <f t="shared" si="85"/>
        <v>969579.22902999737</v>
      </c>
    </row>
    <row r="846" spans="1:9" ht="21" customHeight="1">
      <c r="A846" s="120">
        <v>44825</v>
      </c>
      <c r="B846" s="146"/>
      <c r="C846" s="131" t="s">
        <v>348</v>
      </c>
      <c r="D846" s="124"/>
      <c r="E846" s="486">
        <v>51776</v>
      </c>
      <c r="F846" s="117">
        <f t="shared" si="86"/>
        <v>0</v>
      </c>
      <c r="G846" s="118">
        <f t="shared" si="87"/>
        <v>0</v>
      </c>
      <c r="H846" s="495">
        <f t="shared" si="79"/>
        <v>310.65600000000001</v>
      </c>
      <c r="I846" s="119">
        <f t="shared" si="85"/>
        <v>917492.57302999741</v>
      </c>
    </row>
    <row r="847" spans="1:9" ht="21" customHeight="1">
      <c r="A847" s="120">
        <v>44821</v>
      </c>
      <c r="B847" s="146" t="s">
        <v>451</v>
      </c>
      <c r="C847" s="131" t="s">
        <v>349</v>
      </c>
      <c r="D847" s="124"/>
      <c r="E847" s="486">
        <v>16006.02</v>
      </c>
      <c r="F847" s="117">
        <f t="shared" si="86"/>
        <v>0</v>
      </c>
      <c r="G847" s="118">
        <f t="shared" si="87"/>
        <v>0</v>
      </c>
      <c r="H847" s="495">
        <f t="shared" si="79"/>
        <v>96.036120000000011</v>
      </c>
      <c r="I847" s="119">
        <f t="shared" si="85"/>
        <v>901390.51690999744</v>
      </c>
    </row>
    <row r="848" spans="1:9" ht="21" customHeight="1">
      <c r="A848" s="120">
        <v>44824</v>
      </c>
      <c r="B848" s="146">
        <v>220</v>
      </c>
      <c r="C848" s="15" t="s">
        <v>327</v>
      </c>
      <c r="D848" s="124"/>
      <c r="E848" s="486">
        <v>500000</v>
      </c>
      <c r="F848" s="117">
        <f t="shared" si="86"/>
        <v>0</v>
      </c>
      <c r="G848" s="118">
        <f t="shared" si="87"/>
        <v>0</v>
      </c>
      <c r="H848" s="495">
        <f t="shared" si="79"/>
        <v>3000</v>
      </c>
      <c r="I848" s="119">
        <f t="shared" si="85"/>
        <v>398390.51690999744</v>
      </c>
    </row>
    <row r="849" spans="1:10" ht="21" customHeight="1">
      <c r="A849" s="120">
        <v>44825</v>
      </c>
      <c r="B849" s="146"/>
      <c r="C849" s="15" t="s">
        <v>345</v>
      </c>
      <c r="D849" s="486">
        <f>750000+750000</f>
        <v>1500000</v>
      </c>
      <c r="E849" s="124"/>
      <c r="F849" s="117">
        <f t="shared" si="86"/>
        <v>0</v>
      </c>
      <c r="G849" s="495">
        <f t="shared" si="87"/>
        <v>9000</v>
      </c>
      <c r="H849" s="118">
        <f t="shared" si="79"/>
        <v>0</v>
      </c>
      <c r="I849" s="119">
        <f t="shared" si="85"/>
        <v>1889390.5169099974</v>
      </c>
    </row>
    <row r="850" spans="1:10" ht="21" customHeight="1">
      <c r="A850" s="120">
        <v>44819</v>
      </c>
      <c r="B850" s="146">
        <v>427</v>
      </c>
      <c r="C850" s="131" t="s">
        <v>346</v>
      </c>
      <c r="D850" s="124"/>
      <c r="E850" s="486">
        <v>500000</v>
      </c>
      <c r="F850" s="117">
        <f t="shared" si="86"/>
        <v>0</v>
      </c>
      <c r="G850" s="118">
        <f t="shared" si="87"/>
        <v>0</v>
      </c>
      <c r="H850" s="495">
        <f t="shared" si="79"/>
        <v>3000</v>
      </c>
      <c r="I850" s="119">
        <f t="shared" si="85"/>
        <v>1386390.5169099974</v>
      </c>
    </row>
    <row r="851" spans="1:10" ht="21" customHeight="1">
      <c r="A851" s="120">
        <v>44826</v>
      </c>
      <c r="B851" s="146"/>
      <c r="C851" s="15" t="s">
        <v>345</v>
      </c>
      <c r="D851" s="486">
        <v>380000</v>
      </c>
      <c r="E851" s="124"/>
      <c r="F851" s="117">
        <f t="shared" si="86"/>
        <v>0</v>
      </c>
      <c r="G851" s="495">
        <f t="shared" si="87"/>
        <v>2280</v>
      </c>
      <c r="H851" s="118">
        <f t="shared" si="79"/>
        <v>0</v>
      </c>
      <c r="I851" s="119">
        <f t="shared" si="85"/>
        <v>1764110.5169099974</v>
      </c>
    </row>
    <row r="852" spans="1:10" ht="21" customHeight="1">
      <c r="A852" s="120">
        <v>44826</v>
      </c>
      <c r="B852" s="146">
        <v>221</v>
      </c>
      <c r="C852" s="15" t="s">
        <v>327</v>
      </c>
      <c r="D852" s="124"/>
      <c r="E852" s="486">
        <v>766666.67</v>
      </c>
      <c r="F852" s="117">
        <f t="shared" si="86"/>
        <v>0</v>
      </c>
      <c r="G852" s="118">
        <f t="shared" si="87"/>
        <v>0</v>
      </c>
      <c r="H852" s="495">
        <f t="shared" si="79"/>
        <v>4600.0000200000004</v>
      </c>
      <c r="I852" s="119">
        <f t="shared" si="85"/>
        <v>992843.84688999737</v>
      </c>
    </row>
    <row r="853" spans="1:10" ht="21" customHeight="1">
      <c r="A853" s="120">
        <v>44827</v>
      </c>
      <c r="B853" s="146"/>
      <c r="C853" s="15" t="s">
        <v>345</v>
      </c>
      <c r="D853" s="486">
        <v>370000</v>
      </c>
      <c r="E853" s="124"/>
      <c r="F853" s="117">
        <f t="shared" si="86"/>
        <v>0</v>
      </c>
      <c r="G853" s="495">
        <f t="shared" si="87"/>
        <v>2220</v>
      </c>
      <c r="H853" s="118">
        <f t="shared" si="79"/>
        <v>0</v>
      </c>
      <c r="I853" s="119">
        <f t="shared" si="85"/>
        <v>1360623.8468899974</v>
      </c>
    </row>
    <row r="854" spans="1:10" ht="21" customHeight="1">
      <c r="A854" s="120">
        <v>44826</v>
      </c>
      <c r="B854" s="146">
        <v>437</v>
      </c>
      <c r="C854" s="131" t="s">
        <v>350</v>
      </c>
      <c r="D854" s="124"/>
      <c r="E854" s="486">
        <v>375000</v>
      </c>
      <c r="F854" s="117">
        <f t="shared" si="86"/>
        <v>0</v>
      </c>
      <c r="G854" s="118">
        <f t="shared" si="87"/>
        <v>0</v>
      </c>
      <c r="H854" s="495">
        <f t="shared" si="79"/>
        <v>2250</v>
      </c>
      <c r="I854" s="119">
        <f t="shared" si="85"/>
        <v>983373.84688999737</v>
      </c>
    </row>
    <row r="855" spans="1:10" ht="21" customHeight="1">
      <c r="A855" s="120">
        <v>44831</v>
      </c>
      <c r="B855" s="146" t="s">
        <v>337</v>
      </c>
      <c r="C855" s="15" t="s">
        <v>351</v>
      </c>
      <c r="D855" s="124"/>
      <c r="E855" s="486">
        <v>54247.24</v>
      </c>
      <c r="F855" s="117">
        <f t="shared" si="86"/>
        <v>0</v>
      </c>
      <c r="G855" s="118">
        <f t="shared" si="87"/>
        <v>0</v>
      </c>
      <c r="H855" s="495">
        <f t="shared" si="79"/>
        <v>325.48343999999997</v>
      </c>
      <c r="I855" s="119">
        <f t="shared" si="85"/>
        <v>928801.12344999739</v>
      </c>
    </row>
    <row r="856" spans="1:10" ht="21" customHeight="1">
      <c r="A856" s="120">
        <v>44831</v>
      </c>
      <c r="B856" s="146">
        <v>438</v>
      </c>
      <c r="C856" s="131" t="s">
        <v>350</v>
      </c>
      <c r="D856" s="124"/>
      <c r="E856" s="486">
        <v>375000</v>
      </c>
      <c r="F856" s="117">
        <f t="shared" si="86"/>
        <v>0</v>
      </c>
      <c r="G856" s="118">
        <f t="shared" si="87"/>
        <v>0</v>
      </c>
      <c r="H856" s="495">
        <f t="shared" si="79"/>
        <v>2250</v>
      </c>
      <c r="I856" s="119">
        <f t="shared" si="85"/>
        <v>551551.12344999739</v>
      </c>
    </row>
    <row r="857" spans="1:10" ht="21" customHeight="1">
      <c r="A857" s="120">
        <v>44833</v>
      </c>
      <c r="B857" s="146"/>
      <c r="C857" s="15" t="s">
        <v>452</v>
      </c>
      <c r="D857" s="121"/>
      <c r="E857" s="486">
        <v>3300</v>
      </c>
      <c r="F857" s="117">
        <f t="shared" si="86"/>
        <v>0</v>
      </c>
      <c r="G857" s="118">
        <f t="shared" si="87"/>
        <v>0</v>
      </c>
      <c r="H857" s="495">
        <f t="shared" ref="H857:H920" si="88">E857*0.006+F857*0.006</f>
        <v>19.8</v>
      </c>
      <c r="I857" s="119">
        <f t="shared" si="85"/>
        <v>548231.32344999735</v>
      </c>
    </row>
    <row r="858" spans="1:10" ht="21" customHeight="1">
      <c r="A858" s="120">
        <v>44833</v>
      </c>
      <c r="B858" s="146"/>
      <c r="C858" s="15" t="s">
        <v>107</v>
      </c>
      <c r="D858" s="121"/>
      <c r="E858" s="486">
        <v>49.5</v>
      </c>
      <c r="F858" s="117">
        <f t="shared" si="86"/>
        <v>0</v>
      </c>
      <c r="G858" s="118">
        <f t="shared" si="87"/>
        <v>0</v>
      </c>
      <c r="H858" s="495">
        <f t="shared" si="88"/>
        <v>0.29699999999999999</v>
      </c>
      <c r="I858" s="119">
        <f t="shared" si="85"/>
        <v>548181.52644999733</v>
      </c>
    </row>
    <row r="859" spans="1:10" ht="21" customHeight="1">
      <c r="A859" s="120">
        <v>44833</v>
      </c>
      <c r="B859" s="146"/>
      <c r="C859" s="15" t="s">
        <v>110</v>
      </c>
      <c r="D859" s="121"/>
      <c r="E859" s="486">
        <v>693</v>
      </c>
      <c r="F859" s="117">
        <f t="shared" si="86"/>
        <v>0</v>
      </c>
      <c r="G859" s="118">
        <f t="shared" si="87"/>
        <v>0</v>
      </c>
      <c r="H859" s="495">
        <f t="shared" si="88"/>
        <v>4.1580000000000004</v>
      </c>
      <c r="I859" s="119">
        <f t="shared" si="85"/>
        <v>547484.36844999727</v>
      </c>
    </row>
    <row r="860" spans="1:10" ht="21" customHeight="1">
      <c r="A860" s="120">
        <v>44833</v>
      </c>
      <c r="B860" s="146"/>
      <c r="C860" s="15" t="s">
        <v>453</v>
      </c>
      <c r="D860" s="121"/>
      <c r="E860" s="486">
        <v>99</v>
      </c>
      <c r="F860" s="117">
        <f t="shared" si="86"/>
        <v>0</v>
      </c>
      <c r="G860" s="118">
        <f t="shared" si="87"/>
        <v>0</v>
      </c>
      <c r="H860" s="495">
        <f t="shared" si="88"/>
        <v>0.59399999999999997</v>
      </c>
      <c r="I860" s="119">
        <f t="shared" si="85"/>
        <v>547384.77444999723</v>
      </c>
    </row>
    <row r="861" spans="1:10" ht="21" customHeight="1">
      <c r="A861" s="120">
        <v>44834</v>
      </c>
      <c r="B861" s="146"/>
      <c r="C861" s="15" t="s">
        <v>352</v>
      </c>
      <c r="D861" s="486">
        <v>750000</v>
      </c>
      <c r="E861" s="124"/>
      <c r="F861" s="117">
        <f t="shared" si="86"/>
        <v>0</v>
      </c>
      <c r="G861" s="495">
        <f t="shared" si="87"/>
        <v>4500</v>
      </c>
      <c r="H861" s="118">
        <f t="shared" si="88"/>
        <v>0</v>
      </c>
      <c r="I861" s="119">
        <f t="shared" si="85"/>
        <v>1292884.7744499971</v>
      </c>
    </row>
    <row r="862" spans="1:10" ht="21" customHeight="1">
      <c r="A862" s="120"/>
      <c r="B862" s="146"/>
      <c r="C862" s="15"/>
      <c r="D862" s="124"/>
      <c r="E862" s="124"/>
      <c r="F862" s="117">
        <f t="shared" si="86"/>
        <v>0</v>
      </c>
      <c r="G862" s="118">
        <f t="shared" si="87"/>
        <v>0</v>
      </c>
      <c r="H862" s="118">
        <f t="shared" si="88"/>
        <v>0</v>
      </c>
      <c r="I862" s="119">
        <f t="shared" si="85"/>
        <v>1292884.7744499971</v>
      </c>
    </row>
    <row r="863" spans="1:10" ht="21" customHeight="1">
      <c r="A863" s="555" t="s">
        <v>454</v>
      </c>
      <c r="B863" s="556"/>
      <c r="C863" s="557"/>
      <c r="D863" s="558"/>
      <c r="E863" s="558"/>
      <c r="F863" s="559">
        <f t="shared" si="86"/>
        <v>0</v>
      </c>
      <c r="G863" s="559">
        <f t="shared" si="87"/>
        <v>0</v>
      </c>
      <c r="H863" s="559">
        <f t="shared" si="88"/>
        <v>0</v>
      </c>
      <c r="I863" s="560">
        <f t="shared" si="85"/>
        <v>1292884.7744499971</v>
      </c>
      <c r="J863" s="840"/>
    </row>
    <row r="864" spans="1:10" ht="21" customHeight="1">
      <c r="A864" s="120">
        <v>44837</v>
      </c>
      <c r="B864" s="146">
        <v>439</v>
      </c>
      <c r="C864" s="131" t="s">
        <v>350</v>
      </c>
      <c r="D864" s="124"/>
      <c r="E864" s="486">
        <v>750000</v>
      </c>
      <c r="F864" s="117">
        <f t="shared" si="86"/>
        <v>0</v>
      </c>
      <c r="G864" s="118">
        <f t="shared" si="87"/>
        <v>0</v>
      </c>
      <c r="H864" s="496">
        <f t="shared" si="88"/>
        <v>4500</v>
      </c>
      <c r="I864" s="119">
        <f t="shared" si="85"/>
        <v>538384.77444999712</v>
      </c>
    </row>
    <row r="865" spans="1:9" ht="21" customHeight="1">
      <c r="A865" s="120">
        <v>44837</v>
      </c>
      <c r="B865" s="146"/>
      <c r="C865" s="15" t="s">
        <v>354</v>
      </c>
      <c r="D865" s="124">
        <v>200000</v>
      </c>
      <c r="E865" s="124">
        <v>200000</v>
      </c>
      <c r="F865" s="117">
        <f t="shared" si="86"/>
        <v>0</v>
      </c>
      <c r="G865" s="118"/>
      <c r="H865" s="118"/>
      <c r="I865" s="119">
        <f t="shared" si="85"/>
        <v>538384.77444999712</v>
      </c>
    </row>
    <row r="866" spans="1:9" ht="21" customHeight="1">
      <c r="A866" s="120">
        <v>44819</v>
      </c>
      <c r="B866" s="146">
        <v>426</v>
      </c>
      <c r="C866" s="131" t="s">
        <v>346</v>
      </c>
      <c r="D866" s="124"/>
      <c r="E866" s="486">
        <v>500000</v>
      </c>
      <c r="F866" s="117">
        <f t="shared" si="86"/>
        <v>0</v>
      </c>
      <c r="G866" s="118">
        <f t="shared" si="87"/>
        <v>0</v>
      </c>
      <c r="H866" s="496">
        <f t="shared" si="88"/>
        <v>3000</v>
      </c>
      <c r="I866" s="119">
        <f t="shared" si="85"/>
        <v>35384.774449997116</v>
      </c>
    </row>
    <row r="867" spans="1:9" ht="21" customHeight="1">
      <c r="A867" s="120">
        <v>44845</v>
      </c>
      <c r="B867" s="146"/>
      <c r="C867" s="144" t="s">
        <v>355</v>
      </c>
      <c r="D867" s="486">
        <v>262349.7</v>
      </c>
      <c r="E867" s="124"/>
      <c r="F867" s="117">
        <f t="shared" si="86"/>
        <v>0</v>
      </c>
      <c r="G867" s="118"/>
      <c r="H867" s="118">
        <f t="shared" si="88"/>
        <v>0</v>
      </c>
      <c r="I867" s="119">
        <f t="shared" si="85"/>
        <v>297734.47444999713</v>
      </c>
    </row>
    <row r="868" spans="1:9" ht="21" customHeight="1">
      <c r="A868" s="120">
        <v>44845</v>
      </c>
      <c r="B868" s="146"/>
      <c r="C868" s="15" t="s">
        <v>342</v>
      </c>
      <c r="D868" s="486">
        <v>51111.41</v>
      </c>
      <c r="E868" s="124"/>
      <c r="F868" s="117">
        <f t="shared" si="86"/>
        <v>0</v>
      </c>
      <c r="G868" s="495">
        <f t="shared" ref="G868:G881" si="89">D868*0.006</f>
        <v>306.66846000000004</v>
      </c>
      <c r="H868" s="118">
        <f t="shared" si="88"/>
        <v>0</v>
      </c>
      <c r="I868" s="119">
        <f t="shared" si="85"/>
        <v>348539.21598999709</v>
      </c>
    </row>
    <row r="869" spans="1:9" ht="21" customHeight="1">
      <c r="A869" s="120">
        <v>44846</v>
      </c>
      <c r="B869" s="146"/>
      <c r="C869" s="15" t="s">
        <v>342</v>
      </c>
      <c r="D869" s="486">
        <v>300000</v>
      </c>
      <c r="E869" s="124"/>
      <c r="F869" s="117">
        <f t="shared" si="86"/>
        <v>0</v>
      </c>
      <c r="G869" s="495">
        <f t="shared" si="89"/>
        <v>1800</v>
      </c>
      <c r="H869" s="118">
        <f t="shared" si="88"/>
        <v>0</v>
      </c>
      <c r="I869" s="119">
        <f t="shared" si="85"/>
        <v>646739.21598999714</v>
      </c>
    </row>
    <row r="870" spans="1:9" ht="21" customHeight="1">
      <c r="A870" s="120">
        <v>44847</v>
      </c>
      <c r="B870" s="146"/>
      <c r="C870" s="15" t="s">
        <v>356</v>
      </c>
      <c r="D870" s="124"/>
      <c r="E870" s="486">
        <v>7400</v>
      </c>
      <c r="F870" s="117">
        <f t="shared" si="86"/>
        <v>0</v>
      </c>
      <c r="G870" s="118">
        <f t="shared" si="89"/>
        <v>0</v>
      </c>
      <c r="H870" s="495">
        <f t="shared" si="88"/>
        <v>44.4</v>
      </c>
      <c r="I870" s="119">
        <f t="shared" si="85"/>
        <v>639294.81598999712</v>
      </c>
    </row>
    <row r="871" spans="1:9" ht="21" customHeight="1">
      <c r="A871" s="120">
        <v>44847</v>
      </c>
      <c r="B871" s="146"/>
      <c r="C871" s="15" t="s">
        <v>357</v>
      </c>
      <c r="D871" s="124"/>
      <c r="E871" s="486">
        <v>64000</v>
      </c>
      <c r="F871" s="117">
        <f t="shared" si="86"/>
        <v>0</v>
      </c>
      <c r="G871" s="118">
        <f t="shared" si="89"/>
        <v>0</v>
      </c>
      <c r="H871" s="495">
        <f t="shared" si="88"/>
        <v>384</v>
      </c>
      <c r="I871" s="119">
        <f t="shared" si="85"/>
        <v>574910.81598999712</v>
      </c>
    </row>
    <row r="872" spans="1:9" ht="21" customHeight="1">
      <c r="A872" s="120">
        <v>44847</v>
      </c>
      <c r="B872" s="148" t="s">
        <v>455</v>
      </c>
      <c r="C872" s="168" t="s">
        <v>450</v>
      </c>
      <c r="D872" s="191"/>
      <c r="E872" s="486">
        <v>122738</v>
      </c>
      <c r="F872" s="117">
        <f t="shared" si="86"/>
        <v>0</v>
      </c>
      <c r="G872" s="118">
        <f t="shared" si="89"/>
        <v>0</v>
      </c>
      <c r="H872" s="495">
        <f t="shared" si="88"/>
        <v>736.428</v>
      </c>
      <c r="I872" s="119">
        <f t="shared" si="85"/>
        <v>451436.38798999711</v>
      </c>
    </row>
    <row r="873" spans="1:9" ht="21" customHeight="1">
      <c r="A873" s="120">
        <v>44847</v>
      </c>
      <c r="B873" s="146"/>
      <c r="C873" s="131" t="s">
        <v>352</v>
      </c>
      <c r="D873" s="486">
        <v>650000</v>
      </c>
      <c r="E873" s="497"/>
      <c r="F873" s="117">
        <f t="shared" si="86"/>
        <v>0</v>
      </c>
      <c r="G873" s="495">
        <f t="shared" si="89"/>
        <v>3900</v>
      </c>
      <c r="H873" s="118">
        <f t="shared" si="88"/>
        <v>0</v>
      </c>
      <c r="I873" s="119">
        <f t="shared" si="85"/>
        <v>1097536.3879899972</v>
      </c>
    </row>
    <row r="874" spans="1:9" ht="21" customHeight="1">
      <c r="A874" s="120">
        <v>44847</v>
      </c>
      <c r="B874" s="561"/>
      <c r="C874" s="131" t="s">
        <v>358</v>
      </c>
      <c r="D874" s="124"/>
      <c r="E874" s="486">
        <v>270</v>
      </c>
      <c r="F874" s="117">
        <f t="shared" si="86"/>
        <v>0</v>
      </c>
      <c r="G874" s="118">
        <f t="shared" si="89"/>
        <v>0</v>
      </c>
      <c r="H874" s="495">
        <f t="shared" si="88"/>
        <v>1.62</v>
      </c>
      <c r="I874" s="119">
        <f t="shared" si="85"/>
        <v>1097264.7679899971</v>
      </c>
    </row>
    <row r="875" spans="1:9" ht="21" customHeight="1">
      <c r="A875" s="120">
        <v>44847</v>
      </c>
      <c r="B875" s="148">
        <v>429</v>
      </c>
      <c r="C875" s="131" t="s">
        <v>346</v>
      </c>
      <c r="D875" s="124"/>
      <c r="E875" s="486">
        <v>500000</v>
      </c>
      <c r="F875" s="117">
        <f t="shared" si="86"/>
        <v>0</v>
      </c>
      <c r="G875" s="118">
        <f t="shared" si="89"/>
        <v>0</v>
      </c>
      <c r="H875" s="495">
        <f t="shared" si="88"/>
        <v>3000</v>
      </c>
      <c r="I875" s="119">
        <f t="shared" si="85"/>
        <v>594264.76798999705</v>
      </c>
    </row>
    <row r="876" spans="1:9" ht="21" customHeight="1">
      <c r="A876" s="120">
        <v>44848</v>
      </c>
      <c r="B876" s="561"/>
      <c r="C876" s="131" t="s">
        <v>359</v>
      </c>
      <c r="D876" s="124"/>
      <c r="E876" s="486">
        <v>19383.97</v>
      </c>
      <c r="F876" s="117">
        <f t="shared" si="86"/>
        <v>0</v>
      </c>
      <c r="G876" s="118">
        <f t="shared" si="89"/>
        <v>0</v>
      </c>
      <c r="H876" s="495">
        <f t="shared" si="88"/>
        <v>116.30382000000002</v>
      </c>
      <c r="I876" s="119">
        <f t="shared" si="85"/>
        <v>574764.49416999705</v>
      </c>
    </row>
    <row r="877" spans="1:9" ht="21" customHeight="1">
      <c r="A877" s="120">
        <v>44848</v>
      </c>
      <c r="B877" s="561"/>
      <c r="C877" s="131" t="s">
        <v>456</v>
      </c>
      <c r="D877" s="393"/>
      <c r="E877" s="486">
        <v>1446.08</v>
      </c>
      <c r="F877" s="117">
        <f t="shared" si="86"/>
        <v>0</v>
      </c>
      <c r="G877" s="118">
        <f t="shared" si="89"/>
        <v>0</v>
      </c>
      <c r="H877" s="495">
        <f t="shared" si="88"/>
        <v>8.6764799999999997</v>
      </c>
      <c r="I877" s="119">
        <f t="shared" si="85"/>
        <v>573309.73768999707</v>
      </c>
    </row>
    <row r="878" spans="1:9" ht="21" customHeight="1">
      <c r="A878" s="120">
        <v>44848</v>
      </c>
      <c r="B878" s="561"/>
      <c r="C878" s="15" t="s">
        <v>360</v>
      </c>
      <c r="D878" s="138"/>
      <c r="E878" s="486">
        <v>769.13</v>
      </c>
      <c r="F878" s="117">
        <f t="shared" si="86"/>
        <v>0</v>
      </c>
      <c r="G878" s="118">
        <f t="shared" si="89"/>
        <v>0</v>
      </c>
      <c r="H878" s="495">
        <f t="shared" si="88"/>
        <v>4.6147799999999997</v>
      </c>
      <c r="I878" s="119">
        <f t="shared" si="85"/>
        <v>572535.99290999712</v>
      </c>
    </row>
    <row r="879" spans="1:9" ht="21" customHeight="1">
      <c r="A879" s="120">
        <v>44848</v>
      </c>
      <c r="B879" s="146"/>
      <c r="C879" s="15" t="s">
        <v>361</v>
      </c>
      <c r="D879" s="486">
        <v>550000</v>
      </c>
      <c r="E879" s="124"/>
      <c r="F879" s="117">
        <f t="shared" si="86"/>
        <v>0</v>
      </c>
      <c r="G879" s="495">
        <f t="shared" si="89"/>
        <v>3300</v>
      </c>
      <c r="H879" s="118">
        <f t="shared" si="88"/>
        <v>0</v>
      </c>
      <c r="I879" s="119">
        <f t="shared" si="85"/>
        <v>1119235.9929099972</v>
      </c>
    </row>
    <row r="880" spans="1:9" ht="21" customHeight="1">
      <c r="A880" s="120">
        <v>44848</v>
      </c>
      <c r="B880" s="146"/>
      <c r="C880" s="15" t="s">
        <v>361</v>
      </c>
      <c r="D880" s="486">
        <v>550000</v>
      </c>
      <c r="E880" s="116"/>
      <c r="F880" s="117">
        <f t="shared" si="86"/>
        <v>0</v>
      </c>
      <c r="G880" s="495">
        <f t="shared" si="89"/>
        <v>3300</v>
      </c>
      <c r="H880" s="118">
        <f t="shared" si="88"/>
        <v>0</v>
      </c>
      <c r="I880" s="119">
        <f t="shared" si="85"/>
        <v>1665935.9929099972</v>
      </c>
    </row>
    <row r="881" spans="1:9" ht="21" customHeight="1">
      <c r="A881" s="120">
        <v>44848</v>
      </c>
      <c r="B881" s="146">
        <v>271</v>
      </c>
      <c r="C881" s="15" t="s">
        <v>362</v>
      </c>
      <c r="D881" s="393"/>
      <c r="E881" s="498">
        <v>54970</v>
      </c>
      <c r="F881" s="117">
        <f t="shared" si="86"/>
        <v>0</v>
      </c>
      <c r="G881" s="118">
        <f t="shared" si="89"/>
        <v>0</v>
      </c>
      <c r="H881" s="495">
        <f t="shared" si="88"/>
        <v>329.82</v>
      </c>
      <c r="I881" s="119">
        <f t="shared" si="85"/>
        <v>1610636.1729099972</v>
      </c>
    </row>
    <row r="882" spans="1:9" ht="21" customHeight="1">
      <c r="A882" s="120">
        <v>44851</v>
      </c>
      <c r="C882" s="15" t="s">
        <v>363</v>
      </c>
      <c r="D882" s="486">
        <v>207194.14</v>
      </c>
      <c r="E882" s="124"/>
      <c r="F882" s="117">
        <f t="shared" si="86"/>
        <v>0</v>
      </c>
      <c r="G882" s="118"/>
      <c r="H882" s="118">
        <f t="shared" si="88"/>
        <v>0</v>
      </c>
      <c r="I882" s="119">
        <f t="shared" ref="I882:I945" si="90">I881+D882-E882-F882-G882-H882</f>
        <v>1817830.3129099971</v>
      </c>
    </row>
    <row r="883" spans="1:9" ht="21" customHeight="1">
      <c r="A883" s="120">
        <v>44851</v>
      </c>
      <c r="B883" s="146"/>
      <c r="C883" s="15" t="s">
        <v>364</v>
      </c>
      <c r="D883" s="486">
        <v>600000</v>
      </c>
      <c r="E883" s="124"/>
      <c r="F883" s="117">
        <f t="shared" si="86"/>
        <v>0</v>
      </c>
      <c r="G883" s="495">
        <f t="shared" ref="G883:G937" si="91">D883*0.006</f>
        <v>3600</v>
      </c>
      <c r="H883" s="118">
        <f t="shared" si="88"/>
        <v>0</v>
      </c>
      <c r="I883" s="119">
        <f t="shared" si="90"/>
        <v>2414230.3129099971</v>
      </c>
    </row>
    <row r="884" spans="1:9" ht="21" customHeight="1">
      <c r="A884" s="120">
        <v>44853</v>
      </c>
      <c r="B884" s="146">
        <v>262</v>
      </c>
      <c r="C884" s="15" t="s">
        <v>246</v>
      </c>
      <c r="D884" s="393"/>
      <c r="E884" s="498">
        <v>31357.84</v>
      </c>
      <c r="F884" s="117">
        <f t="shared" si="86"/>
        <v>0</v>
      </c>
      <c r="G884" s="118">
        <f t="shared" si="91"/>
        <v>0</v>
      </c>
      <c r="H884" s="495">
        <f t="shared" si="88"/>
        <v>188.14704</v>
      </c>
      <c r="I884" s="119">
        <f t="shared" si="90"/>
        <v>2382684.325869997</v>
      </c>
    </row>
    <row r="885" spans="1:9" ht="21" customHeight="1">
      <c r="A885" s="120">
        <v>44853</v>
      </c>
      <c r="B885" s="146" t="s">
        <v>457</v>
      </c>
      <c r="C885" s="15" t="s">
        <v>365</v>
      </c>
      <c r="D885" s="124"/>
      <c r="E885" s="486">
        <v>16005</v>
      </c>
      <c r="F885" s="117">
        <f t="shared" si="86"/>
        <v>0</v>
      </c>
      <c r="G885" s="118">
        <f t="shared" si="91"/>
        <v>0</v>
      </c>
      <c r="H885" s="495">
        <f t="shared" si="88"/>
        <v>96.03</v>
      </c>
      <c r="I885" s="119">
        <f t="shared" si="90"/>
        <v>2366583.2958699972</v>
      </c>
    </row>
    <row r="886" spans="1:9" ht="21" customHeight="1">
      <c r="A886" s="120">
        <v>44853</v>
      </c>
      <c r="B886" s="146"/>
      <c r="C886" s="15" t="s">
        <v>344</v>
      </c>
      <c r="D886" s="124"/>
      <c r="E886" s="486">
        <v>51776</v>
      </c>
      <c r="F886" s="117">
        <f t="shared" si="86"/>
        <v>0</v>
      </c>
      <c r="G886" s="118">
        <f t="shared" si="91"/>
        <v>0</v>
      </c>
      <c r="H886" s="495">
        <f t="shared" si="88"/>
        <v>310.65600000000001</v>
      </c>
      <c r="I886" s="119">
        <f t="shared" si="90"/>
        <v>2314496.6398699973</v>
      </c>
    </row>
    <row r="887" spans="1:9" ht="21" customHeight="1">
      <c r="A887" s="120">
        <v>44852</v>
      </c>
      <c r="B887" s="146">
        <v>223</v>
      </c>
      <c r="C887" s="15" t="s">
        <v>327</v>
      </c>
      <c r="D887" s="124"/>
      <c r="E887" s="486">
        <v>500000</v>
      </c>
      <c r="F887" s="117">
        <f t="shared" si="86"/>
        <v>0</v>
      </c>
      <c r="G887" s="118">
        <f t="shared" si="91"/>
        <v>0</v>
      </c>
      <c r="H887" s="495">
        <f t="shared" si="88"/>
        <v>3000</v>
      </c>
      <c r="I887" s="119">
        <f t="shared" si="90"/>
        <v>1811496.6398699973</v>
      </c>
    </row>
    <row r="888" spans="1:9" ht="21" customHeight="1">
      <c r="A888" s="120">
        <v>44852</v>
      </c>
      <c r="B888" s="148">
        <v>431</v>
      </c>
      <c r="C888" s="15" t="s">
        <v>346</v>
      </c>
      <c r="D888" s="124"/>
      <c r="E888" s="486">
        <v>500000</v>
      </c>
      <c r="F888" s="117">
        <f t="shared" si="86"/>
        <v>0</v>
      </c>
      <c r="G888" s="118">
        <f t="shared" si="91"/>
        <v>0</v>
      </c>
      <c r="H888" s="495">
        <f t="shared" si="88"/>
        <v>3000</v>
      </c>
      <c r="I888" s="119">
        <f t="shared" si="90"/>
        <v>1308496.6398699973</v>
      </c>
    </row>
    <row r="889" spans="1:9" ht="21" customHeight="1">
      <c r="A889" s="120">
        <v>44853</v>
      </c>
      <c r="B889" s="146"/>
      <c r="C889" s="15" t="s">
        <v>366</v>
      </c>
      <c r="D889" s="486">
        <v>850000</v>
      </c>
      <c r="E889" s="124"/>
      <c r="F889" s="117">
        <f t="shared" si="86"/>
        <v>0</v>
      </c>
      <c r="G889" s="495">
        <f t="shared" si="91"/>
        <v>5100</v>
      </c>
      <c r="H889" s="118">
        <f t="shared" si="88"/>
        <v>0</v>
      </c>
      <c r="I889" s="119">
        <f t="shared" si="90"/>
        <v>2153396.6398699973</v>
      </c>
    </row>
    <row r="890" spans="1:9" ht="21" customHeight="1">
      <c r="A890" s="120">
        <v>44854</v>
      </c>
      <c r="B890" s="146"/>
      <c r="C890" s="15" t="s">
        <v>366</v>
      </c>
      <c r="D890" s="486">
        <v>975000</v>
      </c>
      <c r="E890" s="124"/>
      <c r="F890" s="117">
        <f t="shared" si="86"/>
        <v>0</v>
      </c>
      <c r="G890" s="495">
        <f t="shared" si="91"/>
        <v>5850</v>
      </c>
      <c r="H890" s="118">
        <f t="shared" si="88"/>
        <v>0</v>
      </c>
      <c r="I890" s="119">
        <f t="shared" si="90"/>
        <v>3122546.6398699973</v>
      </c>
    </row>
    <row r="891" spans="1:9" ht="21" customHeight="1">
      <c r="A891" s="120">
        <v>44854</v>
      </c>
      <c r="B891" s="146"/>
      <c r="C891" s="15" t="s">
        <v>366</v>
      </c>
      <c r="D891" s="486">
        <v>975000</v>
      </c>
      <c r="E891" s="124"/>
      <c r="F891" s="117">
        <f t="shared" si="86"/>
        <v>0</v>
      </c>
      <c r="G891" s="495">
        <f t="shared" si="91"/>
        <v>5850</v>
      </c>
      <c r="H891" s="118">
        <f t="shared" si="88"/>
        <v>0</v>
      </c>
      <c r="I891" s="119">
        <f t="shared" si="90"/>
        <v>4091696.6398699973</v>
      </c>
    </row>
    <row r="892" spans="1:9" ht="21" customHeight="1">
      <c r="A892" s="120">
        <v>44854</v>
      </c>
      <c r="B892" s="146">
        <v>440</v>
      </c>
      <c r="C892" s="15" t="s">
        <v>350</v>
      </c>
      <c r="D892" s="124"/>
      <c r="E892" s="486">
        <v>200000</v>
      </c>
      <c r="F892" s="117">
        <f t="shared" si="86"/>
        <v>0</v>
      </c>
      <c r="G892" s="118">
        <f t="shared" si="91"/>
        <v>0</v>
      </c>
      <c r="H892" s="495">
        <f t="shared" si="88"/>
        <v>1200</v>
      </c>
      <c r="I892" s="119">
        <f t="shared" si="90"/>
        <v>3890496.6398699973</v>
      </c>
    </row>
    <row r="893" spans="1:9" ht="21" customHeight="1">
      <c r="A893" s="120">
        <v>44855</v>
      </c>
      <c r="B893" s="146">
        <v>224</v>
      </c>
      <c r="C893" s="15" t="s">
        <v>327</v>
      </c>
      <c r="D893" s="124"/>
      <c r="E893" s="486">
        <v>766666.67</v>
      </c>
      <c r="F893" s="117">
        <f t="shared" si="86"/>
        <v>0</v>
      </c>
      <c r="G893" s="118">
        <f t="shared" si="91"/>
        <v>0</v>
      </c>
      <c r="H893" s="495">
        <f t="shared" si="88"/>
        <v>4600.0000200000004</v>
      </c>
      <c r="I893" s="119">
        <f t="shared" si="90"/>
        <v>3119229.9698499972</v>
      </c>
    </row>
    <row r="894" spans="1:9" ht="21" customHeight="1">
      <c r="A894" s="120">
        <v>44855</v>
      </c>
      <c r="B894" s="146"/>
      <c r="C894" s="15" t="s">
        <v>458</v>
      </c>
      <c r="D894" s="124"/>
      <c r="E894" s="486">
        <v>447.34</v>
      </c>
      <c r="F894" s="117">
        <f t="shared" si="86"/>
        <v>0</v>
      </c>
      <c r="G894" s="118">
        <f t="shared" si="91"/>
        <v>0</v>
      </c>
      <c r="H894" s="495">
        <f t="shared" si="88"/>
        <v>2.68404</v>
      </c>
      <c r="I894" s="119">
        <f t="shared" si="90"/>
        <v>3118779.9458099972</v>
      </c>
    </row>
    <row r="895" spans="1:9" ht="21" customHeight="1">
      <c r="A895" s="120">
        <v>44855</v>
      </c>
      <c r="B895" s="146"/>
      <c r="C895" s="15" t="s">
        <v>110</v>
      </c>
      <c r="D895" s="124"/>
      <c r="E895" s="486">
        <v>68.19</v>
      </c>
      <c r="F895" s="117">
        <f t="shared" si="86"/>
        <v>0</v>
      </c>
      <c r="G895" s="118">
        <f t="shared" si="91"/>
        <v>0</v>
      </c>
      <c r="H895" s="495">
        <f t="shared" si="88"/>
        <v>0.40914</v>
      </c>
      <c r="I895" s="119">
        <f t="shared" si="90"/>
        <v>3118711.3466699971</v>
      </c>
    </row>
    <row r="896" spans="1:9" ht="21" customHeight="1">
      <c r="A896" s="120">
        <v>44855</v>
      </c>
      <c r="B896" s="146"/>
      <c r="C896" s="15" t="s">
        <v>449</v>
      </c>
      <c r="D896" s="124"/>
      <c r="E896" s="486">
        <v>34.1</v>
      </c>
      <c r="F896" s="117">
        <f t="shared" si="86"/>
        <v>0</v>
      </c>
      <c r="G896" s="118">
        <f t="shared" si="91"/>
        <v>0</v>
      </c>
      <c r="H896" s="495">
        <f t="shared" si="88"/>
        <v>0.2046</v>
      </c>
      <c r="I896" s="119">
        <f t="shared" si="90"/>
        <v>3118677.0420699972</v>
      </c>
    </row>
    <row r="897" spans="1:9" ht="21" customHeight="1">
      <c r="A897" s="120">
        <v>44855</v>
      </c>
      <c r="B897" s="146"/>
      <c r="C897" s="15" t="s">
        <v>459</v>
      </c>
      <c r="D897" s="124"/>
      <c r="E897" s="486">
        <v>2273.06</v>
      </c>
      <c r="F897" s="117">
        <f t="shared" si="86"/>
        <v>0</v>
      </c>
      <c r="G897" s="118">
        <f t="shared" si="91"/>
        <v>0</v>
      </c>
      <c r="H897" s="495">
        <f t="shared" si="88"/>
        <v>13.63836</v>
      </c>
      <c r="I897" s="119">
        <f t="shared" si="90"/>
        <v>3116390.3437099969</v>
      </c>
    </row>
    <row r="898" spans="1:9" ht="21" customHeight="1">
      <c r="A898" s="120">
        <v>44848</v>
      </c>
      <c r="B898" s="146">
        <v>222</v>
      </c>
      <c r="C898" s="15" t="s">
        <v>327</v>
      </c>
      <c r="D898" s="124"/>
      <c r="E898" s="486">
        <v>500000</v>
      </c>
      <c r="F898" s="117">
        <f t="shared" si="86"/>
        <v>0</v>
      </c>
      <c r="G898" s="118">
        <f t="shared" si="91"/>
        <v>0</v>
      </c>
      <c r="H898" s="495">
        <f t="shared" si="88"/>
        <v>3000</v>
      </c>
      <c r="I898" s="119">
        <f t="shared" si="90"/>
        <v>2613390.3437099969</v>
      </c>
    </row>
    <row r="899" spans="1:9" ht="21" customHeight="1">
      <c r="A899" s="120">
        <v>44848</v>
      </c>
      <c r="B899" s="148">
        <v>430</v>
      </c>
      <c r="C899" s="131" t="s">
        <v>346</v>
      </c>
      <c r="D899" s="124"/>
      <c r="E899" s="486">
        <v>500000</v>
      </c>
      <c r="F899" s="117">
        <f t="shared" si="86"/>
        <v>0</v>
      </c>
      <c r="G899" s="118">
        <f t="shared" si="91"/>
        <v>0</v>
      </c>
      <c r="H899" s="495">
        <f t="shared" si="88"/>
        <v>3000</v>
      </c>
      <c r="I899" s="119">
        <f t="shared" si="90"/>
        <v>2110390.3437099969</v>
      </c>
    </row>
    <row r="900" spans="1:9" ht="21" customHeight="1">
      <c r="A900" s="120">
        <v>44855</v>
      </c>
      <c r="B900" s="146">
        <v>56</v>
      </c>
      <c r="C900" s="15" t="s">
        <v>367</v>
      </c>
      <c r="D900" s="486">
        <v>21648.53</v>
      </c>
      <c r="E900" s="124"/>
      <c r="F900" s="117">
        <f t="shared" si="86"/>
        <v>0</v>
      </c>
      <c r="G900" s="495">
        <f t="shared" si="91"/>
        <v>129.89117999999999</v>
      </c>
      <c r="H900" s="118">
        <f t="shared" si="88"/>
        <v>0</v>
      </c>
      <c r="I900" s="119">
        <f t="shared" si="90"/>
        <v>2131908.9825299969</v>
      </c>
    </row>
    <row r="901" spans="1:9" ht="21" customHeight="1">
      <c r="A901" s="120">
        <v>44855</v>
      </c>
      <c r="B901" s="146">
        <v>32203519</v>
      </c>
      <c r="C901" s="15" t="s">
        <v>367</v>
      </c>
      <c r="D901" s="486">
        <v>20763</v>
      </c>
      <c r="E901" s="124"/>
      <c r="F901" s="117">
        <f t="shared" si="86"/>
        <v>0</v>
      </c>
      <c r="G901" s="495">
        <f t="shared" si="91"/>
        <v>124.578</v>
      </c>
      <c r="H901" s="118">
        <f t="shared" si="88"/>
        <v>0</v>
      </c>
      <c r="I901" s="119">
        <f t="shared" si="90"/>
        <v>2152547.4045299967</v>
      </c>
    </row>
    <row r="902" spans="1:9" ht="21" customHeight="1">
      <c r="A902" s="120">
        <v>44855</v>
      </c>
      <c r="B902" s="146">
        <v>35964331</v>
      </c>
      <c r="C902" s="15" t="s">
        <v>367</v>
      </c>
      <c r="D902" s="486">
        <v>29283.24</v>
      </c>
      <c r="E902" s="124"/>
      <c r="F902" s="117">
        <f t="shared" si="86"/>
        <v>0</v>
      </c>
      <c r="G902" s="495">
        <f t="shared" si="91"/>
        <v>175.69944000000001</v>
      </c>
      <c r="H902" s="118">
        <f t="shared" si="88"/>
        <v>0</v>
      </c>
      <c r="I902" s="119">
        <f t="shared" si="90"/>
        <v>2181654.9450899968</v>
      </c>
    </row>
    <row r="903" spans="1:9" ht="21" customHeight="1">
      <c r="A903" s="120">
        <v>44855</v>
      </c>
      <c r="B903" s="146">
        <v>29603517</v>
      </c>
      <c r="C903" s="15" t="s">
        <v>367</v>
      </c>
      <c r="D903" s="486">
        <v>22314.67</v>
      </c>
      <c r="E903" s="124"/>
      <c r="F903" s="117">
        <f t="shared" si="86"/>
        <v>0</v>
      </c>
      <c r="G903" s="495">
        <f t="shared" si="91"/>
        <v>133.88801999999998</v>
      </c>
      <c r="H903" s="118">
        <f t="shared" si="88"/>
        <v>0</v>
      </c>
      <c r="I903" s="119">
        <f t="shared" si="90"/>
        <v>2203835.7270699968</v>
      </c>
    </row>
    <row r="904" spans="1:9" ht="21" customHeight="1">
      <c r="A904" s="120">
        <v>44855</v>
      </c>
      <c r="B904" s="146">
        <v>462346</v>
      </c>
      <c r="C904" s="15" t="s">
        <v>367</v>
      </c>
      <c r="D904" s="486">
        <v>75000</v>
      </c>
      <c r="E904" s="124"/>
      <c r="F904" s="117">
        <f t="shared" si="86"/>
        <v>0</v>
      </c>
      <c r="G904" s="495">
        <f t="shared" si="91"/>
        <v>450</v>
      </c>
      <c r="H904" s="118">
        <f t="shared" si="88"/>
        <v>0</v>
      </c>
      <c r="I904" s="119">
        <f t="shared" si="90"/>
        <v>2278385.7270699968</v>
      </c>
    </row>
    <row r="905" spans="1:9" ht="21" customHeight="1">
      <c r="A905" s="120">
        <v>44855</v>
      </c>
      <c r="B905" s="146"/>
      <c r="C905" s="15" t="s">
        <v>368</v>
      </c>
      <c r="D905" s="486">
        <v>600000</v>
      </c>
      <c r="E905" s="124"/>
      <c r="F905" s="117">
        <f t="shared" si="86"/>
        <v>0</v>
      </c>
      <c r="G905" s="495">
        <f t="shared" si="91"/>
        <v>3600</v>
      </c>
      <c r="H905" s="118">
        <f t="shared" si="88"/>
        <v>0</v>
      </c>
      <c r="I905" s="119">
        <f t="shared" si="90"/>
        <v>2874785.7270699968</v>
      </c>
    </row>
    <row r="906" spans="1:9" ht="21" customHeight="1">
      <c r="A906" s="120">
        <v>44853</v>
      </c>
      <c r="B906" s="148">
        <v>432</v>
      </c>
      <c r="C906" s="131" t="s">
        <v>346</v>
      </c>
      <c r="D906" s="124"/>
      <c r="E906" s="486">
        <v>419918.37</v>
      </c>
      <c r="F906" s="117">
        <f t="shared" si="86"/>
        <v>0</v>
      </c>
      <c r="G906" s="118">
        <f t="shared" si="91"/>
        <v>0</v>
      </c>
      <c r="H906" s="496">
        <f t="shared" si="88"/>
        <v>2519.5102200000001</v>
      </c>
      <c r="I906" s="119">
        <f t="shared" si="90"/>
        <v>2452347.8468499966</v>
      </c>
    </row>
    <row r="907" spans="1:9" ht="21" customHeight="1">
      <c r="A907" s="120">
        <v>44858</v>
      </c>
      <c r="C907" s="131" t="s">
        <v>369</v>
      </c>
      <c r="D907" s="124"/>
      <c r="E907" s="125">
        <v>11785.9</v>
      </c>
      <c r="F907" s="117">
        <f t="shared" si="86"/>
        <v>0</v>
      </c>
      <c r="G907" s="118">
        <f t="shared" si="91"/>
        <v>0</v>
      </c>
      <c r="H907" s="496">
        <f t="shared" si="88"/>
        <v>70.715400000000002</v>
      </c>
      <c r="I907" s="119">
        <f t="shared" si="90"/>
        <v>2440491.2314499966</v>
      </c>
    </row>
    <row r="908" spans="1:9" ht="21" customHeight="1">
      <c r="A908" s="120">
        <v>44859</v>
      </c>
      <c r="C908" s="131" t="s">
        <v>366</v>
      </c>
      <c r="D908" s="486">
        <v>850000</v>
      </c>
      <c r="E908" s="124"/>
      <c r="F908" s="117">
        <f t="shared" si="86"/>
        <v>0</v>
      </c>
      <c r="G908" s="495">
        <f t="shared" si="91"/>
        <v>5100</v>
      </c>
      <c r="H908" s="118">
        <f t="shared" si="88"/>
        <v>0</v>
      </c>
      <c r="I908" s="119">
        <f t="shared" si="90"/>
        <v>3285391.2314499966</v>
      </c>
    </row>
    <row r="909" spans="1:9" ht="21" customHeight="1">
      <c r="A909" s="120">
        <v>44862</v>
      </c>
      <c r="B909" s="146"/>
      <c r="C909" s="15" t="s">
        <v>452</v>
      </c>
      <c r="D909" s="121"/>
      <c r="E909" s="486">
        <v>4125</v>
      </c>
      <c r="F909" s="117">
        <f t="shared" ref="F909:F972" si="92">D909*0%</f>
        <v>0</v>
      </c>
      <c r="G909" s="118">
        <f t="shared" si="91"/>
        <v>0</v>
      </c>
      <c r="H909" s="118">
        <f t="shared" si="88"/>
        <v>24.75</v>
      </c>
      <c r="I909" s="119">
        <f t="shared" si="90"/>
        <v>3281241.4814499966</v>
      </c>
    </row>
    <row r="910" spans="1:9" ht="21" customHeight="1">
      <c r="A910" s="120">
        <v>44862</v>
      </c>
      <c r="B910" s="146"/>
      <c r="C910" s="15" t="s">
        <v>107</v>
      </c>
      <c r="D910" s="121"/>
      <c r="E910" s="486">
        <v>61.88</v>
      </c>
      <c r="F910" s="117">
        <f t="shared" si="92"/>
        <v>0</v>
      </c>
      <c r="G910" s="118">
        <f t="shared" si="91"/>
        <v>0</v>
      </c>
      <c r="H910" s="118">
        <f t="shared" si="88"/>
        <v>0.37128</v>
      </c>
      <c r="I910" s="119">
        <f t="shared" si="90"/>
        <v>3281179.2301699966</v>
      </c>
    </row>
    <row r="911" spans="1:9" ht="21" customHeight="1">
      <c r="A911" s="120">
        <v>44862</v>
      </c>
      <c r="B911" s="146"/>
      <c r="C911" s="15" t="s">
        <v>110</v>
      </c>
      <c r="D911" s="121"/>
      <c r="E911" s="486">
        <v>866.25</v>
      </c>
      <c r="F911" s="117">
        <f t="shared" si="92"/>
        <v>0</v>
      </c>
      <c r="G911" s="118">
        <f t="shared" si="91"/>
        <v>0</v>
      </c>
      <c r="H911" s="118">
        <f t="shared" si="88"/>
        <v>5.1974999999999998</v>
      </c>
      <c r="I911" s="119">
        <f t="shared" si="90"/>
        <v>3280307.7826699968</v>
      </c>
    </row>
    <row r="912" spans="1:9" ht="21" customHeight="1">
      <c r="A912" s="120">
        <v>44862</v>
      </c>
      <c r="B912" s="146"/>
      <c r="C912" s="15" t="s">
        <v>458</v>
      </c>
      <c r="D912" s="121"/>
      <c r="E912" s="486">
        <v>123.75</v>
      </c>
      <c r="F912" s="117">
        <f t="shared" si="92"/>
        <v>0</v>
      </c>
      <c r="G912" s="118">
        <f t="shared" si="91"/>
        <v>0</v>
      </c>
      <c r="H912" s="118">
        <f t="shared" si="88"/>
        <v>0.74250000000000005</v>
      </c>
      <c r="I912" s="119">
        <f t="shared" si="90"/>
        <v>3280183.2901699967</v>
      </c>
    </row>
    <row r="913" spans="1:9" ht="21" customHeight="1">
      <c r="A913" s="120">
        <v>44862</v>
      </c>
      <c r="C913" s="131" t="s">
        <v>460</v>
      </c>
      <c r="D913" s="124"/>
      <c r="E913" s="486">
        <v>94</v>
      </c>
      <c r="F913" s="117">
        <f t="shared" si="92"/>
        <v>0</v>
      </c>
      <c r="G913" s="118">
        <f t="shared" si="91"/>
        <v>0</v>
      </c>
      <c r="H913" s="118">
        <f t="shared" si="88"/>
        <v>0.56400000000000006</v>
      </c>
      <c r="I913" s="119">
        <f t="shared" si="90"/>
        <v>3280088.7261699969</v>
      </c>
    </row>
    <row r="914" spans="1:9" ht="21" customHeight="1">
      <c r="A914" s="120">
        <v>44862</v>
      </c>
      <c r="C914" s="15" t="s">
        <v>110</v>
      </c>
      <c r="D914" s="124"/>
      <c r="E914" s="486">
        <v>19.739999999999998</v>
      </c>
      <c r="F914" s="117">
        <f t="shared" si="92"/>
        <v>0</v>
      </c>
      <c r="G914" s="118">
        <f t="shared" si="91"/>
        <v>0</v>
      </c>
      <c r="H914" s="118">
        <f t="shared" si="88"/>
        <v>0.11843999999999999</v>
      </c>
      <c r="I914" s="119">
        <f t="shared" si="90"/>
        <v>3280068.8677299968</v>
      </c>
    </row>
    <row r="915" spans="1:9" ht="21" customHeight="1">
      <c r="A915" s="120">
        <v>44859</v>
      </c>
      <c r="B915" s="146">
        <v>456</v>
      </c>
      <c r="C915" s="131" t="s">
        <v>370</v>
      </c>
      <c r="D915" s="124"/>
      <c r="E915" s="486">
        <v>680000</v>
      </c>
      <c r="F915" s="117">
        <f t="shared" si="92"/>
        <v>0</v>
      </c>
      <c r="G915" s="118">
        <f t="shared" si="91"/>
        <v>0</v>
      </c>
      <c r="H915" s="495">
        <f t="shared" si="88"/>
        <v>4080</v>
      </c>
      <c r="I915" s="119">
        <f t="shared" si="90"/>
        <v>2595988.8677299968</v>
      </c>
    </row>
    <row r="916" spans="1:9" ht="21" customHeight="1">
      <c r="A916" s="120">
        <v>44853</v>
      </c>
      <c r="B916" s="146">
        <v>454</v>
      </c>
      <c r="C916" s="131" t="s">
        <v>370</v>
      </c>
      <c r="D916" s="124"/>
      <c r="E916" s="486">
        <v>660000</v>
      </c>
      <c r="F916" s="117">
        <f t="shared" si="92"/>
        <v>0</v>
      </c>
      <c r="G916" s="118">
        <f t="shared" si="91"/>
        <v>0</v>
      </c>
      <c r="H916" s="495">
        <f t="shared" si="88"/>
        <v>3960</v>
      </c>
      <c r="I916" s="119">
        <f t="shared" si="90"/>
        <v>1932028.8677299968</v>
      </c>
    </row>
    <row r="917" spans="1:9" ht="21" customHeight="1">
      <c r="A917" s="562"/>
      <c r="B917" s="563"/>
      <c r="C917" s="564"/>
      <c r="D917" s="565"/>
      <c r="E917" s="565"/>
      <c r="F917" s="566">
        <f t="shared" si="92"/>
        <v>0</v>
      </c>
      <c r="G917" s="566">
        <f t="shared" si="91"/>
        <v>0</v>
      </c>
      <c r="H917" s="566">
        <f t="shared" si="88"/>
        <v>0</v>
      </c>
      <c r="I917" s="567">
        <f t="shared" si="90"/>
        <v>1932028.8677299968</v>
      </c>
    </row>
    <row r="918" spans="1:9" ht="21" customHeight="1">
      <c r="A918" s="120">
        <v>44866</v>
      </c>
      <c r="B918" s="146"/>
      <c r="C918" s="15" t="s">
        <v>368</v>
      </c>
      <c r="D918" s="486">
        <v>2000000</v>
      </c>
      <c r="E918" s="124"/>
      <c r="F918" s="118">
        <f t="shared" si="92"/>
        <v>0</v>
      </c>
      <c r="G918" s="495">
        <f t="shared" si="91"/>
        <v>12000</v>
      </c>
      <c r="H918" s="118">
        <f t="shared" si="88"/>
        <v>0</v>
      </c>
      <c r="I918" s="119">
        <f t="shared" si="90"/>
        <v>3920028.8677299968</v>
      </c>
    </row>
    <row r="919" spans="1:9" ht="21" customHeight="1">
      <c r="A919" s="120">
        <v>44866</v>
      </c>
      <c r="B919" s="146"/>
      <c r="C919" s="15" t="s">
        <v>368</v>
      </c>
      <c r="D919" s="486">
        <v>2000000</v>
      </c>
      <c r="E919" s="124"/>
      <c r="F919" s="118">
        <f t="shared" si="92"/>
        <v>0</v>
      </c>
      <c r="G919" s="495">
        <f t="shared" si="91"/>
        <v>12000</v>
      </c>
      <c r="H919" s="118">
        <f t="shared" si="88"/>
        <v>0</v>
      </c>
      <c r="I919" s="119">
        <f t="shared" si="90"/>
        <v>5908028.8677299973</v>
      </c>
    </row>
    <row r="920" spans="1:9" ht="21" customHeight="1">
      <c r="A920" s="120">
        <v>44866</v>
      </c>
      <c r="B920" s="146"/>
      <c r="C920" s="15" t="s">
        <v>368</v>
      </c>
      <c r="D920" s="486">
        <v>2075000</v>
      </c>
      <c r="E920" s="124"/>
      <c r="F920" s="118">
        <f t="shared" si="92"/>
        <v>0</v>
      </c>
      <c r="G920" s="495">
        <f t="shared" si="91"/>
        <v>12450</v>
      </c>
      <c r="H920" s="118">
        <f t="shared" si="88"/>
        <v>0</v>
      </c>
      <c r="I920" s="119">
        <f t="shared" si="90"/>
        <v>7970578.8677299973</v>
      </c>
    </row>
    <row r="921" spans="1:9" ht="21" customHeight="1">
      <c r="A921" s="120">
        <v>44867</v>
      </c>
      <c r="B921" s="146"/>
      <c r="C921" s="131" t="s">
        <v>371</v>
      </c>
      <c r="D921" s="124"/>
      <c r="E921" s="500">
        <v>1200000</v>
      </c>
      <c r="F921" s="118">
        <f t="shared" si="92"/>
        <v>0</v>
      </c>
      <c r="G921" s="118">
        <f t="shared" si="91"/>
        <v>0</v>
      </c>
      <c r="H921" s="495">
        <f t="shared" ref="H921:H923" si="93">E921*0.006+F921*0.006</f>
        <v>7200</v>
      </c>
      <c r="I921" s="119">
        <f t="shared" si="90"/>
        <v>6763378.8677299973</v>
      </c>
    </row>
    <row r="922" spans="1:9" ht="21" customHeight="1">
      <c r="A922" s="120">
        <v>44867</v>
      </c>
      <c r="B922" s="146"/>
      <c r="C922" s="131" t="s">
        <v>371</v>
      </c>
      <c r="D922" s="121"/>
      <c r="E922" s="500">
        <v>1800000</v>
      </c>
      <c r="F922" s="117">
        <f t="shared" si="92"/>
        <v>0</v>
      </c>
      <c r="G922" s="118">
        <f t="shared" si="91"/>
        <v>0</v>
      </c>
      <c r="H922" s="495">
        <f t="shared" si="93"/>
        <v>10800</v>
      </c>
      <c r="I922" s="119">
        <f t="shared" si="90"/>
        <v>4952578.8677299973</v>
      </c>
    </row>
    <row r="923" spans="1:9" ht="21" customHeight="1">
      <c r="A923" s="120">
        <v>44867</v>
      </c>
      <c r="B923" s="146"/>
      <c r="C923" s="123" t="s">
        <v>372</v>
      </c>
      <c r="D923" s="121"/>
      <c r="E923" s="500">
        <v>728.86</v>
      </c>
      <c r="F923" s="117">
        <f t="shared" si="92"/>
        <v>0</v>
      </c>
      <c r="G923" s="118">
        <f t="shared" si="91"/>
        <v>0</v>
      </c>
      <c r="H923" s="495">
        <f t="shared" si="93"/>
        <v>4.3731600000000004</v>
      </c>
      <c r="I923" s="119">
        <f t="shared" si="90"/>
        <v>4951845.634569997</v>
      </c>
    </row>
    <row r="924" spans="1:9" ht="21" customHeight="1">
      <c r="A924" s="120">
        <v>44868</v>
      </c>
      <c r="B924" s="146" t="s">
        <v>337</v>
      </c>
      <c r="C924" s="131" t="s">
        <v>371</v>
      </c>
      <c r="D924" s="121"/>
      <c r="E924" s="500">
        <v>1600000</v>
      </c>
      <c r="F924" s="117">
        <f t="shared" si="92"/>
        <v>0</v>
      </c>
      <c r="G924" s="118">
        <f t="shared" si="91"/>
        <v>0</v>
      </c>
      <c r="H924" s="495">
        <f>E924*0.006+F924*0.006</f>
        <v>9600</v>
      </c>
      <c r="I924" s="119">
        <f t="shared" si="90"/>
        <v>3342245.634569997</v>
      </c>
    </row>
    <row r="925" spans="1:9" ht="21" customHeight="1">
      <c r="A925" s="120">
        <v>44868</v>
      </c>
      <c r="B925" s="146" t="s">
        <v>337</v>
      </c>
      <c r="C925" s="131" t="s">
        <v>371</v>
      </c>
      <c r="D925" s="124"/>
      <c r="E925" s="500">
        <v>1400000</v>
      </c>
      <c r="F925" s="117">
        <f t="shared" si="92"/>
        <v>0</v>
      </c>
      <c r="G925" s="118">
        <f t="shared" si="91"/>
        <v>0</v>
      </c>
      <c r="H925" s="495">
        <f>E925*0.006+F925*0.006</f>
        <v>8400</v>
      </c>
      <c r="I925" s="119">
        <f t="shared" si="90"/>
        <v>1933845.634569997</v>
      </c>
    </row>
    <row r="926" spans="1:9" ht="21" customHeight="1">
      <c r="A926" s="120">
        <v>44868</v>
      </c>
      <c r="B926" s="146"/>
      <c r="C926" s="131" t="s">
        <v>373</v>
      </c>
      <c r="D926" s="124"/>
      <c r="E926" s="500">
        <v>9440.3700000000008</v>
      </c>
      <c r="F926" s="117">
        <f t="shared" si="92"/>
        <v>0</v>
      </c>
      <c r="G926" s="118">
        <f t="shared" si="91"/>
        <v>0</v>
      </c>
      <c r="H926" s="495">
        <f>E926*0.006+F926*0.006</f>
        <v>56.642220000000009</v>
      </c>
      <c r="I926" s="119">
        <f t="shared" si="90"/>
        <v>1924348.6223499968</v>
      </c>
    </row>
    <row r="927" spans="1:9" ht="21" customHeight="1">
      <c r="A927" s="120">
        <v>44868</v>
      </c>
      <c r="B927" s="146"/>
      <c r="C927" s="131" t="s">
        <v>374</v>
      </c>
      <c r="D927" s="124"/>
      <c r="E927" s="500">
        <v>17894.82</v>
      </c>
      <c r="F927" s="117">
        <f t="shared" si="92"/>
        <v>0</v>
      </c>
      <c r="G927" s="118">
        <f t="shared" si="91"/>
        <v>0</v>
      </c>
      <c r="H927" s="495">
        <f>E927*0.006+F927*0.006</f>
        <v>107.36892</v>
      </c>
      <c r="I927" s="119">
        <f t="shared" si="90"/>
        <v>1906346.4334299967</v>
      </c>
    </row>
    <row r="928" spans="1:9" ht="21" customHeight="1">
      <c r="A928" s="120">
        <v>44854</v>
      </c>
      <c r="B928" s="146">
        <v>450</v>
      </c>
      <c r="C928" s="131" t="s">
        <v>375</v>
      </c>
      <c r="D928" s="124"/>
      <c r="E928" s="500">
        <v>1000000</v>
      </c>
      <c r="F928" s="117">
        <f t="shared" si="92"/>
        <v>0</v>
      </c>
      <c r="G928" s="118">
        <f t="shared" si="91"/>
        <v>0</v>
      </c>
      <c r="H928" s="495">
        <f t="shared" ref="H928:H991" si="94">E928*0.006+F928*0.006</f>
        <v>6000</v>
      </c>
      <c r="I928" s="119">
        <f t="shared" si="90"/>
        <v>900346.43342999672</v>
      </c>
    </row>
    <row r="929" spans="1:9" ht="21" customHeight="1">
      <c r="A929" s="120">
        <v>44870</v>
      </c>
      <c r="B929" s="146"/>
      <c r="C929" s="501" t="s">
        <v>376</v>
      </c>
      <c r="D929" s="500">
        <v>220000</v>
      </c>
      <c r="E929" s="497"/>
      <c r="F929" s="117">
        <f t="shared" si="92"/>
        <v>0</v>
      </c>
      <c r="G929" s="495">
        <f t="shared" si="91"/>
        <v>1320</v>
      </c>
      <c r="H929" s="118">
        <f t="shared" si="94"/>
        <v>0</v>
      </c>
      <c r="I929" s="119">
        <f t="shared" si="90"/>
        <v>1119026.4334299967</v>
      </c>
    </row>
    <row r="930" spans="1:9" ht="21" customHeight="1">
      <c r="A930" s="120">
        <v>44872</v>
      </c>
      <c r="B930" s="146"/>
      <c r="C930" s="131" t="s">
        <v>377</v>
      </c>
      <c r="D930" s="500">
        <v>1000000</v>
      </c>
      <c r="E930" s="497"/>
      <c r="F930" s="117">
        <f t="shared" si="92"/>
        <v>0</v>
      </c>
      <c r="G930" s="495">
        <f t="shared" si="91"/>
        <v>6000</v>
      </c>
      <c r="H930" s="118">
        <f t="shared" si="94"/>
        <v>0</v>
      </c>
      <c r="I930" s="119">
        <f t="shared" si="90"/>
        <v>2113026.4334299965</v>
      </c>
    </row>
    <row r="931" spans="1:9" ht="21" customHeight="1">
      <c r="A931" s="120">
        <v>44872</v>
      </c>
      <c r="B931" s="146">
        <v>451</v>
      </c>
      <c r="C931" s="502" t="s">
        <v>375</v>
      </c>
      <c r="D931" s="124"/>
      <c r="E931" s="500">
        <v>1000000</v>
      </c>
      <c r="F931" s="117">
        <f t="shared" si="92"/>
        <v>0</v>
      </c>
      <c r="G931" s="118">
        <f t="shared" si="91"/>
        <v>0</v>
      </c>
      <c r="H931" s="118">
        <f t="shared" si="94"/>
        <v>6000</v>
      </c>
      <c r="I931" s="119">
        <f t="shared" si="90"/>
        <v>1107026.4334299965</v>
      </c>
    </row>
    <row r="932" spans="1:9" ht="21" customHeight="1">
      <c r="A932" s="120">
        <v>44873</v>
      </c>
      <c r="B932" s="146"/>
      <c r="C932" s="131" t="s">
        <v>378</v>
      </c>
      <c r="D932" s="500">
        <v>150000</v>
      </c>
      <c r="E932" s="497"/>
      <c r="F932" s="117">
        <f t="shared" si="92"/>
        <v>0</v>
      </c>
      <c r="G932" s="118">
        <f t="shared" si="91"/>
        <v>900</v>
      </c>
      <c r="H932" s="118">
        <f t="shared" si="94"/>
        <v>0</v>
      </c>
      <c r="I932" s="119">
        <f t="shared" si="90"/>
        <v>1256126.4334299965</v>
      </c>
    </row>
    <row r="933" spans="1:9" ht="21" customHeight="1">
      <c r="A933" s="120">
        <v>44873</v>
      </c>
      <c r="B933" s="146"/>
      <c r="C933" s="131" t="s">
        <v>378</v>
      </c>
      <c r="D933" s="500">
        <v>8020</v>
      </c>
      <c r="E933" s="124"/>
      <c r="F933" s="117">
        <f t="shared" si="92"/>
        <v>0</v>
      </c>
      <c r="G933" s="118">
        <f t="shared" si="91"/>
        <v>48.120000000000005</v>
      </c>
      <c r="H933" s="118">
        <f t="shared" si="94"/>
        <v>0</v>
      </c>
      <c r="I933" s="119">
        <f t="shared" si="90"/>
        <v>1264098.3134299964</v>
      </c>
    </row>
    <row r="934" spans="1:9" ht="21" customHeight="1">
      <c r="A934" s="120">
        <v>44875</v>
      </c>
      <c r="B934" s="146"/>
      <c r="C934" s="144" t="s">
        <v>355</v>
      </c>
      <c r="D934" s="500">
        <v>282446.78999999998</v>
      </c>
      <c r="E934" s="124"/>
      <c r="F934" s="117">
        <f t="shared" si="92"/>
        <v>0</v>
      </c>
      <c r="G934" s="118"/>
      <c r="H934" s="118">
        <f t="shared" si="94"/>
        <v>0</v>
      </c>
      <c r="I934" s="119">
        <f t="shared" si="90"/>
        <v>1546545.1034299964</v>
      </c>
    </row>
    <row r="935" spans="1:9" ht="21" customHeight="1">
      <c r="A935" s="120">
        <v>44875</v>
      </c>
      <c r="B935" s="148" t="s">
        <v>461</v>
      </c>
      <c r="C935" s="168" t="s">
        <v>450</v>
      </c>
      <c r="D935" s="124"/>
      <c r="E935" s="500">
        <v>122738</v>
      </c>
      <c r="F935" s="117">
        <f t="shared" si="92"/>
        <v>0</v>
      </c>
      <c r="G935" s="118">
        <f t="shared" ref="G935:G936" si="95">D935*0.006</f>
        <v>0</v>
      </c>
      <c r="H935" s="495">
        <f t="shared" si="94"/>
        <v>736.428</v>
      </c>
      <c r="I935" s="119">
        <f t="shared" si="90"/>
        <v>1423070.6754299963</v>
      </c>
    </row>
    <row r="936" spans="1:9" ht="21" customHeight="1">
      <c r="A936" s="120">
        <v>44879</v>
      </c>
      <c r="B936" s="146"/>
      <c r="C936" s="131" t="s">
        <v>377</v>
      </c>
      <c r="D936" s="500">
        <v>1000000</v>
      </c>
      <c r="E936" s="124"/>
      <c r="F936" s="117">
        <f t="shared" si="92"/>
        <v>0</v>
      </c>
      <c r="G936" s="495">
        <f t="shared" si="95"/>
        <v>6000</v>
      </c>
      <c r="H936" s="118">
        <f t="shared" si="94"/>
        <v>0</v>
      </c>
      <c r="I936" s="119">
        <f t="shared" si="90"/>
        <v>2417070.6754299961</v>
      </c>
    </row>
    <row r="937" spans="1:9" ht="21" customHeight="1">
      <c r="A937" s="120">
        <v>44880</v>
      </c>
      <c r="B937" s="146"/>
      <c r="C937" s="131" t="s">
        <v>379</v>
      </c>
      <c r="D937" s="500">
        <v>900000</v>
      </c>
      <c r="E937" s="124"/>
      <c r="F937" s="117">
        <f t="shared" si="92"/>
        <v>0</v>
      </c>
      <c r="G937" s="495">
        <f t="shared" si="91"/>
        <v>5400</v>
      </c>
      <c r="H937" s="118">
        <f t="shared" si="94"/>
        <v>0</v>
      </c>
      <c r="I937" s="119">
        <f t="shared" si="90"/>
        <v>3311670.6754299961</v>
      </c>
    </row>
    <row r="938" spans="1:9" ht="21" customHeight="1">
      <c r="A938" s="120">
        <v>44881</v>
      </c>
      <c r="B938" s="146"/>
      <c r="C938" s="131" t="s">
        <v>380</v>
      </c>
      <c r="D938" s="500">
        <v>223066.09</v>
      </c>
      <c r="E938" s="124"/>
      <c r="F938" s="117">
        <f t="shared" si="92"/>
        <v>0</v>
      </c>
      <c r="G938" s="118"/>
      <c r="H938" s="118">
        <f t="shared" si="94"/>
        <v>0</v>
      </c>
      <c r="I938" s="119">
        <f t="shared" si="90"/>
        <v>3534736.765429996</v>
      </c>
    </row>
    <row r="939" spans="1:9" ht="21" customHeight="1">
      <c r="A939" s="120">
        <v>44881</v>
      </c>
      <c r="B939" s="146"/>
      <c r="C939" s="168" t="s">
        <v>381</v>
      </c>
      <c r="D939" s="124"/>
      <c r="E939" s="500">
        <v>60455.040000000001</v>
      </c>
      <c r="F939" s="117">
        <f t="shared" si="92"/>
        <v>0</v>
      </c>
      <c r="G939" s="118">
        <f t="shared" ref="G939:G1002" si="96">D939*0.006</f>
        <v>0</v>
      </c>
      <c r="H939" s="495">
        <f t="shared" si="94"/>
        <v>362.73024000000004</v>
      </c>
      <c r="I939" s="119">
        <f t="shared" si="90"/>
        <v>3473918.995189996</v>
      </c>
    </row>
    <row r="940" spans="1:9" ht="21" customHeight="1">
      <c r="A940" s="120">
        <v>44882</v>
      </c>
      <c r="B940" s="146"/>
      <c r="C940" s="131" t="s">
        <v>379</v>
      </c>
      <c r="D940" s="500">
        <v>1050000</v>
      </c>
      <c r="E940" s="124"/>
      <c r="F940" s="117">
        <f t="shared" si="92"/>
        <v>0</v>
      </c>
      <c r="G940" s="495">
        <f t="shared" si="96"/>
        <v>6300</v>
      </c>
      <c r="H940" s="118">
        <f t="shared" si="94"/>
        <v>0</v>
      </c>
      <c r="I940" s="119">
        <f t="shared" si="90"/>
        <v>4517618.9951899964</v>
      </c>
    </row>
    <row r="941" spans="1:9" ht="21" customHeight="1">
      <c r="A941" s="120">
        <v>44882</v>
      </c>
      <c r="B941" s="146"/>
      <c r="C941" s="131" t="s">
        <v>382</v>
      </c>
      <c r="D941" s="124"/>
      <c r="E941" s="486">
        <v>51776</v>
      </c>
      <c r="F941" s="117">
        <f t="shared" si="92"/>
        <v>0</v>
      </c>
      <c r="G941" s="118">
        <f t="shared" si="96"/>
        <v>0</v>
      </c>
      <c r="H941" s="495">
        <f t="shared" si="94"/>
        <v>310.65600000000001</v>
      </c>
      <c r="I941" s="119">
        <f t="shared" si="90"/>
        <v>4465532.339189996</v>
      </c>
    </row>
    <row r="942" spans="1:9" ht="21" customHeight="1">
      <c r="A942" s="120">
        <v>44882</v>
      </c>
      <c r="B942" s="146" t="s">
        <v>462</v>
      </c>
      <c r="C942" s="131" t="s">
        <v>383</v>
      </c>
      <c r="D942" s="124"/>
      <c r="E942" s="486">
        <v>16005</v>
      </c>
      <c r="F942" s="117">
        <f t="shared" si="92"/>
        <v>0</v>
      </c>
      <c r="G942" s="118">
        <f t="shared" si="96"/>
        <v>0</v>
      </c>
      <c r="H942" s="495">
        <f t="shared" si="94"/>
        <v>96.03</v>
      </c>
      <c r="I942" s="119">
        <f t="shared" si="90"/>
        <v>4449431.3091899958</v>
      </c>
    </row>
    <row r="943" spans="1:9" ht="21" customHeight="1">
      <c r="A943" s="120">
        <v>44855</v>
      </c>
      <c r="B943" s="146">
        <v>455</v>
      </c>
      <c r="C943" s="131" t="s">
        <v>370</v>
      </c>
      <c r="D943" s="124"/>
      <c r="E943" s="500">
        <v>660000</v>
      </c>
      <c r="F943" s="117">
        <f t="shared" si="92"/>
        <v>0</v>
      </c>
      <c r="G943" s="118">
        <f t="shared" si="96"/>
        <v>0</v>
      </c>
      <c r="H943" s="495">
        <f t="shared" si="94"/>
        <v>3960</v>
      </c>
      <c r="I943" s="119">
        <f t="shared" si="90"/>
        <v>3785471.3091899958</v>
      </c>
    </row>
    <row r="944" spans="1:9" ht="21" customHeight="1">
      <c r="A944" s="120">
        <v>44880</v>
      </c>
      <c r="B944" s="148">
        <v>433</v>
      </c>
      <c r="C944" s="131" t="s">
        <v>346</v>
      </c>
      <c r="D944" s="124"/>
      <c r="E944" s="500">
        <v>500000</v>
      </c>
      <c r="F944" s="117">
        <f t="shared" si="92"/>
        <v>0</v>
      </c>
      <c r="G944" s="118">
        <f t="shared" si="96"/>
        <v>0</v>
      </c>
      <c r="H944" s="495">
        <f t="shared" si="94"/>
        <v>3000</v>
      </c>
      <c r="I944" s="119">
        <f t="shared" si="90"/>
        <v>3282471.3091899958</v>
      </c>
    </row>
    <row r="945" spans="1:9" ht="21" customHeight="1">
      <c r="A945" s="120">
        <v>44881</v>
      </c>
      <c r="B945" s="148">
        <v>434</v>
      </c>
      <c r="C945" s="131" t="s">
        <v>346</v>
      </c>
      <c r="D945" s="124"/>
      <c r="E945" s="500">
        <v>500000</v>
      </c>
      <c r="F945" s="117">
        <f t="shared" si="92"/>
        <v>0</v>
      </c>
      <c r="G945" s="118">
        <f t="shared" si="96"/>
        <v>0</v>
      </c>
      <c r="H945" s="495">
        <f t="shared" si="94"/>
        <v>3000</v>
      </c>
      <c r="I945" s="119">
        <f t="shared" si="90"/>
        <v>2779471.3091899958</v>
      </c>
    </row>
    <row r="946" spans="1:9" ht="21" customHeight="1">
      <c r="A946" s="120">
        <v>44882</v>
      </c>
      <c r="C946" s="131" t="s">
        <v>379</v>
      </c>
      <c r="D946" s="500">
        <v>1000000</v>
      </c>
      <c r="E946" s="124"/>
      <c r="F946" s="117">
        <f t="shared" si="92"/>
        <v>0</v>
      </c>
      <c r="G946" s="495">
        <f t="shared" si="96"/>
        <v>6000</v>
      </c>
      <c r="H946" s="118">
        <f t="shared" si="94"/>
        <v>0</v>
      </c>
      <c r="I946" s="119">
        <f t="shared" ref="I946:I1006" si="97">I945+D946-E946-F946-G946-H946</f>
        <v>3773471.3091899958</v>
      </c>
    </row>
    <row r="947" spans="1:9" ht="21" customHeight="1">
      <c r="A947" s="120">
        <v>44883</v>
      </c>
      <c r="C947" s="131" t="s">
        <v>379</v>
      </c>
      <c r="D947" s="500">
        <v>2000000</v>
      </c>
      <c r="E947" s="497"/>
      <c r="F947" s="117">
        <f t="shared" si="92"/>
        <v>0</v>
      </c>
      <c r="G947" s="495">
        <f t="shared" si="96"/>
        <v>12000</v>
      </c>
      <c r="H947" s="118">
        <f t="shared" si="94"/>
        <v>0</v>
      </c>
      <c r="I947" s="119">
        <f t="shared" si="97"/>
        <v>5761471.3091899958</v>
      </c>
    </row>
    <row r="948" spans="1:9" ht="21" customHeight="1">
      <c r="A948" s="120">
        <v>44883</v>
      </c>
      <c r="B948" s="148">
        <v>436</v>
      </c>
      <c r="C948" s="131" t="s">
        <v>346</v>
      </c>
      <c r="D948" s="124"/>
      <c r="E948" s="486">
        <v>419918.37</v>
      </c>
      <c r="F948" s="117">
        <f t="shared" si="92"/>
        <v>0</v>
      </c>
      <c r="G948" s="118">
        <f t="shared" si="96"/>
        <v>0</v>
      </c>
      <c r="H948" s="495">
        <f t="shared" si="94"/>
        <v>2519.5102200000001</v>
      </c>
      <c r="I948" s="119">
        <f t="shared" si="97"/>
        <v>5339033.4289699961</v>
      </c>
    </row>
    <row r="949" spans="1:9" ht="21" customHeight="1">
      <c r="A949" s="120">
        <v>44887</v>
      </c>
      <c r="C949" s="131" t="s">
        <v>379</v>
      </c>
      <c r="D949" s="500">
        <v>800000</v>
      </c>
      <c r="E949" s="124"/>
      <c r="F949" s="117">
        <f t="shared" si="92"/>
        <v>0</v>
      </c>
      <c r="G949" s="495">
        <f t="shared" si="96"/>
        <v>4800</v>
      </c>
      <c r="H949" s="118">
        <f t="shared" si="94"/>
        <v>0</v>
      </c>
      <c r="I949" s="119">
        <f t="shared" si="97"/>
        <v>6134233.4289699961</v>
      </c>
    </row>
    <row r="950" spans="1:9" ht="21" customHeight="1">
      <c r="A950" s="120">
        <v>44887</v>
      </c>
      <c r="B950" s="561"/>
      <c r="C950" s="131" t="s">
        <v>379</v>
      </c>
      <c r="D950" s="500">
        <v>800000</v>
      </c>
      <c r="E950" s="503"/>
      <c r="F950" s="117">
        <f t="shared" si="92"/>
        <v>0</v>
      </c>
      <c r="G950" s="495">
        <f t="shared" si="96"/>
        <v>4800</v>
      </c>
      <c r="H950" s="118">
        <f t="shared" si="94"/>
        <v>0</v>
      </c>
      <c r="I950" s="119">
        <f t="shared" si="97"/>
        <v>6929433.4289699961</v>
      </c>
    </row>
    <row r="951" spans="1:9" ht="21" customHeight="1">
      <c r="A951" s="120">
        <v>44883</v>
      </c>
      <c r="B951" s="146">
        <v>441</v>
      </c>
      <c r="C951" s="15" t="s">
        <v>350</v>
      </c>
      <c r="D951" s="124"/>
      <c r="E951" s="486">
        <v>500000</v>
      </c>
      <c r="F951" s="117">
        <f t="shared" si="92"/>
        <v>0</v>
      </c>
      <c r="G951" s="118">
        <f t="shared" si="96"/>
        <v>0</v>
      </c>
      <c r="H951" s="495">
        <f t="shared" si="94"/>
        <v>3000</v>
      </c>
      <c r="I951" s="119">
        <f t="shared" si="97"/>
        <v>6426433.4289699961</v>
      </c>
    </row>
    <row r="952" spans="1:9" ht="21" customHeight="1">
      <c r="A952" s="120">
        <v>44882</v>
      </c>
      <c r="B952" s="146">
        <v>452</v>
      </c>
      <c r="C952" s="15" t="s">
        <v>375</v>
      </c>
      <c r="D952" s="124"/>
      <c r="E952" s="486">
        <v>1000000</v>
      </c>
      <c r="F952" s="117">
        <f t="shared" si="92"/>
        <v>0</v>
      </c>
      <c r="G952" s="118">
        <f t="shared" si="96"/>
        <v>0</v>
      </c>
      <c r="H952" s="495">
        <f t="shared" si="94"/>
        <v>6000</v>
      </c>
      <c r="I952" s="119">
        <f t="shared" si="97"/>
        <v>5420433.4289699961</v>
      </c>
    </row>
    <row r="953" spans="1:9" ht="21" customHeight="1">
      <c r="A953" s="120">
        <v>44882</v>
      </c>
      <c r="B953" s="148">
        <v>435</v>
      </c>
      <c r="C953" s="15" t="s">
        <v>346</v>
      </c>
      <c r="D953" s="124"/>
      <c r="E953" s="486">
        <v>500000</v>
      </c>
      <c r="F953" s="117">
        <f t="shared" si="92"/>
        <v>0</v>
      </c>
      <c r="G953" s="118">
        <f t="shared" si="96"/>
        <v>0</v>
      </c>
      <c r="H953" s="495">
        <f t="shared" si="94"/>
        <v>3000</v>
      </c>
      <c r="I953" s="119">
        <f t="shared" si="97"/>
        <v>4917433.4289699961</v>
      </c>
    </row>
    <row r="954" spans="1:9" ht="21" customHeight="1">
      <c r="A954" s="120">
        <v>44888</v>
      </c>
      <c r="B954" s="146" t="s">
        <v>337</v>
      </c>
      <c r="C954" s="15" t="s">
        <v>384</v>
      </c>
      <c r="D954" s="191"/>
      <c r="E954" s="504">
        <v>111991.31</v>
      </c>
      <c r="F954" s="117">
        <f t="shared" si="92"/>
        <v>0</v>
      </c>
      <c r="G954" s="118">
        <f t="shared" si="96"/>
        <v>0</v>
      </c>
      <c r="H954" s="495">
        <f t="shared" si="94"/>
        <v>671.94785999999999</v>
      </c>
      <c r="I954" s="119">
        <f t="shared" si="97"/>
        <v>4804770.1711099967</v>
      </c>
    </row>
    <row r="955" spans="1:9" ht="21" customHeight="1">
      <c r="A955" s="120">
        <v>44888</v>
      </c>
      <c r="B955" s="146"/>
      <c r="C955" s="131" t="s">
        <v>379</v>
      </c>
      <c r="D955" s="500">
        <v>950000</v>
      </c>
      <c r="E955" s="497"/>
      <c r="F955" s="117">
        <f t="shared" si="92"/>
        <v>0</v>
      </c>
      <c r="G955" s="495">
        <f t="shared" si="96"/>
        <v>5700</v>
      </c>
      <c r="H955" s="118">
        <f t="shared" si="94"/>
        <v>0</v>
      </c>
      <c r="I955" s="119">
        <f t="shared" si="97"/>
        <v>5749070.1711099967</v>
      </c>
    </row>
    <row r="956" spans="1:9" ht="21" customHeight="1">
      <c r="A956" s="120">
        <v>44893</v>
      </c>
      <c r="B956" s="561"/>
      <c r="C956" s="131" t="s">
        <v>379</v>
      </c>
      <c r="D956" s="500">
        <v>900000</v>
      </c>
      <c r="E956" s="497"/>
      <c r="F956" s="117">
        <f t="shared" si="92"/>
        <v>0</v>
      </c>
      <c r="G956" s="495">
        <f t="shared" si="96"/>
        <v>5400</v>
      </c>
      <c r="H956" s="118">
        <f t="shared" si="94"/>
        <v>0</v>
      </c>
      <c r="I956" s="119">
        <f t="shared" si="97"/>
        <v>6643670.1711099967</v>
      </c>
    </row>
    <row r="957" spans="1:9" ht="21" customHeight="1">
      <c r="A957" s="120">
        <v>44894</v>
      </c>
      <c r="B957" s="146"/>
      <c r="C957" s="131" t="s">
        <v>463</v>
      </c>
      <c r="D957" s="124"/>
      <c r="E957" s="500">
        <v>4125</v>
      </c>
      <c r="F957" s="117">
        <f t="shared" si="92"/>
        <v>0</v>
      </c>
      <c r="G957" s="118">
        <f t="shared" si="96"/>
        <v>0</v>
      </c>
      <c r="H957" s="495">
        <f t="shared" si="94"/>
        <v>24.75</v>
      </c>
      <c r="I957" s="119">
        <f t="shared" si="97"/>
        <v>6639520.4211099967</v>
      </c>
    </row>
    <row r="958" spans="1:9" ht="21" customHeight="1">
      <c r="A958" s="120">
        <v>44894</v>
      </c>
      <c r="B958" s="146"/>
      <c r="C958" s="131" t="s">
        <v>107</v>
      </c>
      <c r="D958" s="124"/>
      <c r="E958" s="500">
        <v>61.88</v>
      </c>
      <c r="F958" s="117">
        <f t="shared" si="92"/>
        <v>0</v>
      </c>
      <c r="G958" s="118">
        <f t="shared" si="96"/>
        <v>0</v>
      </c>
      <c r="H958" s="495">
        <f t="shared" si="94"/>
        <v>0.37128</v>
      </c>
      <c r="I958" s="119">
        <f t="shared" si="97"/>
        <v>6639458.1698299972</v>
      </c>
    </row>
    <row r="959" spans="1:9" ht="21" customHeight="1">
      <c r="A959" s="120">
        <v>44894</v>
      </c>
      <c r="B959" s="146"/>
      <c r="C959" s="131" t="s">
        <v>110</v>
      </c>
      <c r="D959" s="124"/>
      <c r="E959" s="500">
        <v>866.25</v>
      </c>
      <c r="F959" s="117">
        <f t="shared" si="92"/>
        <v>0</v>
      </c>
      <c r="G959" s="118">
        <f t="shared" si="96"/>
        <v>0</v>
      </c>
      <c r="H959" s="495">
        <f t="shared" si="94"/>
        <v>5.1974999999999998</v>
      </c>
      <c r="I959" s="119">
        <f t="shared" si="97"/>
        <v>6638586.7223299975</v>
      </c>
    </row>
    <row r="960" spans="1:9" ht="21" customHeight="1">
      <c r="A960" s="120">
        <v>44894</v>
      </c>
      <c r="B960" s="146"/>
      <c r="C960" s="131" t="s">
        <v>453</v>
      </c>
      <c r="D960" s="124"/>
      <c r="E960" s="500">
        <v>123.75</v>
      </c>
      <c r="F960" s="117">
        <f t="shared" si="92"/>
        <v>0</v>
      </c>
      <c r="G960" s="118">
        <f t="shared" si="96"/>
        <v>0</v>
      </c>
      <c r="H960" s="495">
        <f t="shared" si="94"/>
        <v>0.74250000000000005</v>
      </c>
      <c r="I960" s="119">
        <f t="shared" si="97"/>
        <v>6638462.2298299978</v>
      </c>
    </row>
    <row r="961" spans="1:9" ht="21" customHeight="1">
      <c r="A961" s="120">
        <v>44894</v>
      </c>
      <c r="B961" s="146">
        <v>453</v>
      </c>
      <c r="C961" s="131" t="s">
        <v>375</v>
      </c>
      <c r="D961" s="124"/>
      <c r="E961" s="486">
        <v>1000000</v>
      </c>
      <c r="F961" s="117">
        <f t="shared" si="92"/>
        <v>0</v>
      </c>
      <c r="G961" s="118">
        <f t="shared" si="96"/>
        <v>0</v>
      </c>
      <c r="H961" s="495">
        <f t="shared" si="94"/>
        <v>6000</v>
      </c>
      <c r="I961" s="119">
        <f t="shared" si="97"/>
        <v>5632462.2298299978</v>
      </c>
    </row>
    <row r="962" spans="1:9" ht="21" customHeight="1">
      <c r="A962" s="120">
        <v>44882</v>
      </c>
      <c r="B962" s="146">
        <v>457</v>
      </c>
      <c r="C962" s="15" t="s">
        <v>370</v>
      </c>
      <c r="D962" s="124"/>
      <c r="E962" s="486">
        <v>700000</v>
      </c>
      <c r="F962" s="117">
        <f t="shared" si="92"/>
        <v>0</v>
      </c>
      <c r="G962" s="118">
        <f t="shared" si="96"/>
        <v>0</v>
      </c>
      <c r="H962" s="495">
        <f t="shared" si="94"/>
        <v>4200</v>
      </c>
      <c r="I962" s="119">
        <f t="shared" si="97"/>
        <v>4928262.2298299978</v>
      </c>
    </row>
    <row r="963" spans="1:9" ht="21" customHeight="1">
      <c r="A963" s="120">
        <v>44883</v>
      </c>
      <c r="B963" s="561">
        <v>462</v>
      </c>
      <c r="C963" s="15" t="s">
        <v>385</v>
      </c>
      <c r="D963" s="121"/>
      <c r="E963" s="486">
        <v>730000</v>
      </c>
      <c r="F963" s="117">
        <f t="shared" si="92"/>
        <v>0</v>
      </c>
      <c r="G963" s="118">
        <f t="shared" si="96"/>
        <v>0</v>
      </c>
      <c r="H963" s="495">
        <f t="shared" si="94"/>
        <v>4380</v>
      </c>
      <c r="I963" s="119">
        <f t="shared" si="97"/>
        <v>4193882.2298299978</v>
      </c>
    </row>
    <row r="964" spans="1:9" ht="21" customHeight="1">
      <c r="A964" s="505">
        <v>44900</v>
      </c>
      <c r="B964" s="561"/>
      <c r="C964" s="15" t="s">
        <v>386</v>
      </c>
      <c r="D964" s="121"/>
      <c r="E964" s="486">
        <v>9337.14</v>
      </c>
      <c r="F964" s="117">
        <f t="shared" si="92"/>
        <v>0</v>
      </c>
      <c r="G964" s="118">
        <f t="shared" si="96"/>
        <v>0</v>
      </c>
      <c r="H964" s="495">
        <f t="shared" si="94"/>
        <v>56.022839999999995</v>
      </c>
      <c r="I964" s="119">
        <f t="shared" si="97"/>
        <v>4184489.0669899974</v>
      </c>
    </row>
    <row r="965" spans="1:9" ht="21" customHeight="1">
      <c r="A965" s="120">
        <v>44900</v>
      </c>
      <c r="B965" s="561"/>
      <c r="C965" s="15" t="s">
        <v>387</v>
      </c>
      <c r="D965" s="121"/>
      <c r="E965" s="486">
        <v>19272.740000000002</v>
      </c>
      <c r="F965" s="117">
        <f t="shared" si="92"/>
        <v>0</v>
      </c>
      <c r="G965" s="118">
        <f t="shared" si="96"/>
        <v>0</v>
      </c>
      <c r="H965" s="495">
        <f t="shared" si="94"/>
        <v>115.63644000000001</v>
      </c>
      <c r="I965" s="119">
        <f t="shared" si="97"/>
        <v>4165100.6905499971</v>
      </c>
    </row>
    <row r="966" spans="1:9" ht="21" customHeight="1">
      <c r="A966" s="120">
        <v>44900</v>
      </c>
      <c r="B966" s="561"/>
      <c r="C966" s="15" t="s">
        <v>388</v>
      </c>
      <c r="D966" s="121"/>
      <c r="E966" s="486">
        <v>8928.93</v>
      </c>
      <c r="F966" s="117">
        <f t="shared" si="92"/>
        <v>0</v>
      </c>
      <c r="G966" s="118">
        <f t="shared" si="96"/>
        <v>0</v>
      </c>
      <c r="H966" s="495">
        <f t="shared" si="94"/>
        <v>53.57358</v>
      </c>
      <c r="I966" s="119">
        <f t="shared" si="97"/>
        <v>4156118.1869699969</v>
      </c>
    </row>
    <row r="967" spans="1:9" ht="21" customHeight="1">
      <c r="A967" s="120">
        <v>44902</v>
      </c>
      <c r="B967" s="561"/>
      <c r="C967" s="131" t="s">
        <v>352</v>
      </c>
      <c r="D967" s="486">
        <v>200000</v>
      </c>
      <c r="E967" s="497"/>
      <c r="F967" s="117">
        <f t="shared" si="92"/>
        <v>0</v>
      </c>
      <c r="G967" s="495">
        <f t="shared" si="96"/>
        <v>1200</v>
      </c>
      <c r="H967" s="118">
        <f t="shared" si="94"/>
        <v>0</v>
      </c>
      <c r="I967" s="119">
        <f t="shared" si="97"/>
        <v>4354918.1869699974</v>
      </c>
    </row>
    <row r="968" spans="1:9" ht="21" customHeight="1">
      <c r="A968" s="120">
        <v>44907</v>
      </c>
      <c r="B968" s="561"/>
      <c r="C968" s="131" t="s">
        <v>389</v>
      </c>
      <c r="D968" s="486">
        <v>304471.02</v>
      </c>
      <c r="E968" s="497"/>
      <c r="F968" s="117">
        <f t="shared" si="92"/>
        <v>0</v>
      </c>
      <c r="G968" s="118"/>
      <c r="H968" s="118">
        <f t="shared" si="94"/>
        <v>0</v>
      </c>
      <c r="I968" s="119">
        <f t="shared" si="97"/>
        <v>4659389.2069699969</v>
      </c>
    </row>
    <row r="969" spans="1:9" ht="21" customHeight="1">
      <c r="A969" s="120">
        <v>44907</v>
      </c>
      <c r="B969" s="561"/>
      <c r="C969" s="131" t="s">
        <v>342</v>
      </c>
      <c r="D969" s="486">
        <v>400000</v>
      </c>
      <c r="E969" s="497"/>
      <c r="F969" s="117">
        <f t="shared" si="92"/>
        <v>0</v>
      </c>
      <c r="G969" s="495">
        <f t="shared" ref="G969:G974" si="98">D969*0.006</f>
        <v>2400</v>
      </c>
      <c r="H969" s="118">
        <f t="shared" si="94"/>
        <v>0</v>
      </c>
      <c r="I969" s="119">
        <f t="shared" si="97"/>
        <v>5056989.2069699969</v>
      </c>
    </row>
    <row r="970" spans="1:9" ht="21" customHeight="1">
      <c r="A970" s="120">
        <v>44907</v>
      </c>
      <c r="B970" s="561"/>
      <c r="C970" s="131" t="s">
        <v>342</v>
      </c>
      <c r="D970" s="486">
        <v>7490.61</v>
      </c>
      <c r="E970" s="497"/>
      <c r="F970" s="117">
        <f t="shared" si="92"/>
        <v>0</v>
      </c>
      <c r="G970" s="495">
        <f t="shared" si="98"/>
        <v>44.943660000000001</v>
      </c>
      <c r="H970" s="118">
        <f t="shared" si="94"/>
        <v>0</v>
      </c>
      <c r="I970" s="119">
        <f t="shared" si="97"/>
        <v>5064434.8733099969</v>
      </c>
    </row>
    <row r="971" spans="1:9" ht="21" customHeight="1">
      <c r="A971" s="120">
        <v>44887</v>
      </c>
      <c r="B971" s="146">
        <v>458</v>
      </c>
      <c r="C971" s="15" t="s">
        <v>370</v>
      </c>
      <c r="D971" s="124"/>
      <c r="E971" s="486">
        <v>706000</v>
      </c>
      <c r="F971" s="117">
        <f t="shared" si="92"/>
        <v>0</v>
      </c>
      <c r="G971" s="118">
        <f t="shared" si="98"/>
        <v>0</v>
      </c>
      <c r="H971" s="495">
        <f t="shared" si="94"/>
        <v>4236</v>
      </c>
      <c r="I971" s="119">
        <f t="shared" si="97"/>
        <v>4354198.8733099969</v>
      </c>
    </row>
    <row r="972" spans="1:9" ht="21" customHeight="1">
      <c r="A972" s="120">
        <v>44887</v>
      </c>
      <c r="B972" s="561">
        <v>463</v>
      </c>
      <c r="C972" s="15" t="s">
        <v>385</v>
      </c>
      <c r="D972" s="124"/>
      <c r="E972" s="486">
        <v>730000</v>
      </c>
      <c r="F972" s="117">
        <f t="shared" si="92"/>
        <v>0</v>
      </c>
      <c r="G972" s="118">
        <f t="shared" si="98"/>
        <v>0</v>
      </c>
      <c r="H972" s="495">
        <f t="shared" si="94"/>
        <v>4380</v>
      </c>
      <c r="I972" s="119">
        <f t="shared" si="97"/>
        <v>3619818.8733099969</v>
      </c>
    </row>
    <row r="973" spans="1:9" ht="21" customHeight="1">
      <c r="A973" s="120">
        <v>44889</v>
      </c>
      <c r="B973" s="561">
        <v>464</v>
      </c>
      <c r="C973" s="123" t="s">
        <v>385</v>
      </c>
      <c r="E973" s="486">
        <v>730000</v>
      </c>
      <c r="F973" s="117">
        <f t="shared" ref="F973:F1006" si="99">D973*0%</f>
        <v>0</v>
      </c>
      <c r="G973" s="118">
        <f t="shared" si="98"/>
        <v>0</v>
      </c>
      <c r="H973" s="495">
        <f t="shared" si="94"/>
        <v>4380</v>
      </c>
      <c r="I973" s="119">
        <f t="shared" si="97"/>
        <v>2885438.8733099969</v>
      </c>
    </row>
    <row r="974" spans="1:9" ht="21" customHeight="1">
      <c r="A974" s="120">
        <v>44908</v>
      </c>
      <c r="B974" s="561"/>
      <c r="C974" s="131" t="s">
        <v>352</v>
      </c>
      <c r="D974" s="486">
        <v>350000</v>
      </c>
      <c r="E974" s="497"/>
      <c r="F974" s="117">
        <f t="shared" si="99"/>
        <v>0</v>
      </c>
      <c r="G974" s="495">
        <f t="shared" si="98"/>
        <v>2100</v>
      </c>
      <c r="H974" s="118">
        <f t="shared" si="94"/>
        <v>0</v>
      </c>
      <c r="I974" s="119">
        <f t="shared" si="97"/>
        <v>3233338.8733099969</v>
      </c>
    </row>
    <row r="975" spans="1:9" ht="21" customHeight="1">
      <c r="A975" s="120">
        <v>44883</v>
      </c>
      <c r="B975" s="146">
        <v>269</v>
      </c>
      <c r="C975" s="15" t="s">
        <v>390</v>
      </c>
      <c r="D975" s="486">
        <v>297000</v>
      </c>
      <c r="E975" s="486">
        <v>297000</v>
      </c>
      <c r="F975" s="117">
        <f t="shared" si="99"/>
        <v>0</v>
      </c>
      <c r="G975" s="118"/>
      <c r="H975" s="495"/>
      <c r="I975" s="119">
        <f t="shared" si="97"/>
        <v>3233338.8733099969</v>
      </c>
    </row>
    <row r="976" spans="1:9" ht="21" customHeight="1">
      <c r="A976" s="120">
        <v>44884</v>
      </c>
      <c r="B976" s="146">
        <v>270</v>
      </c>
      <c r="C976" s="15" t="s">
        <v>390</v>
      </c>
      <c r="D976" s="486">
        <v>297000</v>
      </c>
      <c r="E976" s="486">
        <v>297000</v>
      </c>
      <c r="F976" s="117">
        <f t="shared" si="99"/>
        <v>0</v>
      </c>
      <c r="G976" s="118"/>
      <c r="H976" s="495"/>
      <c r="I976" s="119">
        <f t="shared" si="97"/>
        <v>3233338.8733099969</v>
      </c>
    </row>
    <row r="977" spans="1:9" ht="21" customHeight="1">
      <c r="A977" s="120">
        <v>44881</v>
      </c>
      <c r="B977" s="146">
        <v>265</v>
      </c>
      <c r="C977" s="15" t="s">
        <v>391</v>
      </c>
      <c r="D977" s="124"/>
      <c r="E977" s="486">
        <v>594000</v>
      </c>
      <c r="F977" s="117">
        <f t="shared" si="99"/>
        <v>0</v>
      </c>
      <c r="G977" s="118">
        <f t="shared" ref="G977:G979" si="100">D977*0.006</f>
        <v>0</v>
      </c>
      <c r="H977" s="495">
        <f t="shared" ref="H977:H979" si="101">E977*0.006+F977*0.006</f>
        <v>3564</v>
      </c>
      <c r="I977" s="119">
        <f t="shared" si="97"/>
        <v>2635774.8733099969</v>
      </c>
    </row>
    <row r="978" spans="1:9" ht="21" customHeight="1">
      <c r="A978" s="120">
        <v>44880</v>
      </c>
      <c r="B978" s="146">
        <v>266</v>
      </c>
      <c r="C978" s="15" t="s">
        <v>392</v>
      </c>
      <c r="D978" s="124"/>
      <c r="E978" s="486">
        <v>594000</v>
      </c>
      <c r="F978" s="117">
        <f t="shared" si="99"/>
        <v>0</v>
      </c>
      <c r="G978" s="118">
        <f t="shared" si="100"/>
        <v>0</v>
      </c>
      <c r="H978" s="495">
        <f t="shared" si="101"/>
        <v>3564</v>
      </c>
      <c r="I978" s="119">
        <f t="shared" si="97"/>
        <v>2038210.8733099969</v>
      </c>
    </row>
    <row r="979" spans="1:9" ht="21" customHeight="1">
      <c r="A979" s="120">
        <v>44908</v>
      </c>
      <c r="B979" s="561">
        <v>465</v>
      </c>
      <c r="C979" s="168" t="s">
        <v>385</v>
      </c>
      <c r="D979" s="124"/>
      <c r="E979" s="486">
        <v>730000</v>
      </c>
      <c r="F979" s="117">
        <f t="shared" si="99"/>
        <v>0</v>
      </c>
      <c r="G979" s="118">
        <f t="shared" si="100"/>
        <v>0</v>
      </c>
      <c r="H979" s="495">
        <f t="shared" si="101"/>
        <v>4380</v>
      </c>
      <c r="I979" s="119">
        <f t="shared" si="97"/>
        <v>1303830.8733099969</v>
      </c>
    </row>
    <row r="980" spans="1:9" ht="21" customHeight="1">
      <c r="A980" s="120">
        <v>44909</v>
      </c>
      <c r="B980" s="146"/>
      <c r="C980" s="123" t="s">
        <v>393</v>
      </c>
      <c r="E980" s="486">
        <v>17022.240000000002</v>
      </c>
      <c r="F980" s="117">
        <f t="shared" si="99"/>
        <v>0</v>
      </c>
      <c r="G980" s="118">
        <f t="shared" si="96"/>
        <v>0</v>
      </c>
      <c r="H980" s="495">
        <f t="shared" si="94"/>
        <v>102.13344000000001</v>
      </c>
      <c r="I980" s="119">
        <f t="shared" si="97"/>
        <v>1286706.4998699969</v>
      </c>
    </row>
    <row r="981" spans="1:9" ht="21" customHeight="1">
      <c r="A981" s="120">
        <v>44909</v>
      </c>
      <c r="B981" s="146"/>
      <c r="C981" s="131" t="s">
        <v>352</v>
      </c>
      <c r="D981" s="486">
        <v>800000</v>
      </c>
      <c r="E981" s="124"/>
      <c r="F981" s="117">
        <f t="shared" si="99"/>
        <v>0</v>
      </c>
      <c r="G981" s="495">
        <f t="shared" si="96"/>
        <v>4800</v>
      </c>
      <c r="H981" s="118">
        <f t="shared" si="94"/>
        <v>0</v>
      </c>
      <c r="I981" s="119">
        <f t="shared" si="97"/>
        <v>2081906.4998699969</v>
      </c>
    </row>
    <row r="982" spans="1:9" ht="21" customHeight="1">
      <c r="A982" s="120">
        <v>44910</v>
      </c>
      <c r="C982" s="131" t="s">
        <v>352</v>
      </c>
      <c r="D982" s="486">
        <v>650000</v>
      </c>
      <c r="E982" s="506"/>
      <c r="F982" s="117">
        <f t="shared" si="99"/>
        <v>0</v>
      </c>
      <c r="G982" s="495">
        <f t="shared" si="96"/>
        <v>3900</v>
      </c>
      <c r="H982" s="118">
        <f t="shared" si="94"/>
        <v>0</v>
      </c>
      <c r="I982" s="119">
        <f t="shared" si="97"/>
        <v>2728006.4998699967</v>
      </c>
    </row>
    <row r="983" spans="1:9" ht="21" customHeight="1">
      <c r="A983" s="120">
        <v>44910</v>
      </c>
      <c r="B983" s="561"/>
      <c r="C983" s="131" t="s">
        <v>352</v>
      </c>
      <c r="D983" s="486">
        <v>650000</v>
      </c>
      <c r="E983" s="506"/>
      <c r="F983" s="117">
        <f t="shared" si="99"/>
        <v>0</v>
      </c>
      <c r="G983" s="495">
        <f t="shared" si="96"/>
        <v>3900</v>
      </c>
      <c r="H983" s="118">
        <f t="shared" si="94"/>
        <v>0</v>
      </c>
      <c r="I983" s="119">
        <f t="shared" si="97"/>
        <v>3374106.4998699967</v>
      </c>
    </row>
    <row r="984" spans="1:9" ht="21" customHeight="1">
      <c r="A984" s="120">
        <v>44910</v>
      </c>
      <c r="B984" s="146">
        <v>442</v>
      </c>
      <c r="C984" s="168" t="s">
        <v>350</v>
      </c>
      <c r="D984" s="124"/>
      <c r="E984" s="486">
        <v>500000</v>
      </c>
      <c r="F984" s="117">
        <f t="shared" si="99"/>
        <v>0</v>
      </c>
      <c r="G984" s="118">
        <f t="shared" si="96"/>
        <v>0</v>
      </c>
      <c r="H984" s="495">
        <f t="shared" si="94"/>
        <v>3000</v>
      </c>
      <c r="I984" s="119">
        <f t="shared" si="97"/>
        <v>2871106.4998699967</v>
      </c>
    </row>
    <row r="985" spans="1:9" ht="21" customHeight="1">
      <c r="A985" s="120">
        <v>44911</v>
      </c>
      <c r="B985" s="561"/>
      <c r="C985" s="168" t="s">
        <v>464</v>
      </c>
      <c r="D985" s="124"/>
      <c r="E985" s="507">
        <v>50000</v>
      </c>
      <c r="F985" s="117">
        <f t="shared" si="99"/>
        <v>0</v>
      </c>
      <c r="G985" s="118">
        <f t="shared" si="96"/>
        <v>0</v>
      </c>
      <c r="H985" s="118"/>
      <c r="I985" s="119">
        <f t="shared" si="97"/>
        <v>2821106.4998699967</v>
      </c>
    </row>
    <row r="986" spans="1:9" ht="21" customHeight="1">
      <c r="A986" s="120">
        <v>44911</v>
      </c>
      <c r="B986" s="561"/>
      <c r="C986" s="131" t="s">
        <v>352</v>
      </c>
      <c r="D986" s="486">
        <v>950000</v>
      </c>
      <c r="E986" s="506"/>
      <c r="F986" s="117">
        <f t="shared" si="99"/>
        <v>0</v>
      </c>
      <c r="G986" s="495">
        <f t="shared" si="96"/>
        <v>5700</v>
      </c>
      <c r="H986" s="118">
        <f t="shared" ref="H986" si="102">E986*0.006+F986*0.006</f>
        <v>0</v>
      </c>
      <c r="I986" s="119">
        <f t="shared" si="97"/>
        <v>3765406.4998699967</v>
      </c>
    </row>
    <row r="987" spans="1:9" ht="21" customHeight="1">
      <c r="A987" s="120">
        <v>44911</v>
      </c>
      <c r="B987" s="146">
        <v>443</v>
      </c>
      <c r="C987" s="168" t="s">
        <v>350</v>
      </c>
      <c r="D987" s="124"/>
      <c r="E987" s="486">
        <v>500000</v>
      </c>
      <c r="F987" s="117">
        <f t="shared" si="99"/>
        <v>0</v>
      </c>
      <c r="G987" s="118">
        <f t="shared" si="96"/>
        <v>0</v>
      </c>
      <c r="H987" s="495">
        <f t="shared" si="94"/>
        <v>3000</v>
      </c>
      <c r="I987" s="119">
        <f t="shared" si="97"/>
        <v>3262406.4998699967</v>
      </c>
    </row>
    <row r="988" spans="1:9" ht="21" customHeight="1">
      <c r="A988" s="120">
        <v>44914</v>
      </c>
      <c r="B988" s="561"/>
      <c r="C988" s="131" t="s">
        <v>394</v>
      </c>
      <c r="D988" s="486">
        <v>240460</v>
      </c>
      <c r="E988" s="506"/>
      <c r="F988" s="117">
        <f t="shared" si="99"/>
        <v>0</v>
      </c>
      <c r="G988" s="118"/>
      <c r="H988" s="118">
        <f t="shared" si="94"/>
        <v>0</v>
      </c>
      <c r="I988" s="119">
        <f t="shared" si="97"/>
        <v>3502866.4998699967</v>
      </c>
    </row>
    <row r="989" spans="1:9" ht="21" customHeight="1">
      <c r="A989" s="120">
        <v>44915</v>
      </c>
      <c r="B989" s="146"/>
      <c r="C989" s="168" t="s">
        <v>395</v>
      </c>
      <c r="D989" s="486">
        <v>1500000</v>
      </c>
      <c r="E989" s="506"/>
      <c r="F989" s="117">
        <f t="shared" si="99"/>
        <v>0</v>
      </c>
      <c r="G989" s="495">
        <f t="shared" si="96"/>
        <v>9000</v>
      </c>
      <c r="H989" s="118">
        <f t="shared" si="94"/>
        <v>0</v>
      </c>
      <c r="I989" s="119">
        <f t="shared" si="97"/>
        <v>4993866.4998699967</v>
      </c>
    </row>
    <row r="990" spans="1:9" ht="21" customHeight="1">
      <c r="A990" s="120">
        <v>44916</v>
      </c>
      <c r="B990" s="146"/>
      <c r="C990" s="168" t="s">
        <v>352</v>
      </c>
      <c r="D990" s="486">
        <v>1800000</v>
      </c>
      <c r="E990" s="506"/>
      <c r="F990" s="117">
        <f t="shared" si="99"/>
        <v>0</v>
      </c>
      <c r="G990" s="495">
        <f t="shared" si="96"/>
        <v>10800</v>
      </c>
      <c r="H990" s="118">
        <f t="shared" si="94"/>
        <v>0</v>
      </c>
      <c r="I990" s="119">
        <f t="shared" si="97"/>
        <v>6783066.4998699967</v>
      </c>
    </row>
    <row r="991" spans="1:9" ht="21" customHeight="1">
      <c r="A991" s="120">
        <v>44915</v>
      </c>
      <c r="B991" s="146">
        <v>444</v>
      </c>
      <c r="C991" s="168" t="s">
        <v>350</v>
      </c>
      <c r="D991" s="124"/>
      <c r="E991" s="486">
        <v>500000</v>
      </c>
      <c r="F991" s="117">
        <f t="shared" si="99"/>
        <v>0</v>
      </c>
      <c r="G991" s="118">
        <f t="shared" si="96"/>
        <v>0</v>
      </c>
      <c r="H991" s="496">
        <f t="shared" si="94"/>
        <v>3000</v>
      </c>
      <c r="I991" s="119">
        <f t="shared" si="97"/>
        <v>6280066.4998699967</v>
      </c>
    </row>
    <row r="992" spans="1:9" ht="21" customHeight="1">
      <c r="A992" s="120">
        <v>44915</v>
      </c>
      <c r="B992" s="146">
        <v>461</v>
      </c>
      <c r="C992" s="168" t="s">
        <v>370</v>
      </c>
      <c r="D992" s="124"/>
      <c r="E992" s="486">
        <v>729581.28</v>
      </c>
      <c r="F992" s="117">
        <f t="shared" si="99"/>
        <v>0</v>
      </c>
      <c r="G992" s="118">
        <f t="shared" si="96"/>
        <v>0</v>
      </c>
      <c r="H992" s="496">
        <f t="shared" ref="H992:H1005" si="103">E992*0.006+F992*0.006</f>
        <v>4377.4876800000002</v>
      </c>
      <c r="I992" s="119">
        <f t="shared" si="97"/>
        <v>5546107.7321899962</v>
      </c>
    </row>
    <row r="993" spans="1:10" ht="21" customHeight="1">
      <c r="A993" s="120">
        <v>44922</v>
      </c>
      <c r="C993" s="15" t="s">
        <v>396</v>
      </c>
      <c r="D993" s="508">
        <f>600000*2</f>
        <v>1200000</v>
      </c>
      <c r="E993" s="211"/>
      <c r="F993" s="117">
        <f t="shared" si="99"/>
        <v>0</v>
      </c>
      <c r="G993" s="496">
        <f t="shared" si="96"/>
        <v>7200</v>
      </c>
      <c r="H993" s="118">
        <f t="shared" si="103"/>
        <v>0</v>
      </c>
      <c r="I993" s="119">
        <f t="shared" si="97"/>
        <v>6738907.7321899962</v>
      </c>
    </row>
    <row r="994" spans="1:10" ht="21" customHeight="1">
      <c r="A994" s="120">
        <v>44923</v>
      </c>
      <c r="C994" s="15" t="s">
        <v>397</v>
      </c>
      <c r="D994" s="124"/>
      <c r="E994" s="509">
        <v>51776</v>
      </c>
      <c r="F994" s="117">
        <f t="shared" si="99"/>
        <v>0</v>
      </c>
      <c r="G994" s="118">
        <f t="shared" si="96"/>
        <v>0</v>
      </c>
      <c r="H994" s="496">
        <f t="shared" si="103"/>
        <v>310.65600000000001</v>
      </c>
      <c r="I994" s="119">
        <f t="shared" si="97"/>
        <v>6686821.0761899957</v>
      </c>
    </row>
    <row r="995" spans="1:10" ht="21" customHeight="1">
      <c r="A995" s="120">
        <v>44923</v>
      </c>
      <c r="B995" s="146" t="s">
        <v>465</v>
      </c>
      <c r="C995" s="15" t="s">
        <v>398</v>
      </c>
      <c r="D995" s="124"/>
      <c r="E995" s="509">
        <v>16005</v>
      </c>
      <c r="F995" s="117">
        <f t="shared" si="99"/>
        <v>0</v>
      </c>
      <c r="G995" s="118">
        <f t="shared" si="96"/>
        <v>0</v>
      </c>
      <c r="H995" s="496">
        <f t="shared" si="103"/>
        <v>96.03</v>
      </c>
      <c r="I995" s="119">
        <f t="shared" si="97"/>
        <v>6670720.0461899955</v>
      </c>
    </row>
    <row r="996" spans="1:10" ht="21" customHeight="1">
      <c r="A996" s="120">
        <v>44923</v>
      </c>
      <c r="B996" s="568"/>
      <c r="C996" s="15" t="s">
        <v>399</v>
      </c>
      <c r="D996" s="211"/>
      <c r="E996" s="509">
        <v>122738</v>
      </c>
      <c r="F996" s="117">
        <f t="shared" si="99"/>
        <v>0</v>
      </c>
      <c r="G996" s="118">
        <f t="shared" si="96"/>
        <v>0</v>
      </c>
      <c r="H996" s="496">
        <f t="shared" si="103"/>
        <v>736.428</v>
      </c>
      <c r="I996" s="119">
        <f t="shared" si="97"/>
        <v>6547245.6181899952</v>
      </c>
    </row>
    <row r="997" spans="1:10" ht="21" customHeight="1">
      <c r="A997" s="120">
        <v>44924</v>
      </c>
      <c r="B997" s="568"/>
      <c r="C997" s="131" t="s">
        <v>463</v>
      </c>
      <c r="D997" s="124"/>
      <c r="E997" s="500">
        <v>4125</v>
      </c>
      <c r="F997" s="117">
        <f t="shared" si="99"/>
        <v>0</v>
      </c>
      <c r="G997" s="118">
        <f t="shared" si="96"/>
        <v>0</v>
      </c>
      <c r="H997" s="554">
        <f t="shared" si="103"/>
        <v>24.75</v>
      </c>
      <c r="I997" s="119">
        <f t="shared" si="97"/>
        <v>6543095.8681899952</v>
      </c>
    </row>
    <row r="998" spans="1:10" ht="21" customHeight="1">
      <c r="A998" s="120">
        <v>44924</v>
      </c>
      <c r="B998" s="568"/>
      <c r="C998" s="131" t="s">
        <v>107</v>
      </c>
      <c r="D998" s="124"/>
      <c r="E998" s="500">
        <v>61.88</v>
      </c>
      <c r="F998" s="117">
        <f t="shared" si="99"/>
        <v>0</v>
      </c>
      <c r="G998" s="118">
        <f t="shared" si="96"/>
        <v>0</v>
      </c>
      <c r="H998" s="554">
        <f t="shared" si="103"/>
        <v>0.37128</v>
      </c>
      <c r="I998" s="119">
        <f t="shared" si="97"/>
        <v>6543033.6169099957</v>
      </c>
    </row>
    <row r="999" spans="1:10" ht="21" customHeight="1">
      <c r="A999" s="120">
        <v>44924</v>
      </c>
      <c r="B999" s="568"/>
      <c r="C999" s="131" t="s">
        <v>110</v>
      </c>
      <c r="D999" s="124"/>
      <c r="E999" s="500">
        <v>866.25</v>
      </c>
      <c r="F999" s="117">
        <f t="shared" si="99"/>
        <v>0</v>
      </c>
      <c r="G999" s="118">
        <f t="shared" si="96"/>
        <v>0</v>
      </c>
      <c r="H999" s="554">
        <f t="shared" si="103"/>
        <v>5.1974999999999998</v>
      </c>
      <c r="I999" s="119">
        <f t="shared" si="97"/>
        <v>6542162.1694099959</v>
      </c>
    </row>
    <row r="1000" spans="1:10" ht="21" customHeight="1">
      <c r="A1000" s="120">
        <v>44924</v>
      </c>
      <c r="B1000" s="568"/>
      <c r="C1000" s="131" t="s">
        <v>453</v>
      </c>
      <c r="D1000" s="124"/>
      <c r="E1000" s="500">
        <v>123.75</v>
      </c>
      <c r="F1000" s="117">
        <f t="shared" si="99"/>
        <v>0</v>
      </c>
      <c r="G1000" s="118">
        <f t="shared" si="96"/>
        <v>0</v>
      </c>
      <c r="H1000" s="554">
        <f t="shared" si="103"/>
        <v>0.74250000000000005</v>
      </c>
      <c r="I1000" s="119">
        <f t="shared" si="97"/>
        <v>6542037.6769099962</v>
      </c>
    </row>
    <row r="1001" spans="1:10" ht="21" customHeight="1">
      <c r="A1001" s="164" t="s">
        <v>400</v>
      </c>
      <c r="B1001" s="569"/>
      <c r="C1001" s="570"/>
      <c r="D1001" s="167"/>
      <c r="E1001" s="510"/>
      <c r="F1001" s="511">
        <f t="shared" si="99"/>
        <v>0</v>
      </c>
      <c r="G1001" s="511">
        <f t="shared" si="96"/>
        <v>0</v>
      </c>
      <c r="H1001" s="511">
        <f t="shared" si="103"/>
        <v>0</v>
      </c>
      <c r="I1001" s="512">
        <f t="shared" si="97"/>
        <v>6542037.6769099962</v>
      </c>
      <c r="J1001" s="841"/>
    </row>
    <row r="1002" spans="1:10" ht="21" customHeight="1">
      <c r="A1002" s="120">
        <v>44928</v>
      </c>
      <c r="B1002" s="561"/>
      <c r="C1002" s="168" t="s">
        <v>401</v>
      </c>
      <c r="D1002" s="486">
        <v>257614.75</v>
      </c>
      <c r="E1002" s="513"/>
      <c r="F1002" s="117">
        <f t="shared" si="99"/>
        <v>0</v>
      </c>
      <c r="G1002" s="495">
        <f t="shared" si="96"/>
        <v>1545.6885</v>
      </c>
      <c r="H1002" s="118">
        <f t="shared" si="103"/>
        <v>0</v>
      </c>
      <c r="I1002" s="514">
        <f t="shared" si="97"/>
        <v>6798106.738409996</v>
      </c>
    </row>
    <row r="1003" spans="1:10" ht="21" customHeight="1">
      <c r="A1003" s="120">
        <v>44942</v>
      </c>
      <c r="B1003" s="148">
        <v>472</v>
      </c>
      <c r="C1003" s="168" t="s">
        <v>402</v>
      </c>
      <c r="D1003" s="124"/>
      <c r="E1003" s="513"/>
      <c r="F1003" s="117">
        <f t="shared" si="99"/>
        <v>0</v>
      </c>
      <c r="G1003" s="118">
        <f t="shared" ref="G1003:G1006" si="104">D1003*0.006</f>
        <v>0</v>
      </c>
      <c r="H1003" s="118">
        <f t="shared" si="103"/>
        <v>0</v>
      </c>
      <c r="I1003" s="119">
        <f t="shared" si="97"/>
        <v>6798106.738409996</v>
      </c>
    </row>
    <row r="1004" spans="1:10" ht="21" customHeight="1">
      <c r="A1004" s="120">
        <v>44956</v>
      </c>
      <c r="B1004" s="148">
        <v>471</v>
      </c>
      <c r="C1004" s="168" t="s">
        <v>402</v>
      </c>
      <c r="D1004" s="124"/>
      <c r="E1004" s="513"/>
      <c r="F1004" s="117">
        <f t="shared" si="99"/>
        <v>0</v>
      </c>
      <c r="G1004" s="118">
        <f t="shared" si="104"/>
        <v>0</v>
      </c>
      <c r="H1004" s="118">
        <f t="shared" si="103"/>
        <v>0</v>
      </c>
      <c r="I1004" s="119">
        <f t="shared" si="97"/>
        <v>6798106.738409996</v>
      </c>
    </row>
    <row r="1005" spans="1:10" ht="21" customHeight="1">
      <c r="A1005" s="120">
        <v>44925</v>
      </c>
      <c r="B1005" s="568">
        <v>30600755</v>
      </c>
      <c r="C1005" s="15" t="s">
        <v>403</v>
      </c>
      <c r="D1005" s="486">
        <v>64500</v>
      </c>
      <c r="E1005" s="513"/>
      <c r="F1005" s="117">
        <f t="shared" si="99"/>
        <v>0</v>
      </c>
      <c r="G1005" s="496">
        <f t="shared" si="104"/>
        <v>387</v>
      </c>
      <c r="H1005" s="118">
        <f t="shared" si="103"/>
        <v>0</v>
      </c>
      <c r="I1005" s="119">
        <f t="shared" si="97"/>
        <v>6862219.738409996</v>
      </c>
    </row>
    <row r="1006" spans="1:10" ht="21" customHeight="1">
      <c r="A1006" s="120">
        <v>44932</v>
      </c>
      <c r="B1006" s="561"/>
      <c r="C1006" s="15" t="s">
        <v>404</v>
      </c>
      <c r="D1006" s="124"/>
      <c r="E1006" s="486">
        <v>200000</v>
      </c>
      <c r="F1006" s="117">
        <f t="shared" si="99"/>
        <v>0</v>
      </c>
      <c r="G1006" s="118">
        <f t="shared" si="104"/>
        <v>0</v>
      </c>
      <c r="H1006" s="118"/>
      <c r="I1006" s="119">
        <f t="shared" si="97"/>
        <v>6662219.738409996</v>
      </c>
    </row>
    <row r="1007" spans="1:10" ht="21" customHeight="1">
      <c r="A1007" s="120">
        <v>44932</v>
      </c>
      <c r="B1007" s="568">
        <v>30600756</v>
      </c>
      <c r="C1007" s="571" t="s">
        <v>403</v>
      </c>
      <c r="D1007" s="486">
        <v>64500</v>
      </c>
      <c r="E1007" s="513"/>
      <c r="F1007" s="117">
        <f>D1007*0%</f>
        <v>0</v>
      </c>
      <c r="G1007" s="118">
        <f>D1007*0.006</f>
        <v>387</v>
      </c>
      <c r="H1007" s="118">
        <f>E1007*0.006+F1007*0.006</f>
        <v>0</v>
      </c>
      <c r="I1007" s="119">
        <f>I1006+D1007-E1007-F1007-G1007-H1007</f>
        <v>6726332.738409996</v>
      </c>
    </row>
    <row r="1008" spans="1:10" ht="21" customHeight="1">
      <c r="A1008" s="120">
        <v>44935</v>
      </c>
      <c r="B1008" s="561"/>
      <c r="C1008" s="131" t="s">
        <v>342</v>
      </c>
      <c r="D1008" s="486">
        <v>351000</v>
      </c>
      <c r="E1008" s="513"/>
      <c r="F1008" s="117">
        <f>D1008*0%</f>
        <v>0</v>
      </c>
      <c r="G1008" s="118">
        <f>D1008*0.006</f>
        <v>2106</v>
      </c>
      <c r="H1008" s="118">
        <f>E1008*0.006+F1008*0.006</f>
        <v>0</v>
      </c>
      <c r="I1008" s="119">
        <f>I1007+D1008-E1008-F1008-G1008-H1008</f>
        <v>7075226.738409996</v>
      </c>
    </row>
    <row r="1009" spans="1:9" ht="21" customHeight="1">
      <c r="A1009" s="120">
        <v>44935</v>
      </c>
      <c r="B1009" s="561"/>
      <c r="C1009" s="131" t="s">
        <v>342</v>
      </c>
      <c r="D1009" s="486">
        <v>85564.65</v>
      </c>
      <c r="E1009" s="513"/>
      <c r="F1009" s="117">
        <f>D1009*0%</f>
        <v>0</v>
      </c>
      <c r="G1009" s="496">
        <f>D1009*0.006</f>
        <v>513.38789999999995</v>
      </c>
      <c r="H1009" s="118">
        <f>E1009*0.006+F1009*0.006</f>
        <v>0</v>
      </c>
      <c r="I1009" s="119">
        <f>I1008+D1009-E1009-F1009-G1009-H1009</f>
        <v>7160278.000509996</v>
      </c>
    </row>
    <row r="1010" spans="1:9" ht="21" customHeight="1">
      <c r="A1010" s="120">
        <v>44936</v>
      </c>
      <c r="B1010" s="561"/>
      <c r="C1010" s="131" t="s">
        <v>389</v>
      </c>
      <c r="D1010" s="486">
        <v>326192.39</v>
      </c>
      <c r="E1010" s="513"/>
      <c r="F1010" s="117">
        <f>D1010*0%</f>
        <v>0</v>
      </c>
      <c r="G1010" s="118"/>
      <c r="H1010" s="118">
        <f>E1010*0.006+F1010*0.006</f>
        <v>0</v>
      </c>
      <c r="I1010" s="119">
        <f>I1009+D1010-E1010-F1010-G1010-H1010</f>
        <v>7486470.3905099956</v>
      </c>
    </row>
    <row r="1011" spans="1:9" ht="21" customHeight="1">
      <c r="A1011" s="120">
        <v>44936</v>
      </c>
      <c r="B1011" s="148" t="s">
        <v>466</v>
      </c>
      <c r="C1011" s="168" t="s">
        <v>450</v>
      </c>
      <c r="D1011" s="124"/>
      <c r="E1011" s="516">
        <v>122738</v>
      </c>
      <c r="F1011" s="117">
        <f>D1011*0%</f>
        <v>0</v>
      </c>
      <c r="G1011" s="118">
        <f>D1011*0.006</f>
        <v>0</v>
      </c>
      <c r="H1011" s="495">
        <f>E1011*0.006+F1011*0.006</f>
        <v>736.428</v>
      </c>
      <c r="I1011" s="119">
        <f>I1010+D1011-E1011-F1011-G1011-H1011</f>
        <v>7362995.9625099953</v>
      </c>
    </row>
    <row r="1012" spans="1:9" ht="21" customHeight="1">
      <c r="A1012" s="120">
        <v>44910</v>
      </c>
      <c r="B1012" s="561">
        <v>466</v>
      </c>
      <c r="C1012" s="168" t="s">
        <v>385</v>
      </c>
      <c r="D1012" s="513"/>
      <c r="E1012" s="516">
        <v>730000</v>
      </c>
      <c r="F1012" s="117">
        <f t="shared" ref="F1012:F1031" si="105">D1012*0%</f>
        <v>0</v>
      </c>
      <c r="G1012" s="118">
        <f t="shared" ref="G1012:G1031" si="106">D1012*0.006</f>
        <v>0</v>
      </c>
      <c r="H1012" s="495">
        <f t="shared" ref="H1012:H1031" si="107">E1012*0.006+F1012*0.006</f>
        <v>4380</v>
      </c>
      <c r="I1012" s="119">
        <f t="shared" ref="I1012:I1075" si="108">I1011+D1012-E1012-F1012-G1012-H1012</f>
        <v>6628615.9625099953</v>
      </c>
    </row>
    <row r="1013" spans="1:9" ht="21" customHeight="1">
      <c r="A1013" s="120">
        <v>44911</v>
      </c>
      <c r="B1013" s="146">
        <v>459</v>
      </c>
      <c r="C1013" s="168" t="s">
        <v>370</v>
      </c>
      <c r="D1013" s="124"/>
      <c r="E1013" s="516">
        <v>700000</v>
      </c>
      <c r="F1013" s="117">
        <f t="shared" si="105"/>
        <v>0</v>
      </c>
      <c r="G1013" s="118">
        <f t="shared" si="106"/>
        <v>0</v>
      </c>
      <c r="H1013" s="495">
        <f t="shared" si="107"/>
        <v>4200</v>
      </c>
      <c r="I1013" s="119">
        <f t="shared" si="108"/>
        <v>5924415.9625099953</v>
      </c>
    </row>
    <row r="1014" spans="1:9" ht="21" customHeight="1">
      <c r="A1014" s="120">
        <v>44912</v>
      </c>
      <c r="B1014" s="146">
        <v>460</v>
      </c>
      <c r="C1014" s="168" t="s">
        <v>370</v>
      </c>
      <c r="D1014" s="124"/>
      <c r="E1014" s="516">
        <v>700000</v>
      </c>
      <c r="F1014" s="117">
        <f t="shared" si="105"/>
        <v>0</v>
      </c>
      <c r="G1014" s="118">
        <f t="shared" si="106"/>
        <v>0</v>
      </c>
      <c r="H1014" s="495">
        <f t="shared" si="107"/>
        <v>4200</v>
      </c>
      <c r="I1014" s="119">
        <f t="shared" si="108"/>
        <v>5220215.9625099953</v>
      </c>
    </row>
    <row r="1015" spans="1:9" ht="21" customHeight="1">
      <c r="A1015" s="120">
        <v>44939</v>
      </c>
      <c r="B1015" s="561"/>
      <c r="C1015" s="131" t="s">
        <v>352</v>
      </c>
      <c r="D1015" s="516">
        <v>800000</v>
      </c>
      <c r="E1015" s="513"/>
      <c r="F1015" s="117">
        <f t="shared" si="105"/>
        <v>0</v>
      </c>
      <c r="G1015" s="495">
        <f t="shared" si="106"/>
        <v>4800</v>
      </c>
      <c r="H1015" s="118">
        <f t="shared" si="107"/>
        <v>0</v>
      </c>
      <c r="I1015" s="119">
        <f t="shared" si="108"/>
        <v>6015415.9625099953</v>
      </c>
    </row>
    <row r="1016" spans="1:9" ht="21" customHeight="1">
      <c r="A1016" s="120">
        <v>44942</v>
      </c>
      <c r="B1016" s="561"/>
      <c r="C1016" s="131" t="s">
        <v>352</v>
      </c>
      <c r="D1016" s="516">
        <v>650000</v>
      </c>
      <c r="E1016" s="513"/>
      <c r="F1016" s="117">
        <f t="shared" si="105"/>
        <v>0</v>
      </c>
      <c r="G1016" s="495">
        <f t="shared" si="106"/>
        <v>3900</v>
      </c>
      <c r="H1016" s="118">
        <f t="shared" si="107"/>
        <v>0</v>
      </c>
      <c r="I1016" s="119">
        <f t="shared" si="108"/>
        <v>6661515.9625099953</v>
      </c>
    </row>
    <row r="1017" spans="1:9" ht="21" customHeight="1">
      <c r="A1017" s="120">
        <v>44942</v>
      </c>
      <c r="B1017" s="561"/>
      <c r="C1017" s="131" t="s">
        <v>352</v>
      </c>
      <c r="D1017" s="516">
        <v>650000</v>
      </c>
      <c r="E1017" s="513"/>
      <c r="F1017" s="117">
        <f t="shared" si="105"/>
        <v>0</v>
      </c>
      <c r="G1017" s="495">
        <f t="shared" si="106"/>
        <v>3900</v>
      </c>
      <c r="H1017" s="118">
        <f t="shared" si="107"/>
        <v>0</v>
      </c>
      <c r="I1017" s="119">
        <f t="shared" si="108"/>
        <v>7307615.9625099953</v>
      </c>
    </row>
    <row r="1018" spans="1:9" ht="21" customHeight="1">
      <c r="A1018" s="120">
        <v>44941</v>
      </c>
      <c r="B1018" s="148">
        <v>473</v>
      </c>
      <c r="C1018" s="15" t="s">
        <v>405</v>
      </c>
      <c r="D1018" s="124"/>
      <c r="E1018" s="516">
        <v>1191506.9099999999</v>
      </c>
      <c r="F1018" s="117">
        <f t="shared" si="105"/>
        <v>0</v>
      </c>
      <c r="G1018" s="118">
        <f t="shared" si="106"/>
        <v>0</v>
      </c>
      <c r="H1018" s="495">
        <f t="shared" si="107"/>
        <v>7149.0414599999995</v>
      </c>
      <c r="I1018" s="119">
        <f t="shared" si="108"/>
        <v>6108960.0110499952</v>
      </c>
    </row>
    <row r="1019" spans="1:9" ht="21" customHeight="1">
      <c r="A1019" s="120">
        <v>44943</v>
      </c>
      <c r="B1019" s="561"/>
      <c r="C1019" s="131" t="s">
        <v>352</v>
      </c>
      <c r="D1019" s="516">
        <v>450000</v>
      </c>
      <c r="E1019" s="503"/>
      <c r="F1019" s="117">
        <f t="shared" si="105"/>
        <v>0</v>
      </c>
      <c r="G1019" s="495">
        <f t="shared" si="106"/>
        <v>2700</v>
      </c>
      <c r="H1019" s="495">
        <f t="shared" si="107"/>
        <v>0</v>
      </c>
      <c r="I1019" s="119">
        <f t="shared" si="108"/>
        <v>6556260.0110499952</v>
      </c>
    </row>
    <row r="1020" spans="1:9" ht="21" customHeight="1">
      <c r="A1020" s="120">
        <v>44915</v>
      </c>
      <c r="B1020" s="561">
        <v>467</v>
      </c>
      <c r="C1020" s="168" t="s">
        <v>385</v>
      </c>
      <c r="D1020" s="124"/>
      <c r="E1020" s="516">
        <v>730000</v>
      </c>
      <c r="F1020" s="117">
        <f t="shared" si="105"/>
        <v>0</v>
      </c>
      <c r="G1020" s="118">
        <f t="shared" si="106"/>
        <v>0</v>
      </c>
      <c r="H1020" s="495">
        <f t="shared" si="107"/>
        <v>4380</v>
      </c>
      <c r="I1020" s="119">
        <f t="shared" si="108"/>
        <v>5821880.0110499952</v>
      </c>
    </row>
    <row r="1021" spans="1:9" ht="21" customHeight="1">
      <c r="A1021" s="120">
        <v>44942</v>
      </c>
      <c r="C1021" s="168" t="s">
        <v>406</v>
      </c>
      <c r="D1021" s="124"/>
      <c r="E1021" s="516">
        <v>51776</v>
      </c>
      <c r="F1021" s="117">
        <f t="shared" si="105"/>
        <v>0</v>
      </c>
      <c r="G1021" s="118">
        <f t="shared" si="106"/>
        <v>0</v>
      </c>
      <c r="H1021" s="495">
        <f t="shared" si="107"/>
        <v>310.65600000000001</v>
      </c>
      <c r="I1021" s="517">
        <f t="shared" si="108"/>
        <v>5769793.3550499948</v>
      </c>
    </row>
    <row r="1022" spans="1:9" ht="21" customHeight="1">
      <c r="A1022" s="120">
        <v>44944</v>
      </c>
      <c r="B1022" s="561"/>
      <c r="C1022" s="15" t="s">
        <v>407</v>
      </c>
      <c r="D1022" s="516">
        <v>1000000</v>
      </c>
      <c r="E1022" s="503"/>
      <c r="F1022" s="117">
        <f t="shared" si="105"/>
        <v>0</v>
      </c>
      <c r="G1022" s="495">
        <f t="shared" si="106"/>
        <v>6000</v>
      </c>
      <c r="H1022" s="495">
        <f t="shared" si="107"/>
        <v>0</v>
      </c>
      <c r="I1022" s="119">
        <f t="shared" si="108"/>
        <v>6763793.3550499948</v>
      </c>
    </row>
    <row r="1023" spans="1:9" ht="21" customHeight="1">
      <c r="A1023" s="120">
        <v>44916</v>
      </c>
      <c r="B1023" s="568">
        <v>277</v>
      </c>
      <c r="C1023" s="15" t="s">
        <v>408</v>
      </c>
      <c r="D1023" s="211"/>
      <c r="E1023" s="518">
        <v>780000</v>
      </c>
      <c r="F1023" s="117">
        <f t="shared" si="105"/>
        <v>0</v>
      </c>
      <c r="G1023" s="118">
        <f t="shared" si="106"/>
        <v>0</v>
      </c>
      <c r="H1023" s="495">
        <f t="shared" si="107"/>
        <v>4680</v>
      </c>
      <c r="I1023" s="119">
        <f t="shared" si="108"/>
        <v>5979113.3550499948</v>
      </c>
    </row>
    <row r="1024" spans="1:9" ht="21" customHeight="1">
      <c r="A1024" s="120">
        <v>44918</v>
      </c>
      <c r="B1024" s="568">
        <v>278</v>
      </c>
      <c r="C1024" s="15" t="s">
        <v>408</v>
      </c>
      <c r="D1024" s="211"/>
      <c r="E1024" s="518">
        <v>780000</v>
      </c>
      <c r="F1024" s="117">
        <f t="shared" si="105"/>
        <v>0</v>
      </c>
      <c r="G1024" s="118">
        <f t="shared" si="106"/>
        <v>0</v>
      </c>
      <c r="H1024" s="495">
        <f t="shared" si="107"/>
        <v>4680</v>
      </c>
      <c r="I1024" s="119">
        <f t="shared" si="108"/>
        <v>5194433.3550499948</v>
      </c>
    </row>
    <row r="1025" spans="1:9" ht="21" customHeight="1">
      <c r="A1025" s="120">
        <v>44916</v>
      </c>
      <c r="B1025" s="146">
        <v>445</v>
      </c>
      <c r="C1025" s="168" t="s">
        <v>350</v>
      </c>
      <c r="D1025" s="124"/>
      <c r="E1025" s="516">
        <v>279373.92</v>
      </c>
      <c r="F1025" s="117">
        <f t="shared" si="105"/>
        <v>0</v>
      </c>
      <c r="G1025" s="118">
        <f t="shared" si="106"/>
        <v>0</v>
      </c>
      <c r="H1025" s="495">
        <f t="shared" si="107"/>
        <v>1676.24352</v>
      </c>
      <c r="I1025" s="119">
        <f t="shared" si="108"/>
        <v>4913383.1915299948</v>
      </c>
    </row>
    <row r="1026" spans="1:9" ht="21" customHeight="1">
      <c r="A1026" s="120">
        <v>44945</v>
      </c>
      <c r="B1026" s="561"/>
      <c r="C1026" s="15" t="s">
        <v>409</v>
      </c>
      <c r="D1026" s="191"/>
      <c r="E1026" s="504">
        <v>1000000</v>
      </c>
      <c r="F1026" s="117">
        <f t="shared" si="105"/>
        <v>0</v>
      </c>
      <c r="G1026" s="118">
        <f t="shared" si="106"/>
        <v>0</v>
      </c>
      <c r="H1026" s="118"/>
      <c r="I1026" s="119">
        <f t="shared" si="108"/>
        <v>3913383.1915299948</v>
      </c>
    </row>
    <row r="1027" spans="1:9" ht="21" customHeight="1">
      <c r="A1027" s="120">
        <v>44945</v>
      </c>
      <c r="C1027" s="168" t="s">
        <v>352</v>
      </c>
      <c r="D1027" s="486">
        <v>875000</v>
      </c>
      <c r="E1027" s="513"/>
      <c r="F1027" s="117">
        <f t="shared" si="105"/>
        <v>0</v>
      </c>
      <c r="G1027" s="495">
        <f t="shared" si="106"/>
        <v>5250</v>
      </c>
      <c r="H1027" s="118">
        <f t="shared" si="107"/>
        <v>0</v>
      </c>
      <c r="I1027" s="119">
        <f t="shared" si="108"/>
        <v>4783133.1915299948</v>
      </c>
    </row>
    <row r="1028" spans="1:9" ht="21" customHeight="1">
      <c r="A1028" s="120">
        <v>44945</v>
      </c>
      <c r="B1028" s="561"/>
      <c r="C1028" s="168" t="s">
        <v>352</v>
      </c>
      <c r="D1028" s="486">
        <v>875000</v>
      </c>
      <c r="E1028" s="503"/>
      <c r="F1028" s="117">
        <f t="shared" si="105"/>
        <v>0</v>
      </c>
      <c r="G1028" s="495">
        <f t="shared" si="106"/>
        <v>5250</v>
      </c>
      <c r="H1028" s="118">
        <f t="shared" si="107"/>
        <v>0</v>
      </c>
      <c r="I1028" s="119">
        <f t="shared" si="108"/>
        <v>5652883.1915299948</v>
      </c>
    </row>
    <row r="1029" spans="1:9" ht="21" customHeight="1">
      <c r="A1029" s="120">
        <v>44945</v>
      </c>
      <c r="B1029" s="568"/>
      <c r="C1029" s="15" t="s">
        <v>409</v>
      </c>
      <c r="D1029" s="191"/>
      <c r="E1029" s="504">
        <v>950000</v>
      </c>
      <c r="F1029" s="117">
        <f t="shared" si="105"/>
        <v>0</v>
      </c>
      <c r="G1029" s="118">
        <f t="shared" si="106"/>
        <v>0</v>
      </c>
      <c r="H1029" s="118"/>
      <c r="I1029" s="119">
        <f t="shared" si="108"/>
        <v>4702883.1915299948</v>
      </c>
    </row>
    <row r="1030" spans="1:9" ht="21" customHeight="1">
      <c r="A1030" s="120">
        <v>44946</v>
      </c>
      <c r="B1030" s="561"/>
      <c r="C1030" s="168" t="s">
        <v>352</v>
      </c>
      <c r="D1030" s="486">
        <v>800000</v>
      </c>
      <c r="E1030" s="513"/>
      <c r="F1030" s="117">
        <f t="shared" si="105"/>
        <v>0</v>
      </c>
      <c r="G1030" s="495">
        <f t="shared" si="106"/>
        <v>4800</v>
      </c>
      <c r="H1030" s="118">
        <f t="shared" si="107"/>
        <v>0</v>
      </c>
      <c r="I1030" s="119">
        <f t="shared" si="108"/>
        <v>5498083.1915299948</v>
      </c>
    </row>
    <row r="1031" spans="1:9" ht="21" customHeight="1">
      <c r="A1031" s="572">
        <v>44946</v>
      </c>
      <c r="B1031" s="568">
        <v>30600822</v>
      </c>
      <c r="C1031" s="571" t="s">
        <v>403</v>
      </c>
      <c r="D1031" s="520">
        <v>64500</v>
      </c>
      <c r="E1031" s="503"/>
      <c r="F1031" s="117">
        <f t="shared" si="105"/>
        <v>0</v>
      </c>
      <c r="G1031" s="495">
        <f t="shared" si="106"/>
        <v>387</v>
      </c>
      <c r="H1031" s="118">
        <f t="shared" si="107"/>
        <v>0</v>
      </c>
      <c r="I1031" s="119">
        <f t="shared" si="108"/>
        <v>5562196.1915299948</v>
      </c>
    </row>
    <row r="1032" spans="1:9" ht="21" customHeight="1">
      <c r="A1032" s="573">
        <v>44953</v>
      </c>
      <c r="B1032" s="574">
        <v>38683289</v>
      </c>
      <c r="C1032" s="575" t="s">
        <v>410</v>
      </c>
      <c r="D1032" s="576">
        <v>1288700.6399999999</v>
      </c>
      <c r="E1032" s="576">
        <v>1288700.6399999999</v>
      </c>
      <c r="F1032" s="554"/>
      <c r="G1032" s="554"/>
      <c r="H1032" s="554"/>
      <c r="I1032" s="577">
        <f t="shared" si="108"/>
        <v>5562196.1915299948</v>
      </c>
    </row>
    <row r="1033" spans="1:9" ht="21" customHeight="1">
      <c r="A1033" s="573">
        <v>44984</v>
      </c>
      <c r="B1033" s="574">
        <v>38683318</v>
      </c>
      <c r="C1033" s="575" t="s">
        <v>411</v>
      </c>
      <c r="D1033" s="576">
        <v>1288700.6399999999</v>
      </c>
      <c r="E1033" s="576">
        <v>1288700.6399999999</v>
      </c>
      <c r="F1033" s="554"/>
      <c r="G1033" s="554"/>
      <c r="H1033" s="554"/>
      <c r="I1033" s="577">
        <f t="shared" si="108"/>
        <v>5562196.1915299948</v>
      </c>
    </row>
    <row r="1034" spans="1:9" ht="21" customHeight="1">
      <c r="A1034" s="573">
        <v>45012</v>
      </c>
      <c r="B1034" s="574">
        <v>36683365</v>
      </c>
      <c r="C1034" s="575" t="s">
        <v>412</v>
      </c>
      <c r="D1034" s="576">
        <v>1288700.6399999999</v>
      </c>
      <c r="E1034" s="576">
        <v>1288700.6399999999</v>
      </c>
      <c r="F1034" s="554"/>
      <c r="G1034" s="554"/>
      <c r="H1034" s="554"/>
      <c r="I1034" s="577">
        <f t="shared" si="108"/>
        <v>5562196.1915299948</v>
      </c>
    </row>
    <row r="1035" spans="1:9" ht="21" customHeight="1">
      <c r="A1035" s="573" t="s">
        <v>413</v>
      </c>
      <c r="B1035" s="575">
        <v>22</v>
      </c>
      <c r="C1035" s="575" t="s">
        <v>414</v>
      </c>
      <c r="D1035" s="576"/>
      <c r="E1035" s="576"/>
      <c r="F1035" s="554"/>
      <c r="G1035" s="554"/>
      <c r="H1035" s="554"/>
      <c r="I1035" s="577">
        <f t="shared" si="108"/>
        <v>5562196.1915299948</v>
      </c>
    </row>
    <row r="1036" spans="1:9" ht="21" customHeight="1">
      <c r="A1036" s="573" t="s">
        <v>413</v>
      </c>
      <c r="B1036" s="575">
        <v>25</v>
      </c>
      <c r="C1036" s="575" t="s">
        <v>415</v>
      </c>
      <c r="D1036" s="576"/>
      <c r="E1036" s="576"/>
      <c r="F1036" s="554"/>
      <c r="G1036" s="554"/>
      <c r="H1036" s="554"/>
      <c r="I1036" s="577">
        <f t="shared" si="108"/>
        <v>5562196.1915299948</v>
      </c>
    </row>
    <row r="1037" spans="1:9" ht="21" customHeight="1">
      <c r="A1037" s="573" t="s">
        <v>416</v>
      </c>
      <c r="B1037" s="575">
        <v>20</v>
      </c>
      <c r="C1037" s="575" t="s">
        <v>417</v>
      </c>
      <c r="D1037" s="576">
        <v>644000</v>
      </c>
      <c r="E1037" s="576">
        <v>644000</v>
      </c>
      <c r="F1037" s="554"/>
      <c r="G1037" s="554"/>
      <c r="H1037" s="554"/>
      <c r="I1037" s="577">
        <f t="shared" si="108"/>
        <v>5562196.1915299948</v>
      </c>
    </row>
    <row r="1038" spans="1:9" ht="21" customHeight="1">
      <c r="A1038" s="573" t="s">
        <v>418</v>
      </c>
      <c r="B1038" s="575">
        <v>21</v>
      </c>
      <c r="C1038" s="575" t="s">
        <v>417</v>
      </c>
      <c r="D1038" s="576">
        <v>644700.64</v>
      </c>
      <c r="E1038" s="576">
        <v>644700.64</v>
      </c>
      <c r="F1038" s="554"/>
      <c r="G1038" s="554"/>
      <c r="H1038" s="554"/>
      <c r="I1038" s="577">
        <f t="shared" si="108"/>
        <v>5562196.1915299948</v>
      </c>
    </row>
    <row r="1039" spans="1:9" ht="21" customHeight="1">
      <c r="A1039" s="573" t="s">
        <v>419</v>
      </c>
      <c r="B1039" s="575">
        <v>23</v>
      </c>
      <c r="C1039" s="575" t="s">
        <v>417</v>
      </c>
      <c r="D1039" s="576">
        <v>644700.64</v>
      </c>
      <c r="E1039" s="576">
        <v>644700.64</v>
      </c>
      <c r="F1039" s="554"/>
      <c r="G1039" s="554"/>
      <c r="H1039" s="554"/>
      <c r="I1039" s="577">
        <f t="shared" si="108"/>
        <v>5562196.1915299948</v>
      </c>
    </row>
    <row r="1040" spans="1:9" ht="21" customHeight="1">
      <c r="A1040" s="573" t="s">
        <v>420</v>
      </c>
      <c r="B1040" s="575">
        <v>24</v>
      </c>
      <c r="C1040" s="575" t="s">
        <v>417</v>
      </c>
      <c r="D1040" s="576">
        <v>644000</v>
      </c>
      <c r="E1040" s="576">
        <v>644000</v>
      </c>
      <c r="F1040" s="554"/>
      <c r="G1040" s="554"/>
      <c r="H1040" s="554"/>
      <c r="I1040" s="577">
        <f t="shared" si="108"/>
        <v>5562196.1915299948</v>
      </c>
    </row>
    <row r="1041" spans="1:9" ht="21" customHeight="1">
      <c r="A1041" s="573">
        <v>45036</v>
      </c>
      <c r="B1041" s="578">
        <v>28</v>
      </c>
      <c r="C1041" s="575" t="s">
        <v>421</v>
      </c>
      <c r="D1041" s="579">
        <v>781386.67</v>
      </c>
      <c r="E1041" s="579">
        <v>781386.67</v>
      </c>
      <c r="F1041" s="554"/>
      <c r="G1041" s="554"/>
      <c r="H1041" s="554"/>
      <c r="I1041" s="577">
        <f t="shared" si="108"/>
        <v>5562196.1915299948</v>
      </c>
    </row>
    <row r="1042" spans="1:9" ht="21" customHeight="1">
      <c r="A1042" s="573">
        <v>44995</v>
      </c>
      <c r="B1042" s="578">
        <v>29</v>
      </c>
      <c r="C1042" s="575" t="s">
        <v>422</v>
      </c>
      <c r="D1042" s="579">
        <v>728149.33</v>
      </c>
      <c r="E1042" s="579">
        <v>728149.33</v>
      </c>
      <c r="F1042" s="554"/>
      <c r="G1042" s="554"/>
      <c r="H1042" s="554"/>
      <c r="I1042" s="577">
        <f t="shared" si="108"/>
        <v>5562196.1915299948</v>
      </c>
    </row>
    <row r="1043" spans="1:9" ht="21" customHeight="1">
      <c r="A1043" s="580"/>
      <c r="B1043" s="578"/>
      <c r="C1043" s="581"/>
      <c r="D1043" s="579"/>
      <c r="E1043" s="582"/>
      <c r="F1043" s="554">
        <f t="shared" ref="F1043:F1048" si="109">D1043*0%</f>
        <v>0</v>
      </c>
      <c r="G1043" s="554">
        <f t="shared" ref="G1043:G1048" si="110">D1043*0.006</f>
        <v>0</v>
      </c>
      <c r="H1043" s="554">
        <f t="shared" ref="H1043:H1048" si="111">E1043*0.006+F1043*0.006</f>
        <v>0</v>
      </c>
      <c r="I1043" s="577">
        <f t="shared" si="108"/>
        <v>5562196.1915299948</v>
      </c>
    </row>
    <row r="1044" spans="1:9" ht="21" customHeight="1">
      <c r="A1044" s="120">
        <v>44950</v>
      </c>
      <c r="B1044" s="146"/>
      <c r="C1044" s="15" t="s">
        <v>423</v>
      </c>
      <c r="D1044" s="211"/>
      <c r="E1044" s="518">
        <v>179997.97</v>
      </c>
      <c r="F1044" s="117">
        <f t="shared" si="109"/>
        <v>0</v>
      </c>
      <c r="G1044" s="118">
        <f t="shared" si="110"/>
        <v>0</v>
      </c>
      <c r="H1044" s="495">
        <f t="shared" si="111"/>
        <v>1079.9878200000001</v>
      </c>
      <c r="I1044" s="119">
        <f t="shared" si="108"/>
        <v>5381118.2337099947</v>
      </c>
    </row>
    <row r="1045" spans="1:9" ht="21" customHeight="1">
      <c r="A1045" s="120">
        <v>44950</v>
      </c>
      <c r="B1045" s="146"/>
      <c r="C1045" s="15" t="s">
        <v>424</v>
      </c>
      <c r="D1045" s="211"/>
      <c r="E1045" s="518">
        <v>18692.560000000001</v>
      </c>
      <c r="F1045" s="117">
        <f t="shared" si="109"/>
        <v>0</v>
      </c>
      <c r="G1045" s="118">
        <f t="shared" si="110"/>
        <v>0</v>
      </c>
      <c r="H1045" s="495">
        <f t="shared" si="111"/>
        <v>112.15536000000002</v>
      </c>
      <c r="I1045" s="119">
        <f t="shared" si="108"/>
        <v>5362313.5183499949</v>
      </c>
    </row>
    <row r="1046" spans="1:9" ht="21" customHeight="1">
      <c r="A1046" s="120">
        <v>44950</v>
      </c>
      <c r="B1046" s="146"/>
      <c r="C1046" s="15" t="s">
        <v>425</v>
      </c>
      <c r="D1046" s="211"/>
      <c r="E1046" s="518">
        <v>65134.18</v>
      </c>
      <c r="F1046" s="117">
        <f t="shared" si="109"/>
        <v>0</v>
      </c>
      <c r="G1046" s="118">
        <f t="shared" si="110"/>
        <v>0</v>
      </c>
      <c r="H1046" s="495">
        <f t="shared" si="111"/>
        <v>390.80508000000003</v>
      </c>
      <c r="I1046" s="119">
        <f t="shared" si="108"/>
        <v>5296788.5332699949</v>
      </c>
    </row>
    <row r="1047" spans="1:9" ht="21" customHeight="1">
      <c r="A1047" s="120">
        <v>44950</v>
      </c>
      <c r="B1047" s="146"/>
      <c r="C1047" s="15" t="s">
        <v>426</v>
      </c>
      <c r="D1047" s="211"/>
      <c r="E1047" s="516">
        <v>156249.73000000001</v>
      </c>
      <c r="F1047" s="117">
        <f t="shared" si="109"/>
        <v>0</v>
      </c>
      <c r="G1047" s="118">
        <f t="shared" si="110"/>
        <v>0</v>
      </c>
      <c r="H1047" s="495">
        <f t="shared" si="111"/>
        <v>937.49838000000011</v>
      </c>
      <c r="I1047" s="119">
        <f t="shared" si="108"/>
        <v>5139601.3048899947</v>
      </c>
    </row>
    <row r="1048" spans="1:9" ht="21" customHeight="1">
      <c r="A1048" s="120">
        <v>44950</v>
      </c>
      <c r="B1048" s="146"/>
      <c r="C1048" s="15" t="s">
        <v>427</v>
      </c>
      <c r="D1048" s="518">
        <v>750000</v>
      </c>
      <c r="E1048" s="503"/>
      <c r="F1048" s="117">
        <f t="shared" si="109"/>
        <v>0</v>
      </c>
      <c r="G1048" s="495">
        <f t="shared" si="110"/>
        <v>4500</v>
      </c>
      <c r="H1048" s="495">
        <f t="shared" si="111"/>
        <v>0</v>
      </c>
      <c r="I1048" s="119">
        <f t="shared" si="108"/>
        <v>5885101.3048899947</v>
      </c>
    </row>
    <row r="1049" spans="1:9" ht="21" customHeight="1">
      <c r="A1049" s="120">
        <v>44953</v>
      </c>
      <c r="B1049" s="146">
        <v>30600823</v>
      </c>
      <c r="C1049" s="15" t="s">
        <v>428</v>
      </c>
      <c r="D1049" s="211">
        <v>64500</v>
      </c>
      <c r="E1049" s="211">
        <v>64500</v>
      </c>
      <c r="F1049" s="117"/>
      <c r="G1049" s="118"/>
      <c r="H1049" s="495"/>
      <c r="I1049" s="119">
        <f t="shared" si="108"/>
        <v>5885101.3048899947</v>
      </c>
    </row>
    <row r="1050" spans="1:9" ht="21" customHeight="1">
      <c r="A1050" s="120">
        <v>44950</v>
      </c>
      <c r="B1050" s="561" t="s">
        <v>133</v>
      </c>
      <c r="C1050" s="15" t="s">
        <v>429</v>
      </c>
      <c r="D1050" s="191"/>
      <c r="E1050" s="504">
        <f>126322.87-942.98-64500</f>
        <v>60879.89</v>
      </c>
      <c r="F1050" s="117">
        <f t="shared" ref="F1050:F1113" si="112">D1050*0%</f>
        <v>0</v>
      </c>
      <c r="G1050" s="118">
        <f t="shared" ref="G1050:G1113" si="113">D1050*0.006</f>
        <v>0</v>
      </c>
      <c r="H1050" s="495">
        <f t="shared" ref="H1050:H1113" si="114">E1050*0.006+F1050*0.006</f>
        <v>365.27933999999999</v>
      </c>
      <c r="I1050" s="119">
        <f t="shared" si="108"/>
        <v>5823856.1355499951</v>
      </c>
    </row>
    <row r="1051" spans="1:9" ht="21" customHeight="1">
      <c r="A1051" s="572">
        <v>44951</v>
      </c>
      <c r="B1051" s="568"/>
      <c r="C1051" s="571" t="s">
        <v>352</v>
      </c>
      <c r="D1051" s="520">
        <v>500000</v>
      </c>
      <c r="E1051" s="234"/>
      <c r="F1051" s="117">
        <f t="shared" si="112"/>
        <v>0</v>
      </c>
      <c r="G1051" s="495">
        <f t="shared" si="113"/>
        <v>3000</v>
      </c>
      <c r="H1051" s="118">
        <f t="shared" si="114"/>
        <v>0</v>
      </c>
      <c r="I1051" s="119">
        <f t="shared" si="108"/>
        <v>6320856.1355499951</v>
      </c>
    </row>
    <row r="1052" spans="1:9" ht="21" customHeight="1">
      <c r="A1052" s="120">
        <v>44952</v>
      </c>
      <c r="B1052" s="568"/>
      <c r="C1052" s="571" t="s">
        <v>352</v>
      </c>
      <c r="D1052" s="520">
        <v>1200000</v>
      </c>
      <c r="E1052" s="234"/>
      <c r="F1052" s="117">
        <f t="shared" si="112"/>
        <v>0</v>
      </c>
      <c r="G1052" s="495">
        <f t="shared" si="113"/>
        <v>7200</v>
      </c>
      <c r="H1052" s="118">
        <f t="shared" si="114"/>
        <v>0</v>
      </c>
      <c r="I1052" s="119">
        <f t="shared" si="108"/>
        <v>7513656.1355499951</v>
      </c>
    </row>
    <row r="1053" spans="1:9" ht="21" customHeight="1">
      <c r="A1053" s="120">
        <v>44922</v>
      </c>
      <c r="B1053" s="568">
        <v>289</v>
      </c>
      <c r="C1053" s="15" t="s">
        <v>408</v>
      </c>
      <c r="D1053" s="138"/>
      <c r="E1053" s="518">
        <v>811341.28</v>
      </c>
      <c r="F1053" s="117">
        <f t="shared" si="112"/>
        <v>0</v>
      </c>
      <c r="G1053" s="118">
        <f t="shared" si="113"/>
        <v>0</v>
      </c>
      <c r="H1053" s="495">
        <f t="shared" si="114"/>
        <v>4868.0476800000006</v>
      </c>
      <c r="I1053" s="119">
        <f t="shared" si="108"/>
        <v>6697446.807869995</v>
      </c>
    </row>
    <row r="1054" spans="1:9" ht="21" customHeight="1">
      <c r="A1054" s="120">
        <v>44943</v>
      </c>
      <c r="B1054" s="568">
        <v>468</v>
      </c>
      <c r="C1054" s="168" t="s">
        <v>385</v>
      </c>
      <c r="D1054" s="124"/>
      <c r="E1054" s="516">
        <v>730000</v>
      </c>
      <c r="F1054" s="117">
        <f t="shared" si="112"/>
        <v>0</v>
      </c>
      <c r="G1054" s="118">
        <f t="shared" si="113"/>
        <v>0</v>
      </c>
      <c r="H1054" s="495">
        <f t="shared" si="114"/>
        <v>4380</v>
      </c>
      <c r="I1054" s="119">
        <f t="shared" si="108"/>
        <v>5963066.807869995</v>
      </c>
    </row>
    <row r="1055" spans="1:9" ht="21" customHeight="1">
      <c r="A1055" s="120">
        <v>44956</v>
      </c>
      <c r="B1055" s="568"/>
      <c r="C1055" s="131" t="s">
        <v>463</v>
      </c>
      <c r="D1055" s="124"/>
      <c r="E1055" s="500">
        <v>5775</v>
      </c>
      <c r="F1055" s="117">
        <f t="shared" si="112"/>
        <v>0</v>
      </c>
      <c r="G1055" s="118">
        <f t="shared" si="113"/>
        <v>0</v>
      </c>
      <c r="H1055" s="495">
        <f t="shared" si="114"/>
        <v>34.65</v>
      </c>
      <c r="I1055" s="119">
        <f t="shared" si="108"/>
        <v>5957257.1578699946</v>
      </c>
    </row>
    <row r="1056" spans="1:9" ht="21" customHeight="1">
      <c r="A1056" s="120">
        <v>44956</v>
      </c>
      <c r="B1056" s="568"/>
      <c r="C1056" s="131" t="s">
        <v>107</v>
      </c>
      <c r="D1056" s="124"/>
      <c r="E1056" s="500">
        <v>11.55</v>
      </c>
      <c r="F1056" s="117">
        <f t="shared" si="112"/>
        <v>0</v>
      </c>
      <c r="G1056" s="118">
        <f t="shared" si="113"/>
        <v>0</v>
      </c>
      <c r="H1056" s="495">
        <f t="shared" si="114"/>
        <v>6.93E-2</v>
      </c>
      <c r="I1056" s="119">
        <f t="shared" si="108"/>
        <v>5957245.5385699952</v>
      </c>
    </row>
    <row r="1057" spans="1:9" ht="21" customHeight="1">
      <c r="A1057" s="120">
        <v>44956</v>
      </c>
      <c r="B1057" s="568"/>
      <c r="C1057" s="131" t="s">
        <v>110</v>
      </c>
      <c r="D1057" s="124"/>
      <c r="E1057" s="500">
        <v>1212.75</v>
      </c>
      <c r="F1057" s="117">
        <f t="shared" si="112"/>
        <v>0</v>
      </c>
      <c r="G1057" s="118">
        <f t="shared" si="113"/>
        <v>0</v>
      </c>
      <c r="H1057" s="495">
        <f t="shared" si="114"/>
        <v>7.2765000000000004</v>
      </c>
      <c r="I1057" s="119">
        <f t="shared" si="108"/>
        <v>5956025.5120699955</v>
      </c>
    </row>
    <row r="1058" spans="1:9" ht="21" customHeight="1">
      <c r="A1058" s="120">
        <v>44956</v>
      </c>
      <c r="B1058" s="568"/>
      <c r="C1058" s="131" t="s">
        <v>453</v>
      </c>
      <c r="D1058" s="124"/>
      <c r="E1058" s="500">
        <v>173.25</v>
      </c>
      <c r="F1058" s="117">
        <f t="shared" si="112"/>
        <v>0</v>
      </c>
      <c r="G1058" s="118">
        <f t="shared" si="113"/>
        <v>0</v>
      </c>
      <c r="H1058" s="495">
        <f t="shared" si="114"/>
        <v>1.0395000000000001</v>
      </c>
      <c r="I1058" s="119">
        <f t="shared" si="108"/>
        <v>5955851.2225699956</v>
      </c>
    </row>
    <row r="1059" spans="1:9" ht="21" customHeight="1">
      <c r="A1059" s="120">
        <v>44956</v>
      </c>
      <c r="B1059" s="568"/>
      <c r="C1059" s="583" t="s">
        <v>467</v>
      </c>
      <c r="D1059" s="520">
        <v>650000</v>
      </c>
      <c r="E1059" s="234"/>
      <c r="F1059" s="117">
        <f t="shared" si="112"/>
        <v>0</v>
      </c>
      <c r="G1059" s="495">
        <f t="shared" si="113"/>
        <v>3900</v>
      </c>
      <c r="H1059" s="118">
        <f t="shared" si="114"/>
        <v>0</v>
      </c>
      <c r="I1059" s="119">
        <f t="shared" si="108"/>
        <v>6601951.2225699956</v>
      </c>
    </row>
    <row r="1060" spans="1:9" ht="21" customHeight="1">
      <c r="A1060" s="120">
        <v>44956</v>
      </c>
      <c r="B1060" s="568"/>
      <c r="C1060" s="583" t="s">
        <v>467</v>
      </c>
      <c r="D1060" s="520">
        <v>650000</v>
      </c>
      <c r="E1060" s="234"/>
      <c r="F1060" s="117">
        <f t="shared" si="112"/>
        <v>0</v>
      </c>
      <c r="G1060" s="495">
        <f t="shared" si="113"/>
        <v>3900</v>
      </c>
      <c r="H1060" s="118">
        <f t="shared" si="114"/>
        <v>0</v>
      </c>
      <c r="I1060" s="119">
        <f t="shared" si="108"/>
        <v>7248051.2225699956</v>
      </c>
    </row>
    <row r="1061" spans="1:9" ht="21" customHeight="1">
      <c r="A1061" s="120">
        <v>44956</v>
      </c>
      <c r="B1061" s="148">
        <v>474</v>
      </c>
      <c r="C1061" s="168" t="s">
        <v>405</v>
      </c>
      <c r="D1061" s="197"/>
      <c r="E1061" s="516">
        <v>1191506.9099999999</v>
      </c>
      <c r="F1061" s="117">
        <f t="shared" si="112"/>
        <v>0</v>
      </c>
      <c r="G1061" s="118">
        <f t="shared" si="113"/>
        <v>0</v>
      </c>
      <c r="H1061" s="495">
        <f t="shared" si="114"/>
        <v>7149.0414599999995</v>
      </c>
      <c r="I1061" s="119">
        <f t="shared" si="108"/>
        <v>6049395.2711099954</v>
      </c>
    </row>
    <row r="1062" spans="1:9" ht="21" customHeight="1">
      <c r="A1062" s="120">
        <v>44942</v>
      </c>
      <c r="B1062" s="568">
        <v>276</v>
      </c>
      <c r="C1062" s="15" t="s">
        <v>468</v>
      </c>
      <c r="D1062" s="124"/>
      <c r="E1062" s="516">
        <v>1000000</v>
      </c>
      <c r="F1062" s="117">
        <f t="shared" si="112"/>
        <v>0</v>
      </c>
      <c r="G1062" s="118">
        <f t="shared" si="113"/>
        <v>0</v>
      </c>
      <c r="H1062" s="495">
        <f t="shared" si="114"/>
        <v>6000</v>
      </c>
      <c r="I1062" s="119">
        <f t="shared" si="108"/>
        <v>5043395.2711099954</v>
      </c>
    </row>
    <row r="1063" spans="1:9" ht="21" customHeight="1">
      <c r="A1063" s="321"/>
      <c r="B1063" s="584"/>
      <c r="C1063" s="313"/>
      <c r="D1063" s="315"/>
      <c r="E1063" s="315"/>
      <c r="F1063" s="315">
        <f t="shared" si="112"/>
        <v>0</v>
      </c>
      <c r="G1063" s="315">
        <f t="shared" si="113"/>
        <v>0</v>
      </c>
      <c r="H1063" s="315">
        <f t="shared" si="114"/>
        <v>0</v>
      </c>
      <c r="I1063" s="404">
        <f t="shared" si="108"/>
        <v>5043395.2711099954</v>
      </c>
    </row>
    <row r="1064" spans="1:9" ht="21" customHeight="1">
      <c r="A1064" s="120">
        <v>44959</v>
      </c>
      <c r="B1064" s="568"/>
      <c r="C1064" s="15" t="s">
        <v>469</v>
      </c>
      <c r="D1064" s="211"/>
      <c r="E1064" s="518">
        <v>803807.73</v>
      </c>
      <c r="F1064" s="117">
        <f t="shared" si="112"/>
        <v>0</v>
      </c>
      <c r="G1064" s="118">
        <f t="shared" si="113"/>
        <v>0</v>
      </c>
      <c r="H1064" s="495">
        <f t="shared" si="114"/>
        <v>4822.84638</v>
      </c>
      <c r="I1064" s="119">
        <f t="shared" si="108"/>
        <v>4234764.6947299959</v>
      </c>
    </row>
    <row r="1065" spans="1:9" ht="21" customHeight="1">
      <c r="A1065" s="120">
        <v>44945</v>
      </c>
      <c r="B1065" s="568">
        <v>469</v>
      </c>
      <c r="C1065" s="168" t="s">
        <v>385</v>
      </c>
      <c r="D1065" s="124"/>
      <c r="E1065" s="518">
        <v>730000</v>
      </c>
      <c r="F1065" s="117">
        <f t="shared" si="112"/>
        <v>0</v>
      </c>
      <c r="G1065" s="118">
        <f t="shared" si="113"/>
        <v>0</v>
      </c>
      <c r="H1065" s="495">
        <f t="shared" si="114"/>
        <v>4380</v>
      </c>
      <c r="I1065" s="119">
        <f t="shared" si="108"/>
        <v>3500384.6947299959</v>
      </c>
    </row>
    <row r="1066" spans="1:9" ht="21" customHeight="1">
      <c r="A1066" s="120">
        <v>44946</v>
      </c>
      <c r="B1066" s="148">
        <v>475</v>
      </c>
      <c r="C1066" s="15" t="s">
        <v>390</v>
      </c>
      <c r="D1066" s="513"/>
      <c r="E1066" s="518">
        <f>297000*2</f>
        <v>594000</v>
      </c>
      <c r="F1066" s="117">
        <f t="shared" si="112"/>
        <v>0</v>
      </c>
      <c r="G1066" s="118">
        <f t="shared" si="113"/>
        <v>0</v>
      </c>
      <c r="H1066" s="495">
        <f t="shared" si="114"/>
        <v>3564</v>
      </c>
      <c r="I1066" s="119">
        <f t="shared" si="108"/>
        <v>2902820.6947299959</v>
      </c>
    </row>
    <row r="1067" spans="1:9" ht="21" customHeight="1">
      <c r="A1067" s="120">
        <v>44950</v>
      </c>
      <c r="B1067" s="561">
        <v>470</v>
      </c>
      <c r="C1067" s="168" t="s">
        <v>385</v>
      </c>
      <c r="D1067" s="124"/>
      <c r="E1067" s="516">
        <v>759423.81</v>
      </c>
      <c r="F1067" s="117">
        <f t="shared" si="112"/>
        <v>0</v>
      </c>
      <c r="G1067" s="118">
        <f t="shared" si="113"/>
        <v>0</v>
      </c>
      <c r="H1067" s="118">
        <f t="shared" si="114"/>
        <v>4556.5428600000005</v>
      </c>
      <c r="I1067" s="119">
        <f t="shared" si="108"/>
        <v>2138840.3418699959</v>
      </c>
    </row>
    <row r="1068" spans="1:9" ht="21" customHeight="1">
      <c r="A1068" s="120">
        <v>44960</v>
      </c>
      <c r="B1068" s="146"/>
      <c r="C1068" s="168" t="s">
        <v>470</v>
      </c>
      <c r="D1068" s="518">
        <v>200000</v>
      </c>
      <c r="E1068" s="513"/>
      <c r="F1068" s="117">
        <f t="shared" si="112"/>
        <v>0</v>
      </c>
      <c r="G1068" s="118"/>
      <c r="H1068" s="118">
        <f t="shared" si="114"/>
        <v>0</v>
      </c>
      <c r="I1068" s="119">
        <f t="shared" si="108"/>
        <v>2338840.3418699959</v>
      </c>
    </row>
    <row r="1069" spans="1:9" ht="21" customHeight="1">
      <c r="A1069" s="120">
        <v>44960</v>
      </c>
      <c r="B1069" s="146">
        <v>30600824</v>
      </c>
      <c r="C1069" s="15" t="s">
        <v>403</v>
      </c>
      <c r="D1069" s="509">
        <v>64500</v>
      </c>
      <c r="E1069" s="513"/>
      <c r="F1069" s="117">
        <f t="shared" si="112"/>
        <v>0</v>
      </c>
      <c r="G1069" s="495">
        <f t="shared" si="113"/>
        <v>387</v>
      </c>
      <c r="H1069" s="118">
        <f t="shared" si="114"/>
        <v>0</v>
      </c>
      <c r="I1069" s="119">
        <f t="shared" si="108"/>
        <v>2402953.3418699959</v>
      </c>
    </row>
    <row r="1070" spans="1:9" ht="21" customHeight="1">
      <c r="A1070" s="120"/>
      <c r="B1070" s="146" t="s">
        <v>471</v>
      </c>
      <c r="C1070" s="15" t="s">
        <v>472</v>
      </c>
      <c r="D1070" s="509">
        <v>75000</v>
      </c>
      <c r="E1070" s="509">
        <v>75000</v>
      </c>
      <c r="F1070" s="117">
        <f t="shared" si="112"/>
        <v>0</v>
      </c>
      <c r="G1070" s="495"/>
      <c r="H1070" s="118"/>
      <c r="I1070" s="119">
        <f t="shared" si="108"/>
        <v>2402953.3418699959</v>
      </c>
    </row>
    <row r="1071" spans="1:9" ht="21" customHeight="1">
      <c r="A1071" s="120">
        <v>44939</v>
      </c>
      <c r="B1071" s="146">
        <v>280</v>
      </c>
      <c r="C1071" s="15" t="s">
        <v>408</v>
      </c>
      <c r="D1071" s="211"/>
      <c r="E1071" s="509">
        <v>780000</v>
      </c>
      <c r="F1071" s="117">
        <f t="shared" si="112"/>
        <v>0</v>
      </c>
      <c r="G1071" s="118">
        <f t="shared" si="113"/>
        <v>0</v>
      </c>
      <c r="H1071" s="495">
        <f>E1071*0.006+F1071*0.006</f>
        <v>4680</v>
      </c>
      <c r="I1071" s="119">
        <f t="shared" si="108"/>
        <v>1618273.3418699959</v>
      </c>
    </row>
    <row r="1072" spans="1:9" ht="21" customHeight="1">
      <c r="A1072" s="120"/>
      <c r="B1072" s="146" t="s">
        <v>471</v>
      </c>
      <c r="C1072" s="15" t="s">
        <v>472</v>
      </c>
      <c r="D1072" s="518">
        <v>75000</v>
      </c>
      <c r="E1072" s="211"/>
      <c r="F1072" s="117">
        <f t="shared" si="112"/>
        <v>0</v>
      </c>
      <c r="G1072" s="495">
        <f t="shared" si="113"/>
        <v>450</v>
      </c>
      <c r="H1072" s="118">
        <f t="shared" si="114"/>
        <v>0</v>
      </c>
      <c r="I1072" s="119">
        <f t="shared" si="108"/>
        <v>1692823.3418699959</v>
      </c>
    </row>
    <row r="1073" spans="1:9" ht="21" customHeight="1">
      <c r="A1073" s="120"/>
      <c r="B1073" s="146" t="s">
        <v>471</v>
      </c>
      <c r="C1073" s="15" t="s">
        <v>472</v>
      </c>
      <c r="D1073" s="518">
        <v>75000</v>
      </c>
      <c r="E1073" s="211"/>
      <c r="F1073" s="117">
        <f t="shared" si="112"/>
        <v>0</v>
      </c>
      <c r="G1073" s="495">
        <f t="shared" si="113"/>
        <v>450</v>
      </c>
      <c r="H1073" s="118">
        <f t="shared" si="114"/>
        <v>0</v>
      </c>
      <c r="I1073" s="119">
        <f t="shared" si="108"/>
        <v>1767373.3418699959</v>
      </c>
    </row>
    <row r="1074" spans="1:9" ht="21" customHeight="1">
      <c r="A1074" s="120"/>
      <c r="B1074" s="146" t="s">
        <v>471</v>
      </c>
      <c r="C1074" s="15" t="s">
        <v>472</v>
      </c>
      <c r="D1074" s="518">
        <v>75000</v>
      </c>
      <c r="E1074" s="211"/>
      <c r="F1074" s="117">
        <f t="shared" si="112"/>
        <v>0</v>
      </c>
      <c r="G1074" s="495">
        <f t="shared" si="113"/>
        <v>450</v>
      </c>
      <c r="H1074" s="118">
        <f t="shared" si="114"/>
        <v>0</v>
      </c>
      <c r="I1074" s="119">
        <f t="shared" si="108"/>
        <v>1841923.3418699959</v>
      </c>
    </row>
    <row r="1075" spans="1:9" ht="21" customHeight="1">
      <c r="A1075" s="120">
        <v>44964</v>
      </c>
      <c r="C1075" s="15" t="s">
        <v>473</v>
      </c>
      <c r="D1075" s="191"/>
      <c r="E1075" s="585">
        <v>9767.86</v>
      </c>
      <c r="F1075" s="117">
        <f t="shared" si="112"/>
        <v>0</v>
      </c>
      <c r="G1075" s="118">
        <f t="shared" si="113"/>
        <v>0</v>
      </c>
      <c r="H1075" s="118">
        <f t="shared" si="114"/>
        <v>58.607160000000007</v>
      </c>
      <c r="I1075" s="119">
        <f t="shared" si="108"/>
        <v>1832096.8747099959</v>
      </c>
    </row>
    <row r="1076" spans="1:9" ht="21" customHeight="1">
      <c r="A1076" s="120">
        <v>44964</v>
      </c>
      <c r="B1076" s="586"/>
      <c r="C1076" s="15" t="s">
        <v>474</v>
      </c>
      <c r="D1076" s="257"/>
      <c r="E1076" s="585">
        <v>5134.42</v>
      </c>
      <c r="F1076" s="117">
        <f t="shared" si="112"/>
        <v>0</v>
      </c>
      <c r="G1076" s="118">
        <f t="shared" si="113"/>
        <v>0</v>
      </c>
      <c r="H1076" s="118">
        <f t="shared" si="114"/>
        <v>30.806520000000003</v>
      </c>
      <c r="I1076" s="119">
        <f t="shared" ref="I1076:I1139" si="115">I1075+D1076-E1076-F1076-G1076-H1076</f>
        <v>1826931.6481899959</v>
      </c>
    </row>
    <row r="1077" spans="1:9" ht="21" customHeight="1">
      <c r="A1077" s="120">
        <v>44964</v>
      </c>
      <c r="B1077" s="586"/>
      <c r="C1077" s="15" t="s">
        <v>475</v>
      </c>
      <c r="D1077" s="257"/>
      <c r="E1077" s="585">
        <v>10216.52</v>
      </c>
      <c r="F1077" s="117">
        <f t="shared" si="112"/>
        <v>0</v>
      </c>
      <c r="G1077" s="118">
        <f t="shared" si="113"/>
        <v>0</v>
      </c>
      <c r="H1077" s="118">
        <f t="shared" si="114"/>
        <v>61.299120000000002</v>
      </c>
      <c r="I1077" s="119">
        <f t="shared" si="115"/>
        <v>1816653.8290699958</v>
      </c>
    </row>
    <row r="1078" spans="1:9" ht="21" customHeight="1">
      <c r="A1078" s="40">
        <v>44965</v>
      </c>
      <c r="B1078" s="586"/>
      <c r="C1078" s="15" t="s">
        <v>476</v>
      </c>
      <c r="D1078" s="211"/>
      <c r="E1078" s="516">
        <f>1085+227.85</f>
        <v>1312.85</v>
      </c>
      <c r="F1078" s="117">
        <f t="shared" si="112"/>
        <v>0</v>
      </c>
      <c r="G1078" s="118">
        <f t="shared" si="113"/>
        <v>0</v>
      </c>
      <c r="H1078" s="496">
        <f t="shared" si="114"/>
        <v>7.8770999999999995</v>
      </c>
      <c r="I1078" s="119">
        <f t="shared" si="115"/>
        <v>1815333.1019699958</v>
      </c>
    </row>
    <row r="1079" spans="1:9" ht="21" customHeight="1">
      <c r="A1079" s="40">
        <v>44965</v>
      </c>
      <c r="B1079" s="587"/>
      <c r="C1079" s="15" t="s">
        <v>477</v>
      </c>
      <c r="D1079" s="516">
        <f>75000+50000</f>
        <v>125000</v>
      </c>
      <c r="E1079" s="257"/>
      <c r="F1079" s="117">
        <f t="shared" si="112"/>
        <v>0</v>
      </c>
      <c r="G1079" s="496">
        <f t="shared" si="113"/>
        <v>750</v>
      </c>
      <c r="H1079" s="118">
        <f t="shared" si="114"/>
        <v>0</v>
      </c>
      <c r="I1079" s="119">
        <f t="shared" si="115"/>
        <v>1939583.1019699958</v>
      </c>
    </row>
    <row r="1080" spans="1:9" ht="21" customHeight="1">
      <c r="A1080" s="40">
        <v>44965</v>
      </c>
      <c r="B1080" s="588"/>
      <c r="C1080" s="15" t="s">
        <v>478</v>
      </c>
      <c r="D1080" s="589">
        <v>470210</v>
      </c>
      <c r="E1080" s="257"/>
      <c r="F1080" s="117">
        <f t="shared" si="112"/>
        <v>0</v>
      </c>
      <c r="G1080" s="496">
        <f t="shared" si="113"/>
        <v>2821.26</v>
      </c>
      <c r="H1080" s="118">
        <f t="shared" si="114"/>
        <v>0</v>
      </c>
      <c r="I1080" s="119">
        <f t="shared" si="115"/>
        <v>2406971.8419699958</v>
      </c>
    </row>
    <row r="1081" spans="1:9" ht="21" customHeight="1">
      <c r="A1081" s="40">
        <v>44966</v>
      </c>
      <c r="B1081" s="588"/>
      <c r="C1081" s="590" t="s">
        <v>479</v>
      </c>
      <c r="D1081" s="191"/>
      <c r="E1081" s="591">
        <v>639509.18000000005</v>
      </c>
      <c r="F1081" s="117">
        <f t="shared" si="112"/>
        <v>0</v>
      </c>
      <c r="G1081" s="118">
        <f t="shared" si="113"/>
        <v>0</v>
      </c>
      <c r="H1081" s="496">
        <f t="shared" si="114"/>
        <v>3837.0550800000005</v>
      </c>
      <c r="I1081" s="119">
        <f t="shared" si="115"/>
        <v>1763625.6068899955</v>
      </c>
    </row>
    <row r="1082" spans="1:9" ht="21" customHeight="1">
      <c r="A1082" s="40">
        <v>44966</v>
      </c>
      <c r="B1082" s="588"/>
      <c r="C1082" s="15" t="s">
        <v>389</v>
      </c>
      <c r="D1082" s="589">
        <v>351326.53</v>
      </c>
      <c r="E1082" s="257"/>
      <c r="F1082" s="117">
        <f t="shared" si="112"/>
        <v>0</v>
      </c>
      <c r="G1082" s="118"/>
      <c r="H1082" s="118">
        <f t="shared" si="114"/>
        <v>0</v>
      </c>
      <c r="I1082" s="119">
        <f t="shared" si="115"/>
        <v>2114952.1368899955</v>
      </c>
    </row>
    <row r="1083" spans="1:9" ht="21" customHeight="1">
      <c r="A1083" s="40">
        <v>44967</v>
      </c>
      <c r="B1083" s="588"/>
      <c r="C1083" s="15" t="s">
        <v>480</v>
      </c>
      <c r="D1083" s="498">
        <v>500000</v>
      </c>
      <c r="E1083" s="257"/>
      <c r="F1083" s="117">
        <f t="shared" si="112"/>
        <v>0</v>
      </c>
      <c r="G1083" s="495">
        <f t="shared" si="113"/>
        <v>3000</v>
      </c>
      <c r="H1083" s="118">
        <f t="shared" si="114"/>
        <v>0</v>
      </c>
      <c r="I1083" s="119">
        <f t="shared" si="115"/>
        <v>2611952.1368899955</v>
      </c>
    </row>
    <row r="1084" spans="1:9" ht="21" customHeight="1">
      <c r="A1084" s="40">
        <v>44970</v>
      </c>
      <c r="B1084" s="588"/>
      <c r="C1084" s="15" t="s">
        <v>480</v>
      </c>
      <c r="D1084" s="498">
        <v>800000</v>
      </c>
      <c r="E1084" s="257"/>
      <c r="F1084" s="117">
        <f t="shared" si="112"/>
        <v>0</v>
      </c>
      <c r="G1084" s="495">
        <f t="shared" si="113"/>
        <v>4800</v>
      </c>
      <c r="H1084" s="118">
        <f t="shared" si="114"/>
        <v>0</v>
      </c>
      <c r="I1084" s="119">
        <f t="shared" si="115"/>
        <v>3407152.1368899955</v>
      </c>
    </row>
    <row r="1085" spans="1:9" ht="21" customHeight="1">
      <c r="A1085" s="40">
        <v>44971</v>
      </c>
      <c r="B1085" s="588"/>
      <c r="C1085" s="15" t="s">
        <v>481</v>
      </c>
      <c r="D1085" s="257"/>
      <c r="E1085" s="592">
        <v>49702.73</v>
      </c>
      <c r="F1085" s="117">
        <f t="shared" si="112"/>
        <v>0</v>
      </c>
      <c r="G1085" s="118">
        <f t="shared" si="113"/>
        <v>0</v>
      </c>
      <c r="H1085" s="495">
        <f t="shared" si="114"/>
        <v>298.21638000000002</v>
      </c>
      <c r="I1085" s="119">
        <f t="shared" si="115"/>
        <v>3357151.1905099954</v>
      </c>
    </row>
    <row r="1086" spans="1:9" ht="21" customHeight="1">
      <c r="A1086" s="40">
        <v>44967</v>
      </c>
      <c r="B1086" s="586" t="s">
        <v>482</v>
      </c>
      <c r="C1086" s="590" t="s">
        <v>483</v>
      </c>
      <c r="D1086" s="191"/>
      <c r="E1086" s="585">
        <v>122738</v>
      </c>
      <c r="F1086" s="117">
        <f t="shared" si="112"/>
        <v>0</v>
      </c>
      <c r="G1086" s="118">
        <f t="shared" si="113"/>
        <v>0</v>
      </c>
      <c r="H1086" s="118">
        <f t="shared" si="114"/>
        <v>736.428</v>
      </c>
      <c r="I1086" s="119">
        <f t="shared" si="115"/>
        <v>3233676.7625099956</v>
      </c>
    </row>
    <row r="1087" spans="1:9" ht="21" customHeight="1">
      <c r="A1087" s="40">
        <v>44946</v>
      </c>
      <c r="B1087" s="588">
        <v>281</v>
      </c>
      <c r="C1087" s="15" t="s">
        <v>408</v>
      </c>
      <c r="D1087" s="257"/>
      <c r="E1087" s="592">
        <v>780000</v>
      </c>
      <c r="F1087" s="117">
        <f t="shared" si="112"/>
        <v>0</v>
      </c>
      <c r="G1087" s="118">
        <f t="shared" si="113"/>
        <v>0</v>
      </c>
      <c r="H1087" s="495">
        <f t="shared" si="114"/>
        <v>4680</v>
      </c>
      <c r="I1087" s="119">
        <f t="shared" si="115"/>
        <v>2448996.7625099956</v>
      </c>
    </row>
    <row r="1088" spans="1:9" ht="21" customHeight="1">
      <c r="A1088" s="40">
        <v>44974</v>
      </c>
      <c r="B1088" s="588"/>
      <c r="C1088" s="15" t="s">
        <v>484</v>
      </c>
      <c r="D1088" s="498">
        <v>2000000</v>
      </c>
      <c r="E1088" s="593"/>
      <c r="F1088" s="117">
        <f t="shared" si="112"/>
        <v>0</v>
      </c>
      <c r="G1088" s="495">
        <f t="shared" si="113"/>
        <v>12000</v>
      </c>
      <c r="H1088" s="118">
        <f t="shared" si="114"/>
        <v>0</v>
      </c>
      <c r="I1088" s="119">
        <f t="shared" si="115"/>
        <v>4436996.7625099961</v>
      </c>
    </row>
    <row r="1089" spans="1:9" ht="21" customHeight="1">
      <c r="A1089" s="40">
        <v>44979</v>
      </c>
      <c r="B1089" s="588"/>
      <c r="C1089" s="15" t="s">
        <v>485</v>
      </c>
      <c r="D1089" s="498">
        <v>277465.56</v>
      </c>
      <c r="E1089" s="211"/>
      <c r="F1089" s="117">
        <f t="shared" si="112"/>
        <v>0</v>
      </c>
      <c r="G1089" s="554">
        <f t="shared" si="113"/>
        <v>1664.7933600000001</v>
      </c>
      <c r="H1089" s="118">
        <f t="shared" si="114"/>
        <v>0</v>
      </c>
      <c r="I1089" s="119">
        <f t="shared" si="115"/>
        <v>4712797.5291499961</v>
      </c>
    </row>
    <row r="1090" spans="1:9" ht="21" customHeight="1">
      <c r="A1090" s="594">
        <v>44979</v>
      </c>
      <c r="B1090" s="595"/>
      <c r="C1090" s="571" t="s">
        <v>352</v>
      </c>
      <c r="D1090" s="596">
        <f>600000+900000</f>
        <v>1500000</v>
      </c>
      <c r="E1090" s="513"/>
      <c r="F1090" s="117">
        <f t="shared" si="112"/>
        <v>0</v>
      </c>
      <c r="G1090" s="554">
        <f t="shared" si="113"/>
        <v>9000</v>
      </c>
      <c r="H1090" s="118">
        <f t="shared" si="114"/>
        <v>0</v>
      </c>
      <c r="I1090" s="119">
        <f t="shared" si="115"/>
        <v>6203797.5291499961</v>
      </c>
    </row>
    <row r="1091" spans="1:9" ht="21" customHeight="1">
      <c r="A1091" s="572">
        <v>44980</v>
      </c>
      <c r="B1091" s="568">
        <v>30600942</v>
      </c>
      <c r="C1091" s="571" t="s">
        <v>403</v>
      </c>
      <c r="D1091" s="596">
        <v>100000</v>
      </c>
      <c r="E1091" s="124"/>
      <c r="F1091" s="117">
        <f t="shared" si="112"/>
        <v>0</v>
      </c>
      <c r="G1091" s="554">
        <f t="shared" si="113"/>
        <v>600</v>
      </c>
      <c r="H1091" s="118">
        <f t="shared" si="114"/>
        <v>0</v>
      </c>
      <c r="I1091" s="119">
        <f t="shared" si="115"/>
        <v>6303197.5291499961</v>
      </c>
    </row>
    <row r="1092" spans="1:9" ht="21" customHeight="1">
      <c r="A1092" s="594">
        <v>44980</v>
      </c>
      <c r="B1092" s="595"/>
      <c r="C1092" s="571" t="s">
        <v>352</v>
      </c>
      <c r="D1092" s="596">
        <v>1000000</v>
      </c>
      <c r="E1092" s="257"/>
      <c r="F1092" s="117">
        <f t="shared" si="112"/>
        <v>0</v>
      </c>
      <c r="G1092" s="554">
        <f t="shared" si="113"/>
        <v>6000</v>
      </c>
      <c r="H1092" s="118">
        <f t="shared" si="114"/>
        <v>0</v>
      </c>
      <c r="I1092" s="119">
        <f t="shared" si="115"/>
        <v>7297197.5291499961</v>
      </c>
    </row>
    <row r="1093" spans="1:9" ht="21" customHeight="1">
      <c r="A1093" s="594">
        <v>44981</v>
      </c>
      <c r="B1093" s="595"/>
      <c r="C1093" s="571" t="s">
        <v>352</v>
      </c>
      <c r="D1093" s="596">
        <v>1000000</v>
      </c>
      <c r="E1093" s="211"/>
      <c r="F1093" s="117">
        <f t="shared" si="112"/>
        <v>0</v>
      </c>
      <c r="G1093" s="554">
        <f t="shared" si="113"/>
        <v>6000</v>
      </c>
      <c r="H1093" s="118">
        <f t="shared" si="114"/>
        <v>0</v>
      </c>
      <c r="I1093" s="119">
        <f t="shared" si="115"/>
        <v>8291197.5291499961</v>
      </c>
    </row>
    <row r="1094" spans="1:9" ht="21" customHeight="1" thickBot="1">
      <c r="A1094" s="120">
        <v>44981</v>
      </c>
      <c r="B1094" s="568">
        <v>283</v>
      </c>
      <c r="C1094" s="15" t="s">
        <v>486</v>
      </c>
      <c r="D1094" s="211"/>
      <c r="E1094" s="518">
        <v>780000</v>
      </c>
      <c r="F1094" s="117">
        <f t="shared" si="112"/>
        <v>0</v>
      </c>
      <c r="G1094" s="118">
        <f t="shared" si="113"/>
        <v>0</v>
      </c>
      <c r="H1094" s="554">
        <f t="shared" si="114"/>
        <v>4680</v>
      </c>
      <c r="I1094" s="119">
        <f t="shared" si="115"/>
        <v>7506517.5291499961</v>
      </c>
    </row>
    <row r="1095" spans="1:9" ht="21" customHeight="1" thickBot="1">
      <c r="A1095" s="40">
        <v>44981</v>
      </c>
      <c r="B1095" s="588">
        <v>282</v>
      </c>
      <c r="C1095" s="597" t="s">
        <v>487</v>
      </c>
      <c r="D1095" s="598"/>
      <c r="E1095" s="592">
        <v>811341.28</v>
      </c>
      <c r="F1095" s="117">
        <f t="shared" si="112"/>
        <v>0</v>
      </c>
      <c r="G1095" s="118">
        <f t="shared" si="113"/>
        <v>0</v>
      </c>
      <c r="H1095" s="554">
        <f t="shared" si="114"/>
        <v>4868.0476800000006</v>
      </c>
      <c r="I1095" s="119">
        <f t="shared" si="115"/>
        <v>6690308.201469996</v>
      </c>
    </row>
    <row r="1096" spans="1:9" ht="21" customHeight="1">
      <c r="A1096" s="120">
        <v>44984</v>
      </c>
      <c r="B1096" s="599">
        <v>476</v>
      </c>
      <c r="C1096" s="15" t="s">
        <v>488</v>
      </c>
      <c r="D1096" s="124"/>
      <c r="E1096" s="486">
        <v>954000</v>
      </c>
      <c r="F1096" s="117">
        <f t="shared" si="112"/>
        <v>0</v>
      </c>
      <c r="G1096" s="118">
        <f t="shared" si="113"/>
        <v>0</v>
      </c>
      <c r="H1096" s="118">
        <f t="shared" si="114"/>
        <v>5724</v>
      </c>
      <c r="I1096" s="119">
        <f t="shared" si="115"/>
        <v>5730584.201469996</v>
      </c>
    </row>
    <row r="1097" spans="1:9" ht="21" customHeight="1">
      <c r="A1097" s="120">
        <v>44984</v>
      </c>
      <c r="B1097" s="600">
        <v>494</v>
      </c>
      <c r="C1097" s="168" t="s">
        <v>489</v>
      </c>
      <c r="D1097" s="124"/>
      <c r="E1097" s="516">
        <f>920000/2</f>
        <v>460000</v>
      </c>
      <c r="F1097" s="117">
        <f t="shared" si="112"/>
        <v>0</v>
      </c>
      <c r="G1097" s="118">
        <f t="shared" si="113"/>
        <v>0</v>
      </c>
      <c r="H1097" s="118">
        <f t="shared" si="114"/>
        <v>2760</v>
      </c>
      <c r="I1097" s="119">
        <f t="shared" si="115"/>
        <v>5267824.201469996</v>
      </c>
    </row>
    <row r="1098" spans="1:9" ht="21" customHeight="1">
      <c r="A1098" s="120">
        <v>44984</v>
      </c>
      <c r="B1098" s="586"/>
      <c r="C1098" s="131" t="s">
        <v>463</v>
      </c>
      <c r="D1098" s="124"/>
      <c r="E1098" s="500">
        <v>5775</v>
      </c>
      <c r="F1098" s="117">
        <f t="shared" si="112"/>
        <v>0</v>
      </c>
      <c r="G1098" s="118">
        <f t="shared" si="113"/>
        <v>0</v>
      </c>
      <c r="H1098" s="118">
        <f t="shared" si="114"/>
        <v>34.65</v>
      </c>
      <c r="I1098" s="119">
        <f t="shared" si="115"/>
        <v>5262014.5514699956</v>
      </c>
    </row>
    <row r="1099" spans="1:9" ht="21" customHeight="1">
      <c r="A1099" s="120">
        <v>44984</v>
      </c>
      <c r="B1099" s="586"/>
      <c r="C1099" s="131" t="s">
        <v>107</v>
      </c>
      <c r="D1099" s="124"/>
      <c r="E1099" s="500">
        <v>86.63</v>
      </c>
      <c r="F1099" s="117">
        <f t="shared" si="112"/>
        <v>0</v>
      </c>
      <c r="G1099" s="118">
        <f t="shared" si="113"/>
        <v>0</v>
      </c>
      <c r="H1099" s="118">
        <f t="shared" si="114"/>
        <v>0.51978000000000002</v>
      </c>
      <c r="I1099" s="119">
        <f t="shared" si="115"/>
        <v>5261927.401689996</v>
      </c>
    </row>
    <row r="1100" spans="1:9" ht="21" customHeight="1">
      <c r="A1100" s="120">
        <v>44984</v>
      </c>
      <c r="B1100" s="586"/>
      <c r="C1100" s="131" t="s">
        <v>110</v>
      </c>
      <c r="D1100" s="124"/>
      <c r="E1100" s="500">
        <v>1212.75</v>
      </c>
      <c r="F1100" s="117">
        <f t="shared" si="112"/>
        <v>0</v>
      </c>
      <c r="G1100" s="118">
        <f t="shared" si="113"/>
        <v>0</v>
      </c>
      <c r="H1100" s="118">
        <f t="shared" si="114"/>
        <v>7.2765000000000004</v>
      </c>
      <c r="I1100" s="119">
        <f t="shared" si="115"/>
        <v>5260707.3751899963</v>
      </c>
    </row>
    <row r="1101" spans="1:9" ht="21" customHeight="1">
      <c r="A1101" s="120">
        <v>44984</v>
      </c>
      <c r="B1101" s="586"/>
      <c r="C1101" s="131" t="s">
        <v>453</v>
      </c>
      <c r="D1101" s="124"/>
      <c r="E1101" s="500">
        <v>173.25</v>
      </c>
      <c r="F1101" s="117">
        <f t="shared" si="112"/>
        <v>0</v>
      </c>
      <c r="G1101" s="118">
        <f t="shared" si="113"/>
        <v>0</v>
      </c>
      <c r="H1101" s="118">
        <f t="shared" si="114"/>
        <v>1.0395000000000001</v>
      </c>
      <c r="I1101" s="119">
        <f t="shared" si="115"/>
        <v>5260533.0856899964</v>
      </c>
    </row>
    <row r="1102" spans="1:9" ht="21" customHeight="1">
      <c r="A1102" s="120">
        <v>44984</v>
      </c>
      <c r="C1102" s="131" t="s">
        <v>490</v>
      </c>
      <c r="D1102" s="121"/>
      <c r="E1102" s="500">
        <v>260</v>
      </c>
      <c r="F1102" s="117">
        <f t="shared" si="112"/>
        <v>0</v>
      </c>
      <c r="G1102" s="118">
        <f t="shared" si="113"/>
        <v>0</v>
      </c>
      <c r="H1102" s="118">
        <f t="shared" si="114"/>
        <v>1.56</v>
      </c>
      <c r="I1102" s="119">
        <f t="shared" si="115"/>
        <v>5260271.5256899968</v>
      </c>
    </row>
    <row r="1103" spans="1:9" ht="21" customHeight="1">
      <c r="A1103" s="120">
        <v>44984</v>
      </c>
      <c r="B1103" s="568"/>
      <c r="C1103" s="131" t="s">
        <v>491</v>
      </c>
      <c r="D1103" s="211"/>
      <c r="E1103" s="500">
        <v>54.6</v>
      </c>
      <c r="F1103" s="117">
        <f t="shared" si="112"/>
        <v>0</v>
      </c>
      <c r="G1103" s="118">
        <f t="shared" si="113"/>
        <v>0</v>
      </c>
      <c r="H1103" s="118">
        <f t="shared" si="114"/>
        <v>0.3276</v>
      </c>
      <c r="I1103" s="119">
        <f t="shared" si="115"/>
        <v>5260216.5980899967</v>
      </c>
    </row>
    <row r="1104" spans="1:9" ht="21" customHeight="1">
      <c r="A1104" s="120">
        <v>44985</v>
      </c>
      <c r="B1104" s="148">
        <v>495</v>
      </c>
      <c r="C1104" s="168" t="s">
        <v>489</v>
      </c>
      <c r="D1104" s="124"/>
      <c r="E1104" s="516">
        <f>920000/2</f>
        <v>460000</v>
      </c>
      <c r="F1104" s="117">
        <f t="shared" si="112"/>
        <v>0</v>
      </c>
      <c r="G1104" s="118">
        <f t="shared" si="113"/>
        <v>0</v>
      </c>
      <c r="H1104" s="495">
        <f t="shared" si="114"/>
        <v>2760</v>
      </c>
      <c r="I1104" s="119">
        <f t="shared" si="115"/>
        <v>4797456.5980899967</v>
      </c>
    </row>
    <row r="1105" spans="1:10" ht="21" customHeight="1">
      <c r="A1105" s="572">
        <v>44981</v>
      </c>
      <c r="B1105" s="568">
        <v>30600943</v>
      </c>
      <c r="C1105" s="571" t="s">
        <v>403</v>
      </c>
      <c r="D1105" s="500">
        <v>100000</v>
      </c>
      <c r="E1105" s="211"/>
      <c r="F1105" s="117">
        <f t="shared" si="112"/>
        <v>0</v>
      </c>
      <c r="G1105" s="118">
        <f t="shared" si="113"/>
        <v>600</v>
      </c>
      <c r="H1105" s="118">
        <f t="shared" si="114"/>
        <v>0</v>
      </c>
      <c r="I1105" s="119">
        <f t="shared" si="115"/>
        <v>4896856.5980899967</v>
      </c>
    </row>
    <row r="1106" spans="1:10" ht="21" customHeight="1">
      <c r="A1106" s="120"/>
      <c r="B1106" s="568"/>
      <c r="C1106" s="15" t="s">
        <v>492</v>
      </c>
      <c r="D1106" s="211">
        <v>3533.64</v>
      </c>
      <c r="E1106" s="211"/>
      <c r="F1106" s="117"/>
      <c r="G1106" s="118"/>
      <c r="H1106" s="118"/>
      <c r="I1106" s="119">
        <f t="shared" si="115"/>
        <v>4900390.2380899964</v>
      </c>
      <c r="J1106" s="679">
        <f>4900390.24-I1106</f>
        <v>1.9100038334727287E-3</v>
      </c>
    </row>
    <row r="1107" spans="1:10" ht="21" customHeight="1">
      <c r="A1107" s="321" t="s">
        <v>915</v>
      </c>
      <c r="B1107" s="842"/>
      <c r="C1107" s="322"/>
      <c r="D1107" s="272"/>
      <c r="E1107" s="272"/>
      <c r="F1107" s="315">
        <f t="shared" si="112"/>
        <v>0</v>
      </c>
      <c r="G1107" s="315">
        <f t="shared" si="113"/>
        <v>0</v>
      </c>
      <c r="H1107" s="315">
        <f t="shared" si="114"/>
        <v>0</v>
      </c>
      <c r="I1107" s="404">
        <f t="shared" si="115"/>
        <v>4900390.2380899964</v>
      </c>
    </row>
    <row r="1108" spans="1:10" ht="21" customHeight="1">
      <c r="A1108" s="572">
        <v>44988</v>
      </c>
      <c r="B1108" s="568">
        <v>30600944</v>
      </c>
      <c r="C1108" s="571" t="s">
        <v>403</v>
      </c>
      <c r="D1108" s="843">
        <v>100000</v>
      </c>
      <c r="E1108" s="211"/>
      <c r="F1108" s="117">
        <f t="shared" si="112"/>
        <v>0</v>
      </c>
      <c r="G1108" s="495">
        <f t="shared" si="113"/>
        <v>600</v>
      </c>
      <c r="H1108" s="118">
        <f t="shared" si="114"/>
        <v>0</v>
      </c>
      <c r="I1108" s="119">
        <f t="shared" si="115"/>
        <v>4999790.2380899964</v>
      </c>
    </row>
    <row r="1109" spans="1:10" ht="21" customHeight="1">
      <c r="A1109" s="120">
        <v>44974</v>
      </c>
      <c r="B1109" s="568">
        <v>284</v>
      </c>
      <c r="C1109" s="15" t="s">
        <v>408</v>
      </c>
      <c r="D1109" s="211"/>
      <c r="E1109" s="509">
        <v>780000</v>
      </c>
      <c r="F1109" s="117">
        <f t="shared" si="112"/>
        <v>0</v>
      </c>
      <c r="G1109" s="118">
        <f t="shared" si="113"/>
        <v>0</v>
      </c>
      <c r="H1109" s="495">
        <f t="shared" si="114"/>
        <v>4680</v>
      </c>
      <c r="I1109" s="119">
        <f t="shared" si="115"/>
        <v>4215110.2380899964</v>
      </c>
    </row>
    <row r="1110" spans="1:10" ht="21" customHeight="1">
      <c r="A1110" s="120">
        <v>44992</v>
      </c>
      <c r="B1110" s="568"/>
      <c r="C1110" s="144" t="s">
        <v>916</v>
      </c>
      <c r="D1110" s="509">
        <v>239557</v>
      </c>
      <c r="E1110" s="211"/>
      <c r="F1110" s="117">
        <f t="shared" si="112"/>
        <v>0</v>
      </c>
      <c r="G1110" s="495">
        <f t="shared" si="113"/>
        <v>1437.3420000000001</v>
      </c>
      <c r="H1110" s="118">
        <f t="shared" si="114"/>
        <v>0</v>
      </c>
      <c r="I1110" s="119">
        <f t="shared" si="115"/>
        <v>4453229.8960899962</v>
      </c>
    </row>
    <row r="1111" spans="1:10" ht="21" customHeight="1">
      <c r="A1111" s="120">
        <v>44994</v>
      </c>
      <c r="B1111" s="122"/>
      <c r="C1111" s="15" t="s">
        <v>917</v>
      </c>
      <c r="D1111" s="124"/>
      <c r="E1111" s="486">
        <v>9200</v>
      </c>
      <c r="F1111" s="117">
        <f t="shared" si="112"/>
        <v>0</v>
      </c>
      <c r="G1111" s="118">
        <f t="shared" si="113"/>
        <v>0</v>
      </c>
      <c r="H1111" s="118">
        <f t="shared" si="114"/>
        <v>55.2</v>
      </c>
      <c r="I1111" s="119">
        <f t="shared" si="115"/>
        <v>4443974.696089996</v>
      </c>
    </row>
    <row r="1112" spans="1:10" ht="21" customHeight="1">
      <c r="A1112" s="120">
        <v>44994</v>
      </c>
      <c r="B1112" s="122"/>
      <c r="C1112" s="15" t="s">
        <v>404</v>
      </c>
      <c r="D1112" s="124"/>
      <c r="E1112" s="486">
        <v>250000</v>
      </c>
      <c r="F1112" s="117">
        <f t="shared" si="112"/>
        <v>0</v>
      </c>
      <c r="G1112" s="118">
        <f t="shared" si="113"/>
        <v>0</v>
      </c>
      <c r="H1112" s="118">
        <f t="shared" si="114"/>
        <v>1500</v>
      </c>
      <c r="I1112" s="119">
        <f t="shared" si="115"/>
        <v>4192474.696089996</v>
      </c>
    </row>
    <row r="1113" spans="1:10" ht="21" customHeight="1">
      <c r="A1113" s="120">
        <v>44995</v>
      </c>
      <c r="B1113" s="122"/>
      <c r="C1113" s="144" t="s">
        <v>355</v>
      </c>
      <c r="D1113" s="486">
        <v>373461.86</v>
      </c>
      <c r="E1113" s="124"/>
      <c r="F1113" s="117">
        <f t="shared" si="112"/>
        <v>0</v>
      </c>
      <c r="G1113" s="118">
        <f t="shared" si="113"/>
        <v>2240.7711599999998</v>
      </c>
      <c r="H1113" s="118">
        <f t="shared" si="114"/>
        <v>0</v>
      </c>
      <c r="I1113" s="119">
        <f t="shared" si="115"/>
        <v>4563695.7849299964</v>
      </c>
    </row>
    <row r="1114" spans="1:10" ht="21" customHeight="1">
      <c r="A1114" s="120">
        <v>44995</v>
      </c>
      <c r="B1114" s="122"/>
      <c r="C1114" s="571" t="s">
        <v>352</v>
      </c>
      <c r="D1114" s="125">
        <v>2100000</v>
      </c>
      <c r="E1114" s="124"/>
      <c r="F1114" s="117">
        <f>D1114*0%</f>
        <v>0</v>
      </c>
      <c r="G1114" s="495">
        <f>D1114*0.006</f>
        <v>12600</v>
      </c>
      <c r="H1114" s="118">
        <f>E1114*0.006+F1114*0.006</f>
        <v>0</v>
      </c>
      <c r="I1114" s="119">
        <f t="shared" si="115"/>
        <v>6651095.7849299964</v>
      </c>
    </row>
    <row r="1115" spans="1:10" ht="21" customHeight="1">
      <c r="A1115" s="120">
        <v>44995</v>
      </c>
      <c r="B1115" s="122"/>
      <c r="C1115" s="15" t="s">
        <v>918</v>
      </c>
      <c r="D1115" s="125">
        <v>200000</v>
      </c>
      <c r="E1115" s="124"/>
      <c r="F1115" s="117">
        <f>D1115*0%</f>
        <v>0</v>
      </c>
      <c r="G1115" s="495">
        <f>D1115*0.006</f>
        <v>1200</v>
      </c>
      <c r="H1115" s="118">
        <f>E1115*0.006+F1115*0.006</f>
        <v>0</v>
      </c>
      <c r="I1115" s="119">
        <f t="shared" si="115"/>
        <v>6849895.7849299964</v>
      </c>
    </row>
    <row r="1116" spans="1:10" ht="21" customHeight="1">
      <c r="A1116" s="120">
        <v>44995</v>
      </c>
      <c r="B1116" s="122"/>
      <c r="C1116" s="15" t="s">
        <v>918</v>
      </c>
      <c r="D1116" s="125">
        <v>60250</v>
      </c>
      <c r="E1116" s="124"/>
      <c r="F1116" s="117">
        <f>D1116*0%</f>
        <v>0</v>
      </c>
      <c r="G1116" s="495">
        <f>D1116*0.006</f>
        <v>361.5</v>
      </c>
      <c r="H1116" s="118">
        <f>E1116*0.006+F1116*0.006</f>
        <v>0</v>
      </c>
      <c r="I1116" s="119">
        <f t="shared" si="115"/>
        <v>6909784.2849299964</v>
      </c>
    </row>
    <row r="1117" spans="1:10" ht="21" customHeight="1">
      <c r="A1117" s="120">
        <v>45001</v>
      </c>
      <c r="B1117" s="651"/>
      <c r="C1117" s="571" t="s">
        <v>352</v>
      </c>
      <c r="D1117" s="844">
        <v>1800000</v>
      </c>
      <c r="E1117" s="765"/>
      <c r="F1117" s="117">
        <f>D1117*0%</f>
        <v>0</v>
      </c>
      <c r="G1117" s="495">
        <f>D1117*0.006</f>
        <v>10800</v>
      </c>
      <c r="H1117" s="118">
        <f>E1117*0.006+F1117*0.006</f>
        <v>0</v>
      </c>
      <c r="I1117" s="119">
        <f t="shared" si="115"/>
        <v>8698984.2849299964</v>
      </c>
    </row>
    <row r="1118" spans="1:10" ht="21" customHeight="1">
      <c r="A1118" s="120">
        <v>45002</v>
      </c>
      <c r="B1118" s="651"/>
      <c r="C1118" s="571" t="s">
        <v>919</v>
      </c>
      <c r="D1118" s="765"/>
      <c r="E1118" s="844">
        <v>20532.16</v>
      </c>
      <c r="F1118" s="117">
        <f t="shared" ref="F1118:F1181" si="116">D1118*0%</f>
        <v>0</v>
      </c>
      <c r="G1118" s="118">
        <f t="shared" ref="G1118:G1121" si="117">D1118*0.006</f>
        <v>0</v>
      </c>
      <c r="H1118" s="495">
        <f t="shared" ref="H1118:H1181" si="118">E1118*0.006+F1118*0.006</f>
        <v>123.19296</v>
      </c>
      <c r="I1118" s="119">
        <f t="shared" si="115"/>
        <v>8678328.9319699965</v>
      </c>
    </row>
    <row r="1119" spans="1:10" ht="21" customHeight="1">
      <c r="A1119" s="120">
        <v>45002</v>
      </c>
      <c r="B1119" s="148">
        <v>487</v>
      </c>
      <c r="C1119" s="15" t="s">
        <v>920</v>
      </c>
      <c r="D1119" s="124"/>
      <c r="E1119" s="486">
        <v>954000</v>
      </c>
      <c r="F1119" s="117">
        <f t="shared" si="116"/>
        <v>0</v>
      </c>
      <c r="G1119" s="118">
        <f t="shared" si="117"/>
        <v>0</v>
      </c>
      <c r="H1119" s="495">
        <f t="shared" si="118"/>
        <v>5724</v>
      </c>
      <c r="I1119" s="119">
        <f t="shared" si="115"/>
        <v>7718604.9319699965</v>
      </c>
    </row>
    <row r="1120" spans="1:10" ht="21" customHeight="1">
      <c r="A1120" s="120">
        <v>44980</v>
      </c>
      <c r="B1120" s="122">
        <v>478</v>
      </c>
      <c r="C1120" s="15" t="s">
        <v>488</v>
      </c>
      <c r="D1120" s="124"/>
      <c r="E1120" s="486">
        <v>954000</v>
      </c>
      <c r="F1120" s="117">
        <f t="shared" si="116"/>
        <v>0</v>
      </c>
      <c r="G1120" s="118">
        <f t="shared" si="117"/>
        <v>0</v>
      </c>
      <c r="H1120" s="495">
        <f t="shared" si="118"/>
        <v>5724</v>
      </c>
      <c r="I1120" s="119">
        <f t="shared" si="115"/>
        <v>6758880.9319699965</v>
      </c>
    </row>
    <row r="1121" spans="1:9" ht="21" customHeight="1">
      <c r="A1121" s="120">
        <v>45002</v>
      </c>
      <c r="B1121" s="122">
        <v>496</v>
      </c>
      <c r="C1121" s="168" t="s">
        <v>489</v>
      </c>
      <c r="D1121" s="124"/>
      <c r="E1121" s="486">
        <v>176143.4</v>
      </c>
      <c r="F1121" s="117">
        <f t="shared" si="116"/>
        <v>0</v>
      </c>
      <c r="G1121" s="118">
        <f t="shared" si="117"/>
        <v>0</v>
      </c>
      <c r="H1121" s="495">
        <f t="shared" si="118"/>
        <v>1056.8604</v>
      </c>
      <c r="I1121" s="119">
        <f t="shared" si="115"/>
        <v>6581680.6715699965</v>
      </c>
    </row>
    <row r="1122" spans="1:9" ht="21" customHeight="1">
      <c r="A1122" s="120">
        <v>45005</v>
      </c>
      <c r="B1122" s="122"/>
      <c r="C1122" s="15" t="s">
        <v>394</v>
      </c>
      <c r="D1122" s="486">
        <v>294946.45</v>
      </c>
      <c r="E1122" s="124"/>
      <c r="F1122" s="117">
        <f t="shared" si="116"/>
        <v>0</v>
      </c>
      <c r="G1122" s="118"/>
      <c r="H1122" s="495">
        <f t="shared" si="118"/>
        <v>0</v>
      </c>
      <c r="I1122" s="119">
        <f t="shared" si="115"/>
        <v>6876627.1215699967</v>
      </c>
    </row>
    <row r="1123" spans="1:9" ht="21" customHeight="1">
      <c r="A1123" s="120">
        <v>44980</v>
      </c>
      <c r="B1123" s="122">
        <v>285</v>
      </c>
      <c r="C1123" s="15" t="s">
        <v>408</v>
      </c>
      <c r="D1123" s="211"/>
      <c r="E1123" s="518">
        <v>811341.28</v>
      </c>
      <c r="F1123" s="117">
        <f t="shared" si="116"/>
        <v>0</v>
      </c>
      <c r="G1123" s="118">
        <f t="shared" ref="G1123:G1186" si="119">D1123*0.006</f>
        <v>0</v>
      </c>
      <c r="H1123" s="495">
        <f t="shared" si="118"/>
        <v>4868.0476800000006</v>
      </c>
      <c r="I1123" s="119">
        <f t="shared" si="115"/>
        <v>6060417.7938899966</v>
      </c>
    </row>
    <row r="1124" spans="1:9" ht="21" customHeight="1">
      <c r="A1124" s="120">
        <v>45001</v>
      </c>
      <c r="B1124" s="148">
        <v>288</v>
      </c>
      <c r="C1124" s="15" t="s">
        <v>921</v>
      </c>
      <c r="D1124" s="124"/>
      <c r="E1124" s="486">
        <v>105460</v>
      </c>
      <c r="F1124" s="117">
        <f t="shared" si="116"/>
        <v>0</v>
      </c>
      <c r="G1124" s="118">
        <f t="shared" si="119"/>
        <v>0</v>
      </c>
      <c r="H1124" s="495">
        <f t="shared" si="118"/>
        <v>632.76</v>
      </c>
      <c r="I1124" s="119">
        <f t="shared" si="115"/>
        <v>5954325.0338899968</v>
      </c>
    </row>
    <row r="1125" spans="1:9" ht="21" customHeight="1">
      <c r="A1125" s="120">
        <v>45006</v>
      </c>
      <c r="B1125" s="122"/>
      <c r="C1125" s="15" t="s">
        <v>922</v>
      </c>
      <c r="D1125" s="518">
        <v>1200000</v>
      </c>
      <c r="E1125" s="211"/>
      <c r="F1125" s="117">
        <f t="shared" si="116"/>
        <v>0</v>
      </c>
      <c r="G1125" s="495">
        <f t="shared" si="119"/>
        <v>7200</v>
      </c>
      <c r="H1125" s="118">
        <f t="shared" si="118"/>
        <v>0</v>
      </c>
      <c r="I1125" s="119">
        <f t="shared" si="115"/>
        <v>7147125.0338899968</v>
      </c>
    </row>
    <row r="1126" spans="1:9" ht="21" customHeight="1">
      <c r="A1126" s="120">
        <v>45006</v>
      </c>
      <c r="B1126" s="122">
        <v>479</v>
      </c>
      <c r="C1126" s="15" t="s">
        <v>488</v>
      </c>
      <c r="D1126" s="124"/>
      <c r="E1126" s="486">
        <v>1008000</v>
      </c>
      <c r="F1126" s="117">
        <f t="shared" si="116"/>
        <v>0</v>
      </c>
      <c r="G1126" s="118">
        <f t="shared" si="119"/>
        <v>0</v>
      </c>
      <c r="H1126" s="118">
        <f t="shared" si="118"/>
        <v>6048</v>
      </c>
      <c r="I1126" s="119">
        <f t="shared" si="115"/>
        <v>6133077.0338899968</v>
      </c>
    </row>
    <row r="1127" spans="1:9" ht="21" customHeight="1">
      <c r="A1127" s="120">
        <v>44979</v>
      </c>
      <c r="B1127" s="122">
        <v>477</v>
      </c>
      <c r="C1127" s="15" t="s">
        <v>488</v>
      </c>
      <c r="D1127" s="124"/>
      <c r="E1127" s="486">
        <v>954000</v>
      </c>
      <c r="F1127" s="117">
        <f t="shared" si="116"/>
        <v>0</v>
      </c>
      <c r="G1127" s="118">
        <f t="shared" si="119"/>
        <v>0</v>
      </c>
      <c r="H1127" s="118">
        <f t="shared" si="118"/>
        <v>5724</v>
      </c>
      <c r="I1127" s="119">
        <f t="shared" si="115"/>
        <v>5173353.0338899968</v>
      </c>
    </row>
    <row r="1128" spans="1:9" ht="21" customHeight="1">
      <c r="A1128" s="120"/>
      <c r="B1128" s="122"/>
      <c r="C1128" s="15"/>
      <c r="D1128" s="124"/>
      <c r="E1128" s="124"/>
      <c r="F1128" s="117">
        <f t="shared" si="116"/>
        <v>0</v>
      </c>
      <c r="G1128" s="118">
        <f t="shared" si="119"/>
        <v>0</v>
      </c>
      <c r="H1128" s="118">
        <f t="shared" si="118"/>
        <v>0</v>
      </c>
      <c r="I1128" s="119">
        <f t="shared" si="115"/>
        <v>5173353.0338899968</v>
      </c>
    </row>
    <row r="1129" spans="1:9" ht="21" customHeight="1">
      <c r="A1129" s="120"/>
      <c r="C1129" s="15"/>
      <c r="D1129" s="124"/>
      <c r="E1129" s="124"/>
      <c r="F1129" s="117">
        <f t="shared" si="116"/>
        <v>0</v>
      </c>
      <c r="G1129" s="118">
        <f t="shared" si="119"/>
        <v>0</v>
      </c>
      <c r="H1129" s="118">
        <f t="shared" si="118"/>
        <v>0</v>
      </c>
      <c r="I1129" s="119">
        <f t="shared" si="115"/>
        <v>5173353.0338899968</v>
      </c>
    </row>
    <row r="1130" spans="1:9" ht="21" customHeight="1">
      <c r="A1130" s="120"/>
      <c r="B1130" s="122"/>
      <c r="C1130" s="15"/>
      <c r="D1130" s="211"/>
      <c r="E1130" s="211"/>
      <c r="F1130" s="117">
        <f t="shared" si="116"/>
        <v>0</v>
      </c>
      <c r="G1130" s="118">
        <f t="shared" si="119"/>
        <v>0</v>
      </c>
      <c r="H1130" s="118">
        <f t="shared" si="118"/>
        <v>0</v>
      </c>
      <c r="I1130" s="119">
        <f t="shared" si="115"/>
        <v>5173353.0338899968</v>
      </c>
    </row>
    <row r="1131" spans="1:9" ht="21" customHeight="1">
      <c r="A1131" s="120">
        <v>44993</v>
      </c>
      <c r="B1131" s="148">
        <v>485</v>
      </c>
      <c r="C1131" s="15" t="s">
        <v>923</v>
      </c>
      <c r="D1131" s="124"/>
      <c r="E1131" s="124">
        <v>954000</v>
      </c>
      <c r="F1131" s="117">
        <f t="shared" si="116"/>
        <v>0</v>
      </c>
      <c r="G1131" s="118">
        <f t="shared" si="119"/>
        <v>0</v>
      </c>
      <c r="H1131" s="118">
        <f t="shared" si="118"/>
        <v>5724</v>
      </c>
      <c r="I1131" s="119">
        <f t="shared" si="115"/>
        <v>4213629.0338899968</v>
      </c>
    </row>
    <row r="1132" spans="1:9" ht="21" customHeight="1">
      <c r="A1132" s="120">
        <v>44995</v>
      </c>
      <c r="B1132" s="148">
        <v>486</v>
      </c>
      <c r="C1132" s="15" t="s">
        <v>923</v>
      </c>
      <c r="D1132" s="124"/>
      <c r="E1132" s="124">
        <v>954000</v>
      </c>
      <c r="F1132" s="117">
        <f t="shared" si="116"/>
        <v>0</v>
      </c>
      <c r="G1132" s="118">
        <f t="shared" si="119"/>
        <v>0</v>
      </c>
      <c r="H1132" s="118">
        <f t="shared" si="118"/>
        <v>5724</v>
      </c>
      <c r="I1132" s="119">
        <f t="shared" si="115"/>
        <v>3253905.0338899968</v>
      </c>
    </row>
    <row r="1133" spans="1:9" ht="21" customHeight="1">
      <c r="A1133" s="120">
        <v>44999</v>
      </c>
      <c r="B1133" s="651">
        <v>497</v>
      </c>
      <c r="C1133" s="15" t="s">
        <v>924</v>
      </c>
      <c r="D1133" s="765"/>
      <c r="E1133" s="765">
        <v>970000</v>
      </c>
      <c r="F1133" s="117">
        <f t="shared" si="116"/>
        <v>0</v>
      </c>
      <c r="G1133" s="118">
        <f t="shared" si="119"/>
        <v>0</v>
      </c>
      <c r="H1133" s="118">
        <f t="shared" si="118"/>
        <v>5820</v>
      </c>
      <c r="I1133" s="119">
        <f t="shared" si="115"/>
        <v>2278085.0338899968</v>
      </c>
    </row>
    <row r="1134" spans="1:9" ht="21" customHeight="1">
      <c r="A1134" s="120">
        <v>45001</v>
      </c>
      <c r="B1134" s="651">
        <v>498</v>
      </c>
      <c r="C1134" s="15" t="s">
        <v>924</v>
      </c>
      <c r="D1134" s="765"/>
      <c r="E1134" s="765">
        <v>970000</v>
      </c>
      <c r="F1134" s="117">
        <f t="shared" si="116"/>
        <v>0</v>
      </c>
      <c r="G1134" s="118">
        <f t="shared" si="119"/>
        <v>0</v>
      </c>
      <c r="H1134" s="118">
        <f t="shared" si="118"/>
        <v>5820</v>
      </c>
      <c r="I1134" s="119">
        <f t="shared" si="115"/>
        <v>1302265.0338899968</v>
      </c>
    </row>
    <row r="1135" spans="1:9" ht="21" customHeight="1">
      <c r="A1135" s="120">
        <v>45006</v>
      </c>
      <c r="B1135" s="651">
        <v>499</v>
      </c>
      <c r="C1135" s="15" t="s">
        <v>924</v>
      </c>
      <c r="D1135" s="765"/>
      <c r="E1135" s="765">
        <v>960000</v>
      </c>
      <c r="F1135" s="117">
        <f t="shared" si="116"/>
        <v>0</v>
      </c>
      <c r="G1135" s="118">
        <f t="shared" si="119"/>
        <v>0</v>
      </c>
      <c r="H1135" s="118">
        <f t="shared" si="118"/>
        <v>5760</v>
      </c>
      <c r="I1135" s="119">
        <f t="shared" si="115"/>
        <v>336505.03388999682</v>
      </c>
    </row>
    <row r="1136" spans="1:9" ht="21" customHeight="1">
      <c r="A1136" s="120">
        <v>45007</v>
      </c>
      <c r="B1136" s="122">
        <v>480</v>
      </c>
      <c r="C1136" s="15" t="s">
        <v>488</v>
      </c>
      <c r="D1136" s="765"/>
      <c r="E1136" s="124">
        <v>1008000</v>
      </c>
      <c r="F1136" s="117">
        <f t="shared" si="116"/>
        <v>0</v>
      </c>
      <c r="G1136" s="118">
        <f t="shared" si="119"/>
        <v>0</v>
      </c>
      <c r="H1136" s="118">
        <f t="shared" si="118"/>
        <v>6048</v>
      </c>
      <c r="I1136" s="119">
        <f t="shared" si="115"/>
        <v>-677542.96611000318</v>
      </c>
    </row>
    <row r="1137" spans="1:9" ht="21" customHeight="1">
      <c r="A1137" s="120"/>
      <c r="B1137" s="122"/>
      <c r="C1137" s="15"/>
      <c r="D1137" s="124">
        <v>1000000</v>
      </c>
      <c r="E1137" s="124"/>
      <c r="F1137" s="117">
        <f t="shared" si="116"/>
        <v>0</v>
      </c>
      <c r="G1137" s="118">
        <f t="shared" si="119"/>
        <v>6000</v>
      </c>
      <c r="H1137" s="118">
        <f t="shared" si="118"/>
        <v>0</v>
      </c>
      <c r="I1137" s="119">
        <f t="shared" si="115"/>
        <v>316457.03388999682</v>
      </c>
    </row>
    <row r="1138" spans="1:9" ht="21" customHeight="1">
      <c r="A1138" s="120"/>
      <c r="B1138" s="651"/>
      <c r="C1138" s="15"/>
      <c r="D1138" s="765"/>
      <c r="E1138" s="765"/>
      <c r="F1138" s="117">
        <f t="shared" si="116"/>
        <v>0</v>
      </c>
      <c r="G1138" s="118">
        <f t="shared" si="119"/>
        <v>0</v>
      </c>
      <c r="H1138" s="118">
        <f t="shared" si="118"/>
        <v>0</v>
      </c>
      <c r="I1138" s="119">
        <f t="shared" si="115"/>
        <v>316457.03388999682</v>
      </c>
    </row>
    <row r="1139" spans="1:9" ht="21" customHeight="1">
      <c r="A1139" s="120">
        <v>45008</v>
      </c>
      <c r="B1139" s="122">
        <v>481</v>
      </c>
      <c r="C1139" s="15" t="s">
        <v>488</v>
      </c>
      <c r="D1139" s="124">
        <v>1000000</v>
      </c>
      <c r="E1139" s="124">
        <v>1008000</v>
      </c>
      <c r="F1139" s="117">
        <f t="shared" si="116"/>
        <v>0</v>
      </c>
      <c r="G1139" s="118">
        <f t="shared" si="119"/>
        <v>6000</v>
      </c>
      <c r="H1139" s="118">
        <f t="shared" si="118"/>
        <v>6048</v>
      </c>
      <c r="I1139" s="119">
        <f t="shared" si="115"/>
        <v>296409.03388999682</v>
      </c>
    </row>
    <row r="1140" spans="1:9" ht="21" customHeight="1">
      <c r="A1140" s="120"/>
      <c r="B1140" s="148" t="s">
        <v>925</v>
      </c>
      <c r="C1140" s="15" t="s">
        <v>926</v>
      </c>
      <c r="D1140" s="124"/>
      <c r="E1140" s="513">
        <f>920000/2</f>
        <v>460000</v>
      </c>
      <c r="F1140" s="117">
        <f t="shared" si="116"/>
        <v>0</v>
      </c>
      <c r="G1140" s="118">
        <f t="shared" si="119"/>
        <v>0</v>
      </c>
      <c r="H1140" s="118">
        <f t="shared" si="118"/>
        <v>2760</v>
      </c>
      <c r="I1140" s="119">
        <f t="shared" ref="I1140:I1203" si="120">I1139+D1140-E1140-F1140-G1140-H1140</f>
        <v>-166350.96611000318</v>
      </c>
    </row>
    <row r="1141" spans="1:9" ht="21" customHeight="1">
      <c r="A1141" s="120"/>
      <c r="B1141" s="148" t="s">
        <v>925</v>
      </c>
      <c r="C1141" s="15" t="s">
        <v>927</v>
      </c>
      <c r="D1141" s="124"/>
      <c r="E1141" s="513">
        <f>920000/2</f>
        <v>460000</v>
      </c>
      <c r="F1141" s="117">
        <f t="shared" si="116"/>
        <v>0</v>
      </c>
      <c r="G1141" s="118">
        <f t="shared" si="119"/>
        <v>0</v>
      </c>
      <c r="H1141" s="118">
        <f t="shared" si="118"/>
        <v>2760</v>
      </c>
      <c r="I1141" s="119">
        <f t="shared" si="120"/>
        <v>-629110.96611000318</v>
      </c>
    </row>
    <row r="1142" spans="1:9" ht="21" customHeight="1">
      <c r="A1142" s="120"/>
      <c r="B1142" s="651"/>
      <c r="C1142" s="15"/>
      <c r="D1142" s="765"/>
      <c r="E1142" s="765"/>
      <c r="F1142" s="117">
        <f t="shared" si="116"/>
        <v>0</v>
      </c>
      <c r="G1142" s="118">
        <f t="shared" si="119"/>
        <v>0</v>
      </c>
      <c r="H1142" s="118">
        <f t="shared" si="118"/>
        <v>0</v>
      </c>
      <c r="I1142" s="119">
        <f t="shared" si="120"/>
        <v>-629110.96611000318</v>
      </c>
    </row>
    <row r="1143" spans="1:9" ht="21" customHeight="1">
      <c r="A1143" s="120"/>
      <c r="B1143" s="651"/>
      <c r="C1143" s="15"/>
      <c r="D1143" s="765"/>
      <c r="E1143" s="765"/>
      <c r="F1143" s="117">
        <f t="shared" si="116"/>
        <v>0</v>
      </c>
      <c r="G1143" s="118">
        <f t="shared" si="119"/>
        <v>0</v>
      </c>
      <c r="H1143" s="118">
        <f t="shared" si="118"/>
        <v>0</v>
      </c>
      <c r="I1143" s="119">
        <f t="shared" si="120"/>
        <v>-629110.96611000318</v>
      </c>
    </row>
    <row r="1144" spans="1:9" ht="21" customHeight="1">
      <c r="A1144" s="120"/>
      <c r="B1144" s="651"/>
      <c r="C1144" s="15"/>
      <c r="D1144" s="765"/>
      <c r="E1144" s="765"/>
      <c r="F1144" s="117">
        <f t="shared" si="116"/>
        <v>0</v>
      </c>
      <c r="G1144" s="118">
        <f t="shared" si="119"/>
        <v>0</v>
      </c>
      <c r="H1144" s="118">
        <f t="shared" si="118"/>
        <v>0</v>
      </c>
      <c r="I1144" s="119">
        <f t="shared" si="120"/>
        <v>-629110.96611000318</v>
      </c>
    </row>
    <row r="1145" spans="1:9" ht="21" customHeight="1">
      <c r="A1145" s="120"/>
      <c r="B1145" s="651"/>
      <c r="C1145" s="15"/>
      <c r="D1145" s="765"/>
      <c r="E1145" s="765"/>
      <c r="F1145" s="117">
        <f t="shared" si="116"/>
        <v>0</v>
      </c>
      <c r="G1145" s="118">
        <f t="shared" si="119"/>
        <v>0</v>
      </c>
      <c r="H1145" s="118">
        <f t="shared" si="118"/>
        <v>0</v>
      </c>
      <c r="I1145" s="119">
        <f t="shared" si="120"/>
        <v>-629110.96611000318</v>
      </c>
    </row>
    <row r="1146" spans="1:9" ht="21" customHeight="1">
      <c r="A1146" s="120"/>
      <c r="B1146" s="651"/>
      <c r="C1146" s="15"/>
      <c r="D1146" s="765"/>
      <c r="E1146" s="765"/>
      <c r="F1146" s="117">
        <f t="shared" si="116"/>
        <v>0</v>
      </c>
      <c r="G1146" s="118">
        <f t="shared" si="119"/>
        <v>0</v>
      </c>
      <c r="H1146" s="118">
        <f t="shared" si="118"/>
        <v>0</v>
      </c>
      <c r="I1146" s="119">
        <f t="shared" si="120"/>
        <v>-629110.96611000318</v>
      </c>
    </row>
    <row r="1147" spans="1:9" ht="21" customHeight="1">
      <c r="B1147" s="845"/>
      <c r="C1147" s="846" t="s">
        <v>928</v>
      </c>
      <c r="D1147" s="845"/>
      <c r="E1147" s="845"/>
      <c r="F1147" s="117">
        <f t="shared" si="116"/>
        <v>0</v>
      </c>
      <c r="G1147" s="118">
        <f t="shared" si="119"/>
        <v>0</v>
      </c>
      <c r="H1147" s="118">
        <f t="shared" si="118"/>
        <v>0</v>
      </c>
      <c r="I1147" s="119">
        <f t="shared" si="120"/>
        <v>-629110.96611000318</v>
      </c>
    </row>
    <row r="1148" spans="1:9" ht="21" customHeight="1">
      <c r="B1148" s="845"/>
      <c r="C1148" s="846" t="s">
        <v>929</v>
      </c>
      <c r="D1148" s="845"/>
      <c r="E1148" s="845"/>
      <c r="F1148" s="117">
        <f t="shared" si="116"/>
        <v>0</v>
      </c>
      <c r="G1148" s="118">
        <f t="shared" si="119"/>
        <v>0</v>
      </c>
      <c r="H1148" s="118">
        <f t="shared" si="118"/>
        <v>0</v>
      </c>
      <c r="I1148" s="119">
        <f t="shared" si="120"/>
        <v>-629110.96611000318</v>
      </c>
    </row>
    <row r="1149" spans="1:9" ht="21" customHeight="1">
      <c r="B1149" s="845"/>
      <c r="C1149" s="845"/>
      <c r="D1149" s="845"/>
      <c r="E1149" s="845"/>
      <c r="F1149" s="117">
        <f t="shared" si="116"/>
        <v>0</v>
      </c>
      <c r="G1149" s="118">
        <f t="shared" si="119"/>
        <v>0</v>
      </c>
      <c r="H1149" s="118">
        <f t="shared" si="118"/>
        <v>0</v>
      </c>
      <c r="I1149" s="119">
        <f t="shared" si="120"/>
        <v>-629110.96611000318</v>
      </c>
    </row>
    <row r="1150" spans="1:9" ht="21" customHeight="1">
      <c r="A1150" s="847">
        <v>44995</v>
      </c>
      <c r="B1150" s="848"/>
      <c r="C1150" s="849" t="s">
        <v>930</v>
      </c>
      <c r="D1150" s="850">
        <v>2100000</v>
      </c>
      <c r="E1150" s="851"/>
      <c r="F1150" s="117">
        <f t="shared" si="116"/>
        <v>0</v>
      </c>
      <c r="G1150" s="118">
        <f t="shared" si="119"/>
        <v>12600</v>
      </c>
      <c r="H1150" s="118">
        <f t="shared" si="118"/>
        <v>0</v>
      </c>
      <c r="I1150" s="119">
        <f t="shared" si="120"/>
        <v>1458289.0338899968</v>
      </c>
    </row>
    <row r="1151" spans="1:9" ht="21" customHeight="1">
      <c r="A1151" s="847">
        <v>44995</v>
      </c>
      <c r="B1151" s="848"/>
      <c r="C1151" s="232" t="s">
        <v>924</v>
      </c>
      <c r="D1151" s="851">
        <v>1800000</v>
      </c>
      <c r="E1151" s="851"/>
      <c r="F1151" s="117">
        <f t="shared" si="116"/>
        <v>0</v>
      </c>
      <c r="G1151" s="118">
        <f t="shared" si="119"/>
        <v>10800</v>
      </c>
      <c r="H1151" s="118">
        <f t="shared" si="118"/>
        <v>0</v>
      </c>
      <c r="I1151" s="119">
        <f t="shared" si="120"/>
        <v>3247489.0338899968</v>
      </c>
    </row>
    <row r="1152" spans="1:9" ht="21" customHeight="1">
      <c r="A1152" s="847">
        <v>44999</v>
      </c>
      <c r="B1152" s="848"/>
      <c r="C1152" s="849" t="s">
        <v>930</v>
      </c>
      <c r="D1152" s="851">
        <v>500000</v>
      </c>
      <c r="E1152" s="852"/>
      <c r="F1152" s="117">
        <f t="shared" si="116"/>
        <v>0</v>
      </c>
      <c r="G1152" s="118">
        <f t="shared" si="119"/>
        <v>3000</v>
      </c>
      <c r="H1152" s="118">
        <f t="shared" si="118"/>
        <v>0</v>
      </c>
      <c r="I1152" s="119">
        <f t="shared" si="120"/>
        <v>3744489.0338899968</v>
      </c>
    </row>
    <row r="1153" spans="1:9" ht="21" customHeight="1">
      <c r="A1153" s="847">
        <v>44999</v>
      </c>
      <c r="B1153" s="848"/>
      <c r="C1153" s="232" t="s">
        <v>924</v>
      </c>
      <c r="D1153" s="851">
        <v>1800000</v>
      </c>
      <c r="E1153" s="851"/>
      <c r="F1153" s="117">
        <f t="shared" si="116"/>
        <v>0</v>
      </c>
      <c r="G1153" s="118">
        <f t="shared" si="119"/>
        <v>10800</v>
      </c>
      <c r="H1153" s="118">
        <f t="shared" si="118"/>
        <v>0</v>
      </c>
      <c r="I1153" s="119">
        <f t="shared" si="120"/>
        <v>5533689.0338899968</v>
      </c>
    </row>
    <row r="1154" spans="1:9" ht="21" customHeight="1">
      <c r="A1154" s="847">
        <v>45001</v>
      </c>
      <c r="B1154" s="848"/>
      <c r="C1154" s="232" t="s">
        <v>924</v>
      </c>
      <c r="D1154" s="851">
        <v>1800000</v>
      </c>
      <c r="E1154" s="851"/>
      <c r="F1154" s="117">
        <f t="shared" si="116"/>
        <v>0</v>
      </c>
      <c r="G1154" s="118">
        <f t="shared" si="119"/>
        <v>10800</v>
      </c>
      <c r="H1154" s="118">
        <f t="shared" si="118"/>
        <v>0</v>
      </c>
      <c r="I1154" s="119">
        <f t="shared" si="120"/>
        <v>7322889.0338899968</v>
      </c>
    </row>
    <row r="1155" spans="1:9" ht="21" customHeight="1">
      <c r="A1155" s="847">
        <v>45001</v>
      </c>
      <c r="B1155" s="848"/>
      <c r="C1155" s="849" t="s">
        <v>930</v>
      </c>
      <c r="D1155" s="853">
        <v>250000</v>
      </c>
      <c r="E1155" s="853"/>
      <c r="F1155" s="117">
        <f t="shared" si="116"/>
        <v>0</v>
      </c>
      <c r="G1155" s="118">
        <f t="shared" si="119"/>
        <v>1500</v>
      </c>
      <c r="H1155" s="118">
        <f t="shared" si="118"/>
        <v>0</v>
      </c>
      <c r="I1155" s="119">
        <f t="shared" si="120"/>
        <v>7571389.0338899968</v>
      </c>
    </row>
    <row r="1156" spans="1:9" ht="21" customHeight="1">
      <c r="A1156" s="847">
        <v>45006</v>
      </c>
      <c r="B1156" s="848"/>
      <c r="C1156" s="849" t="s">
        <v>930</v>
      </c>
      <c r="D1156" s="853">
        <v>1600000</v>
      </c>
      <c r="E1156" s="853"/>
      <c r="F1156" s="117">
        <f t="shared" si="116"/>
        <v>0</v>
      </c>
      <c r="G1156" s="118">
        <f t="shared" si="119"/>
        <v>9600</v>
      </c>
      <c r="H1156" s="118">
        <f t="shared" si="118"/>
        <v>0</v>
      </c>
      <c r="I1156" s="119">
        <f t="shared" si="120"/>
        <v>9161789.0338899978</v>
      </c>
    </row>
    <row r="1157" spans="1:9" ht="21" customHeight="1">
      <c r="A1157" s="847">
        <v>45006</v>
      </c>
      <c r="B1157" s="848"/>
      <c r="C1157" s="232" t="s">
        <v>924</v>
      </c>
      <c r="D1157" s="851">
        <v>1800000</v>
      </c>
      <c r="E1157" s="851"/>
      <c r="F1157" s="117">
        <f t="shared" si="116"/>
        <v>0</v>
      </c>
      <c r="G1157" s="118">
        <f t="shared" si="119"/>
        <v>10800</v>
      </c>
      <c r="H1157" s="118">
        <f t="shared" si="118"/>
        <v>0</v>
      </c>
      <c r="I1157" s="119">
        <f t="shared" si="120"/>
        <v>10950989.033889998</v>
      </c>
    </row>
    <row r="1158" spans="1:9" ht="21" customHeight="1">
      <c r="A1158" s="847">
        <v>45007</v>
      </c>
      <c r="B1158" s="848"/>
      <c r="C1158" s="849" t="s">
        <v>930</v>
      </c>
      <c r="D1158" s="853">
        <v>1000000</v>
      </c>
      <c r="E1158" s="853"/>
      <c r="F1158" s="117">
        <f t="shared" si="116"/>
        <v>0</v>
      </c>
      <c r="G1158" s="118">
        <f t="shared" si="119"/>
        <v>6000</v>
      </c>
      <c r="H1158" s="118">
        <f t="shared" si="118"/>
        <v>0</v>
      </c>
      <c r="I1158" s="119">
        <f t="shared" si="120"/>
        <v>11944989.033889998</v>
      </c>
    </row>
    <row r="1159" spans="1:9" ht="21" customHeight="1">
      <c r="A1159" s="847">
        <v>45007</v>
      </c>
      <c r="B1159" s="848"/>
      <c r="C1159" s="232" t="s">
        <v>924</v>
      </c>
      <c r="D1159" s="851">
        <v>1800000</v>
      </c>
      <c r="E1159" s="851"/>
      <c r="F1159" s="117">
        <f t="shared" si="116"/>
        <v>0</v>
      </c>
      <c r="G1159" s="118">
        <f t="shared" si="119"/>
        <v>10800</v>
      </c>
      <c r="H1159" s="118">
        <f t="shared" si="118"/>
        <v>0</v>
      </c>
      <c r="I1159" s="119">
        <f t="shared" si="120"/>
        <v>13734189.033889998</v>
      </c>
    </row>
    <row r="1160" spans="1:9" ht="21" customHeight="1">
      <c r="A1160" s="847">
        <v>45008</v>
      </c>
      <c r="B1160" s="848"/>
      <c r="C1160" s="849" t="s">
        <v>930</v>
      </c>
      <c r="D1160" s="853">
        <v>1200000</v>
      </c>
      <c r="E1160" s="853"/>
      <c r="F1160" s="117">
        <f t="shared" si="116"/>
        <v>0</v>
      </c>
      <c r="G1160" s="118">
        <f t="shared" si="119"/>
        <v>7200</v>
      </c>
      <c r="H1160" s="118">
        <f t="shared" si="118"/>
        <v>0</v>
      </c>
      <c r="I1160" s="119">
        <f t="shared" si="120"/>
        <v>14926989.033889998</v>
      </c>
    </row>
    <row r="1161" spans="1:9" ht="21" customHeight="1">
      <c r="A1161" s="847">
        <v>45015</v>
      </c>
      <c r="B1161" s="848"/>
      <c r="C1161" s="849" t="s">
        <v>930</v>
      </c>
      <c r="D1161" s="853"/>
      <c r="E1161" s="853"/>
      <c r="F1161" s="117">
        <f t="shared" si="116"/>
        <v>0</v>
      </c>
      <c r="G1161" s="118">
        <f t="shared" si="119"/>
        <v>0</v>
      </c>
      <c r="H1161" s="118">
        <f t="shared" si="118"/>
        <v>0</v>
      </c>
      <c r="I1161" s="119">
        <f t="shared" si="120"/>
        <v>14926989.033889998</v>
      </c>
    </row>
    <row r="1162" spans="1:9" ht="21" customHeight="1">
      <c r="A1162" s="847"/>
      <c r="B1162" s="848"/>
      <c r="C1162" s="854"/>
      <c r="D1162" s="851"/>
      <c r="E1162" s="851"/>
      <c r="F1162" s="117">
        <f t="shared" si="116"/>
        <v>0</v>
      </c>
      <c r="G1162" s="118">
        <f t="shared" si="119"/>
        <v>0</v>
      </c>
      <c r="H1162" s="118">
        <f t="shared" si="118"/>
        <v>0</v>
      </c>
      <c r="I1162" s="119">
        <f t="shared" si="120"/>
        <v>14926989.033889998</v>
      </c>
    </row>
    <row r="1163" spans="1:9" ht="21" customHeight="1">
      <c r="A1163" s="227"/>
      <c r="B1163" s="848"/>
      <c r="C1163" s="849" t="s">
        <v>931</v>
      </c>
      <c r="D1163" s="853">
        <v>1200000</v>
      </c>
      <c r="E1163" s="855"/>
      <c r="F1163" s="117">
        <f t="shared" si="116"/>
        <v>0</v>
      </c>
      <c r="G1163" s="118">
        <f t="shared" si="119"/>
        <v>7200</v>
      </c>
      <c r="H1163" s="118">
        <f t="shared" si="118"/>
        <v>0</v>
      </c>
      <c r="I1163" s="119">
        <f t="shared" si="120"/>
        <v>16119789.033889998</v>
      </c>
    </row>
    <row r="1164" spans="1:9" ht="21" customHeight="1">
      <c r="A1164" s="856"/>
      <c r="B1164" s="848"/>
      <c r="C1164" s="849"/>
      <c r="D1164" s="853"/>
      <c r="E1164" s="853"/>
      <c r="F1164" s="117">
        <f t="shared" si="116"/>
        <v>0</v>
      </c>
      <c r="G1164" s="118">
        <f t="shared" si="119"/>
        <v>0</v>
      </c>
      <c r="H1164" s="118">
        <f t="shared" si="118"/>
        <v>0</v>
      </c>
      <c r="I1164" s="119">
        <f t="shared" si="120"/>
        <v>16119789.033889998</v>
      </c>
    </row>
    <row r="1165" spans="1:9" ht="21" customHeight="1">
      <c r="A1165" s="857"/>
      <c r="B1165" s="848"/>
      <c r="C1165" s="232"/>
      <c r="D1165" s="858"/>
      <c r="E1165" s="858"/>
      <c r="F1165" s="117">
        <f t="shared" si="116"/>
        <v>0</v>
      </c>
      <c r="G1165" s="118">
        <f t="shared" si="119"/>
        <v>0</v>
      </c>
      <c r="H1165" s="118">
        <f t="shared" si="118"/>
        <v>0</v>
      </c>
      <c r="I1165" s="119">
        <f t="shared" si="120"/>
        <v>16119789.033889998</v>
      </c>
    </row>
    <row r="1166" spans="1:9" ht="21" customHeight="1">
      <c r="A1166" s="856"/>
      <c r="B1166" s="848"/>
      <c r="C1166" s="849"/>
      <c r="D1166" s="853">
        <f>SUM(D1150:D1165)</f>
        <v>16850000</v>
      </c>
      <c r="E1166" s="853"/>
      <c r="F1166" s="117">
        <f t="shared" si="116"/>
        <v>0</v>
      </c>
      <c r="G1166" s="118">
        <f t="shared" si="119"/>
        <v>101100</v>
      </c>
      <c r="H1166" s="118">
        <f t="shared" si="118"/>
        <v>0</v>
      </c>
      <c r="I1166" s="119">
        <f t="shared" si="120"/>
        <v>32868689.033889998</v>
      </c>
    </row>
    <row r="1167" spans="1:9" ht="21" customHeight="1">
      <c r="A1167"/>
      <c r="B1167"/>
      <c r="C1167"/>
      <c r="D1167" s="782"/>
      <c r="E1167" s="782"/>
      <c r="F1167" s="117">
        <f t="shared" si="116"/>
        <v>0</v>
      </c>
      <c r="G1167" s="118">
        <f t="shared" si="119"/>
        <v>0</v>
      </c>
      <c r="H1167" s="118">
        <f t="shared" si="118"/>
        <v>0</v>
      </c>
      <c r="I1167" s="119">
        <f t="shared" si="120"/>
        <v>32868689.033889998</v>
      </c>
    </row>
    <row r="1168" spans="1:9" ht="21" customHeight="1">
      <c r="A1168"/>
      <c r="B1168"/>
      <c r="C1168"/>
      <c r="D1168"/>
      <c r="E1168"/>
      <c r="F1168" s="117">
        <f t="shared" si="116"/>
        <v>0</v>
      </c>
      <c r="G1168" s="118">
        <f t="shared" si="119"/>
        <v>0</v>
      </c>
      <c r="H1168" s="118">
        <f t="shared" si="118"/>
        <v>0</v>
      </c>
      <c r="I1168" s="119">
        <f t="shared" si="120"/>
        <v>32868689.033889998</v>
      </c>
    </row>
    <row r="1169" spans="1:9" ht="21" customHeight="1">
      <c r="A1169"/>
      <c r="B1169"/>
      <c r="C1169"/>
      <c r="D1169"/>
      <c r="E1169"/>
      <c r="F1169" s="117">
        <f t="shared" si="116"/>
        <v>0</v>
      </c>
      <c r="G1169" s="118">
        <f t="shared" si="119"/>
        <v>0</v>
      </c>
      <c r="H1169" s="118">
        <f t="shared" si="118"/>
        <v>0</v>
      </c>
      <c r="I1169" s="119">
        <f t="shared" si="120"/>
        <v>32868689.033889998</v>
      </c>
    </row>
    <row r="1170" spans="1:9" ht="21" customHeight="1">
      <c r="A1170"/>
      <c r="B1170"/>
      <c r="C1170"/>
      <c r="D1170"/>
      <c r="E1170"/>
      <c r="F1170" s="117">
        <f t="shared" si="116"/>
        <v>0</v>
      </c>
      <c r="G1170" s="118">
        <f t="shared" si="119"/>
        <v>0</v>
      </c>
      <c r="H1170" s="118">
        <f t="shared" si="118"/>
        <v>0</v>
      </c>
      <c r="I1170" s="119">
        <f t="shared" si="120"/>
        <v>32868689.033889998</v>
      </c>
    </row>
    <row r="1171" spans="1:9" ht="21" customHeight="1">
      <c r="A1171"/>
      <c r="B1171" s="845"/>
      <c r="C1171" s="845"/>
      <c r="D1171" s="845"/>
      <c r="E1171" s="845"/>
      <c r="F1171" s="117">
        <f t="shared" si="116"/>
        <v>0</v>
      </c>
      <c r="G1171" s="118">
        <f t="shared" si="119"/>
        <v>0</v>
      </c>
      <c r="H1171" s="118">
        <f t="shared" si="118"/>
        <v>0</v>
      </c>
      <c r="I1171" s="119">
        <f t="shared" si="120"/>
        <v>32868689.033889998</v>
      </c>
    </row>
    <row r="1172" spans="1:9" ht="21" customHeight="1">
      <c r="A1172" s="859" t="s">
        <v>932</v>
      </c>
      <c r="B1172" s="860"/>
      <c r="C1172" s="861"/>
      <c r="D1172" s="319"/>
      <c r="E1172" s="319"/>
      <c r="F1172" s="117">
        <f t="shared" si="116"/>
        <v>0</v>
      </c>
      <c r="G1172" s="118">
        <f t="shared" si="119"/>
        <v>0</v>
      </c>
      <c r="H1172" s="118">
        <f t="shared" si="118"/>
        <v>0</v>
      </c>
      <c r="I1172" s="119">
        <f t="shared" si="120"/>
        <v>32868689.033889998</v>
      </c>
    </row>
    <row r="1173" spans="1:9" ht="21" customHeight="1">
      <c r="A1173" s="120"/>
      <c r="B1173" s="133"/>
      <c r="C1173" s="123"/>
      <c r="D1173" s="145"/>
      <c r="E1173" s="124"/>
      <c r="F1173" s="117">
        <f t="shared" si="116"/>
        <v>0</v>
      </c>
      <c r="G1173" s="118">
        <f t="shared" si="119"/>
        <v>0</v>
      </c>
      <c r="H1173" s="118">
        <f t="shared" si="118"/>
        <v>0</v>
      </c>
      <c r="I1173" s="119">
        <f t="shared" si="120"/>
        <v>32868689.033889998</v>
      </c>
    </row>
    <row r="1174" spans="1:9" ht="21" customHeight="1">
      <c r="A1174" s="122"/>
      <c r="B1174" s="122"/>
      <c r="C1174" s="123" t="s">
        <v>125</v>
      </c>
      <c r="D1174" s="134">
        <v>420000</v>
      </c>
      <c r="E1174" s="124"/>
      <c r="F1174" s="117">
        <f t="shared" si="116"/>
        <v>0</v>
      </c>
      <c r="G1174" s="118">
        <f t="shared" si="119"/>
        <v>2520</v>
      </c>
      <c r="H1174" s="118">
        <f t="shared" si="118"/>
        <v>0</v>
      </c>
      <c r="I1174" s="119">
        <f t="shared" si="120"/>
        <v>33286169.033889998</v>
      </c>
    </row>
    <row r="1175" spans="1:9" ht="21" customHeight="1">
      <c r="A1175" s="122"/>
      <c r="B1175" s="133"/>
      <c r="C1175" s="123" t="s">
        <v>151</v>
      </c>
      <c r="D1175" s="124">
        <v>180000</v>
      </c>
      <c r="E1175" s="124"/>
      <c r="F1175" s="117">
        <f t="shared" si="116"/>
        <v>0</v>
      </c>
      <c r="G1175" s="118">
        <f t="shared" si="119"/>
        <v>1080</v>
      </c>
      <c r="H1175" s="118">
        <f t="shared" si="118"/>
        <v>0</v>
      </c>
      <c r="I1175" s="119">
        <f t="shared" si="120"/>
        <v>33465089.033889998</v>
      </c>
    </row>
    <row r="1176" spans="1:9" ht="21" customHeight="1">
      <c r="A1176" s="122"/>
      <c r="B1176" s="133"/>
      <c r="C1176" s="123" t="s">
        <v>812</v>
      </c>
      <c r="D1176" s="254">
        <v>500000</v>
      </c>
      <c r="E1176" s="124">
        <f>85598+45640</f>
        <v>131238</v>
      </c>
      <c r="F1176" s="117">
        <f t="shared" si="116"/>
        <v>0</v>
      </c>
      <c r="G1176" s="118">
        <f t="shared" si="119"/>
        <v>3000</v>
      </c>
      <c r="H1176" s="118">
        <f t="shared" si="118"/>
        <v>787.428</v>
      </c>
      <c r="I1176" s="119">
        <f t="shared" si="120"/>
        <v>33830063.605889991</v>
      </c>
    </row>
    <row r="1177" spans="1:9" ht="21" customHeight="1">
      <c r="A1177" s="122"/>
      <c r="B1177" s="133"/>
      <c r="C1177" s="15" t="s">
        <v>933</v>
      </c>
      <c r="D1177" s="124">
        <v>120000</v>
      </c>
      <c r="E1177" s="124"/>
      <c r="F1177" s="117">
        <f t="shared" si="116"/>
        <v>0</v>
      </c>
      <c r="G1177" s="118">
        <f t="shared" si="119"/>
        <v>720</v>
      </c>
      <c r="H1177" s="118">
        <f t="shared" si="118"/>
        <v>0</v>
      </c>
      <c r="I1177" s="119">
        <f t="shared" si="120"/>
        <v>33949343.605889991</v>
      </c>
    </row>
    <row r="1178" spans="1:9" ht="21" customHeight="1">
      <c r="A1178" s="122"/>
      <c r="B1178" s="133"/>
      <c r="C1178" s="15" t="s">
        <v>934</v>
      </c>
      <c r="D1178" s="124">
        <v>120000</v>
      </c>
      <c r="E1178" s="124"/>
      <c r="F1178" s="117">
        <f t="shared" si="116"/>
        <v>0</v>
      </c>
      <c r="G1178" s="118">
        <f t="shared" si="119"/>
        <v>720</v>
      </c>
      <c r="H1178" s="118">
        <f t="shared" si="118"/>
        <v>0</v>
      </c>
      <c r="I1178" s="119">
        <f t="shared" si="120"/>
        <v>34068623.605889991</v>
      </c>
    </row>
    <row r="1179" spans="1:9" ht="21" customHeight="1">
      <c r="A1179" s="122"/>
      <c r="B1179" s="133"/>
      <c r="C1179" s="15" t="s">
        <v>935</v>
      </c>
      <c r="D1179" s="121">
        <v>400000</v>
      </c>
      <c r="E1179" s="124"/>
      <c r="F1179" s="117">
        <f t="shared" si="116"/>
        <v>0</v>
      </c>
      <c r="G1179" s="118">
        <f t="shared" si="119"/>
        <v>2400</v>
      </c>
      <c r="H1179" s="118">
        <f t="shared" si="118"/>
        <v>0</v>
      </c>
      <c r="I1179" s="119">
        <f t="shared" si="120"/>
        <v>34466223.605889991</v>
      </c>
    </row>
    <row r="1180" spans="1:9" ht="21" customHeight="1">
      <c r="A1180" s="122"/>
      <c r="B1180" s="133"/>
      <c r="C1180" s="123" t="s">
        <v>936</v>
      </c>
      <c r="D1180" s="145">
        <v>120000</v>
      </c>
      <c r="E1180" s="145">
        <v>120000</v>
      </c>
      <c r="F1180" s="117">
        <f t="shared" si="116"/>
        <v>0</v>
      </c>
      <c r="G1180" s="118">
        <f t="shared" si="119"/>
        <v>720</v>
      </c>
      <c r="H1180" s="118">
        <f t="shared" si="118"/>
        <v>720</v>
      </c>
      <c r="I1180" s="119">
        <f t="shared" si="120"/>
        <v>34464783.605889991</v>
      </c>
    </row>
    <row r="1181" spans="1:9" ht="21" customHeight="1">
      <c r="A1181" s="120"/>
      <c r="B1181" s="561"/>
      <c r="C1181" s="144" t="s">
        <v>355</v>
      </c>
      <c r="D1181" s="486">
        <v>330000</v>
      </c>
      <c r="E1181" s="497"/>
      <c r="F1181" s="117">
        <f t="shared" si="116"/>
        <v>0</v>
      </c>
      <c r="G1181" s="118">
        <f t="shared" si="119"/>
        <v>1980</v>
      </c>
      <c r="H1181" s="118">
        <f t="shared" si="118"/>
        <v>0</v>
      </c>
      <c r="I1181" s="119">
        <f t="shared" si="120"/>
        <v>34792803.605889991</v>
      </c>
    </row>
    <row r="1182" spans="1:9" ht="21" customHeight="1">
      <c r="F1182" s="117">
        <f t="shared" ref="F1182:F1245" si="121">D1182*0%</f>
        <v>0</v>
      </c>
      <c r="G1182" s="118">
        <f t="shared" si="119"/>
        <v>0</v>
      </c>
      <c r="H1182" s="118">
        <f t="shared" ref="H1182:H1245" si="122">E1182*0.006+F1182*0.006</f>
        <v>0</v>
      </c>
      <c r="I1182" s="119">
        <f t="shared" si="120"/>
        <v>34792803.605889991</v>
      </c>
    </row>
    <row r="1183" spans="1:9" ht="21" customHeight="1">
      <c r="A1183" s="120"/>
      <c r="B1183" s="561"/>
      <c r="C1183" s="168"/>
      <c r="D1183" s="191"/>
      <c r="E1183" s="506"/>
      <c r="F1183" s="117">
        <f t="shared" si="121"/>
        <v>0</v>
      </c>
      <c r="G1183" s="118">
        <f t="shared" si="119"/>
        <v>0</v>
      </c>
      <c r="H1183" s="118">
        <f t="shared" si="122"/>
        <v>0</v>
      </c>
      <c r="I1183" s="119">
        <f t="shared" si="120"/>
        <v>34792803.605889991</v>
      </c>
    </row>
    <row r="1184" spans="1:9" ht="21" customHeight="1">
      <c r="A1184" s="120"/>
      <c r="B1184" s="146"/>
      <c r="C1184" s="131"/>
      <c r="D1184" s="124"/>
      <c r="E1184" s="124"/>
      <c r="F1184" s="117">
        <f t="shared" si="121"/>
        <v>0</v>
      </c>
      <c r="G1184" s="118">
        <f t="shared" si="119"/>
        <v>0</v>
      </c>
      <c r="H1184" s="118">
        <f t="shared" si="122"/>
        <v>0</v>
      </c>
      <c r="I1184" s="119">
        <f t="shared" si="120"/>
        <v>34792803.605889991</v>
      </c>
    </row>
    <row r="1185" spans="1:9" ht="21" customHeight="1">
      <c r="A1185" s="120"/>
      <c r="B1185" s="561"/>
      <c r="C1185" s="15"/>
      <c r="D1185" s="138"/>
      <c r="E1185" s="497"/>
      <c r="F1185" s="117">
        <f t="shared" si="121"/>
        <v>0</v>
      </c>
      <c r="G1185" s="118">
        <f t="shared" si="119"/>
        <v>0</v>
      </c>
      <c r="H1185" s="118">
        <f t="shared" si="122"/>
        <v>0</v>
      </c>
      <c r="I1185" s="119">
        <f t="shared" si="120"/>
        <v>34792803.605889991</v>
      </c>
    </row>
    <row r="1186" spans="1:9" ht="21" customHeight="1">
      <c r="A1186" s="120"/>
      <c r="C1186" s="743"/>
      <c r="E1186" s="655"/>
      <c r="F1186" s="117">
        <f t="shared" si="121"/>
        <v>0</v>
      </c>
      <c r="G1186" s="118">
        <f t="shared" si="119"/>
        <v>0</v>
      </c>
      <c r="H1186" s="118">
        <f t="shared" si="122"/>
        <v>0</v>
      </c>
      <c r="I1186" s="119">
        <f t="shared" si="120"/>
        <v>34792803.605889991</v>
      </c>
    </row>
    <row r="1187" spans="1:9" ht="21" customHeight="1">
      <c r="A1187" s="862"/>
      <c r="B1187" s="863"/>
      <c r="C1187" s="864"/>
      <c r="D1187" s="486"/>
      <c r="E1187" s="516"/>
      <c r="F1187" s="117">
        <f t="shared" si="121"/>
        <v>0</v>
      </c>
      <c r="G1187" s="118">
        <f t="shared" ref="G1187:G1250" si="123">D1187*0.006</f>
        <v>0</v>
      </c>
      <c r="H1187" s="118">
        <f t="shared" si="122"/>
        <v>0</v>
      </c>
      <c r="I1187" s="119">
        <f t="shared" si="120"/>
        <v>34792803.605889991</v>
      </c>
    </row>
    <row r="1188" spans="1:9" ht="21" customHeight="1">
      <c r="A1188" s="120"/>
      <c r="B1188" s="561"/>
      <c r="C1188" s="123"/>
      <c r="D1188" s="121"/>
      <c r="E1188" s="497"/>
      <c r="F1188" s="117">
        <f t="shared" si="121"/>
        <v>0</v>
      </c>
      <c r="G1188" s="118">
        <f t="shared" si="123"/>
        <v>0</v>
      </c>
      <c r="H1188" s="118">
        <f t="shared" si="122"/>
        <v>0</v>
      </c>
      <c r="I1188" s="119">
        <f t="shared" si="120"/>
        <v>34792803.605889991</v>
      </c>
    </row>
    <row r="1189" spans="1:9" ht="21" customHeight="1">
      <c r="A1189" s="120"/>
      <c r="B1189" s="568"/>
      <c r="C1189" s="15"/>
      <c r="D1189" s="138"/>
      <c r="E1189" s="211"/>
      <c r="F1189" s="117">
        <f t="shared" si="121"/>
        <v>0</v>
      </c>
      <c r="G1189" s="118">
        <f t="shared" si="123"/>
        <v>0</v>
      </c>
      <c r="H1189" s="118">
        <f t="shared" si="122"/>
        <v>0</v>
      </c>
      <c r="I1189" s="119">
        <f t="shared" si="120"/>
        <v>34792803.605889991</v>
      </c>
    </row>
    <row r="1190" spans="1:9" ht="21" customHeight="1">
      <c r="A1190" s="120"/>
      <c r="B1190" s="568"/>
      <c r="C1190" s="743" t="s">
        <v>937</v>
      </c>
      <c r="D1190" s="211"/>
      <c r="E1190" s="211">
        <f>9300*180</f>
        <v>1674000</v>
      </c>
      <c r="F1190" s="117">
        <f t="shared" si="121"/>
        <v>0</v>
      </c>
      <c r="G1190" s="118">
        <f t="shared" si="123"/>
        <v>0</v>
      </c>
      <c r="H1190" s="118">
        <f t="shared" si="122"/>
        <v>10044</v>
      </c>
      <c r="I1190" s="119">
        <f t="shared" si="120"/>
        <v>33108759.605889991</v>
      </c>
    </row>
    <row r="1191" spans="1:9" ht="21" customHeight="1">
      <c r="A1191" s="120"/>
      <c r="B1191" s="568"/>
      <c r="C1191" s="15"/>
      <c r="D1191" s="211"/>
      <c r="E1191" s="211"/>
      <c r="F1191" s="117">
        <f t="shared" si="121"/>
        <v>0</v>
      </c>
      <c r="G1191" s="118">
        <f t="shared" si="123"/>
        <v>0</v>
      </c>
      <c r="H1191" s="118">
        <f t="shared" si="122"/>
        <v>0</v>
      </c>
      <c r="I1191" s="119">
        <f t="shared" si="120"/>
        <v>33108759.605889991</v>
      </c>
    </row>
    <row r="1192" spans="1:9" ht="21" customHeight="1">
      <c r="A1192" s="572"/>
      <c r="B1192" s="568"/>
      <c r="C1192" s="571"/>
      <c r="D1192" s="234"/>
      <c r="E1192" s="211"/>
      <c r="F1192" s="117">
        <f t="shared" si="121"/>
        <v>0</v>
      </c>
      <c r="G1192" s="118">
        <f t="shared" si="123"/>
        <v>0</v>
      </c>
      <c r="H1192" s="118">
        <f t="shared" si="122"/>
        <v>0</v>
      </c>
      <c r="I1192" s="119">
        <f t="shared" si="120"/>
        <v>33108759.605889991</v>
      </c>
    </row>
    <row r="1193" spans="1:9" ht="21" customHeight="1">
      <c r="E1193" s="211"/>
      <c r="F1193" s="117">
        <f t="shared" si="121"/>
        <v>0</v>
      </c>
      <c r="G1193" s="118">
        <f t="shared" si="123"/>
        <v>0</v>
      </c>
      <c r="H1193" s="118">
        <f t="shared" si="122"/>
        <v>0</v>
      </c>
      <c r="I1193" s="119">
        <f t="shared" si="120"/>
        <v>33108759.605889991</v>
      </c>
    </row>
    <row r="1194" spans="1:9" ht="21" customHeight="1">
      <c r="A1194" s="572"/>
      <c r="B1194" s="568"/>
      <c r="C1194" s="571"/>
      <c r="D1194" s="234"/>
      <c r="E1194" s="211"/>
      <c r="F1194" s="117">
        <f t="shared" si="121"/>
        <v>0</v>
      </c>
      <c r="G1194" s="118">
        <f t="shared" si="123"/>
        <v>0</v>
      </c>
      <c r="H1194" s="118">
        <f t="shared" si="122"/>
        <v>0</v>
      </c>
      <c r="I1194" s="119">
        <f t="shared" si="120"/>
        <v>33108759.605889991</v>
      </c>
    </row>
    <row r="1195" spans="1:9" ht="21" customHeight="1">
      <c r="E1195" s="211"/>
      <c r="F1195" s="117">
        <f t="shared" si="121"/>
        <v>0</v>
      </c>
      <c r="G1195" s="118">
        <f t="shared" si="123"/>
        <v>0</v>
      </c>
      <c r="H1195" s="118">
        <f t="shared" si="122"/>
        <v>0</v>
      </c>
      <c r="I1195" s="119">
        <f t="shared" si="120"/>
        <v>33108759.605889991</v>
      </c>
    </row>
    <row r="1196" spans="1:9" ht="21" customHeight="1">
      <c r="A1196" s="120" t="s">
        <v>938</v>
      </c>
      <c r="C1196" s="15" t="s">
        <v>939</v>
      </c>
      <c r="D1196" s="124"/>
      <c r="E1196" s="124">
        <v>11000000</v>
      </c>
      <c r="F1196" s="117">
        <f t="shared" si="121"/>
        <v>0</v>
      </c>
      <c r="G1196" s="118">
        <f t="shared" si="123"/>
        <v>0</v>
      </c>
      <c r="H1196" s="118">
        <f t="shared" si="122"/>
        <v>66000</v>
      </c>
      <c r="I1196" s="119">
        <f t="shared" si="120"/>
        <v>22042759.605889991</v>
      </c>
    </row>
    <row r="1197" spans="1:9" ht="21" customHeight="1">
      <c r="A1197" s="120" t="s">
        <v>940</v>
      </c>
      <c r="C1197" s="15" t="s">
        <v>941</v>
      </c>
      <c r="D1197" s="124"/>
      <c r="E1197" s="124">
        <v>14000000</v>
      </c>
      <c r="F1197" s="117">
        <f t="shared" si="121"/>
        <v>0</v>
      </c>
      <c r="G1197" s="118">
        <f t="shared" si="123"/>
        <v>0</v>
      </c>
      <c r="H1197" s="118">
        <f t="shared" si="122"/>
        <v>84000</v>
      </c>
      <c r="I1197" s="119">
        <f t="shared" si="120"/>
        <v>7958759.6058899909</v>
      </c>
    </row>
    <row r="1198" spans="1:9" ht="21" customHeight="1">
      <c r="A1198" s="120" t="s">
        <v>942</v>
      </c>
      <c r="C1198" s="15" t="s">
        <v>924</v>
      </c>
      <c r="D1198" s="124"/>
      <c r="E1198" s="124">
        <v>10000000</v>
      </c>
      <c r="F1198" s="117">
        <f t="shared" si="121"/>
        <v>0</v>
      </c>
      <c r="G1198" s="118">
        <f t="shared" si="123"/>
        <v>0</v>
      </c>
      <c r="H1198" s="118">
        <f t="shared" si="122"/>
        <v>60000</v>
      </c>
      <c r="I1198" s="119">
        <f t="shared" si="120"/>
        <v>-2101240.3941100091</v>
      </c>
    </row>
    <row r="1199" spans="1:9" ht="21" customHeight="1">
      <c r="A1199" s="120" t="s">
        <v>943</v>
      </c>
      <c r="C1199" s="15" t="s">
        <v>944</v>
      </c>
      <c r="D1199" s="124"/>
      <c r="E1199" s="124">
        <v>12000000</v>
      </c>
      <c r="F1199" s="117">
        <f t="shared" si="121"/>
        <v>0</v>
      </c>
      <c r="G1199" s="118">
        <f t="shared" si="123"/>
        <v>0</v>
      </c>
      <c r="H1199" s="118">
        <f t="shared" si="122"/>
        <v>72000</v>
      </c>
      <c r="I1199" s="119">
        <f t="shared" si="120"/>
        <v>-14173240.394110009</v>
      </c>
    </row>
    <row r="1200" spans="1:9" ht="21" customHeight="1">
      <c r="A1200" s="120"/>
      <c r="B1200" s="568"/>
      <c r="C1200" s="15"/>
      <c r="D1200" s="211"/>
      <c r="E1200" s="211"/>
      <c r="F1200" s="117">
        <f t="shared" si="121"/>
        <v>0</v>
      </c>
      <c r="G1200" s="118">
        <f t="shared" si="123"/>
        <v>0</v>
      </c>
      <c r="H1200" s="118">
        <f t="shared" si="122"/>
        <v>0</v>
      </c>
      <c r="I1200" s="119">
        <f t="shared" si="120"/>
        <v>-14173240.394110009</v>
      </c>
    </row>
    <row r="1201" spans="1:9" ht="21" customHeight="1">
      <c r="A1201" s="120"/>
      <c r="B1201" s="568"/>
      <c r="C1201" s="15"/>
      <c r="D1201" s="211"/>
      <c r="E1201" s="211"/>
      <c r="F1201" s="117">
        <f t="shared" si="121"/>
        <v>0</v>
      </c>
      <c r="G1201" s="118">
        <f t="shared" si="123"/>
        <v>0</v>
      </c>
      <c r="H1201" s="118">
        <f t="shared" si="122"/>
        <v>0</v>
      </c>
      <c r="I1201" s="119">
        <f t="shared" si="120"/>
        <v>-14173240.394110009</v>
      </c>
    </row>
    <row r="1202" spans="1:9" ht="21" customHeight="1">
      <c r="A1202" s="120"/>
      <c r="B1202" s="146"/>
      <c r="C1202" s="15"/>
      <c r="D1202" s="393"/>
      <c r="E1202" s="116"/>
      <c r="F1202" s="117">
        <f t="shared" si="121"/>
        <v>0</v>
      </c>
      <c r="G1202" s="118">
        <f t="shared" si="123"/>
        <v>0</v>
      </c>
      <c r="H1202" s="118">
        <f t="shared" si="122"/>
        <v>0</v>
      </c>
      <c r="I1202" s="119">
        <f t="shared" si="120"/>
        <v>-14173240.394110009</v>
      </c>
    </row>
    <row r="1203" spans="1:9" ht="21" customHeight="1">
      <c r="A1203" s="120"/>
      <c r="B1203" s="122"/>
      <c r="D1203" s="121"/>
      <c r="E1203" s="616"/>
      <c r="F1203" s="117">
        <f t="shared" si="121"/>
        <v>0</v>
      </c>
      <c r="G1203" s="118">
        <f t="shared" si="123"/>
        <v>0</v>
      </c>
      <c r="H1203" s="118">
        <f t="shared" si="122"/>
        <v>0</v>
      </c>
      <c r="I1203" s="119">
        <f t="shared" si="120"/>
        <v>-14173240.394110009</v>
      </c>
    </row>
    <row r="1204" spans="1:9" ht="21" customHeight="1">
      <c r="A1204" s="865" t="s">
        <v>945</v>
      </c>
      <c r="B1204" s="866"/>
      <c r="C1204" s="867"/>
      <c r="D1204" s="774"/>
      <c r="E1204" s="774"/>
      <c r="F1204" s="117">
        <f t="shared" si="121"/>
        <v>0</v>
      </c>
      <c r="G1204" s="118">
        <f t="shared" si="123"/>
        <v>0</v>
      </c>
      <c r="H1204" s="118">
        <f t="shared" si="122"/>
        <v>0</v>
      </c>
      <c r="I1204" s="119">
        <f t="shared" ref="I1204:I1262" si="124">I1203+D1204-E1204-F1204-G1204-H1204</f>
        <v>-14173240.394110009</v>
      </c>
    </row>
    <row r="1205" spans="1:9" ht="21" customHeight="1">
      <c r="A1205" s="120"/>
      <c r="C1205" s="15"/>
      <c r="D1205" s="124"/>
      <c r="E1205" s="124"/>
      <c r="F1205" s="117">
        <f t="shared" si="121"/>
        <v>0</v>
      </c>
      <c r="G1205" s="118">
        <f t="shared" si="123"/>
        <v>0</v>
      </c>
      <c r="H1205" s="118">
        <f t="shared" si="122"/>
        <v>0</v>
      </c>
      <c r="I1205" s="119">
        <f t="shared" si="124"/>
        <v>-14173240.394110009</v>
      </c>
    </row>
    <row r="1206" spans="1:9" ht="21" customHeight="1">
      <c r="A1206" s="126"/>
      <c r="B1206" s="868"/>
      <c r="C1206" s="869" t="s">
        <v>946</v>
      </c>
      <c r="D1206" s="125"/>
      <c r="E1206" s="125"/>
      <c r="F1206" s="117">
        <f t="shared" si="121"/>
        <v>0</v>
      </c>
      <c r="G1206" s="118">
        <f t="shared" si="123"/>
        <v>0</v>
      </c>
      <c r="H1206" s="118">
        <f t="shared" si="122"/>
        <v>0</v>
      </c>
      <c r="I1206" s="119">
        <f t="shared" si="124"/>
        <v>-14173240.394110009</v>
      </c>
    </row>
    <row r="1207" spans="1:9" ht="21" customHeight="1">
      <c r="A1207" s="273">
        <v>44993</v>
      </c>
      <c r="B1207" s="870">
        <v>485</v>
      </c>
      <c r="C1207" s="280" t="s">
        <v>923</v>
      </c>
      <c r="D1207" s="281"/>
      <c r="E1207" s="281">
        <v>954000</v>
      </c>
      <c r="F1207" s="117">
        <f t="shared" si="121"/>
        <v>0</v>
      </c>
      <c r="G1207" s="118">
        <f t="shared" si="123"/>
        <v>0</v>
      </c>
      <c r="H1207" s="118">
        <f t="shared" si="122"/>
        <v>5724</v>
      </c>
      <c r="I1207" s="119">
        <f t="shared" si="124"/>
        <v>-15132964.394110009</v>
      </c>
    </row>
    <row r="1208" spans="1:9" ht="21" customHeight="1">
      <c r="A1208" s="273">
        <v>44995</v>
      </c>
      <c r="B1208" s="870">
        <v>486</v>
      </c>
      <c r="C1208" s="280" t="s">
        <v>923</v>
      </c>
      <c r="D1208" s="281"/>
      <c r="E1208" s="281">
        <v>954000</v>
      </c>
      <c r="F1208" s="117">
        <f t="shared" si="121"/>
        <v>0</v>
      </c>
      <c r="G1208" s="118">
        <f t="shared" si="123"/>
        <v>0</v>
      </c>
      <c r="H1208" s="118">
        <f t="shared" si="122"/>
        <v>5724</v>
      </c>
      <c r="I1208" s="119">
        <f t="shared" si="124"/>
        <v>-16092688.394110009</v>
      </c>
    </row>
    <row r="1209" spans="1:9" ht="21" customHeight="1">
      <c r="A1209" s="273">
        <v>44995</v>
      </c>
      <c r="B1209" s="870" t="s">
        <v>925</v>
      </c>
      <c r="C1209" s="280" t="s">
        <v>926</v>
      </c>
      <c r="D1209" s="281"/>
      <c r="E1209" s="276">
        <f>920000/2</f>
        <v>460000</v>
      </c>
      <c r="F1209" s="117">
        <f t="shared" si="121"/>
        <v>0</v>
      </c>
      <c r="G1209" s="118">
        <f t="shared" si="123"/>
        <v>0</v>
      </c>
      <c r="H1209" s="118">
        <f t="shared" si="122"/>
        <v>2760</v>
      </c>
      <c r="I1209" s="119">
        <f t="shared" si="124"/>
        <v>-16555448.394110009</v>
      </c>
    </row>
    <row r="1210" spans="1:9" ht="21" customHeight="1">
      <c r="A1210" s="862">
        <v>44999</v>
      </c>
      <c r="B1210" s="863">
        <v>487</v>
      </c>
      <c r="C1210" s="871" t="s">
        <v>923</v>
      </c>
      <c r="D1210" s="486"/>
      <c r="E1210" s="486">
        <v>954000</v>
      </c>
      <c r="F1210" s="117">
        <f t="shared" si="121"/>
        <v>0</v>
      </c>
      <c r="G1210" s="118">
        <f t="shared" si="123"/>
        <v>0</v>
      </c>
      <c r="H1210" s="118">
        <f t="shared" si="122"/>
        <v>5724</v>
      </c>
      <c r="I1210" s="119">
        <f t="shared" si="124"/>
        <v>-17515172.394110009</v>
      </c>
    </row>
    <row r="1211" spans="1:9" ht="21" customHeight="1">
      <c r="A1211" s="862">
        <v>44999</v>
      </c>
      <c r="B1211" s="872">
        <v>497</v>
      </c>
      <c r="C1211" s="871" t="s">
        <v>924</v>
      </c>
      <c r="D1211" s="873"/>
      <c r="E1211" s="873">
        <v>970000</v>
      </c>
      <c r="F1211" s="117">
        <f t="shared" si="121"/>
        <v>0</v>
      </c>
      <c r="G1211" s="118">
        <f t="shared" si="123"/>
        <v>0</v>
      </c>
      <c r="H1211" s="118">
        <f t="shared" si="122"/>
        <v>5820</v>
      </c>
      <c r="I1211" s="119">
        <f t="shared" si="124"/>
        <v>-18490992.394110009</v>
      </c>
    </row>
    <row r="1212" spans="1:9" ht="21" customHeight="1">
      <c r="A1212" s="862">
        <v>45001</v>
      </c>
      <c r="B1212" s="863">
        <v>288</v>
      </c>
      <c r="C1212" s="871" t="s">
        <v>921</v>
      </c>
      <c r="D1212" s="486"/>
      <c r="E1212" s="486">
        <v>105460</v>
      </c>
      <c r="F1212" s="117">
        <f t="shared" si="121"/>
        <v>0</v>
      </c>
      <c r="G1212" s="118">
        <f t="shared" si="123"/>
        <v>0</v>
      </c>
      <c r="H1212" s="118">
        <f t="shared" si="122"/>
        <v>632.76</v>
      </c>
      <c r="I1212" s="119">
        <f t="shared" si="124"/>
        <v>-18597085.154110011</v>
      </c>
    </row>
    <row r="1213" spans="1:9" ht="21" customHeight="1">
      <c r="A1213" s="862">
        <v>45001</v>
      </c>
      <c r="B1213" s="872">
        <v>498</v>
      </c>
      <c r="C1213" s="871" t="s">
        <v>924</v>
      </c>
      <c r="D1213" s="873"/>
      <c r="E1213" s="873">
        <v>970000</v>
      </c>
      <c r="F1213" s="117">
        <f t="shared" si="121"/>
        <v>0</v>
      </c>
      <c r="G1213" s="118">
        <f t="shared" si="123"/>
        <v>0</v>
      </c>
      <c r="H1213" s="118">
        <f t="shared" si="122"/>
        <v>5820</v>
      </c>
      <c r="I1213" s="119">
        <f t="shared" si="124"/>
        <v>-19572905.154110011</v>
      </c>
    </row>
    <row r="1214" spans="1:9" ht="21" customHeight="1">
      <c r="A1214" s="862">
        <v>45002</v>
      </c>
      <c r="B1214" s="874">
        <v>496</v>
      </c>
      <c r="C1214" s="864" t="s">
        <v>489</v>
      </c>
      <c r="D1214" s="486"/>
      <c r="E1214" s="486">
        <v>176143.4</v>
      </c>
      <c r="F1214" s="117">
        <f t="shared" si="121"/>
        <v>0</v>
      </c>
      <c r="G1214" s="118">
        <f t="shared" si="123"/>
        <v>0</v>
      </c>
      <c r="H1214" s="118">
        <f t="shared" si="122"/>
        <v>1056.8604</v>
      </c>
      <c r="I1214" s="119">
        <f t="shared" si="124"/>
        <v>-19750105.414510008</v>
      </c>
    </row>
    <row r="1215" spans="1:9" ht="21" customHeight="1">
      <c r="A1215" s="862">
        <v>45006</v>
      </c>
      <c r="B1215" s="874">
        <v>479</v>
      </c>
      <c r="C1215" s="871" t="s">
        <v>488</v>
      </c>
      <c r="D1215" s="486"/>
      <c r="E1215" s="486">
        <v>1008000</v>
      </c>
      <c r="F1215" s="117">
        <f t="shared" si="121"/>
        <v>0</v>
      </c>
      <c r="G1215" s="118">
        <f t="shared" si="123"/>
        <v>0</v>
      </c>
      <c r="H1215" s="118">
        <f t="shared" si="122"/>
        <v>6048</v>
      </c>
      <c r="I1215" s="119">
        <f t="shared" si="124"/>
        <v>-20764153.414510008</v>
      </c>
    </row>
    <row r="1216" spans="1:9" ht="21" customHeight="1">
      <c r="A1216" s="862">
        <v>45006</v>
      </c>
      <c r="B1216" s="863" t="s">
        <v>925</v>
      </c>
      <c r="C1216" s="871" t="s">
        <v>927</v>
      </c>
      <c r="D1216" s="486"/>
      <c r="E1216" s="516">
        <f>920000/2</f>
        <v>460000</v>
      </c>
      <c r="F1216" s="117">
        <f t="shared" si="121"/>
        <v>0</v>
      </c>
      <c r="G1216" s="118">
        <f t="shared" si="123"/>
        <v>0</v>
      </c>
      <c r="H1216" s="118">
        <f t="shared" si="122"/>
        <v>2760</v>
      </c>
      <c r="I1216" s="119">
        <f t="shared" si="124"/>
        <v>-21226913.414510008</v>
      </c>
    </row>
    <row r="1217" spans="1:9" ht="21" customHeight="1">
      <c r="A1217" s="862">
        <v>45006</v>
      </c>
      <c r="B1217" s="872">
        <v>499</v>
      </c>
      <c r="C1217" s="871" t="s">
        <v>924</v>
      </c>
      <c r="D1217" s="873"/>
      <c r="E1217" s="873">
        <v>960000</v>
      </c>
      <c r="F1217" s="117">
        <f t="shared" si="121"/>
        <v>0</v>
      </c>
      <c r="G1217" s="118">
        <f t="shared" si="123"/>
        <v>0</v>
      </c>
      <c r="H1217" s="118">
        <f t="shared" si="122"/>
        <v>5760</v>
      </c>
      <c r="I1217" s="119">
        <f t="shared" si="124"/>
        <v>-22192673.414510008</v>
      </c>
    </row>
    <row r="1218" spans="1:9" ht="21" customHeight="1">
      <c r="A1218" s="862">
        <v>45007</v>
      </c>
      <c r="B1218" s="874">
        <v>480</v>
      </c>
      <c r="C1218" s="871" t="s">
        <v>488</v>
      </c>
      <c r="D1218" s="486"/>
      <c r="E1218" s="486">
        <v>1008000</v>
      </c>
      <c r="F1218" s="117">
        <f t="shared" si="121"/>
        <v>0</v>
      </c>
      <c r="G1218" s="118">
        <f t="shared" si="123"/>
        <v>0</v>
      </c>
      <c r="H1218" s="118">
        <f t="shared" si="122"/>
        <v>6048</v>
      </c>
      <c r="I1218" s="119">
        <f t="shared" si="124"/>
        <v>-23206721.414510008</v>
      </c>
    </row>
    <row r="1219" spans="1:9" ht="21" customHeight="1">
      <c r="A1219" s="862">
        <v>45008</v>
      </c>
      <c r="B1219" s="874">
        <v>481</v>
      </c>
      <c r="C1219" s="871" t="s">
        <v>488</v>
      </c>
      <c r="D1219" s="486"/>
      <c r="E1219" s="486">
        <v>1008000</v>
      </c>
      <c r="F1219" s="117">
        <f t="shared" si="121"/>
        <v>0</v>
      </c>
      <c r="G1219" s="118">
        <f t="shared" si="123"/>
        <v>0</v>
      </c>
      <c r="H1219" s="118">
        <f t="shared" si="122"/>
        <v>6048</v>
      </c>
      <c r="I1219" s="119">
        <f t="shared" si="124"/>
        <v>-24220769.414510008</v>
      </c>
    </row>
    <row r="1220" spans="1:9" ht="21" customHeight="1">
      <c r="A1220" s="120"/>
      <c r="C1220" s="15"/>
      <c r="D1220" s="124"/>
      <c r="E1220" s="513"/>
      <c r="F1220" s="117">
        <f t="shared" si="121"/>
        <v>0</v>
      </c>
      <c r="G1220" s="118">
        <f t="shared" si="123"/>
        <v>0</v>
      </c>
      <c r="H1220" s="118">
        <f t="shared" si="122"/>
        <v>0</v>
      </c>
      <c r="I1220" s="119">
        <f>I1232+D1220-E1220-F1220-G1220-H1220</f>
        <v>-29570071.983590011</v>
      </c>
    </row>
    <row r="1221" spans="1:9" ht="21" customHeight="1">
      <c r="A1221" s="120"/>
      <c r="C1221" s="168" t="s">
        <v>947</v>
      </c>
      <c r="D1221" s="124"/>
      <c r="E1221" s="513">
        <v>330777.86</v>
      </c>
      <c r="F1221" s="117">
        <f t="shared" si="121"/>
        <v>0</v>
      </c>
      <c r="G1221" s="118">
        <f t="shared" si="123"/>
        <v>0</v>
      </c>
      <c r="H1221" s="118">
        <f t="shared" si="122"/>
        <v>1984.66716</v>
      </c>
      <c r="I1221" s="119">
        <f t="shared" ref="I1221:I1236" si="125">I1220+D1221-E1221-F1221-G1221-H1221</f>
        <v>-29902834.510750011</v>
      </c>
    </row>
    <row r="1222" spans="1:9" ht="21" customHeight="1">
      <c r="A1222" s="120"/>
      <c r="C1222" s="168" t="s">
        <v>948</v>
      </c>
      <c r="D1222" s="124"/>
      <c r="E1222" s="513">
        <f>330777.86*21%</f>
        <v>69463.350599999991</v>
      </c>
      <c r="F1222" s="117">
        <f t="shared" si="121"/>
        <v>0</v>
      </c>
      <c r="G1222" s="118">
        <f t="shared" si="123"/>
        <v>0</v>
      </c>
      <c r="H1222" s="118">
        <f t="shared" si="122"/>
        <v>416.78010359999996</v>
      </c>
      <c r="I1222" s="119">
        <f t="shared" si="125"/>
        <v>-29972714.641453613</v>
      </c>
    </row>
    <row r="1223" spans="1:9" ht="21" customHeight="1">
      <c r="A1223" s="120">
        <v>45023</v>
      </c>
      <c r="B1223" s="148">
        <v>289</v>
      </c>
      <c r="C1223" s="168" t="s">
        <v>949</v>
      </c>
      <c r="D1223" s="513"/>
      <c r="E1223" s="513">
        <v>2226000</v>
      </c>
      <c r="F1223" s="117">
        <f t="shared" si="121"/>
        <v>0</v>
      </c>
      <c r="G1223" s="118">
        <f t="shared" si="123"/>
        <v>0</v>
      </c>
      <c r="H1223" s="118">
        <f t="shared" si="122"/>
        <v>13356</v>
      </c>
      <c r="I1223" s="119">
        <f t="shared" si="125"/>
        <v>-32212070.641453613</v>
      </c>
    </row>
    <row r="1224" spans="1:9" ht="21" customHeight="1">
      <c r="A1224" s="120">
        <v>45030</v>
      </c>
      <c r="B1224" s="148">
        <v>290</v>
      </c>
      <c r="C1224" s="168" t="s">
        <v>949</v>
      </c>
      <c r="D1224" s="513"/>
      <c r="E1224" s="513">
        <v>2226000</v>
      </c>
      <c r="F1224" s="117">
        <f t="shared" si="121"/>
        <v>0</v>
      </c>
      <c r="G1224" s="118">
        <f t="shared" si="123"/>
        <v>0</v>
      </c>
      <c r="H1224" s="118">
        <f t="shared" si="122"/>
        <v>13356</v>
      </c>
      <c r="I1224" s="119">
        <f t="shared" si="125"/>
        <v>-34451426.641453609</v>
      </c>
    </row>
    <row r="1225" spans="1:9" ht="21" customHeight="1">
      <c r="A1225" s="120">
        <v>45034</v>
      </c>
      <c r="B1225" s="651">
        <v>500</v>
      </c>
      <c r="C1225" s="15" t="s">
        <v>924</v>
      </c>
      <c r="D1225" s="765"/>
      <c r="E1225" s="765">
        <v>900000</v>
      </c>
      <c r="F1225" s="117">
        <f t="shared" si="121"/>
        <v>0</v>
      </c>
      <c r="G1225" s="118">
        <f t="shared" si="123"/>
        <v>0</v>
      </c>
      <c r="H1225" s="118">
        <f t="shared" si="122"/>
        <v>5400</v>
      </c>
      <c r="I1225" s="119">
        <f t="shared" si="125"/>
        <v>-35356826.641453609</v>
      </c>
    </row>
    <row r="1226" spans="1:9" ht="21" customHeight="1">
      <c r="A1226" s="120">
        <v>45037</v>
      </c>
      <c r="B1226" s="148">
        <v>291</v>
      </c>
      <c r="C1226" s="168" t="s">
        <v>949</v>
      </c>
      <c r="D1226" s="513"/>
      <c r="E1226" s="513">
        <v>2226000</v>
      </c>
      <c r="F1226" s="117">
        <f t="shared" si="121"/>
        <v>0</v>
      </c>
      <c r="G1226" s="118">
        <f t="shared" si="123"/>
        <v>0</v>
      </c>
      <c r="H1226" s="118">
        <f t="shared" si="122"/>
        <v>13356</v>
      </c>
      <c r="I1226" s="119">
        <f t="shared" si="125"/>
        <v>-37596182.641453609</v>
      </c>
    </row>
    <row r="1227" spans="1:9" ht="21" customHeight="1">
      <c r="A1227" s="120">
        <v>45041</v>
      </c>
      <c r="B1227" s="651">
        <v>501</v>
      </c>
      <c r="C1227" s="15" t="s">
        <v>924</v>
      </c>
      <c r="D1227" s="765"/>
      <c r="E1227" s="765">
        <v>900000</v>
      </c>
      <c r="F1227" s="117">
        <f t="shared" si="121"/>
        <v>0</v>
      </c>
      <c r="G1227" s="118">
        <f t="shared" si="123"/>
        <v>0</v>
      </c>
      <c r="H1227" s="118">
        <f t="shared" si="122"/>
        <v>5400</v>
      </c>
      <c r="I1227" s="119">
        <f t="shared" si="125"/>
        <v>-38501582.641453609</v>
      </c>
    </row>
    <row r="1228" spans="1:9" ht="21" customHeight="1">
      <c r="A1228" s="120">
        <v>45044</v>
      </c>
      <c r="B1228" s="148">
        <v>292</v>
      </c>
      <c r="C1228" s="168" t="s">
        <v>949</v>
      </c>
      <c r="D1228" s="513"/>
      <c r="E1228" s="513">
        <v>2424419.73</v>
      </c>
      <c r="F1228" s="117">
        <f>D1228*0%</f>
        <v>0</v>
      </c>
      <c r="G1228" s="118">
        <f>D1228*0.006</f>
        <v>0</v>
      </c>
      <c r="H1228" s="118">
        <f>E1228*0.006+F1228*0.006</f>
        <v>14546.51838</v>
      </c>
      <c r="I1228" s="119">
        <f>I1219+D1228-E1228-F1228-G1228-H1228</f>
        <v>-26659735.66289001</v>
      </c>
    </row>
    <row r="1229" spans="1:9" ht="21" customHeight="1">
      <c r="A1229" s="120">
        <v>45063</v>
      </c>
      <c r="B1229" s="561">
        <v>502</v>
      </c>
      <c r="C1229" s="15" t="s">
        <v>924</v>
      </c>
      <c r="D1229" s="875"/>
      <c r="E1229" s="876">
        <v>918008.45</v>
      </c>
      <c r="F1229" s="117">
        <f>D1229*0%</f>
        <v>0</v>
      </c>
      <c r="G1229" s="118">
        <f>D1229*0.006</f>
        <v>0</v>
      </c>
      <c r="H1229" s="118">
        <f>E1229*0.006+F1229*0.006</f>
        <v>5508.0506999999998</v>
      </c>
      <c r="I1229" s="119">
        <f>I1228+D1229-E1229-F1229-G1229-H1229</f>
        <v>-27583252.16359001</v>
      </c>
    </row>
    <row r="1230" spans="1:9" ht="21" customHeight="1">
      <c r="A1230" s="120">
        <v>45065</v>
      </c>
      <c r="B1230" s="561">
        <v>503</v>
      </c>
      <c r="C1230" s="15" t="s">
        <v>924</v>
      </c>
      <c r="D1230" s="875"/>
      <c r="E1230" s="876">
        <v>960000</v>
      </c>
      <c r="F1230" s="117">
        <f>D1230*0%</f>
        <v>0</v>
      </c>
      <c r="G1230" s="118">
        <f>D1230*0.006</f>
        <v>0</v>
      </c>
      <c r="H1230" s="118">
        <f>E1230*0.006+F1230*0.006</f>
        <v>5760</v>
      </c>
      <c r="I1230" s="119">
        <f>I1229+D1230-E1230-F1230-G1230-H1230</f>
        <v>-28549012.16359001</v>
      </c>
    </row>
    <row r="1231" spans="1:9" ht="21" customHeight="1">
      <c r="A1231" s="120">
        <v>45069</v>
      </c>
      <c r="B1231" s="561">
        <v>504</v>
      </c>
      <c r="C1231" s="15" t="s">
        <v>924</v>
      </c>
      <c r="D1231" s="875"/>
      <c r="E1231" s="876">
        <v>960000</v>
      </c>
      <c r="F1231" s="117">
        <f>D1231*0%</f>
        <v>0</v>
      </c>
      <c r="G1231" s="118">
        <f>D1231*0.006</f>
        <v>0</v>
      </c>
      <c r="H1231" s="118">
        <f>E1231*0.006+F1231*0.006</f>
        <v>5760</v>
      </c>
      <c r="I1231" s="119">
        <f>I1230+D1231-E1231-F1231-G1231-H1231</f>
        <v>-29514772.16359001</v>
      </c>
    </row>
    <row r="1232" spans="1:9" ht="21" customHeight="1">
      <c r="A1232" s="120">
        <v>45028</v>
      </c>
      <c r="B1232" s="148">
        <v>293</v>
      </c>
      <c r="C1232" s="168" t="s">
        <v>950</v>
      </c>
      <c r="D1232" s="124"/>
      <c r="E1232" s="513">
        <v>54970</v>
      </c>
      <c r="F1232" s="117">
        <f>D1232*0%</f>
        <v>0</v>
      </c>
      <c r="G1232" s="118">
        <f>D1232*0.006</f>
        <v>0</v>
      </c>
      <c r="H1232" s="118">
        <f>E1232*0.006+F1232*0.006</f>
        <v>329.82</v>
      </c>
      <c r="I1232" s="119">
        <f>I1231+D1232-E1232-F1232-G1232-H1232</f>
        <v>-29570071.983590011</v>
      </c>
    </row>
    <row r="1233" spans="1:9" ht="21" customHeight="1">
      <c r="A1233" s="120">
        <v>45030</v>
      </c>
      <c r="B1233" s="148">
        <v>294</v>
      </c>
      <c r="C1233" s="168" t="s">
        <v>950</v>
      </c>
      <c r="D1233" s="124"/>
      <c r="E1233" s="513">
        <v>594000</v>
      </c>
      <c r="F1233" s="117">
        <f t="shared" si="121"/>
        <v>0</v>
      </c>
      <c r="G1233" s="118">
        <f t="shared" si="123"/>
        <v>0</v>
      </c>
      <c r="H1233" s="118">
        <f t="shared" si="122"/>
        <v>3564</v>
      </c>
      <c r="I1233" s="119">
        <f>I1227+D1233-E1233-F1233-G1233-H1233</f>
        <v>-39099146.641453609</v>
      </c>
    </row>
    <row r="1234" spans="1:9" ht="21" customHeight="1">
      <c r="A1234" s="120">
        <v>45023</v>
      </c>
      <c r="B1234" s="148">
        <v>488</v>
      </c>
      <c r="C1234" s="15" t="s">
        <v>923</v>
      </c>
      <c r="D1234" s="124"/>
      <c r="E1234" s="124">
        <v>1008000</v>
      </c>
      <c r="F1234" s="117">
        <f t="shared" si="121"/>
        <v>0</v>
      </c>
      <c r="G1234" s="118">
        <f t="shared" si="123"/>
        <v>0</v>
      </c>
      <c r="H1234" s="118">
        <f t="shared" si="122"/>
        <v>6048</v>
      </c>
      <c r="I1234" s="119">
        <f t="shared" si="125"/>
        <v>-40113194.641453609</v>
      </c>
    </row>
    <row r="1235" spans="1:9" ht="21" customHeight="1">
      <c r="A1235" s="120">
        <v>45027</v>
      </c>
      <c r="B1235" s="148">
        <v>489</v>
      </c>
      <c r="C1235" s="15" t="s">
        <v>923</v>
      </c>
      <c r="D1235" s="124"/>
      <c r="E1235" s="124">
        <v>1008000</v>
      </c>
      <c r="F1235" s="117">
        <f t="shared" si="121"/>
        <v>0</v>
      </c>
      <c r="G1235" s="118">
        <f t="shared" si="123"/>
        <v>0</v>
      </c>
      <c r="H1235" s="118">
        <f t="shared" si="122"/>
        <v>6048</v>
      </c>
      <c r="I1235" s="119">
        <f t="shared" si="125"/>
        <v>-41127242.641453609</v>
      </c>
    </row>
    <row r="1236" spans="1:9" ht="21" customHeight="1">
      <c r="A1236" s="120">
        <v>45029</v>
      </c>
      <c r="B1236" s="148">
        <v>490</v>
      </c>
      <c r="C1236" s="15" t="s">
        <v>923</v>
      </c>
      <c r="D1236" s="124"/>
      <c r="E1236" s="124">
        <v>1008000</v>
      </c>
      <c r="F1236" s="117">
        <f t="shared" si="121"/>
        <v>0</v>
      </c>
      <c r="G1236" s="118">
        <f t="shared" si="123"/>
        <v>0</v>
      </c>
      <c r="H1236" s="118">
        <f t="shared" si="122"/>
        <v>6048</v>
      </c>
      <c r="I1236" s="119">
        <f t="shared" si="125"/>
        <v>-42141290.641453609</v>
      </c>
    </row>
    <row r="1237" spans="1:9" ht="21" customHeight="1">
      <c r="A1237" s="120">
        <v>45035</v>
      </c>
      <c r="B1237" s="122">
        <v>482</v>
      </c>
      <c r="C1237" s="15" t="s">
        <v>488</v>
      </c>
      <c r="D1237" s="124"/>
      <c r="E1237" s="124">
        <v>1104800</v>
      </c>
      <c r="F1237" s="117">
        <f t="shared" si="121"/>
        <v>0</v>
      </c>
      <c r="G1237" s="118">
        <f t="shared" si="123"/>
        <v>0</v>
      </c>
      <c r="H1237" s="118">
        <f t="shared" si="122"/>
        <v>6628.8</v>
      </c>
      <c r="I1237" s="119">
        <f t="shared" si="124"/>
        <v>-43252719.441453606</v>
      </c>
    </row>
    <row r="1238" spans="1:9" ht="21" customHeight="1">
      <c r="A1238" s="877">
        <v>45036</v>
      </c>
      <c r="B1238" s="878">
        <v>286</v>
      </c>
      <c r="C1238" s="96" t="s">
        <v>951</v>
      </c>
      <c r="D1238" s="879"/>
      <c r="E1238" s="879">
        <v>594000</v>
      </c>
      <c r="F1238" s="117">
        <f t="shared" si="121"/>
        <v>0</v>
      </c>
      <c r="G1238" s="118">
        <f t="shared" si="123"/>
        <v>0</v>
      </c>
      <c r="H1238" s="118">
        <f t="shared" si="122"/>
        <v>3564</v>
      </c>
      <c r="I1238" s="119">
        <f t="shared" si="124"/>
        <v>-43850283.441453606</v>
      </c>
    </row>
    <row r="1239" spans="1:9" ht="21" customHeight="1">
      <c r="A1239" s="120">
        <v>45036</v>
      </c>
      <c r="B1239" s="122">
        <v>483</v>
      </c>
      <c r="C1239" s="15" t="s">
        <v>488</v>
      </c>
      <c r="D1239" s="124"/>
      <c r="E1239" s="124">
        <v>1104800</v>
      </c>
      <c r="F1239" s="117">
        <f t="shared" si="121"/>
        <v>0</v>
      </c>
      <c r="G1239" s="118">
        <f t="shared" si="123"/>
        <v>0</v>
      </c>
      <c r="H1239" s="118">
        <f t="shared" si="122"/>
        <v>6628.8</v>
      </c>
      <c r="I1239" s="119">
        <f t="shared" si="124"/>
        <v>-44961712.241453603</v>
      </c>
    </row>
    <row r="1240" spans="1:9" ht="21" customHeight="1">
      <c r="A1240" s="877">
        <v>45037</v>
      </c>
      <c r="B1240" s="878">
        <v>287</v>
      </c>
      <c r="C1240" s="96" t="s">
        <v>951</v>
      </c>
      <c r="D1240" s="879"/>
      <c r="E1240" s="879">
        <v>594000</v>
      </c>
      <c r="F1240" s="117">
        <f t="shared" si="121"/>
        <v>0</v>
      </c>
      <c r="G1240" s="118">
        <f t="shared" si="123"/>
        <v>0</v>
      </c>
      <c r="H1240" s="118">
        <f t="shared" si="122"/>
        <v>3564</v>
      </c>
      <c r="I1240" s="119">
        <f t="shared" si="124"/>
        <v>-45559276.241453603</v>
      </c>
    </row>
    <row r="1241" spans="1:9" ht="21" customHeight="1">
      <c r="A1241" s="120">
        <v>45037</v>
      </c>
      <c r="B1241" s="122">
        <v>484</v>
      </c>
      <c r="C1241" s="15" t="s">
        <v>488</v>
      </c>
      <c r="D1241" s="124"/>
      <c r="E1241" s="124">
        <v>1104825.79</v>
      </c>
      <c r="F1241" s="117">
        <f t="shared" si="121"/>
        <v>0</v>
      </c>
      <c r="G1241" s="118">
        <f t="shared" si="123"/>
        <v>0</v>
      </c>
      <c r="H1241" s="118">
        <f t="shared" si="122"/>
        <v>6628.9547400000001</v>
      </c>
      <c r="I1241" s="119">
        <f t="shared" si="124"/>
        <v>-46670730.986193605</v>
      </c>
    </row>
    <row r="1242" spans="1:9" ht="21" customHeight="1">
      <c r="A1242" s="120">
        <v>45055</v>
      </c>
      <c r="B1242" s="148">
        <v>491</v>
      </c>
      <c r="C1242" s="15" t="s">
        <v>923</v>
      </c>
      <c r="D1242" s="124"/>
      <c r="E1242" s="124">
        <v>1104800</v>
      </c>
      <c r="F1242" s="117">
        <f t="shared" si="121"/>
        <v>0</v>
      </c>
      <c r="G1242" s="118">
        <f t="shared" si="123"/>
        <v>0</v>
      </c>
      <c r="H1242" s="118">
        <f t="shared" si="122"/>
        <v>6628.8</v>
      </c>
      <c r="I1242" s="119">
        <f t="shared" si="124"/>
        <v>-47782159.786193602</v>
      </c>
    </row>
    <row r="1243" spans="1:9" ht="21" customHeight="1">
      <c r="A1243" s="120">
        <v>45057</v>
      </c>
      <c r="B1243" s="148">
        <v>492</v>
      </c>
      <c r="C1243" s="15" t="s">
        <v>923</v>
      </c>
      <c r="D1243" s="124"/>
      <c r="E1243" s="124">
        <v>1104800</v>
      </c>
      <c r="F1243" s="117">
        <f t="shared" si="121"/>
        <v>0</v>
      </c>
      <c r="G1243" s="118">
        <f t="shared" si="123"/>
        <v>0</v>
      </c>
      <c r="H1243" s="118">
        <f t="shared" si="122"/>
        <v>6628.8</v>
      </c>
      <c r="I1243" s="119">
        <f t="shared" si="124"/>
        <v>-48893588.586193599</v>
      </c>
    </row>
    <row r="1244" spans="1:9" ht="21" customHeight="1">
      <c r="A1244" s="120">
        <v>45058</v>
      </c>
      <c r="B1244" s="148">
        <v>493</v>
      </c>
      <c r="C1244" s="15" t="s">
        <v>923</v>
      </c>
      <c r="D1244" s="124"/>
      <c r="E1244" s="124">
        <v>1104825.79</v>
      </c>
      <c r="F1244" s="117">
        <f t="shared" si="121"/>
        <v>0</v>
      </c>
      <c r="G1244" s="118">
        <f t="shared" si="123"/>
        <v>0</v>
      </c>
      <c r="H1244" s="118">
        <f t="shared" si="122"/>
        <v>6628.9547400000001</v>
      </c>
      <c r="I1244" s="119">
        <f t="shared" si="124"/>
        <v>-50005043.330933601</v>
      </c>
    </row>
    <row r="1245" spans="1:9" ht="21" customHeight="1">
      <c r="A1245" s="157"/>
      <c r="B1245" s="561" t="s">
        <v>952</v>
      </c>
      <c r="C1245" s="15" t="s">
        <v>953</v>
      </c>
      <c r="D1245" s="191"/>
      <c r="E1245" s="503">
        <v>350000</v>
      </c>
      <c r="F1245" s="117">
        <f t="shared" si="121"/>
        <v>0</v>
      </c>
      <c r="G1245" s="118">
        <f t="shared" si="123"/>
        <v>0</v>
      </c>
      <c r="H1245" s="118">
        <f t="shared" si="122"/>
        <v>2100</v>
      </c>
      <c r="I1245" s="119">
        <f t="shared" si="124"/>
        <v>-50357143.330933601</v>
      </c>
    </row>
    <row r="1246" spans="1:9" ht="21" customHeight="1">
      <c r="A1246" s="120"/>
      <c r="B1246" s="880" t="s">
        <v>954</v>
      </c>
      <c r="C1246" s="881" t="s">
        <v>955</v>
      </c>
      <c r="D1246" s="879"/>
      <c r="E1246" s="882">
        <v>380000</v>
      </c>
      <c r="F1246" s="117">
        <f t="shared" ref="F1246:F1262" si="126">D1246*0%</f>
        <v>0</v>
      </c>
      <c r="G1246" s="118">
        <f t="shared" si="123"/>
        <v>0</v>
      </c>
      <c r="H1246" s="118">
        <f t="shared" ref="H1246:H1262" si="127">E1246*0.006+F1246*0.006</f>
        <v>2280</v>
      </c>
      <c r="I1246" s="119">
        <f t="shared" si="124"/>
        <v>-50739423.330933601</v>
      </c>
    </row>
    <row r="1247" spans="1:9" ht="21" customHeight="1">
      <c r="A1247" s="120"/>
      <c r="B1247" s="880" t="s">
        <v>954</v>
      </c>
      <c r="C1247" s="96" t="s">
        <v>956</v>
      </c>
      <c r="D1247" s="883"/>
      <c r="E1247" s="884">
        <v>350000</v>
      </c>
      <c r="F1247" s="117">
        <f t="shared" si="126"/>
        <v>0</v>
      </c>
      <c r="G1247" s="118">
        <f t="shared" si="123"/>
        <v>0</v>
      </c>
      <c r="H1247" s="118">
        <f t="shared" si="127"/>
        <v>2100</v>
      </c>
      <c r="I1247" s="119">
        <f t="shared" si="124"/>
        <v>-51091523.330933601</v>
      </c>
    </row>
    <row r="1248" spans="1:9" ht="21" customHeight="1">
      <c r="A1248" s="120"/>
      <c r="B1248" s="880" t="s">
        <v>954</v>
      </c>
      <c r="C1248" s="96" t="s">
        <v>386</v>
      </c>
      <c r="D1248" s="885"/>
      <c r="E1248" s="886">
        <v>2000</v>
      </c>
      <c r="F1248" s="117">
        <f t="shared" si="126"/>
        <v>0</v>
      </c>
      <c r="G1248" s="118">
        <f t="shared" si="123"/>
        <v>0</v>
      </c>
      <c r="H1248" s="118">
        <f t="shared" si="127"/>
        <v>12</v>
      </c>
      <c r="I1248" s="119">
        <f t="shared" si="124"/>
        <v>-51093535.330933601</v>
      </c>
    </row>
    <row r="1249" spans="1:9" ht="21" customHeight="1">
      <c r="B1249" s="880" t="s">
        <v>954</v>
      </c>
      <c r="C1249" s="725" t="s">
        <v>145</v>
      </c>
      <c r="D1249" s="887"/>
      <c r="E1249" s="886">
        <v>100000</v>
      </c>
      <c r="F1249" s="117">
        <f t="shared" si="126"/>
        <v>0</v>
      </c>
      <c r="G1249" s="118">
        <f t="shared" si="123"/>
        <v>0</v>
      </c>
      <c r="H1249" s="118">
        <f t="shared" si="127"/>
        <v>600</v>
      </c>
      <c r="I1249" s="119">
        <f t="shared" si="124"/>
        <v>-51194135.330933601</v>
      </c>
    </row>
    <row r="1250" spans="1:9" ht="21" customHeight="1">
      <c r="B1250" s="880" t="s">
        <v>954</v>
      </c>
      <c r="C1250" s="881" t="s">
        <v>957</v>
      </c>
      <c r="D1250" s="879"/>
      <c r="E1250" s="886">
        <v>500000</v>
      </c>
      <c r="F1250" s="117">
        <f t="shared" si="126"/>
        <v>0</v>
      </c>
      <c r="G1250" s="118">
        <f t="shared" si="123"/>
        <v>0</v>
      </c>
      <c r="H1250" s="118">
        <f t="shared" si="127"/>
        <v>3000</v>
      </c>
      <c r="I1250" s="119">
        <f t="shared" si="124"/>
        <v>-51697135.330933601</v>
      </c>
    </row>
    <row r="1251" spans="1:9" ht="21" customHeight="1">
      <c r="B1251" s="880" t="s">
        <v>954</v>
      </c>
      <c r="C1251" s="881" t="s">
        <v>958</v>
      </c>
      <c r="D1251" s="888"/>
      <c r="E1251" s="886">
        <v>500000</v>
      </c>
      <c r="F1251" s="117">
        <f t="shared" si="126"/>
        <v>0</v>
      </c>
      <c r="G1251" s="118">
        <f t="shared" ref="G1251:G1262" si="128">D1251*0.006</f>
        <v>0</v>
      </c>
      <c r="H1251" s="118">
        <f t="shared" si="127"/>
        <v>3000</v>
      </c>
      <c r="I1251" s="119">
        <f t="shared" si="124"/>
        <v>-52200135.330933601</v>
      </c>
    </row>
    <row r="1252" spans="1:9" ht="21" customHeight="1">
      <c r="B1252" s="880" t="s">
        <v>954</v>
      </c>
      <c r="C1252" s="881" t="s">
        <v>959</v>
      </c>
      <c r="D1252" s="879"/>
      <c r="E1252" s="882">
        <v>100000</v>
      </c>
      <c r="F1252" s="117">
        <f t="shared" si="126"/>
        <v>0</v>
      </c>
      <c r="G1252" s="118">
        <f t="shared" si="128"/>
        <v>0</v>
      </c>
      <c r="H1252" s="118">
        <f t="shared" si="127"/>
        <v>600</v>
      </c>
      <c r="I1252" s="119">
        <f t="shared" si="124"/>
        <v>-52300735.330933601</v>
      </c>
    </row>
    <row r="1253" spans="1:9" ht="21" customHeight="1">
      <c r="B1253" s="880" t="s">
        <v>954</v>
      </c>
      <c r="C1253" s="96" t="s">
        <v>960</v>
      </c>
      <c r="D1253" s="883"/>
      <c r="E1253" s="884">
        <f>28261.91+45806.57+6056.12+9815.69</f>
        <v>89940.29</v>
      </c>
      <c r="F1253" s="117">
        <f t="shared" si="126"/>
        <v>0</v>
      </c>
      <c r="G1253" s="118">
        <f t="shared" si="128"/>
        <v>0</v>
      </c>
      <c r="H1253" s="118">
        <f t="shared" si="127"/>
        <v>539.64174000000003</v>
      </c>
      <c r="I1253" s="119">
        <f t="shared" si="124"/>
        <v>-52391215.262673602</v>
      </c>
    </row>
    <row r="1254" spans="1:9" ht="21" customHeight="1">
      <c r="B1254" s="880" t="s">
        <v>954</v>
      </c>
      <c r="C1254" s="96" t="s">
        <v>961</v>
      </c>
      <c r="D1254" s="883"/>
      <c r="E1254" s="884">
        <v>500000</v>
      </c>
      <c r="F1254" s="117">
        <f t="shared" si="126"/>
        <v>0</v>
      </c>
      <c r="G1254" s="118">
        <f t="shared" si="128"/>
        <v>0</v>
      </c>
      <c r="H1254" s="118">
        <f t="shared" si="127"/>
        <v>3000</v>
      </c>
      <c r="I1254" s="119">
        <f t="shared" si="124"/>
        <v>-52894215.262673602</v>
      </c>
    </row>
    <row r="1255" spans="1:9" ht="21" customHeight="1">
      <c r="A1255" s="120"/>
      <c r="B1255" s="880" t="s">
        <v>954</v>
      </c>
      <c r="C1255" s="881" t="s">
        <v>955</v>
      </c>
      <c r="D1255" s="879"/>
      <c r="E1255" s="882">
        <v>380000</v>
      </c>
      <c r="F1255" s="117">
        <f t="shared" si="126"/>
        <v>0</v>
      </c>
      <c r="G1255" s="118">
        <f t="shared" si="128"/>
        <v>0</v>
      </c>
      <c r="H1255" s="118">
        <f t="shared" si="127"/>
        <v>2280</v>
      </c>
      <c r="I1255" s="119">
        <f t="shared" si="124"/>
        <v>-53276495.262673602</v>
      </c>
    </row>
    <row r="1256" spans="1:9" ht="21" customHeight="1">
      <c r="A1256" s="120"/>
      <c r="B1256" s="880" t="s">
        <v>954</v>
      </c>
      <c r="C1256" s="96" t="s">
        <v>962</v>
      </c>
      <c r="D1256" s="883"/>
      <c r="E1256" s="884">
        <v>350000</v>
      </c>
      <c r="F1256" s="117">
        <f t="shared" si="126"/>
        <v>0</v>
      </c>
      <c r="G1256" s="118">
        <f t="shared" si="128"/>
        <v>0</v>
      </c>
      <c r="H1256" s="118">
        <f t="shared" si="127"/>
        <v>2100</v>
      </c>
      <c r="I1256" s="119">
        <f t="shared" si="124"/>
        <v>-53628595.262673602</v>
      </c>
    </row>
    <row r="1257" spans="1:9" ht="21" customHeight="1">
      <c r="A1257" s="120"/>
      <c r="B1257" s="880" t="s">
        <v>954</v>
      </c>
      <c r="C1257" s="96" t="s">
        <v>956</v>
      </c>
      <c r="D1257" s="883"/>
      <c r="E1257" s="884">
        <v>350000</v>
      </c>
      <c r="F1257" s="117">
        <f t="shared" si="126"/>
        <v>0</v>
      </c>
      <c r="G1257" s="118">
        <f t="shared" si="128"/>
        <v>0</v>
      </c>
      <c r="H1257" s="118">
        <f t="shared" si="127"/>
        <v>2100</v>
      </c>
      <c r="I1257" s="119">
        <f t="shared" si="124"/>
        <v>-53980695.262673602</v>
      </c>
    </row>
    <row r="1258" spans="1:9" ht="21" customHeight="1">
      <c r="A1258" s="120" t="s">
        <v>942</v>
      </c>
      <c r="C1258" s="15" t="s">
        <v>924</v>
      </c>
      <c r="D1258" s="124"/>
      <c r="E1258" s="124">
        <v>10000000</v>
      </c>
      <c r="F1258" s="117">
        <f t="shared" si="126"/>
        <v>0</v>
      </c>
      <c r="G1258" s="118">
        <f t="shared" si="128"/>
        <v>0</v>
      </c>
      <c r="H1258" s="118">
        <f t="shared" si="127"/>
        <v>60000</v>
      </c>
      <c r="I1258" s="119">
        <f t="shared" si="124"/>
        <v>-64040695.262673602</v>
      </c>
    </row>
    <row r="1259" spans="1:9" ht="21" customHeight="1">
      <c r="A1259" s="120" t="s">
        <v>938</v>
      </c>
      <c r="C1259" s="15" t="s">
        <v>939</v>
      </c>
      <c r="D1259" s="124"/>
      <c r="E1259" s="124">
        <v>11000000</v>
      </c>
      <c r="F1259" s="117">
        <f t="shared" si="126"/>
        <v>0</v>
      </c>
      <c r="G1259" s="118">
        <f t="shared" si="128"/>
        <v>0</v>
      </c>
      <c r="H1259" s="118">
        <f t="shared" si="127"/>
        <v>66000</v>
      </c>
      <c r="I1259" s="119">
        <f t="shared" si="124"/>
        <v>-75106695.262673602</v>
      </c>
    </row>
    <row r="1260" spans="1:9" ht="21" customHeight="1">
      <c r="A1260" s="120" t="s">
        <v>943</v>
      </c>
      <c r="C1260" s="15" t="s">
        <v>944</v>
      </c>
      <c r="D1260" s="124"/>
      <c r="E1260" s="124">
        <v>12000000</v>
      </c>
      <c r="F1260" s="117">
        <f t="shared" si="126"/>
        <v>0</v>
      </c>
      <c r="G1260" s="118">
        <f t="shared" si="128"/>
        <v>0</v>
      </c>
      <c r="H1260" s="118">
        <f t="shared" si="127"/>
        <v>72000</v>
      </c>
      <c r="I1260" s="119">
        <f t="shared" si="124"/>
        <v>-87178695.262673602</v>
      </c>
    </row>
    <row r="1261" spans="1:9" ht="21" customHeight="1">
      <c r="A1261" s="120" t="s">
        <v>940</v>
      </c>
      <c r="C1261" s="15" t="s">
        <v>941</v>
      </c>
      <c r="D1261" s="124"/>
      <c r="E1261" s="124">
        <v>14000000</v>
      </c>
      <c r="F1261" s="117">
        <f t="shared" si="126"/>
        <v>0</v>
      </c>
      <c r="G1261" s="118">
        <f t="shared" si="128"/>
        <v>0</v>
      </c>
      <c r="H1261" s="118">
        <f t="shared" si="127"/>
        <v>84000</v>
      </c>
      <c r="I1261" s="119">
        <f t="shared" si="124"/>
        <v>-101262695.2626736</v>
      </c>
    </row>
    <row r="1262" spans="1:9" ht="21" customHeight="1">
      <c r="B1262" s="15"/>
      <c r="C1262" s="15"/>
      <c r="D1262" s="124"/>
      <c r="E1262" s="124"/>
      <c r="F1262" s="117">
        <f t="shared" si="126"/>
        <v>0</v>
      </c>
      <c r="G1262" s="118">
        <f t="shared" si="128"/>
        <v>0</v>
      </c>
      <c r="H1262" s="118">
        <f t="shared" si="127"/>
        <v>0</v>
      </c>
      <c r="I1262" s="119">
        <f t="shared" si="124"/>
        <v>-101262695.2626736</v>
      </c>
    </row>
    <row r="1263" spans="1:9" ht="21" customHeight="1">
      <c r="A1263" s="889"/>
      <c r="B1263" s="890"/>
      <c r="C1263" s="891" t="s">
        <v>963</v>
      </c>
      <c r="D1263" s="892"/>
      <c r="E1263" s="272"/>
      <c r="F1263" s="315">
        <f t="shared" ref="F1263:F1290" si="129">D1267*0%</f>
        <v>0</v>
      </c>
      <c r="G1263" s="315">
        <f t="shared" ref="G1263:G1290" si="130">D1267*0.006</f>
        <v>0</v>
      </c>
      <c r="H1263" s="315">
        <f t="shared" ref="H1263:H1290" si="131">E1267*0.006+F1263*0.006</f>
        <v>1869.6780000000001</v>
      </c>
      <c r="I1263" s="404">
        <f t="shared" ref="I1263:I1290" si="132">I1262+D1267-E1267-F1263-G1263-H1263</f>
        <v>-101576177.9406736</v>
      </c>
    </row>
    <row r="1264" spans="1:9" ht="21" customHeight="1">
      <c r="A1264" s="891"/>
      <c r="B1264" s="893"/>
      <c r="C1264" s="894" t="s">
        <v>964</v>
      </c>
      <c r="D1264" s="892"/>
      <c r="E1264" s="271"/>
      <c r="F1264" s="315">
        <f t="shared" si="129"/>
        <v>0</v>
      </c>
      <c r="G1264" s="315">
        <f t="shared" si="130"/>
        <v>0</v>
      </c>
      <c r="H1264" s="315">
        <f t="shared" si="131"/>
        <v>1869.6780000000001</v>
      </c>
      <c r="I1264" s="404">
        <f t="shared" si="132"/>
        <v>-101889660.61867361</v>
      </c>
    </row>
    <row r="1265" spans="1:9" ht="21" customHeight="1">
      <c r="A1265" s="561"/>
      <c r="B1265" s="561"/>
      <c r="C1265" s="561"/>
      <c r="D1265" s="895"/>
      <c r="E1265" s="895"/>
      <c r="F1265" s="117">
        <f t="shared" si="129"/>
        <v>0</v>
      </c>
      <c r="G1265" s="118">
        <f t="shared" si="130"/>
        <v>0</v>
      </c>
      <c r="H1265" s="118">
        <f t="shared" si="131"/>
        <v>1869.6780000000001</v>
      </c>
      <c r="I1265" s="119">
        <f t="shared" si="132"/>
        <v>-102203143.29667361</v>
      </c>
    </row>
    <row r="1266" spans="1:9" ht="21" customHeight="1">
      <c r="A1266" s="120">
        <v>44462</v>
      </c>
      <c r="B1266" s="122">
        <v>37</v>
      </c>
      <c r="C1266" s="15" t="s">
        <v>965</v>
      </c>
      <c r="D1266" s="895"/>
      <c r="E1266" s="156">
        <v>311613</v>
      </c>
      <c r="F1266" s="117">
        <f t="shared" si="129"/>
        <v>0</v>
      </c>
      <c r="G1266" s="118">
        <f t="shared" si="130"/>
        <v>0</v>
      </c>
      <c r="H1266" s="118">
        <f t="shared" si="131"/>
        <v>1869.6780000000001</v>
      </c>
      <c r="I1266" s="119">
        <f t="shared" si="132"/>
        <v>-102516625.97467361</v>
      </c>
    </row>
    <row r="1267" spans="1:9" ht="21" customHeight="1">
      <c r="A1267" s="587" t="s">
        <v>966</v>
      </c>
      <c r="B1267" s="122">
        <v>41</v>
      </c>
      <c r="C1267" s="15" t="s">
        <v>967</v>
      </c>
      <c r="D1267" s="895"/>
      <c r="E1267" s="156">
        <v>311613</v>
      </c>
      <c r="F1267" s="117">
        <f t="shared" si="129"/>
        <v>0</v>
      </c>
      <c r="G1267" s="118">
        <f t="shared" si="130"/>
        <v>0</v>
      </c>
      <c r="H1267" s="118">
        <f t="shared" si="131"/>
        <v>1869.6780000000001</v>
      </c>
      <c r="I1267" s="119">
        <f t="shared" si="132"/>
        <v>-102830108.65267362</v>
      </c>
    </row>
    <row r="1268" spans="1:9" ht="21" customHeight="1">
      <c r="A1268" s="587" t="s">
        <v>966</v>
      </c>
      <c r="B1268" s="122">
        <v>42</v>
      </c>
      <c r="C1268" s="15" t="s">
        <v>968</v>
      </c>
      <c r="D1268" s="895"/>
      <c r="E1268" s="156">
        <v>311613</v>
      </c>
      <c r="F1268" s="117">
        <f t="shared" si="129"/>
        <v>0</v>
      </c>
      <c r="G1268" s="118">
        <f t="shared" si="130"/>
        <v>0</v>
      </c>
      <c r="H1268" s="118">
        <f t="shared" si="131"/>
        <v>1869.6780000000001</v>
      </c>
      <c r="I1268" s="119">
        <f t="shared" si="132"/>
        <v>-103143591.33067362</v>
      </c>
    </row>
    <row r="1269" spans="1:9" ht="21" customHeight="1">
      <c r="A1269" s="587" t="s">
        <v>966</v>
      </c>
      <c r="B1269" s="122">
        <v>43</v>
      </c>
      <c r="C1269" s="15" t="s">
        <v>969</v>
      </c>
      <c r="D1269" s="895"/>
      <c r="E1269" s="156">
        <v>311613</v>
      </c>
      <c r="F1269" s="117">
        <f t="shared" si="129"/>
        <v>0</v>
      </c>
      <c r="G1269" s="118">
        <f t="shared" si="130"/>
        <v>0</v>
      </c>
      <c r="H1269" s="118">
        <f t="shared" si="131"/>
        <v>0</v>
      </c>
      <c r="I1269" s="119">
        <f t="shared" si="132"/>
        <v>-103143591.33067362</v>
      </c>
    </row>
    <row r="1270" spans="1:9" ht="21" customHeight="1">
      <c r="A1270" s="587" t="s">
        <v>966</v>
      </c>
      <c r="B1270" s="122">
        <v>45</v>
      </c>
      <c r="C1270" s="15" t="s">
        <v>970</v>
      </c>
      <c r="D1270" s="895"/>
      <c r="E1270" s="156">
        <v>311613</v>
      </c>
      <c r="F1270" s="117">
        <f t="shared" si="129"/>
        <v>0</v>
      </c>
      <c r="G1270" s="118">
        <f t="shared" si="130"/>
        <v>0</v>
      </c>
      <c r="H1270" s="118">
        <f t="shared" si="131"/>
        <v>0</v>
      </c>
      <c r="I1270" s="119">
        <f t="shared" si="132"/>
        <v>-103143591.33067362</v>
      </c>
    </row>
    <row r="1271" spans="1:9" ht="21" customHeight="1">
      <c r="A1271" s="587" t="s">
        <v>966</v>
      </c>
      <c r="B1271" s="133">
        <v>44</v>
      </c>
      <c r="C1271" s="15" t="s">
        <v>971</v>
      </c>
      <c r="D1271" s="895"/>
      <c r="E1271" s="156">
        <v>311613</v>
      </c>
      <c r="F1271" s="117">
        <f t="shared" si="129"/>
        <v>0</v>
      </c>
      <c r="G1271" s="118">
        <f t="shared" si="130"/>
        <v>0</v>
      </c>
      <c r="H1271" s="118">
        <f t="shared" si="131"/>
        <v>564</v>
      </c>
      <c r="I1271" s="119">
        <f t="shared" si="132"/>
        <v>-103238155.33067362</v>
      </c>
    </row>
    <row r="1272" spans="1:9" ht="21" customHeight="1">
      <c r="A1272" s="587" t="s">
        <v>966</v>
      </c>
      <c r="B1272" s="122">
        <v>46</v>
      </c>
      <c r="C1272" s="15" t="s">
        <v>972</v>
      </c>
      <c r="D1272" s="895"/>
      <c r="E1272" s="156">
        <v>311613</v>
      </c>
      <c r="F1272" s="117">
        <f t="shared" si="129"/>
        <v>0</v>
      </c>
      <c r="G1272" s="118">
        <f t="shared" si="130"/>
        <v>0</v>
      </c>
      <c r="H1272" s="118">
        <f t="shared" si="131"/>
        <v>3564</v>
      </c>
      <c r="I1272" s="119">
        <f t="shared" si="132"/>
        <v>-103835719.33067362</v>
      </c>
    </row>
    <row r="1273" spans="1:9" ht="21" customHeight="1">
      <c r="B1273" s="122"/>
      <c r="C1273" s="137"/>
      <c r="D1273" s="124"/>
      <c r="E1273" s="124"/>
      <c r="F1273" s="117">
        <f t="shared" si="129"/>
        <v>0</v>
      </c>
      <c r="G1273" s="118">
        <f t="shared" si="130"/>
        <v>0</v>
      </c>
      <c r="H1273" s="118">
        <f t="shared" si="131"/>
        <v>3000</v>
      </c>
      <c r="I1273" s="119">
        <f t="shared" si="132"/>
        <v>-104338719.33067362</v>
      </c>
    </row>
    <row r="1274" spans="1:9" ht="21" customHeight="1">
      <c r="A1274" s="120"/>
      <c r="B1274" s="122"/>
      <c r="C1274" s="15"/>
      <c r="D1274" s="124"/>
      <c r="E1274" s="156"/>
      <c r="F1274" s="117">
        <f t="shared" si="129"/>
        <v>0</v>
      </c>
      <c r="G1274" s="118">
        <f t="shared" si="130"/>
        <v>0</v>
      </c>
      <c r="H1274" s="118">
        <f t="shared" si="131"/>
        <v>900</v>
      </c>
      <c r="I1274" s="119">
        <f t="shared" si="132"/>
        <v>-104489619.33067362</v>
      </c>
    </row>
    <row r="1275" spans="1:9" ht="21" customHeight="1">
      <c r="B1275" s="122">
        <v>69</v>
      </c>
      <c r="C1275" s="137" t="s">
        <v>777</v>
      </c>
      <c r="D1275" s="150"/>
      <c r="E1275" s="150">
        <v>94000</v>
      </c>
      <c r="F1275" s="117">
        <f t="shared" si="129"/>
        <v>0</v>
      </c>
      <c r="G1275" s="118">
        <f t="shared" si="130"/>
        <v>0</v>
      </c>
      <c r="H1275" s="118">
        <f t="shared" si="131"/>
        <v>900</v>
      </c>
      <c r="I1275" s="119">
        <f t="shared" si="132"/>
        <v>-104640519.33067362</v>
      </c>
    </row>
    <row r="1276" spans="1:9" ht="21" customHeight="1">
      <c r="B1276" s="122">
        <v>70</v>
      </c>
      <c r="C1276" s="137" t="s">
        <v>780</v>
      </c>
      <c r="D1276" s="150"/>
      <c r="E1276" s="150">
        <v>594000</v>
      </c>
      <c r="F1276" s="117">
        <f t="shared" si="129"/>
        <v>0</v>
      </c>
      <c r="G1276" s="118">
        <f t="shared" si="130"/>
        <v>0</v>
      </c>
      <c r="H1276" s="118">
        <f t="shared" si="131"/>
        <v>900</v>
      </c>
      <c r="I1276" s="119">
        <f t="shared" si="132"/>
        <v>-104791419.33067362</v>
      </c>
    </row>
    <row r="1277" spans="1:9" ht="21" customHeight="1">
      <c r="B1277" s="122">
        <v>59</v>
      </c>
      <c r="C1277" s="137" t="s">
        <v>777</v>
      </c>
      <c r="D1277" s="150"/>
      <c r="E1277" s="150">
        <v>500000</v>
      </c>
      <c r="F1277" s="117">
        <f t="shared" si="129"/>
        <v>0</v>
      </c>
      <c r="G1277" s="118">
        <f t="shared" si="130"/>
        <v>0</v>
      </c>
      <c r="H1277" s="118">
        <f t="shared" si="131"/>
        <v>864</v>
      </c>
      <c r="I1277" s="119">
        <f t="shared" si="132"/>
        <v>-104936283.33067362</v>
      </c>
    </row>
    <row r="1278" spans="1:9" ht="21" customHeight="1">
      <c r="A1278" s="157"/>
      <c r="B1278" s="122">
        <v>253</v>
      </c>
      <c r="C1278" s="137" t="s">
        <v>973</v>
      </c>
      <c r="D1278" s="124"/>
      <c r="E1278" s="124">
        <v>150000</v>
      </c>
      <c r="F1278" s="117">
        <f t="shared" si="129"/>
        <v>0</v>
      </c>
      <c r="G1278" s="118">
        <f t="shared" si="130"/>
        <v>0</v>
      </c>
      <c r="H1278" s="118">
        <f t="shared" si="131"/>
        <v>0</v>
      </c>
      <c r="I1278" s="119">
        <f t="shared" si="132"/>
        <v>-104936283.33067362</v>
      </c>
    </row>
    <row r="1279" spans="1:9" ht="21" customHeight="1">
      <c r="A1279" s="157"/>
      <c r="B1279" s="122">
        <v>254</v>
      </c>
      <c r="C1279" s="137" t="s">
        <v>973</v>
      </c>
      <c r="D1279" s="124"/>
      <c r="E1279" s="124">
        <v>150000</v>
      </c>
      <c r="F1279" s="117">
        <f t="shared" si="129"/>
        <v>0</v>
      </c>
      <c r="G1279" s="118">
        <f t="shared" si="130"/>
        <v>0</v>
      </c>
      <c r="H1279" s="118">
        <f t="shared" si="131"/>
        <v>900</v>
      </c>
      <c r="I1279" s="119">
        <f t="shared" si="132"/>
        <v>-105087183.33067362</v>
      </c>
    </row>
    <row r="1280" spans="1:9" ht="21" customHeight="1">
      <c r="A1280" s="157"/>
      <c r="B1280" s="122">
        <v>255</v>
      </c>
      <c r="C1280" s="137" t="s">
        <v>973</v>
      </c>
      <c r="D1280" s="124"/>
      <c r="E1280" s="124">
        <v>150000</v>
      </c>
      <c r="F1280" s="117">
        <f t="shared" si="129"/>
        <v>0</v>
      </c>
      <c r="G1280" s="118">
        <f t="shared" si="130"/>
        <v>0</v>
      </c>
      <c r="H1280" s="118">
        <f t="shared" si="131"/>
        <v>882</v>
      </c>
      <c r="I1280" s="119">
        <f t="shared" si="132"/>
        <v>-105235065.33067362</v>
      </c>
    </row>
    <row r="1281" spans="1:9" ht="21" customHeight="1">
      <c r="A1281" s="157"/>
      <c r="B1281" s="122">
        <v>256</v>
      </c>
      <c r="C1281" s="137" t="s">
        <v>973</v>
      </c>
      <c r="D1281" s="124"/>
      <c r="E1281" s="124">
        <v>144000</v>
      </c>
      <c r="F1281" s="117">
        <f t="shared" si="129"/>
        <v>0</v>
      </c>
      <c r="G1281" s="118">
        <f t="shared" si="130"/>
        <v>0</v>
      </c>
      <c r="H1281" s="118">
        <f t="shared" si="131"/>
        <v>0</v>
      </c>
      <c r="I1281" s="119">
        <f t="shared" si="132"/>
        <v>-105235065.33067362</v>
      </c>
    </row>
    <row r="1282" spans="1:9" ht="21" customHeight="1">
      <c r="A1282" s="120"/>
      <c r="B1282" s="146"/>
      <c r="C1282" s="137"/>
      <c r="D1282" s="393"/>
      <c r="E1282" s="116"/>
      <c r="F1282" s="117">
        <f t="shared" si="129"/>
        <v>0</v>
      </c>
      <c r="G1282" s="118">
        <f t="shared" si="130"/>
        <v>0</v>
      </c>
      <c r="H1282" s="118">
        <f t="shared" si="131"/>
        <v>1782</v>
      </c>
      <c r="I1282" s="119">
        <f t="shared" si="132"/>
        <v>-105533847.33067362</v>
      </c>
    </row>
    <row r="1283" spans="1:9" ht="21" customHeight="1">
      <c r="A1283" s="120"/>
      <c r="B1283" s="146">
        <v>260</v>
      </c>
      <c r="C1283" s="137" t="s">
        <v>246</v>
      </c>
      <c r="D1283" s="393"/>
      <c r="E1283" s="116">
        <v>150000</v>
      </c>
      <c r="F1283" s="117">
        <f t="shared" si="129"/>
        <v>0</v>
      </c>
      <c r="G1283" s="118">
        <f t="shared" si="130"/>
        <v>0</v>
      </c>
      <c r="H1283" s="118">
        <f t="shared" si="131"/>
        <v>1782</v>
      </c>
      <c r="I1283" s="119">
        <f t="shared" si="132"/>
        <v>-105832629.33067362</v>
      </c>
    </row>
    <row r="1284" spans="1:9" ht="21" customHeight="1">
      <c r="A1284" s="120"/>
      <c r="B1284" s="146">
        <v>261</v>
      </c>
      <c r="C1284" s="137" t="s">
        <v>974</v>
      </c>
      <c r="D1284" s="393"/>
      <c r="E1284" s="116">
        <v>147000</v>
      </c>
      <c r="F1284" s="117">
        <f t="shared" si="129"/>
        <v>0</v>
      </c>
      <c r="G1284" s="118">
        <f t="shared" si="130"/>
        <v>0</v>
      </c>
      <c r="H1284" s="118">
        <f t="shared" si="131"/>
        <v>1782</v>
      </c>
      <c r="I1284" s="119">
        <f t="shared" si="132"/>
        <v>-106131411.33067362</v>
      </c>
    </row>
    <row r="1285" spans="1:9" ht="21" customHeight="1">
      <c r="F1285" s="117">
        <f t="shared" si="129"/>
        <v>0</v>
      </c>
      <c r="G1285" s="118">
        <f t="shared" si="130"/>
        <v>0</v>
      </c>
      <c r="H1285" s="118">
        <f t="shared" si="131"/>
        <v>1782</v>
      </c>
      <c r="I1285" s="119">
        <f t="shared" si="132"/>
        <v>-106430193.33067362</v>
      </c>
    </row>
    <row r="1286" spans="1:9" ht="21" customHeight="1">
      <c r="B1286" s="148">
        <v>275</v>
      </c>
      <c r="C1286" s="133" t="s">
        <v>975</v>
      </c>
      <c r="E1286" s="133">
        <v>297000</v>
      </c>
      <c r="F1286" s="117">
        <f t="shared" si="129"/>
        <v>0</v>
      </c>
      <c r="G1286" s="118">
        <f t="shared" si="130"/>
        <v>0</v>
      </c>
      <c r="H1286" s="118">
        <f t="shared" si="131"/>
        <v>0</v>
      </c>
      <c r="I1286" s="119">
        <f t="shared" si="132"/>
        <v>-106430193.33067362</v>
      </c>
    </row>
    <row r="1287" spans="1:9" ht="21" customHeight="1">
      <c r="B1287" s="148">
        <v>274</v>
      </c>
      <c r="C1287" s="133" t="s">
        <v>975</v>
      </c>
      <c r="E1287" s="133">
        <v>297000</v>
      </c>
      <c r="F1287" s="117">
        <f t="shared" si="129"/>
        <v>0</v>
      </c>
      <c r="G1287" s="118">
        <f t="shared" si="130"/>
        <v>0</v>
      </c>
      <c r="H1287" s="118">
        <f t="shared" si="131"/>
        <v>0</v>
      </c>
      <c r="I1287" s="119">
        <f t="shared" si="132"/>
        <v>-106430193.33067362</v>
      </c>
    </row>
    <row r="1288" spans="1:9" ht="21" customHeight="1">
      <c r="B1288" s="148">
        <v>273</v>
      </c>
      <c r="C1288" s="133" t="s">
        <v>975</v>
      </c>
      <c r="E1288" s="133">
        <v>297000</v>
      </c>
      <c r="F1288" s="117">
        <f t="shared" si="129"/>
        <v>0</v>
      </c>
      <c r="G1288" s="118">
        <f t="shared" si="130"/>
        <v>0</v>
      </c>
      <c r="H1288" s="118">
        <f t="shared" si="131"/>
        <v>0</v>
      </c>
      <c r="I1288" s="119">
        <f t="shared" si="132"/>
        <v>-106430193.33067362</v>
      </c>
    </row>
    <row r="1289" spans="1:9" ht="21" customHeight="1">
      <c r="B1289" s="148">
        <v>272</v>
      </c>
      <c r="C1289" s="133" t="s">
        <v>975</v>
      </c>
      <c r="E1289" s="133">
        <v>297000</v>
      </c>
      <c r="F1289" s="117">
        <f t="shared" si="129"/>
        <v>0</v>
      </c>
      <c r="G1289" s="118">
        <f t="shared" si="130"/>
        <v>0</v>
      </c>
      <c r="H1289" s="118">
        <f t="shared" si="131"/>
        <v>0</v>
      </c>
      <c r="I1289" s="119">
        <f t="shared" si="132"/>
        <v>-106430193.33067362</v>
      </c>
    </row>
    <row r="1290" spans="1:9" ht="21" customHeight="1">
      <c r="F1290" s="117">
        <f t="shared" si="129"/>
        <v>0</v>
      </c>
      <c r="G1290" s="118">
        <f t="shared" si="130"/>
        <v>0</v>
      </c>
      <c r="H1290" s="118">
        <f t="shared" si="131"/>
        <v>0</v>
      </c>
      <c r="I1290" s="119">
        <f t="shared" si="132"/>
        <v>-106430193.33067362</v>
      </c>
    </row>
    <row r="1295" spans="1:9" ht="21" customHeight="1">
      <c r="E1295" s="896"/>
    </row>
  </sheetData>
  <mergeCells count="5">
    <mergeCell ref="A1:I1"/>
    <mergeCell ref="A2:B2"/>
    <mergeCell ref="A3:B3"/>
    <mergeCell ref="A4:B4"/>
    <mergeCell ref="A5:B5"/>
  </mergeCells>
  <hyperlinks>
    <hyperlink ref="C265" r:id="rId1" display="javascript:verDetalleDinamico('CUENTAS_EXTRACTO_DETALLE_CHEQUESDEPOSITADOS', '8', '750', '490', '0', '3');"/>
    <hyperlink ref="C283" r:id="rId2" display="javascript:verDetalleDinamico('CUENTAS_EXTRACTO_DETALLE_CHEQUESDEPOSITADOS', '3', '750', '490', '0', '3');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L33"/>
  <sheetViews>
    <sheetView topLeftCell="A16" workbookViewId="0">
      <selection activeCell="J19" sqref="J19:L26"/>
    </sheetView>
  </sheetViews>
  <sheetFormatPr baseColWidth="10" defaultRowHeight="15"/>
  <cols>
    <col min="2" max="2" width="22.28515625" customWidth="1"/>
    <col min="3" max="8" width="15.140625" customWidth="1"/>
  </cols>
  <sheetData>
    <row r="7" spans="2:8" ht="15.75" thickBot="1">
      <c r="B7" t="s">
        <v>221</v>
      </c>
    </row>
    <row r="8" spans="2:8" ht="15.75" thickBot="1">
      <c r="B8" s="239"/>
      <c r="C8" s="240" t="s">
        <v>222</v>
      </c>
      <c r="D8" s="241" t="s">
        <v>223</v>
      </c>
      <c r="E8" s="241" t="s">
        <v>224</v>
      </c>
      <c r="F8" s="241" t="s">
        <v>225</v>
      </c>
      <c r="G8" s="241" t="s">
        <v>226</v>
      </c>
      <c r="H8" s="242" t="s">
        <v>227</v>
      </c>
    </row>
    <row r="9" spans="2:8">
      <c r="B9" s="34" t="s">
        <v>228</v>
      </c>
      <c r="C9" s="243">
        <v>7935</v>
      </c>
      <c r="D9" s="244">
        <v>872.7</v>
      </c>
      <c r="E9" s="245"/>
      <c r="F9" s="245"/>
      <c r="G9" s="245"/>
      <c r="H9" s="245"/>
    </row>
    <row r="10" spans="2:8">
      <c r="B10" s="246">
        <v>44256</v>
      </c>
      <c r="C10" s="243">
        <v>7935</v>
      </c>
      <c r="D10" s="247">
        <v>896.7</v>
      </c>
      <c r="E10" s="247">
        <f>(D10/D9)</f>
        <v>1.0275008594018562</v>
      </c>
      <c r="F10" s="248">
        <f>(D10/D9)-1</f>
        <v>2.7500859401856204E-2</v>
      </c>
      <c r="G10" s="249">
        <f>C10*F10</f>
        <v>218.21931935372896</v>
      </c>
      <c r="H10" s="250">
        <f>C10+G10</f>
        <v>8153.2193193537287</v>
      </c>
    </row>
    <row r="11" spans="2:8">
      <c r="B11" s="246">
        <v>44287</v>
      </c>
      <c r="C11" s="243"/>
      <c r="D11" s="247">
        <v>959.1</v>
      </c>
      <c r="E11" s="247">
        <f>(D11/D9)</f>
        <v>1.0990030938466826</v>
      </c>
      <c r="F11" s="248">
        <f>(D11/D9)-1</f>
        <v>9.9003093846682599E-2</v>
      </c>
      <c r="G11" s="249">
        <f t="shared" ref="G11:G21" si="0">C11*F11</f>
        <v>0</v>
      </c>
      <c r="H11" s="249">
        <f t="shared" ref="H11:H33" si="1">C11+G11</f>
        <v>0</v>
      </c>
    </row>
    <row r="12" spans="2:8">
      <c r="B12" s="246">
        <v>44317</v>
      </c>
      <c r="C12" s="243"/>
      <c r="D12" s="247">
        <v>988.4</v>
      </c>
      <c r="E12" s="247">
        <f>(D12/D9)</f>
        <v>1.1325770596997822</v>
      </c>
      <c r="F12" s="248">
        <f>(D12/D9)-1</f>
        <v>0.13257705969978217</v>
      </c>
      <c r="G12" s="249">
        <f t="shared" si="0"/>
        <v>0</v>
      </c>
      <c r="H12" s="249">
        <f t="shared" si="1"/>
        <v>0</v>
      </c>
    </row>
    <row r="13" spans="2:8">
      <c r="B13" s="246">
        <v>44348</v>
      </c>
      <c r="C13" s="243">
        <v>7935</v>
      </c>
      <c r="D13" s="247">
        <v>1011.3</v>
      </c>
      <c r="E13" s="247">
        <f>(D13/D9)</f>
        <v>1.15881746304572</v>
      </c>
      <c r="F13" s="248">
        <f>(D13/D9)-1</f>
        <v>0.15881746304571998</v>
      </c>
      <c r="G13" s="249">
        <f t="shared" si="0"/>
        <v>1260.2165692677879</v>
      </c>
      <c r="H13" s="250">
        <f t="shared" si="1"/>
        <v>9195.2165692677881</v>
      </c>
    </row>
    <row r="14" spans="2:8">
      <c r="B14" s="246">
        <v>44378</v>
      </c>
      <c r="C14" s="243"/>
      <c r="D14" s="247">
        <v>1065.8</v>
      </c>
      <c r="E14" s="247">
        <f>(D14/D12)</f>
        <v>1.0783083771752326</v>
      </c>
      <c r="F14" s="248">
        <f t="shared" ref="F14" si="2">(D14/D12)-1</f>
        <v>7.8308377175232646E-2</v>
      </c>
      <c r="G14" s="249">
        <f t="shared" si="0"/>
        <v>0</v>
      </c>
      <c r="H14" s="249">
        <f t="shared" si="1"/>
        <v>0</v>
      </c>
    </row>
    <row r="15" spans="2:8">
      <c r="B15" s="246">
        <v>44409</v>
      </c>
      <c r="C15" s="243"/>
      <c r="D15" s="247">
        <v>1089.8</v>
      </c>
      <c r="E15" s="247">
        <f>(D15/D12)</f>
        <v>1.1025900445163901</v>
      </c>
      <c r="F15" s="248">
        <f t="shared" ref="F15" si="3">(D15/D12)-1</f>
        <v>0.10259004451639009</v>
      </c>
      <c r="G15" s="249">
        <f t="shared" si="0"/>
        <v>0</v>
      </c>
      <c r="H15" s="249">
        <f t="shared" si="1"/>
        <v>0</v>
      </c>
    </row>
    <row r="16" spans="2:8">
      <c r="B16" s="246">
        <v>44440</v>
      </c>
      <c r="C16" s="243">
        <v>7935</v>
      </c>
      <c r="D16" s="247">
        <v>1131.2</v>
      </c>
      <c r="E16" s="247">
        <f>(D16/D9)</f>
        <v>1.2962071731408273</v>
      </c>
      <c r="F16" s="248">
        <f>(D16/D9)-1</f>
        <v>0.29620717314082734</v>
      </c>
      <c r="G16" s="249">
        <f>C16*F16</f>
        <v>2350.4039188724651</v>
      </c>
      <c r="H16" s="250">
        <f>C16+G16</f>
        <v>10285.403918872466</v>
      </c>
    </row>
    <row r="17" spans="2:12">
      <c r="B17" s="246">
        <v>44470</v>
      </c>
      <c r="C17" s="243"/>
      <c r="D17" s="247">
        <v>1180.2</v>
      </c>
      <c r="E17" s="247">
        <f>(D17/D15)</f>
        <v>1.0829510001835201</v>
      </c>
      <c r="F17" s="248">
        <f t="shared" ref="F17" si="4">(D17/D15)-1</f>
        <v>8.2951000183520085E-2</v>
      </c>
      <c r="G17" s="249">
        <f t="shared" si="0"/>
        <v>0</v>
      </c>
      <c r="H17" s="249">
        <f t="shared" si="1"/>
        <v>0</v>
      </c>
    </row>
    <row r="18" spans="2:12">
      <c r="B18" s="246">
        <v>44501</v>
      </c>
      <c r="C18" s="243"/>
      <c r="D18" s="247">
        <v>1210</v>
      </c>
      <c r="E18" s="247">
        <f>(D18/D15)</f>
        <v>1.1102954670581759</v>
      </c>
      <c r="F18" s="248">
        <f t="shared" ref="F18" si="5">(D18/D15)-1</f>
        <v>0.11029546705817594</v>
      </c>
      <c r="G18" s="249">
        <f t="shared" si="0"/>
        <v>0</v>
      </c>
      <c r="H18" s="249">
        <f t="shared" si="1"/>
        <v>0</v>
      </c>
    </row>
    <row r="19" spans="2:12">
      <c r="B19" s="246">
        <v>44531</v>
      </c>
      <c r="C19" s="243">
        <v>7935</v>
      </c>
      <c r="D19" s="247">
        <v>1234.3</v>
      </c>
      <c r="E19" s="247">
        <f>(D19/D9)</f>
        <v>1.4143462816546348</v>
      </c>
      <c r="F19" s="248">
        <f>(D19/D9)-1</f>
        <v>0.41434628165463483</v>
      </c>
      <c r="G19" s="251">
        <f>C19*F19</f>
        <v>3287.8377449295272</v>
      </c>
      <c r="H19" s="252">
        <f>C19+G19+0.16</f>
        <v>11222.997744929527</v>
      </c>
      <c r="J19" t="s">
        <v>206</v>
      </c>
      <c r="L19">
        <v>11223</v>
      </c>
    </row>
    <row r="20" spans="2:12">
      <c r="B20" s="246">
        <v>44562</v>
      </c>
      <c r="C20" s="243"/>
      <c r="D20" s="247">
        <v>1281.5</v>
      </c>
      <c r="E20" s="247">
        <f>(D20/D18)</f>
        <v>1.0590909090909091</v>
      </c>
      <c r="F20" s="248">
        <f>(D20/D9)-1</f>
        <v>0.46843130514495246</v>
      </c>
      <c r="G20" s="249">
        <f t="shared" si="0"/>
        <v>0</v>
      </c>
      <c r="H20" s="249">
        <f>C20+G20</f>
        <v>0</v>
      </c>
      <c r="J20" t="s">
        <v>207</v>
      </c>
      <c r="L20">
        <v>11223</v>
      </c>
    </row>
    <row r="21" spans="2:12">
      <c r="B21" s="246">
        <v>44593</v>
      </c>
      <c r="C21" s="243"/>
      <c r="D21" s="247">
        <v>1344.5</v>
      </c>
      <c r="E21" s="247">
        <f t="shared" ref="E21" si="6">(D21/D18)</f>
        <v>1.1111570247933884</v>
      </c>
      <c r="F21" s="248">
        <f>(D21/D9)-1</f>
        <v>0.54062106107482522</v>
      </c>
      <c r="G21" s="249">
        <f t="shared" si="0"/>
        <v>0</v>
      </c>
      <c r="H21" s="249">
        <f t="shared" si="1"/>
        <v>0</v>
      </c>
      <c r="J21" t="s">
        <v>208</v>
      </c>
      <c r="L21">
        <v>12876</v>
      </c>
    </row>
    <row r="22" spans="2:12">
      <c r="B22" s="246">
        <v>44621</v>
      </c>
      <c r="C22" s="243">
        <v>7935</v>
      </c>
      <c r="D22" s="247">
        <v>1416.2</v>
      </c>
      <c r="E22" s="247">
        <f>(D22/D9)</f>
        <v>1.6227798785378709</v>
      </c>
      <c r="F22" s="248">
        <f>(D22/D9)-1</f>
        <v>0.62277987853787087</v>
      </c>
      <c r="G22" s="251">
        <f>C22*F22</f>
        <v>4941.7583361980051</v>
      </c>
      <c r="H22" s="251">
        <f t="shared" si="1"/>
        <v>12876.758336198005</v>
      </c>
      <c r="J22" t="s">
        <v>209</v>
      </c>
      <c r="L22">
        <v>12876</v>
      </c>
    </row>
    <row r="23" spans="2:12">
      <c r="B23" s="246">
        <v>44652</v>
      </c>
      <c r="C23" s="243"/>
      <c r="D23" s="247">
        <v>1467.2</v>
      </c>
      <c r="E23" s="247">
        <f t="shared" ref="E23" si="7">(D23/D20)</f>
        <v>1.1449083105735467</v>
      </c>
      <c r="F23" s="248">
        <f>(D23/D9)-1</f>
        <v>0.68121920476681552</v>
      </c>
      <c r="G23" s="249">
        <f t="shared" ref="G23:G33" si="8">C23*F23</f>
        <v>0</v>
      </c>
      <c r="H23" s="249">
        <f t="shared" si="1"/>
        <v>0</v>
      </c>
      <c r="J23" t="s">
        <v>210</v>
      </c>
      <c r="L23">
        <v>12876</v>
      </c>
    </row>
    <row r="24" spans="2:12">
      <c r="B24" s="246">
        <v>44682</v>
      </c>
      <c r="C24" s="243"/>
      <c r="D24" s="247">
        <v>1563.9</v>
      </c>
      <c r="E24" s="247">
        <f>(D24/D9)</f>
        <v>1.7920247507734617</v>
      </c>
      <c r="F24" s="248">
        <f>(D24/D9)-1</f>
        <v>0.79202475077346168</v>
      </c>
      <c r="G24" s="249">
        <f>C24*F24</f>
        <v>0</v>
      </c>
      <c r="H24" s="249">
        <f t="shared" si="1"/>
        <v>0</v>
      </c>
      <c r="J24" t="s">
        <v>211</v>
      </c>
      <c r="L24">
        <v>15185</v>
      </c>
    </row>
    <row r="25" spans="2:12">
      <c r="B25" s="246">
        <v>44713</v>
      </c>
      <c r="C25" s="243">
        <v>7935</v>
      </c>
      <c r="D25" s="247">
        <v>1670.2</v>
      </c>
      <c r="E25" s="247">
        <f t="shared" ref="E25" si="9">(D25/D22)</f>
        <v>1.1793531987007484</v>
      </c>
      <c r="F25" s="248">
        <f>(D25/D9)-1</f>
        <v>0.91383064054085028</v>
      </c>
      <c r="G25" s="251">
        <f t="shared" si="8"/>
        <v>7251.2461326916473</v>
      </c>
      <c r="H25" s="251">
        <f t="shared" si="1"/>
        <v>15186.246132691647</v>
      </c>
      <c r="J25" t="s">
        <v>212</v>
      </c>
      <c r="L25">
        <v>15185</v>
      </c>
    </row>
    <row r="26" spans="2:12">
      <c r="B26" s="246">
        <v>44743</v>
      </c>
      <c r="C26" s="243"/>
      <c r="D26" s="247"/>
      <c r="E26" s="247">
        <f>(D26/D24)</f>
        <v>0</v>
      </c>
      <c r="F26" s="248">
        <f>(D26/D9)-1</f>
        <v>-1</v>
      </c>
      <c r="G26" s="249">
        <f t="shared" si="8"/>
        <v>0</v>
      </c>
      <c r="H26" s="249">
        <f t="shared" si="1"/>
        <v>0</v>
      </c>
      <c r="J26" t="s">
        <v>213</v>
      </c>
      <c r="L26">
        <v>15185</v>
      </c>
    </row>
    <row r="27" spans="2:12">
      <c r="B27" s="246">
        <v>44774</v>
      </c>
      <c r="C27" s="243"/>
      <c r="D27" s="247"/>
      <c r="E27" s="247">
        <f t="shared" ref="E27" si="10">(D27/D24)</f>
        <v>0</v>
      </c>
      <c r="F27" s="248">
        <f>(D27/D9)-1</f>
        <v>-1</v>
      </c>
      <c r="G27" s="249">
        <f t="shared" si="8"/>
        <v>0</v>
      </c>
      <c r="H27" s="249">
        <f t="shared" si="1"/>
        <v>0</v>
      </c>
    </row>
    <row r="28" spans="2:12">
      <c r="B28" s="246">
        <v>44805</v>
      </c>
      <c r="C28" s="243">
        <v>7935</v>
      </c>
      <c r="D28" s="247"/>
      <c r="E28" s="247" t="e">
        <f t="shared" ref="E28" si="11">(D28/D26)</f>
        <v>#DIV/0!</v>
      </c>
      <c r="F28" s="248">
        <f>(D28/D9)-1</f>
        <v>-1</v>
      </c>
      <c r="G28" s="249">
        <f t="shared" si="8"/>
        <v>-7935</v>
      </c>
      <c r="H28" s="249">
        <f t="shared" si="1"/>
        <v>0</v>
      </c>
    </row>
    <row r="29" spans="2:12">
      <c r="B29" s="246">
        <v>44835</v>
      </c>
      <c r="C29" s="243"/>
      <c r="D29" s="247"/>
      <c r="E29" s="247" t="e">
        <f t="shared" ref="E29" si="12">(D29/D26)</f>
        <v>#DIV/0!</v>
      </c>
      <c r="F29" s="248">
        <f>(D29/D9)-1</f>
        <v>-1</v>
      </c>
      <c r="G29" s="249">
        <f t="shared" si="8"/>
        <v>0</v>
      </c>
      <c r="H29" s="249">
        <f t="shared" si="1"/>
        <v>0</v>
      </c>
    </row>
    <row r="30" spans="2:12">
      <c r="B30" s="246">
        <v>44866</v>
      </c>
      <c r="C30" s="243"/>
      <c r="D30" s="247"/>
      <c r="E30" s="247" t="e">
        <f t="shared" ref="E30" si="13">(D30/D28)</f>
        <v>#DIV/0!</v>
      </c>
      <c r="F30" s="248">
        <f>(D30/D9)-1</f>
        <v>-1</v>
      </c>
      <c r="G30" s="249">
        <f t="shared" si="8"/>
        <v>0</v>
      </c>
      <c r="H30" s="249">
        <f t="shared" si="1"/>
        <v>0</v>
      </c>
    </row>
    <row r="31" spans="2:12">
      <c r="B31" s="246">
        <v>44896</v>
      </c>
      <c r="C31" s="243">
        <v>7935</v>
      </c>
      <c r="D31" s="247"/>
      <c r="E31" s="247" t="e">
        <f t="shared" ref="E31" si="14">(D31/D28)</f>
        <v>#DIV/0!</v>
      </c>
      <c r="F31" s="248">
        <f>(D31/D9)-1</f>
        <v>-1</v>
      </c>
      <c r="G31" s="249">
        <f t="shared" si="8"/>
        <v>-7935</v>
      </c>
      <c r="H31" s="249">
        <f t="shared" si="1"/>
        <v>0</v>
      </c>
    </row>
    <row r="32" spans="2:12">
      <c r="B32" s="246">
        <v>44927</v>
      </c>
      <c r="C32" s="243"/>
      <c r="D32" s="247"/>
      <c r="E32" s="247" t="e">
        <f t="shared" ref="E32" si="15">(D32/D30)</f>
        <v>#DIV/0!</v>
      </c>
      <c r="F32" s="248">
        <f>(D32/D9)-1</f>
        <v>-1</v>
      </c>
      <c r="G32" s="249">
        <f t="shared" si="8"/>
        <v>0</v>
      </c>
      <c r="H32" s="249">
        <f t="shared" si="1"/>
        <v>0</v>
      </c>
    </row>
    <row r="33" spans="2:8">
      <c r="B33" s="246">
        <v>44958</v>
      </c>
      <c r="C33" s="243"/>
      <c r="D33" s="247"/>
      <c r="E33" s="247" t="e">
        <f t="shared" ref="E33" si="16">(D33/D30)</f>
        <v>#DIV/0!</v>
      </c>
      <c r="F33" s="248">
        <f>(D33/D9)-1</f>
        <v>-1</v>
      </c>
      <c r="G33" s="249">
        <f t="shared" si="8"/>
        <v>0</v>
      </c>
      <c r="H33" s="249">
        <f t="shared" si="1"/>
        <v>0</v>
      </c>
    </row>
  </sheetData>
  <pageMargins left="0.7" right="0.7" top="0.75" bottom="0.75" header="0.3" footer="0.3"/>
  <pageSetup scale="7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topLeftCell="A10" workbookViewId="0">
      <selection activeCell="D41" sqref="D41"/>
    </sheetView>
  </sheetViews>
  <sheetFormatPr baseColWidth="10" defaultRowHeight="15"/>
  <cols>
    <col min="4" max="4" width="43.7109375" customWidth="1"/>
    <col min="5" max="5" width="34.28515625" customWidth="1"/>
    <col min="6" max="6" width="30.42578125" customWidth="1"/>
  </cols>
  <sheetData>
    <row r="3" spans="3:7">
      <c r="C3" s="169">
        <v>44533</v>
      </c>
      <c r="D3" s="170" t="s">
        <v>178</v>
      </c>
      <c r="E3" s="171"/>
      <c r="F3" s="172">
        <v>37600</v>
      </c>
    </row>
    <row r="4" spans="3:7">
      <c r="C4" s="169">
        <v>44537</v>
      </c>
      <c r="D4" s="170" t="s">
        <v>179</v>
      </c>
      <c r="E4" s="171"/>
      <c r="F4" s="173">
        <v>626.89</v>
      </c>
    </row>
    <row r="5" spans="3:7">
      <c r="C5" s="169">
        <v>44544</v>
      </c>
      <c r="D5" s="170" t="s">
        <v>180</v>
      </c>
      <c r="E5" s="174">
        <v>55600</v>
      </c>
    </row>
    <row r="8" spans="3:7">
      <c r="D8" s="180" t="s">
        <v>193</v>
      </c>
      <c r="G8" t="s">
        <v>194</v>
      </c>
    </row>
    <row r="9" spans="3:7">
      <c r="C9" s="169">
        <v>44567</v>
      </c>
      <c r="D9" s="170" t="s">
        <v>178</v>
      </c>
      <c r="E9" s="182"/>
      <c r="F9" s="183">
        <v>37600</v>
      </c>
    </row>
    <row r="10" spans="3:7">
      <c r="C10" s="177">
        <v>44613</v>
      </c>
      <c r="D10" s="171" t="s">
        <v>186</v>
      </c>
      <c r="E10" s="182"/>
      <c r="F10" s="183">
        <v>12010</v>
      </c>
    </row>
    <row r="11" spans="3:7">
      <c r="E11" s="184"/>
      <c r="F11" s="184"/>
    </row>
    <row r="12" spans="3:7">
      <c r="C12" s="175">
        <v>44595</v>
      </c>
      <c r="D12" s="176" t="s">
        <v>181</v>
      </c>
      <c r="E12" s="185" t="s">
        <v>182</v>
      </c>
      <c r="F12" s="186" t="s">
        <v>183</v>
      </c>
    </row>
    <row r="13" spans="3:7">
      <c r="C13" s="177">
        <v>44606</v>
      </c>
      <c r="D13" s="171" t="s">
        <v>184</v>
      </c>
      <c r="E13" s="185">
        <v>10</v>
      </c>
      <c r="F13" s="187"/>
    </row>
    <row r="14" spans="3:7">
      <c r="C14" s="177">
        <v>44608</v>
      </c>
      <c r="D14" s="171" t="s">
        <v>185</v>
      </c>
      <c r="E14" s="185">
        <v>53700</v>
      </c>
      <c r="F14" s="187"/>
    </row>
    <row r="15" spans="3:7">
      <c r="D15" s="180" t="s">
        <v>193</v>
      </c>
      <c r="E15" s="184"/>
      <c r="F15" s="184"/>
      <c r="G15" t="s">
        <v>194</v>
      </c>
    </row>
    <row r="16" spans="3:7">
      <c r="E16" s="184"/>
      <c r="F16" s="184"/>
    </row>
    <row r="17" spans="3:7">
      <c r="E17" s="184"/>
      <c r="F17" s="184"/>
    </row>
    <row r="18" spans="3:7">
      <c r="C18" s="177">
        <v>44623</v>
      </c>
      <c r="D18" s="171" t="s">
        <v>181</v>
      </c>
      <c r="E18" s="188"/>
      <c r="F18" s="189">
        <v>37600</v>
      </c>
    </row>
    <row r="19" spans="3:7">
      <c r="C19" s="177">
        <v>44636</v>
      </c>
      <c r="D19" s="171" t="s">
        <v>185</v>
      </c>
      <c r="E19" s="190">
        <v>63820</v>
      </c>
      <c r="F19" s="184"/>
    </row>
    <row r="20" spans="3:7">
      <c r="D20" s="180" t="s">
        <v>193</v>
      </c>
      <c r="E20" s="184"/>
      <c r="F20" s="184"/>
      <c r="G20" t="s">
        <v>194</v>
      </c>
    </row>
    <row r="21" spans="3:7">
      <c r="E21" s="184"/>
      <c r="F21" s="184"/>
    </row>
    <row r="22" spans="3:7">
      <c r="C22" s="177">
        <v>44655</v>
      </c>
      <c r="D22" s="171" t="s">
        <v>181</v>
      </c>
      <c r="E22" s="188"/>
      <c r="F22" s="189">
        <v>37600</v>
      </c>
    </row>
    <row r="23" spans="3:7">
      <c r="C23" s="177">
        <v>44669</v>
      </c>
      <c r="D23" s="171" t="s">
        <v>185</v>
      </c>
      <c r="E23" s="189">
        <v>74500</v>
      </c>
      <c r="F23" s="184"/>
    </row>
    <row r="24" spans="3:7">
      <c r="D24" s="180" t="s">
        <v>193</v>
      </c>
      <c r="E24" s="184"/>
      <c r="F24" s="184"/>
      <c r="G24" t="s">
        <v>194</v>
      </c>
    </row>
    <row r="25" spans="3:7">
      <c r="E25" s="184"/>
      <c r="F25" s="184"/>
    </row>
    <row r="26" spans="3:7">
      <c r="C26" s="177">
        <v>44694</v>
      </c>
      <c r="D26" s="171" t="s">
        <v>185</v>
      </c>
      <c r="E26" s="189">
        <v>79630</v>
      </c>
      <c r="F26" s="184"/>
    </row>
    <row r="27" spans="3:7">
      <c r="D27" s="180" t="s">
        <v>193</v>
      </c>
      <c r="E27" s="184"/>
      <c r="F27" s="184"/>
      <c r="G27" t="s">
        <v>194</v>
      </c>
    </row>
    <row r="28" spans="3:7">
      <c r="E28" s="184"/>
      <c r="F28" s="184"/>
    </row>
    <row r="29" spans="3:7">
      <c r="C29" s="177">
        <v>44733</v>
      </c>
      <c r="D29" s="171" t="s">
        <v>185</v>
      </c>
      <c r="E29" s="189">
        <v>82200</v>
      </c>
      <c r="F29" s="184"/>
    </row>
    <row r="30" spans="3:7">
      <c r="D30" s="180" t="s">
        <v>193</v>
      </c>
      <c r="G30" t="s">
        <v>194</v>
      </c>
    </row>
    <row r="34" spans="3:7">
      <c r="C34" s="177">
        <v>44746</v>
      </c>
      <c r="D34" s="178" t="s">
        <v>187</v>
      </c>
      <c r="E34" s="179"/>
      <c r="F34" s="189">
        <v>135400</v>
      </c>
    </row>
    <row r="35" spans="3:7">
      <c r="C35" s="177">
        <v>44749</v>
      </c>
      <c r="D35" s="178" t="s">
        <v>188</v>
      </c>
      <c r="E35" s="170"/>
      <c r="F35" s="189">
        <v>189168</v>
      </c>
    </row>
    <row r="36" spans="3:7">
      <c r="D36" s="180" t="s">
        <v>193</v>
      </c>
      <c r="G36" t="s">
        <v>194</v>
      </c>
    </row>
    <row r="41" spans="3:7">
      <c r="F41">
        <f>37600+37600</f>
        <v>75200</v>
      </c>
    </row>
    <row r="42" spans="3:7">
      <c r="F42">
        <f>37600*60%</f>
        <v>22560</v>
      </c>
    </row>
    <row r="43" spans="3:7">
      <c r="F43">
        <v>37600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2022</vt:lpstr>
      <vt:lpstr>BORRADOR INFORME </vt:lpstr>
      <vt:lpstr>TIPO DE CAMBIO </vt:lpstr>
      <vt:lpstr>PLLA SARI </vt:lpstr>
      <vt:lpstr>BANCOS SSN </vt:lpstr>
      <vt:lpstr>SARI</vt:lpstr>
      <vt:lpstr>caja sabrina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Sarina</dc:creator>
  <cp:lastModifiedBy>user</cp:lastModifiedBy>
  <cp:lastPrinted>2022-08-10T17:34:05Z</cp:lastPrinted>
  <dcterms:created xsi:type="dcterms:W3CDTF">2022-08-02T19:40:14Z</dcterms:created>
  <dcterms:modified xsi:type="dcterms:W3CDTF">2023-04-30T22:28:57Z</dcterms:modified>
</cp:coreProperties>
</file>