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mac/Downloads/未命名文件夹/"/>
    </mc:Choice>
  </mc:AlternateContent>
  <bookViews>
    <workbookView xWindow="0" yWindow="460" windowWidth="33600" windowHeight="18960" activeTab="2"/>
  </bookViews>
  <sheets>
    <sheet name="1月" sheetId="1" r:id="rId1"/>
    <sheet name="2月" sheetId="2" r:id="rId2"/>
    <sheet name="3月" sheetId="3" r:id="rId3"/>
  </sheets>
  <definedNames>
    <definedName name="_xlnm._FilterDatabase" localSheetId="0" hidden="1">'1月'!$A$2:$AO$13</definedName>
    <definedName name="_xlnm._FilterDatabase" localSheetId="1" hidden="1">'2月'!$A$2:$AO$13</definedName>
    <definedName name="_xlnm._FilterDatabase" localSheetId="2" hidden="1">'3月'!$A$2:$AO$13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3" i="3"/>
  <c r="I4" i="2"/>
  <c r="I5" i="2"/>
  <c r="I6" i="2"/>
  <c r="I7" i="2"/>
  <c r="I3" i="2"/>
  <c r="I4" i="1"/>
  <c r="I5" i="1"/>
  <c r="I6" i="1"/>
  <c r="I7" i="1"/>
  <c r="I3" i="1"/>
  <c r="G3" i="3"/>
  <c r="F3" i="3"/>
  <c r="L3" i="3"/>
  <c r="M3" i="3"/>
  <c r="O3" i="3"/>
  <c r="G3" i="1"/>
  <c r="F3" i="1"/>
  <c r="L3" i="1"/>
  <c r="M3" i="1"/>
  <c r="O3" i="1"/>
  <c r="G3" i="2"/>
  <c r="F3" i="2"/>
  <c r="L3" i="2"/>
  <c r="M3" i="2"/>
  <c r="O3" i="2"/>
  <c r="AA3" i="3"/>
  <c r="AE13" i="3"/>
  <c r="AD13" i="3"/>
  <c r="Y3" i="3"/>
  <c r="Y4" i="3"/>
  <c r="Y5" i="3"/>
  <c r="Y6" i="3"/>
  <c r="Y7" i="3"/>
  <c r="Y8" i="3"/>
  <c r="Y9" i="3"/>
  <c r="Y10" i="3"/>
  <c r="Y11" i="3"/>
  <c r="Y12" i="3"/>
  <c r="Y13" i="3"/>
  <c r="X13" i="3"/>
  <c r="W13" i="3"/>
  <c r="V13" i="3"/>
  <c r="U13" i="3"/>
  <c r="T13" i="3"/>
  <c r="S13" i="3"/>
  <c r="R13" i="3"/>
  <c r="Q13" i="3"/>
  <c r="P13" i="3"/>
  <c r="F4" i="3"/>
  <c r="L4" i="3"/>
  <c r="M4" i="3"/>
  <c r="O4" i="3"/>
  <c r="F5" i="3"/>
  <c r="L5" i="3"/>
  <c r="M5" i="3"/>
  <c r="O5" i="3"/>
  <c r="F6" i="3"/>
  <c r="L6" i="3"/>
  <c r="M6" i="3"/>
  <c r="O6" i="3"/>
  <c r="F7" i="3"/>
  <c r="L7" i="3"/>
  <c r="M7" i="3"/>
  <c r="O7" i="3"/>
  <c r="F8" i="3"/>
  <c r="L8" i="3"/>
  <c r="M8" i="3"/>
  <c r="O8" i="3"/>
  <c r="F9" i="3"/>
  <c r="L9" i="3"/>
  <c r="M9" i="3"/>
  <c r="O9" i="3"/>
  <c r="F10" i="3"/>
  <c r="L10" i="3"/>
  <c r="M10" i="3"/>
  <c r="O10" i="3"/>
  <c r="F11" i="3"/>
  <c r="L11" i="3"/>
  <c r="M11" i="3"/>
  <c r="O11" i="3"/>
  <c r="F12" i="3"/>
  <c r="L12" i="3"/>
  <c r="M12" i="3"/>
  <c r="O12" i="3"/>
  <c r="O13" i="3"/>
  <c r="N13" i="3"/>
  <c r="M13" i="3"/>
  <c r="L13" i="3"/>
  <c r="K13" i="3"/>
  <c r="J13" i="3"/>
  <c r="I13" i="3"/>
  <c r="H13" i="3"/>
  <c r="G13" i="3"/>
  <c r="F12" i="1"/>
  <c r="L12" i="1"/>
  <c r="M12" i="1"/>
  <c r="O12" i="1"/>
  <c r="F12" i="2"/>
  <c r="L12" i="2"/>
  <c r="M12" i="2"/>
  <c r="O12" i="2"/>
  <c r="AA12" i="3"/>
  <c r="Y12" i="1"/>
  <c r="Y12" i="2"/>
  <c r="AB12" i="3"/>
  <c r="F11" i="1"/>
  <c r="L11" i="1"/>
  <c r="M11" i="1"/>
  <c r="O11" i="1"/>
  <c r="F11" i="2"/>
  <c r="L11" i="2"/>
  <c r="M11" i="2"/>
  <c r="O11" i="2"/>
  <c r="AA11" i="3"/>
  <c r="Y11" i="1"/>
  <c r="Y11" i="2"/>
  <c r="AB11" i="3"/>
  <c r="F10" i="1"/>
  <c r="L10" i="1"/>
  <c r="M10" i="1"/>
  <c r="O10" i="1"/>
  <c r="F10" i="2"/>
  <c r="L10" i="2"/>
  <c r="M10" i="2"/>
  <c r="O10" i="2"/>
  <c r="AA10" i="3"/>
  <c r="Y10" i="1"/>
  <c r="Y10" i="2"/>
  <c r="AB10" i="3"/>
  <c r="F9" i="1"/>
  <c r="L9" i="1"/>
  <c r="M9" i="1"/>
  <c r="O9" i="1"/>
  <c r="F9" i="2"/>
  <c r="L9" i="2"/>
  <c r="M9" i="2"/>
  <c r="O9" i="2"/>
  <c r="AA9" i="3"/>
  <c r="Y9" i="1"/>
  <c r="Y9" i="2"/>
  <c r="AB9" i="3"/>
  <c r="F8" i="1"/>
  <c r="L8" i="1"/>
  <c r="M8" i="1"/>
  <c r="O8" i="1"/>
  <c r="F8" i="2"/>
  <c r="L8" i="2"/>
  <c r="M8" i="2"/>
  <c r="O8" i="2"/>
  <c r="AA8" i="3"/>
  <c r="Y8" i="1"/>
  <c r="Y8" i="2"/>
  <c r="AB8" i="3"/>
  <c r="F7" i="1"/>
  <c r="L7" i="1"/>
  <c r="M7" i="1"/>
  <c r="O7" i="1"/>
  <c r="F7" i="2"/>
  <c r="L7" i="2"/>
  <c r="M7" i="2"/>
  <c r="O7" i="2"/>
  <c r="AA7" i="3"/>
  <c r="Y7" i="1"/>
  <c r="Y7" i="2"/>
  <c r="AB7" i="3"/>
  <c r="F6" i="1"/>
  <c r="L6" i="1"/>
  <c r="M6" i="1"/>
  <c r="O6" i="1"/>
  <c r="F6" i="2"/>
  <c r="L6" i="2"/>
  <c r="M6" i="2"/>
  <c r="O6" i="2"/>
  <c r="AA6" i="3"/>
  <c r="Y6" i="1"/>
  <c r="Y6" i="2"/>
  <c r="AB6" i="3"/>
  <c r="F5" i="1"/>
  <c r="L5" i="1"/>
  <c r="M5" i="1"/>
  <c r="O5" i="1"/>
  <c r="F5" i="2"/>
  <c r="L5" i="2"/>
  <c r="M5" i="2"/>
  <c r="O5" i="2"/>
  <c r="AA5" i="3"/>
  <c r="Y5" i="1"/>
  <c r="Y5" i="2"/>
  <c r="AB5" i="3"/>
  <c r="Y4" i="1"/>
  <c r="Y4" i="2"/>
  <c r="AB4" i="3"/>
  <c r="AA3" i="2"/>
  <c r="AE13" i="2"/>
  <c r="AD13" i="2"/>
  <c r="Y3" i="2"/>
  <c r="Y13" i="2"/>
  <c r="X13" i="2"/>
  <c r="W13" i="2"/>
  <c r="V13" i="2"/>
  <c r="U13" i="2"/>
  <c r="T13" i="2"/>
  <c r="S13" i="2"/>
  <c r="R13" i="2"/>
  <c r="Q13" i="2"/>
  <c r="P13" i="2"/>
  <c r="F4" i="2"/>
  <c r="L4" i="2"/>
  <c r="M4" i="2"/>
  <c r="O4" i="2"/>
  <c r="O13" i="2"/>
  <c r="N13" i="2"/>
  <c r="M13" i="2"/>
  <c r="L13" i="2"/>
  <c r="K13" i="2"/>
  <c r="J13" i="2"/>
  <c r="I13" i="2"/>
  <c r="H13" i="2"/>
  <c r="G13" i="2"/>
  <c r="AA12" i="2"/>
  <c r="AB12" i="2"/>
  <c r="AA11" i="2"/>
  <c r="AB11" i="2"/>
  <c r="AA10" i="2"/>
  <c r="AB10" i="2"/>
  <c r="AA9" i="2"/>
  <c r="AB9" i="2"/>
  <c r="AA8" i="2"/>
  <c r="AB8" i="2"/>
  <c r="AA7" i="2"/>
  <c r="AB7" i="2"/>
  <c r="AA6" i="2"/>
  <c r="AB6" i="2"/>
  <c r="AA5" i="2"/>
  <c r="AB5" i="2"/>
  <c r="AB4" i="2"/>
  <c r="AA3" i="1"/>
  <c r="AE13" i="1"/>
  <c r="AD13" i="1"/>
  <c r="AC3" i="1"/>
  <c r="AC4" i="1"/>
  <c r="AC5" i="1"/>
  <c r="AC6" i="1"/>
  <c r="AC7" i="1"/>
  <c r="AC8" i="1"/>
  <c r="AC9" i="1"/>
  <c r="AC10" i="1"/>
  <c r="AC11" i="1"/>
  <c r="AC12" i="1"/>
  <c r="AC13" i="1"/>
  <c r="Y3" i="1"/>
  <c r="Y13" i="1"/>
  <c r="X13" i="1"/>
  <c r="W13" i="1"/>
  <c r="V13" i="1"/>
  <c r="U13" i="1"/>
  <c r="T13" i="1"/>
  <c r="S13" i="1"/>
  <c r="R13" i="1"/>
  <c r="Q13" i="1"/>
  <c r="P13" i="1"/>
  <c r="F4" i="1"/>
  <c r="L4" i="1"/>
  <c r="M4" i="1"/>
  <c r="O4" i="1"/>
  <c r="O13" i="1"/>
  <c r="N13" i="1"/>
  <c r="M13" i="1"/>
  <c r="L13" i="1"/>
  <c r="K13" i="1"/>
  <c r="J13" i="1"/>
  <c r="I13" i="1"/>
  <c r="H13" i="1"/>
  <c r="G13" i="1"/>
  <c r="AA12" i="1"/>
  <c r="AB12" i="1"/>
  <c r="Z12" i="1"/>
  <c r="AF12" i="1"/>
  <c r="AA11" i="1"/>
  <c r="AB11" i="1"/>
  <c r="Z11" i="1"/>
  <c r="AF11" i="1"/>
  <c r="AA10" i="1"/>
  <c r="AB10" i="1"/>
  <c r="Z10" i="1"/>
  <c r="AF10" i="1"/>
  <c r="AA9" i="1"/>
  <c r="AB9" i="1"/>
  <c r="Z9" i="1"/>
  <c r="AF9" i="1"/>
  <c r="AA8" i="1"/>
  <c r="AB8" i="1"/>
  <c r="Z8" i="1"/>
  <c r="AF8" i="1"/>
  <c r="AA7" i="1"/>
  <c r="AB7" i="1"/>
  <c r="Z7" i="1"/>
  <c r="AF7" i="1"/>
  <c r="AA6" i="1"/>
  <c r="AB6" i="1"/>
  <c r="Z6" i="1"/>
  <c r="AF6" i="1"/>
  <c r="AA5" i="1"/>
  <c r="AB5" i="1"/>
  <c r="Z5" i="1"/>
  <c r="AF5" i="1"/>
  <c r="AB4" i="1"/>
  <c r="AA4" i="1"/>
  <c r="Z4" i="1"/>
  <c r="AF4" i="1"/>
  <c r="AB3" i="1"/>
  <c r="Z3" i="1"/>
  <c r="Z13" i="1"/>
  <c r="AA13" i="1"/>
  <c r="AB13" i="1"/>
  <c r="AF3" i="1"/>
  <c r="AF13" i="1"/>
  <c r="AC4" i="2"/>
  <c r="AA4" i="2"/>
  <c r="Z4" i="2"/>
  <c r="AF4" i="2"/>
  <c r="AC5" i="2"/>
  <c r="Z5" i="2"/>
  <c r="AF5" i="2"/>
  <c r="AC6" i="2"/>
  <c r="Z6" i="2"/>
  <c r="AF6" i="2"/>
  <c r="AC7" i="2"/>
  <c r="Z7" i="2"/>
  <c r="AF7" i="2"/>
  <c r="AC8" i="2"/>
  <c r="Z8" i="2"/>
  <c r="AF8" i="2"/>
  <c r="AC9" i="2"/>
  <c r="Z9" i="2"/>
  <c r="AF9" i="2"/>
  <c r="AC10" i="2"/>
  <c r="Z10" i="2"/>
  <c r="AF10" i="2"/>
  <c r="AC11" i="2"/>
  <c r="Z11" i="2"/>
  <c r="AF11" i="2"/>
  <c r="AC12" i="2"/>
  <c r="Z12" i="2"/>
  <c r="AF12" i="2"/>
  <c r="AB3" i="2"/>
  <c r="AC3" i="2"/>
  <c r="Z3" i="2"/>
  <c r="Z13" i="2"/>
  <c r="AA13" i="2"/>
  <c r="AB13" i="2"/>
  <c r="AC13" i="2"/>
  <c r="AF3" i="2"/>
  <c r="AF13" i="2"/>
  <c r="AC4" i="3"/>
  <c r="AA4" i="3"/>
  <c r="Z4" i="3"/>
  <c r="AF4" i="3"/>
  <c r="AC5" i="3"/>
  <c r="Z5" i="3"/>
  <c r="AF5" i="3"/>
  <c r="AC6" i="3"/>
  <c r="Z6" i="3"/>
  <c r="AF6" i="3"/>
  <c r="AC7" i="3"/>
  <c r="Z7" i="3"/>
  <c r="AF7" i="3"/>
  <c r="AC8" i="3"/>
  <c r="Z8" i="3"/>
  <c r="AF8" i="3"/>
  <c r="AC9" i="3"/>
  <c r="Z9" i="3"/>
  <c r="AF9" i="3"/>
  <c r="AC10" i="3"/>
  <c r="Z10" i="3"/>
  <c r="AF10" i="3"/>
  <c r="AC11" i="3"/>
  <c r="Z11" i="3"/>
  <c r="AF11" i="3"/>
  <c r="AC12" i="3"/>
  <c r="Z12" i="3"/>
  <c r="AF12" i="3"/>
  <c r="AB3" i="3"/>
  <c r="AC3" i="3"/>
  <c r="Z3" i="3"/>
  <c r="Z13" i="3"/>
  <c r="AA13" i="3"/>
  <c r="AB13" i="3"/>
  <c r="AC13" i="3"/>
  <c r="AF3" i="3"/>
  <c r="AF13" i="3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sz val="9"/>
            <rFont val="宋体"/>
            <family val="3"/>
            <charset val="134"/>
          </rPr>
          <t>国防科学技术大学 1997年
计算机
本科
入职时间：2018.9.1</t>
        </r>
      </text>
    </comment>
    <comment ref="B4" authorId="0">
      <text>
        <r>
          <rPr>
            <sz val="9"/>
            <rFont val="宋体"/>
            <family val="3"/>
            <charset val="134"/>
          </rPr>
          <t>东北大学 2001年
自动化
本科
入职时间2018.9.1</t>
        </r>
      </text>
    </comment>
    <comment ref="B5" authorId="0">
      <text>
        <r>
          <rPr>
            <sz val="9"/>
            <rFont val="宋体"/>
            <family val="3"/>
            <charset val="134"/>
          </rPr>
          <t>电子科技大学 2006
信息安全
本科 
入职时间2018.9.1</t>
        </r>
      </text>
    </comment>
    <comment ref="B6" authorId="0">
      <text>
        <r>
          <rPr>
            <sz val="9"/>
            <rFont val="宋体"/>
            <family val="3"/>
            <charset val="134"/>
          </rPr>
          <t>沈阳大学 2011
生物工程
本科
入职时间：2018.9.1</t>
        </r>
      </text>
    </comment>
    <comment ref="B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吉林大学 2018
测绘工程
入职日期：2018.10.11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sz val="9"/>
            <rFont val="宋体"/>
            <family val="3"/>
            <charset val="134"/>
          </rPr>
          <t>国防科学技术大学 1997年
计算机
本科
入职时间：2018.9.1</t>
        </r>
      </text>
    </comment>
    <comment ref="B4" authorId="0">
      <text>
        <r>
          <rPr>
            <sz val="9"/>
            <rFont val="宋体"/>
            <family val="3"/>
            <charset val="134"/>
          </rPr>
          <t>东北大学 2001年
自动化
本科
入职时间2018.9.1</t>
        </r>
      </text>
    </comment>
    <comment ref="B5" authorId="0">
      <text>
        <r>
          <rPr>
            <sz val="9"/>
            <rFont val="宋体"/>
            <family val="3"/>
            <charset val="134"/>
          </rPr>
          <t>电子科技大学 2006
信息安全
本科 
入职时间2018.9.1</t>
        </r>
      </text>
    </comment>
    <comment ref="B6" authorId="0">
      <text>
        <r>
          <rPr>
            <sz val="9"/>
            <rFont val="宋体"/>
            <family val="3"/>
            <charset val="134"/>
          </rPr>
          <t>沈阳大学 2011
生物工程
本科
入职时间：2018.9.1</t>
        </r>
      </text>
    </comment>
    <comment ref="B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吉林大学 2018
测绘工程
入职日期：2018.10.11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sz val="9"/>
            <rFont val="宋体"/>
            <family val="3"/>
            <charset val="134"/>
          </rPr>
          <t>国防科学技术大学 1997年
计算机
本科
入职时间：2018.9.1</t>
        </r>
      </text>
    </comment>
    <comment ref="B4" authorId="0">
      <text>
        <r>
          <rPr>
            <sz val="9"/>
            <rFont val="宋体"/>
            <family val="3"/>
            <charset val="134"/>
          </rPr>
          <t>东北大学 2001年
自动化
本科
入职时间2018.9.1</t>
        </r>
      </text>
    </comment>
    <comment ref="B5" authorId="0">
      <text>
        <r>
          <rPr>
            <sz val="9"/>
            <rFont val="宋体"/>
            <family val="3"/>
            <charset val="134"/>
          </rPr>
          <t>电子科技大学 2006
信息安全
本科 
入职时间2018.9.1</t>
        </r>
      </text>
    </comment>
    <comment ref="B6" authorId="0">
      <text>
        <r>
          <rPr>
            <sz val="9"/>
            <rFont val="宋体"/>
            <family val="3"/>
            <charset val="134"/>
          </rPr>
          <t>沈阳大学 2011
生物工程
本科
入职时间：2018.9.1</t>
        </r>
      </text>
    </comment>
    <comment ref="B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吉林大学 2018
测绘工程
入职日期：2018.10.11</t>
        </r>
      </text>
    </comment>
  </commentList>
</comments>
</file>

<file path=xl/sharedStrings.xml><?xml version="1.0" encoding="utf-8"?>
<sst xmlns="http://schemas.openxmlformats.org/spreadsheetml/2006/main" count="211" uniqueCount="72">
  <si>
    <t>序号</t>
  </si>
  <si>
    <t>姓名</t>
  </si>
  <si>
    <t>部门</t>
  </si>
  <si>
    <t>项目</t>
  </si>
  <si>
    <t>应出勤天数</t>
  </si>
  <si>
    <t>实际出勤天数</t>
  </si>
  <si>
    <t>基本工资</t>
  </si>
  <si>
    <t>绩效工资</t>
  </si>
  <si>
    <t>餐补</t>
  </si>
  <si>
    <t>通讯补助</t>
  </si>
  <si>
    <t>交通补助</t>
  </si>
  <si>
    <t>病事假天数</t>
  </si>
  <si>
    <t>病事假扣款</t>
  </si>
  <si>
    <t>其他扣款</t>
  </si>
  <si>
    <t>应发工资</t>
  </si>
  <si>
    <t>养老</t>
  </si>
  <si>
    <t>医疗</t>
  </si>
  <si>
    <t>工伤</t>
  </si>
  <si>
    <t>公积金</t>
  </si>
  <si>
    <t>累计子女教育</t>
  </si>
  <si>
    <t>累计住房租金</t>
  </si>
  <si>
    <t>累计贷款利息</t>
  </si>
  <si>
    <t>累计赡养老人</t>
  </si>
  <si>
    <t>累计继续教育</t>
  </si>
  <si>
    <t>扣除</t>
  </si>
  <si>
    <t>个人所得税</t>
  </si>
  <si>
    <t>工资累计</t>
  </si>
  <si>
    <t>扣除累计</t>
  </si>
  <si>
    <t>前N月个税累计</t>
  </si>
  <si>
    <t>税后扣除</t>
  </si>
  <si>
    <t>免税福利</t>
  </si>
  <si>
    <t>实发工资</t>
  </si>
  <si>
    <t>备注</t>
  </si>
  <si>
    <t>银行卡号</t>
  </si>
  <si>
    <t>身份证号</t>
  </si>
  <si>
    <t>手机号码</t>
  </si>
  <si>
    <t>户口</t>
  </si>
  <si>
    <t>职位</t>
  </si>
  <si>
    <t>邮箱</t>
  </si>
  <si>
    <t>入职日期</t>
  </si>
  <si>
    <t>学历</t>
  </si>
  <si>
    <t>部门1</t>
  </si>
  <si>
    <t>项目1</t>
  </si>
  <si>
    <t>部门2</t>
  </si>
  <si>
    <t>项目2</t>
  </si>
  <si>
    <t>部门3</t>
  </si>
  <si>
    <t>项目3</t>
  </si>
  <si>
    <t>部门4</t>
  </si>
  <si>
    <t>项目4</t>
  </si>
  <si>
    <t>部门5</t>
  </si>
  <si>
    <t>项目5</t>
  </si>
  <si>
    <t>姓名6</t>
  </si>
  <si>
    <t>部门6</t>
  </si>
  <si>
    <t>项目6</t>
  </si>
  <si>
    <t>姓名7</t>
  </si>
  <si>
    <t>部门7</t>
  </si>
  <si>
    <t>项目7</t>
  </si>
  <si>
    <t>姓名8</t>
  </si>
  <si>
    <t>部门8</t>
  </si>
  <si>
    <t>项目8</t>
  </si>
  <si>
    <t>姓名9</t>
  </si>
  <si>
    <t>部门9</t>
  </si>
  <si>
    <t>项目9</t>
  </si>
  <si>
    <t>姓名10</t>
  </si>
  <si>
    <t>部门10</t>
  </si>
  <si>
    <t>项目10</t>
  </si>
  <si>
    <t>合计</t>
  </si>
  <si>
    <t>李金山</t>
  </si>
  <si>
    <t>岳庆臻</t>
  </si>
  <si>
    <t>侯  巍</t>
  </si>
  <si>
    <t>王  迪</t>
  </si>
  <si>
    <t>张思远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</si>
</sst>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* #,##0.00_ ;_ * \-#,##0.00_ ;_ * &quot;-&quot;??_ ;_ @_ "/>
  </numFmts>
  <fonts count="16" x14ac:knownFonts="1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rgb="FF150BE5"/>
      <name val="宋体"/>
      <charset val="134"/>
      <scheme val="minor"/>
    </font>
    <font>
      <sz val="10"/>
      <color rgb="FF150BE5"/>
      <name val="宋体"/>
      <charset val="134"/>
    </font>
    <font>
      <b/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scheme val="minor"/>
    </font>
    <font>
      <sz val="11"/>
      <color rgb="FF9C6500"/>
      <name val="宋体"/>
      <charset val="134"/>
      <scheme val="minor"/>
    </font>
    <font>
      <sz val="12"/>
      <name val="宋体"/>
      <charset val="134"/>
    </font>
    <font>
      <sz val="10"/>
      <name val="Arial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8"/>
      </top>
      <bottom/>
      <diagonal/>
    </border>
  </borders>
  <cellStyleXfs count="9">
    <xf numFmtId="0" fontId="0" fillId="0" borderId="0"/>
    <xf numFmtId="0" fontId="10" fillId="4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 applyNumberFormat="0" applyFill="0" applyBorder="0" applyAlignment="0" applyProtection="0"/>
    <xf numFmtId="176" fontId="9" fillId="0" borderId="0" applyFont="0" applyFill="0" applyBorder="0" applyAlignment="0" applyProtection="0">
      <alignment vertical="center"/>
    </xf>
    <xf numFmtId="0" fontId="11" fillId="0" borderId="0" applyProtection="0">
      <alignment vertical="center"/>
    </xf>
    <xf numFmtId="0" fontId="11" fillId="0" borderId="0" applyProtection="0">
      <alignment vertical="center"/>
    </xf>
  </cellStyleXfs>
  <cellXfs count="3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Fill="1"/>
    <xf numFmtId="176" fontId="2" fillId="0" borderId="0" xfId="2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3" fillId="0" borderId="1" xfId="3" applyFont="1" applyFill="1" applyBorder="1" applyAlignment="1" applyProtection="1">
      <alignment horizontal="center"/>
    </xf>
    <xf numFmtId="0" fontId="4" fillId="0" borderId="1" xfId="3" applyFont="1" applyFill="1" applyBorder="1" applyAlignment="1" applyProtection="1">
      <alignment horizontal="center"/>
    </xf>
    <xf numFmtId="0" fontId="5" fillId="0" borderId="1" xfId="4" applyFont="1" applyFill="1" applyBorder="1" applyAlignment="1">
      <alignment horizontal="center"/>
    </xf>
    <xf numFmtId="0" fontId="6" fillId="0" borderId="1" xfId="1" applyFont="1" applyFill="1" applyBorder="1" applyAlignment="1" applyProtection="1">
      <alignment horizontal="center"/>
    </xf>
    <xf numFmtId="176" fontId="6" fillId="0" borderId="1" xfId="2" applyFont="1" applyFill="1" applyBorder="1" applyAlignment="1" applyProtection="1">
      <alignment horizontal="center"/>
    </xf>
    <xf numFmtId="176" fontId="2" fillId="2" borderId="1" xfId="2" applyFont="1" applyFill="1" applyBorder="1" applyAlignment="1"/>
    <xf numFmtId="0" fontId="7" fillId="2" borderId="1" xfId="0" applyFont="1" applyFill="1" applyBorder="1" applyAlignment="1">
      <alignment horizontal="center" vertical="center" wrapText="1"/>
    </xf>
    <xf numFmtId="176" fontId="6" fillId="0" borderId="1" xfId="2" applyFont="1" applyFill="1" applyBorder="1" applyAlignment="1" applyProtection="1"/>
    <xf numFmtId="176" fontId="2" fillId="0" borderId="1" xfId="2" applyFont="1" applyFill="1" applyBorder="1" applyAlignment="1"/>
    <xf numFmtId="176" fontId="8" fillId="0" borderId="1" xfId="2" applyFont="1" applyFill="1" applyBorder="1" applyAlignment="1"/>
    <xf numFmtId="0" fontId="2" fillId="3" borderId="0" xfId="0" applyNumberFormat="1" applyFont="1" applyFill="1"/>
    <xf numFmtId="176" fontId="2" fillId="0" borderId="2" xfId="2" applyFont="1" applyFill="1" applyBorder="1" applyAlignment="1">
      <alignment horizontal="right"/>
    </xf>
    <xf numFmtId="14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/>
    <xf numFmtId="14" fontId="2" fillId="0" borderId="1" xfId="0" applyNumberFormat="1" applyFont="1" applyFill="1" applyBorder="1"/>
    <xf numFmtId="176" fontId="2" fillId="2" borderId="1" xfId="2" applyFont="1" applyFill="1" applyBorder="1" applyAlignment="1">
      <alignment horizontal="right"/>
    </xf>
    <xf numFmtId="0" fontId="3" fillId="0" borderId="5" xfId="7" applyNumberFormat="1" applyFont="1" applyFill="1" applyBorder="1" applyAlignment="1" applyProtection="1">
      <alignment horizontal="center"/>
    </xf>
    <xf numFmtId="0" fontId="4" fillId="0" borderId="6" xfId="8" applyNumberFormat="1" applyFont="1" applyFill="1" applyBorder="1" applyAlignment="1" applyProtection="1">
      <alignment horizontal="center" vertical="center"/>
    </xf>
    <xf numFmtId="0" fontId="4" fillId="0" borderId="7" xfId="8" applyNumberFormat="1" applyFont="1" applyFill="1" applyBorder="1" applyAlignment="1" applyProtection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176" fontId="2" fillId="2" borderId="2" xfId="2" applyFont="1" applyFill="1" applyBorder="1" applyAlignment="1">
      <alignment horizontal="center"/>
    </xf>
    <xf numFmtId="176" fontId="2" fillId="2" borderId="3" xfId="2" applyFont="1" applyFill="1" applyBorder="1" applyAlignment="1">
      <alignment horizontal="center"/>
    </xf>
    <xf numFmtId="176" fontId="2" fillId="2" borderId="4" xfId="2" applyFont="1" applyFill="1" applyBorder="1" applyAlignment="1">
      <alignment horizontal="center"/>
    </xf>
  </cellXfs>
  <cellStyles count="9">
    <cellStyle name="常规" xfId="0" builtinId="0"/>
    <cellStyle name="常规 12" xfId="7"/>
    <cellStyle name="常规 12 2 2" xfId="3"/>
    <cellStyle name="常规 2" xfId="8"/>
    <cellStyle name="常规 2 2" xfId="4"/>
    <cellStyle name="常规 3" xfId="5"/>
    <cellStyle name="千位分隔" xfId="2" builtinId="3"/>
    <cellStyle name="千位分隔 2 2" xfId="6"/>
    <cellStyle name="适中 3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3"/>
  <sheetViews>
    <sheetView workbookViewId="0">
      <pane xSplit="2" ySplit="2" topLeftCell="M3" activePane="bottomRight" state="frozen"/>
      <selection pane="topRight"/>
      <selection pane="bottomLeft"/>
      <selection pane="bottomRight" activeCell="Y3" sqref="Y3:Y7"/>
    </sheetView>
  </sheetViews>
  <sheetFormatPr baseColWidth="10" defaultColWidth="9" defaultRowHeight="14" outlineLevelCol="1" x14ac:dyDescent="0.15"/>
  <cols>
    <col min="1" max="1" width="5.33203125" style="4" customWidth="1"/>
    <col min="2" max="2" width="9" style="5" customWidth="1"/>
    <col min="3" max="3" width="11.1640625" style="5" customWidth="1"/>
    <col min="4" max="4" width="13" style="5" customWidth="1"/>
    <col min="5" max="5" width="6.83203125" style="5" customWidth="1" outlineLevel="1"/>
    <col min="6" max="6" width="6.33203125" style="5" customWidth="1" outlineLevel="1"/>
    <col min="7" max="7" width="14.1640625" style="5" customWidth="1" outlineLevel="1"/>
    <col min="8" max="8" width="13.5" style="5" bestFit="1" customWidth="1" outlineLevel="1"/>
    <col min="9" max="9" width="11.1640625" style="5" customWidth="1" outlineLevel="1"/>
    <col min="10" max="11" width="12.5" style="5" customWidth="1" outlineLevel="1"/>
    <col min="12" max="13" width="14.1640625" style="5" customWidth="1" outlineLevel="1"/>
    <col min="14" max="14" width="12.5" style="5" customWidth="1" outlineLevel="1"/>
    <col min="15" max="15" width="14.1640625" style="5" customWidth="1"/>
    <col min="16" max="17" width="11.1640625" style="5" customWidth="1" outlineLevel="1"/>
    <col min="18" max="18" width="9" style="5" customWidth="1" outlineLevel="1"/>
    <col min="19" max="19" width="12.1640625" style="5" customWidth="1" outlineLevel="1"/>
    <col min="20" max="24" width="12.5" style="5" customWidth="1" outlineLevel="1"/>
    <col min="25" max="25" width="12.1640625" style="5" customWidth="1" outlineLevel="1"/>
    <col min="26" max="26" width="14.1640625" style="5" customWidth="1"/>
    <col min="27" max="28" width="14.1640625" style="5" customWidth="1" outlineLevel="1"/>
    <col min="29" max="29" width="17.33203125" style="5" customWidth="1" outlineLevel="1"/>
    <col min="30" max="31" width="12.5" style="5" customWidth="1" outlineLevel="1"/>
    <col min="32" max="32" width="14.1640625" style="5" customWidth="1"/>
    <col min="33" max="33" width="9" style="5" customWidth="1"/>
    <col min="34" max="34" width="19" style="5" customWidth="1"/>
    <col min="35" max="35" width="18" style="5" customWidth="1" outlineLevel="1"/>
    <col min="36" max="36" width="12.5" style="6" customWidth="1" outlineLevel="1"/>
    <col min="37" max="39" width="9" style="5" customWidth="1" outlineLevel="1"/>
    <col min="40" max="40" width="12.5" style="7" customWidth="1" outlineLevel="1"/>
    <col min="41" max="41" width="9" style="5" customWidth="1" outlineLevel="1"/>
    <col min="42" max="16384" width="9" style="5"/>
  </cols>
  <sheetData>
    <row r="1" spans="1:41" x14ac:dyDescent="0.15">
      <c r="Z1" s="20">
        <v>1</v>
      </c>
    </row>
    <row r="2" spans="1:41" s="1" customFormat="1" ht="24" customHeight="1" x14ac:dyDescent="0.1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16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16" t="s">
        <v>24</v>
      </c>
      <c r="Z2" s="16" t="s">
        <v>25</v>
      </c>
      <c r="AA2" s="16" t="s">
        <v>26</v>
      </c>
      <c r="AB2" s="16" t="s">
        <v>27</v>
      </c>
      <c r="AC2" s="16" t="s">
        <v>28</v>
      </c>
      <c r="AD2" s="8" t="s">
        <v>29</v>
      </c>
      <c r="AE2" s="8" t="s">
        <v>30</v>
      </c>
      <c r="AF2" s="16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22" t="s">
        <v>39</v>
      </c>
      <c r="AO2" s="8" t="s">
        <v>40</v>
      </c>
    </row>
    <row r="3" spans="1:41" s="2" customFormat="1" x14ac:dyDescent="0.15">
      <c r="A3" s="9">
        <v>1</v>
      </c>
      <c r="B3" s="27" t="s">
        <v>67</v>
      </c>
      <c r="C3" s="10" t="s">
        <v>41</v>
      </c>
      <c r="D3" s="11" t="s">
        <v>42</v>
      </c>
      <c r="E3" s="12">
        <v>21</v>
      </c>
      <c r="F3" s="13">
        <f t="shared" ref="F3:F12" si="0">21</f>
        <v>21</v>
      </c>
      <c r="G3" s="14">
        <f>6000</f>
        <v>6000</v>
      </c>
      <c r="H3" s="14"/>
      <c r="I3" s="17">
        <f>F3*20</f>
        <v>420</v>
      </c>
      <c r="J3" s="18"/>
      <c r="K3" s="18"/>
      <c r="L3" s="18">
        <f t="shared" ref="L3:L12" si="1">E3-F3</f>
        <v>0</v>
      </c>
      <c r="M3" s="18">
        <f t="shared" ref="M3:M12" si="2">G3/21.75*L3</f>
        <v>0</v>
      </c>
      <c r="N3" s="19"/>
      <c r="O3" s="19">
        <f>ROUND(SUM(G3:K3)-M3-N3,2)</f>
        <v>6420</v>
      </c>
      <c r="P3" s="18">
        <v>270.95999999999998</v>
      </c>
      <c r="Q3" s="18">
        <v>104.6</v>
      </c>
      <c r="R3" s="18">
        <v>6.77</v>
      </c>
      <c r="S3" s="18">
        <v>720</v>
      </c>
      <c r="T3" s="18">
        <v>1000</v>
      </c>
      <c r="U3" s="18"/>
      <c r="V3" s="18"/>
      <c r="W3" s="18"/>
      <c r="X3" s="18">
        <v>400</v>
      </c>
      <c r="Y3" s="18">
        <f>ROUND(SUM(P3:S3)+5000,2)</f>
        <v>6102.33</v>
      </c>
      <c r="Z3" s="18">
        <f ca="1">IF(ROUND(MAX((AA3-AB3)*{0.03;0.1;0.2;0.25;0.3;0.35;0.45}-{0;2520;16920;31920;52920;85920;181920},0)-AC3,2)&gt;0,ROUND(MAX((AA3-AB3)*{0.03;0.1;0.2;0.25;0.3;0.35;0.45}-{0;2520;16920;31920;52920;85920;181920},0)-AC3,2),0)</f>
        <v>0</v>
      </c>
      <c r="AA3" s="18">
        <f ca="1">SUMPRODUCT(SUMIF(INDIRECT(ROW(INDIRECT("1:"&amp;$Z$1))&amp;"月!B:B"),$B3,INDIRECT(ROW(INDIRECT("1:"&amp;$Z$1))&amp;"月!O:O")))</f>
        <v>6420</v>
      </c>
      <c r="AB3" s="18">
        <f ca="1">SUMPRODUCT(SUMIF(INDIRECT(ROW(INDIRECT("1:"&amp;$Z$1))&amp;"月!B:B"),$B3,INDIRECT(ROW(INDIRECT("1:"&amp;$Z$1))&amp;"月!Y:Y")))+SUM(T3:X3)</f>
        <v>7502.33</v>
      </c>
      <c r="AC3" s="18">
        <f ca="1">IF($Z$1=1,0,SUMPRODUCT(SUMIF(INDIRECT(ROW(INDIRECT("1:"&amp;$Z$1-1))&amp;"月!B:B"),$B3,INDIRECT(ROW(INDIRECT("1:"&amp;$Z$1-1))&amp;"月!Z:Z"))))</f>
        <v>0</v>
      </c>
      <c r="AD3" s="21"/>
      <c r="AE3" s="18">
        <v>98</v>
      </c>
      <c r="AF3" s="18">
        <f ca="1">ROUND(O3-P3-Q3-R3-S3-Z3-AD3+AE3,2)</f>
        <v>5415.67</v>
      </c>
      <c r="AG3" s="23"/>
      <c r="AH3" s="24"/>
      <c r="AI3" s="24"/>
      <c r="AJ3" s="23"/>
      <c r="AK3" s="24"/>
      <c r="AL3" s="24"/>
      <c r="AM3" s="24"/>
      <c r="AN3" s="25"/>
      <c r="AO3" s="24"/>
    </row>
    <row r="4" spans="1:41" s="2" customFormat="1" x14ac:dyDescent="0.15">
      <c r="A4" s="9">
        <v>2</v>
      </c>
      <c r="B4" s="28" t="s">
        <v>68</v>
      </c>
      <c r="C4" s="10" t="s">
        <v>43</v>
      </c>
      <c r="D4" s="11" t="s">
        <v>44</v>
      </c>
      <c r="E4" s="12">
        <v>21</v>
      </c>
      <c r="F4" s="13">
        <f t="shared" si="0"/>
        <v>21</v>
      </c>
      <c r="G4" s="14">
        <v>8000</v>
      </c>
      <c r="H4" s="14"/>
      <c r="I4" s="17">
        <f t="shared" ref="I4:I7" si="3">F4*20</f>
        <v>420</v>
      </c>
      <c r="J4" s="18"/>
      <c r="K4" s="18"/>
      <c r="L4" s="18">
        <f t="shared" si="1"/>
        <v>0</v>
      </c>
      <c r="M4" s="18">
        <f t="shared" si="2"/>
        <v>0</v>
      </c>
      <c r="N4" s="19"/>
      <c r="O4" s="19">
        <f t="shared" ref="O4:O12" si="4">ROUND(SUM(G4:K4)-M4-N4,2)</f>
        <v>8420</v>
      </c>
      <c r="P4" s="18">
        <v>270.95999999999998</v>
      </c>
      <c r="Q4" s="18">
        <v>104.6</v>
      </c>
      <c r="R4" s="18">
        <v>6.77</v>
      </c>
      <c r="S4" s="18">
        <v>960</v>
      </c>
      <c r="T4" s="18"/>
      <c r="U4" s="18"/>
      <c r="V4" s="18"/>
      <c r="W4" s="18"/>
      <c r="X4" s="18"/>
      <c r="Y4" s="18">
        <f t="shared" ref="Y4:Y12" si="5">ROUND(SUM(P4:S4)+5000,2)</f>
        <v>6342.33</v>
      </c>
      <c r="Z4" s="18">
        <f ca="1">IF(ROUND(MAX((AA4-AB4)*{0.03;0.1;0.2;0.25;0.3;0.35;0.45}-{0;2520;16920;31920;52920;85920;181920},0)-AC4,2)&gt;0,ROUND(MAX((AA4-AB4)*{0.03;0.1;0.2;0.25;0.3;0.35;0.45}-{0;2520;16920;31920;52920;85920;181920},0)-AC4,2),0)</f>
        <v>62.33</v>
      </c>
      <c r="AA4" s="18">
        <f t="shared" ref="AA4:AA12" ca="1" si="6">SUMPRODUCT(SUMIF(INDIRECT(ROW(INDIRECT("1:"&amp;$Z$1))&amp;"月!B:B"),$B4,INDIRECT(ROW(INDIRECT("1:"&amp;$Z$1))&amp;"月!O:O")))</f>
        <v>8420</v>
      </c>
      <c r="AB4" s="18">
        <f t="shared" ref="AB4:AB12" ca="1" si="7">SUMPRODUCT(SUMIF(INDIRECT(ROW(INDIRECT("1:"&amp;$Z$1))&amp;"月!B:B"),$B4,INDIRECT(ROW(INDIRECT("1:"&amp;$Z$1))&amp;"月!Y:Y")))+SUM(T4:X4)</f>
        <v>6342.33</v>
      </c>
      <c r="AC4" s="18">
        <f t="shared" ref="AC4:AC12" ca="1" si="8">IF($Z$1=1,0,SUMPRODUCT(SUMIF(INDIRECT(ROW(INDIRECT("1:"&amp;$Z$1-1))&amp;"月!B:B"),$B4,INDIRECT(ROW(INDIRECT("1:"&amp;$Z$1-1))&amp;"月!Z:Z"))))</f>
        <v>0</v>
      </c>
      <c r="AD4" s="21"/>
      <c r="AE4" s="18">
        <v>98</v>
      </c>
      <c r="AF4" s="18">
        <f t="shared" ref="AF4:AF12" ca="1" si="9">ROUND(O4-P4-Q4-R4-S4-Z4-AD4+AE4,2)</f>
        <v>7113.34</v>
      </c>
      <c r="AG4" s="23"/>
      <c r="AH4" s="24"/>
      <c r="AI4" s="24"/>
      <c r="AJ4" s="23"/>
      <c r="AK4" s="24"/>
      <c r="AL4" s="24"/>
      <c r="AM4" s="24"/>
      <c r="AN4" s="25"/>
      <c r="AO4" s="24"/>
    </row>
    <row r="5" spans="1:41" s="2" customFormat="1" x14ac:dyDescent="0.15">
      <c r="A5" s="9">
        <v>3</v>
      </c>
      <c r="B5" s="29" t="s">
        <v>69</v>
      </c>
      <c r="C5" s="10" t="s">
        <v>45</v>
      </c>
      <c r="D5" s="11" t="s">
        <v>46</v>
      </c>
      <c r="E5" s="12">
        <v>21</v>
      </c>
      <c r="F5" s="13">
        <f t="shared" si="0"/>
        <v>21</v>
      </c>
      <c r="G5" s="14">
        <v>10000</v>
      </c>
      <c r="H5" s="14"/>
      <c r="I5" s="17">
        <f t="shared" si="3"/>
        <v>420</v>
      </c>
      <c r="J5" s="18"/>
      <c r="K5" s="18"/>
      <c r="L5" s="18">
        <f t="shared" si="1"/>
        <v>0</v>
      </c>
      <c r="M5" s="18">
        <f t="shared" si="2"/>
        <v>0</v>
      </c>
      <c r="N5" s="19"/>
      <c r="O5" s="19">
        <f t="shared" si="4"/>
        <v>10420</v>
      </c>
      <c r="P5" s="18">
        <v>270.95999999999998</v>
      </c>
      <c r="Q5" s="18">
        <v>104.6</v>
      </c>
      <c r="R5" s="18">
        <v>6.77</v>
      </c>
      <c r="S5" s="18">
        <v>1200</v>
      </c>
      <c r="T5" s="18"/>
      <c r="U5" s="18"/>
      <c r="V5" s="18"/>
      <c r="W5" s="18"/>
      <c r="X5" s="18"/>
      <c r="Y5" s="18">
        <f t="shared" si="5"/>
        <v>6582.33</v>
      </c>
      <c r="Z5" s="18">
        <f ca="1">IF(ROUND(MAX((AA5-AB5)*{0.03;0.1;0.2;0.25;0.3;0.35;0.45}-{0;2520;16920;31920;52920;85920;181920},0)-AC5,2)&gt;0,ROUND(MAX((AA5-AB5)*{0.03;0.1;0.2;0.25;0.3;0.35;0.45}-{0;2520;16920;31920;52920;85920;181920},0)-AC5,2),0)</f>
        <v>115.13</v>
      </c>
      <c r="AA5" s="18">
        <f t="shared" ca="1" si="6"/>
        <v>10420</v>
      </c>
      <c r="AB5" s="18">
        <f t="shared" ca="1" si="7"/>
        <v>6582.33</v>
      </c>
      <c r="AC5" s="18">
        <f t="shared" ca="1" si="8"/>
        <v>0</v>
      </c>
      <c r="AD5" s="21">
        <v>38</v>
      </c>
      <c r="AE5" s="18">
        <v>98</v>
      </c>
      <c r="AF5" s="18">
        <f t="shared" ca="1" si="9"/>
        <v>8782.5400000000009</v>
      </c>
      <c r="AG5" s="23"/>
      <c r="AH5" s="24"/>
      <c r="AI5" s="24"/>
      <c r="AJ5" s="23"/>
      <c r="AK5" s="24"/>
      <c r="AL5" s="24"/>
      <c r="AM5" s="24"/>
      <c r="AN5" s="25"/>
      <c r="AO5" s="24"/>
    </row>
    <row r="6" spans="1:41" s="2" customFormat="1" x14ac:dyDescent="0.15">
      <c r="A6" s="9">
        <v>4</v>
      </c>
      <c r="B6" s="30" t="s">
        <v>70</v>
      </c>
      <c r="C6" s="10" t="s">
        <v>47</v>
      </c>
      <c r="D6" s="11" t="s">
        <v>48</v>
      </c>
      <c r="E6" s="12">
        <v>21</v>
      </c>
      <c r="F6" s="13">
        <f t="shared" si="0"/>
        <v>21</v>
      </c>
      <c r="G6" s="14">
        <v>12000</v>
      </c>
      <c r="H6" s="14"/>
      <c r="I6" s="17">
        <f t="shared" si="3"/>
        <v>420</v>
      </c>
      <c r="J6" s="18"/>
      <c r="K6" s="18"/>
      <c r="L6" s="18">
        <f t="shared" si="1"/>
        <v>0</v>
      </c>
      <c r="M6" s="18">
        <f t="shared" si="2"/>
        <v>0</v>
      </c>
      <c r="N6" s="19"/>
      <c r="O6" s="19">
        <f t="shared" si="4"/>
        <v>12420</v>
      </c>
      <c r="P6" s="18">
        <v>270.95999999999998</v>
      </c>
      <c r="Q6" s="18">
        <v>104.6</v>
      </c>
      <c r="R6" s="18">
        <v>0</v>
      </c>
      <c r="S6" s="18">
        <v>1440</v>
      </c>
      <c r="T6" s="18"/>
      <c r="U6" s="18"/>
      <c r="V6" s="18"/>
      <c r="W6" s="18"/>
      <c r="X6" s="18"/>
      <c r="Y6" s="18">
        <f t="shared" si="5"/>
        <v>6815.56</v>
      </c>
      <c r="Z6" s="18">
        <f ca="1">IF(ROUND(MAX((AA6-AB6)*{0.03;0.1;0.2;0.25;0.3;0.35;0.45}-{0;2520;16920;31920;52920;85920;181920},0)-AC6,2)&gt;0,ROUND(MAX((AA6-AB6)*{0.03;0.1;0.2;0.25;0.3;0.35;0.45}-{0;2520;16920;31920;52920;85920;181920},0)-AC6,2),0)</f>
        <v>168.13</v>
      </c>
      <c r="AA6" s="18">
        <f t="shared" ca="1" si="6"/>
        <v>12420</v>
      </c>
      <c r="AB6" s="18">
        <f t="shared" ca="1" si="7"/>
        <v>6815.56</v>
      </c>
      <c r="AC6" s="18">
        <f t="shared" ca="1" si="8"/>
        <v>0</v>
      </c>
      <c r="AD6" s="21"/>
      <c r="AE6" s="18">
        <v>98</v>
      </c>
      <c r="AF6" s="18">
        <f t="shared" ca="1" si="9"/>
        <v>10534.31</v>
      </c>
      <c r="AG6" s="23"/>
      <c r="AH6" s="24"/>
      <c r="AI6" s="24"/>
      <c r="AJ6" s="23"/>
      <c r="AK6" s="24"/>
      <c r="AL6" s="24"/>
      <c r="AM6" s="24"/>
      <c r="AN6" s="25"/>
      <c r="AO6" s="24"/>
    </row>
    <row r="7" spans="1:41" s="2" customFormat="1" x14ac:dyDescent="0.15">
      <c r="A7" s="9">
        <v>5</v>
      </c>
      <c r="B7" s="31" t="s">
        <v>71</v>
      </c>
      <c r="C7" s="10" t="s">
        <v>49</v>
      </c>
      <c r="D7" s="11" t="s">
        <v>50</v>
      </c>
      <c r="E7" s="12">
        <v>21</v>
      </c>
      <c r="F7" s="13">
        <f t="shared" si="0"/>
        <v>21</v>
      </c>
      <c r="G7" s="14">
        <v>15000</v>
      </c>
      <c r="H7" s="14"/>
      <c r="I7" s="17">
        <f t="shared" si="3"/>
        <v>420</v>
      </c>
      <c r="J7" s="18"/>
      <c r="K7" s="18"/>
      <c r="L7" s="18">
        <f t="shared" si="1"/>
        <v>0</v>
      </c>
      <c r="M7" s="18">
        <f t="shared" si="2"/>
        <v>0</v>
      </c>
      <c r="N7" s="19"/>
      <c r="O7" s="19">
        <f t="shared" si="4"/>
        <v>15420</v>
      </c>
      <c r="P7" s="18">
        <v>270.95999999999998</v>
      </c>
      <c r="Q7" s="18">
        <v>104.6</v>
      </c>
      <c r="R7" s="18">
        <v>6.77</v>
      </c>
      <c r="S7" s="18">
        <v>1800</v>
      </c>
      <c r="T7" s="18"/>
      <c r="U7" s="18"/>
      <c r="V7" s="18"/>
      <c r="W7" s="18"/>
      <c r="X7" s="18"/>
      <c r="Y7" s="18">
        <f t="shared" si="5"/>
        <v>7182.33</v>
      </c>
      <c r="Z7" s="18">
        <f ca="1">IF(ROUND(MAX((AA7-AB7)*{0.03;0.1;0.2;0.25;0.3;0.35;0.45}-{0;2520;16920;31920;52920;85920;181920},0)-AC7,2)&gt;0,ROUND(MAX((AA7-AB7)*{0.03;0.1;0.2;0.25;0.3;0.35;0.45}-{0;2520;16920;31920;52920;85920;181920},0)-AC7,2),0)</f>
        <v>247.13</v>
      </c>
      <c r="AA7" s="18">
        <f t="shared" ca="1" si="6"/>
        <v>15420</v>
      </c>
      <c r="AB7" s="18">
        <f t="shared" ca="1" si="7"/>
        <v>7182.33</v>
      </c>
      <c r="AC7" s="18">
        <f t="shared" ca="1" si="8"/>
        <v>0</v>
      </c>
      <c r="AD7" s="21"/>
      <c r="AE7" s="18">
        <v>98</v>
      </c>
      <c r="AF7" s="18">
        <f t="shared" ca="1" si="9"/>
        <v>13088.54</v>
      </c>
      <c r="AG7" s="23"/>
      <c r="AH7" s="24"/>
      <c r="AI7" s="24"/>
      <c r="AJ7" s="23"/>
      <c r="AK7" s="24"/>
      <c r="AL7" s="24"/>
      <c r="AM7" s="24"/>
      <c r="AN7" s="25"/>
      <c r="AO7" s="24"/>
    </row>
    <row r="8" spans="1:41" s="2" customFormat="1" hidden="1" x14ac:dyDescent="0.15">
      <c r="A8" s="9">
        <v>6</v>
      </c>
      <c r="B8" s="10" t="s">
        <v>51</v>
      </c>
      <c r="C8" s="11" t="s">
        <v>52</v>
      </c>
      <c r="D8" s="11" t="s">
        <v>53</v>
      </c>
      <c r="E8" s="12">
        <v>21</v>
      </c>
      <c r="F8" s="13">
        <f t="shared" si="0"/>
        <v>21</v>
      </c>
      <c r="G8" s="14">
        <v>18000</v>
      </c>
      <c r="H8" s="14"/>
      <c r="I8" s="17"/>
      <c r="J8" s="18"/>
      <c r="K8" s="18"/>
      <c r="L8" s="18">
        <f t="shared" si="1"/>
        <v>0</v>
      </c>
      <c r="M8" s="18">
        <f t="shared" si="2"/>
        <v>0</v>
      </c>
      <c r="N8" s="19"/>
      <c r="O8" s="19">
        <f t="shared" si="4"/>
        <v>18000</v>
      </c>
      <c r="P8" s="18">
        <v>270.95999999999998</v>
      </c>
      <c r="Q8" s="18">
        <v>104.6</v>
      </c>
      <c r="R8" s="18">
        <v>6.77</v>
      </c>
      <c r="S8" s="18">
        <v>2160</v>
      </c>
      <c r="T8" s="18"/>
      <c r="U8" s="18"/>
      <c r="V8" s="18"/>
      <c r="W8" s="18"/>
      <c r="X8" s="18"/>
      <c r="Y8" s="18">
        <f t="shared" si="5"/>
        <v>7542.33</v>
      </c>
      <c r="Z8" s="18">
        <f ca="1">IF(ROUND(MAX((AA8-AB8)*{0.03;0.1;0.2;0.25;0.3;0.35;0.45}-{0;2520;16920;31920;52920;85920;181920},0)-AC8,2)&gt;0,ROUND(MAX((AA8-AB8)*{0.03;0.1;0.2;0.25;0.3;0.35;0.45}-{0;2520;16920;31920;52920;85920;181920},0)-AC8,2),0)</f>
        <v>313.73</v>
      </c>
      <c r="AA8" s="18">
        <f t="shared" ca="1" si="6"/>
        <v>18000</v>
      </c>
      <c r="AB8" s="18">
        <f t="shared" ca="1" si="7"/>
        <v>7542.33</v>
      </c>
      <c r="AC8" s="18">
        <f t="shared" ca="1" si="8"/>
        <v>0</v>
      </c>
      <c r="AD8" s="21"/>
      <c r="AE8" s="18"/>
      <c r="AF8" s="18">
        <f t="shared" ca="1" si="9"/>
        <v>15143.94</v>
      </c>
      <c r="AG8" s="23"/>
      <c r="AH8" s="24"/>
      <c r="AI8" s="24"/>
      <c r="AJ8" s="23"/>
      <c r="AK8" s="24"/>
      <c r="AL8" s="24"/>
      <c r="AM8" s="24"/>
      <c r="AN8" s="25"/>
      <c r="AO8" s="24"/>
    </row>
    <row r="9" spans="1:41" s="2" customFormat="1" hidden="1" x14ac:dyDescent="0.15">
      <c r="A9" s="9">
        <v>7</v>
      </c>
      <c r="B9" s="10" t="s">
        <v>54</v>
      </c>
      <c r="C9" s="11" t="s">
        <v>55</v>
      </c>
      <c r="D9" s="11" t="s">
        <v>56</v>
      </c>
      <c r="E9" s="12">
        <v>21</v>
      </c>
      <c r="F9" s="13">
        <f t="shared" si="0"/>
        <v>21</v>
      </c>
      <c r="G9" s="14">
        <v>20000</v>
      </c>
      <c r="H9" s="14"/>
      <c r="I9" s="17"/>
      <c r="J9" s="18"/>
      <c r="K9" s="18"/>
      <c r="L9" s="18">
        <f t="shared" si="1"/>
        <v>0</v>
      </c>
      <c r="M9" s="18">
        <f t="shared" si="2"/>
        <v>0</v>
      </c>
      <c r="N9" s="19"/>
      <c r="O9" s="19">
        <f t="shared" si="4"/>
        <v>20000</v>
      </c>
      <c r="P9" s="18">
        <v>270.95999999999998</v>
      </c>
      <c r="Q9" s="18">
        <v>104.6</v>
      </c>
      <c r="R9" s="18">
        <v>6.77</v>
      </c>
      <c r="S9" s="18">
        <v>2400</v>
      </c>
      <c r="T9" s="18"/>
      <c r="U9" s="18"/>
      <c r="V9" s="18"/>
      <c r="W9" s="18"/>
      <c r="X9" s="18"/>
      <c r="Y9" s="18">
        <f t="shared" si="5"/>
        <v>7782.33</v>
      </c>
      <c r="Z9" s="18">
        <f ca="1">IF(ROUND(MAX((AA9-AB9)*{0.03;0.1;0.2;0.25;0.3;0.35;0.45}-{0;2520;16920;31920;52920;85920;181920},0)-AC9,2)&gt;0,ROUND(MAX((AA9-AB9)*{0.03;0.1;0.2;0.25;0.3;0.35;0.45}-{0;2520;16920;31920;52920;85920;181920},0)-AC9,2),0)</f>
        <v>366.53</v>
      </c>
      <c r="AA9" s="18">
        <f t="shared" ca="1" si="6"/>
        <v>20000</v>
      </c>
      <c r="AB9" s="18">
        <f t="shared" ca="1" si="7"/>
        <v>7782.33</v>
      </c>
      <c r="AC9" s="18">
        <f t="shared" ca="1" si="8"/>
        <v>0</v>
      </c>
      <c r="AD9" s="21"/>
      <c r="AE9" s="18"/>
      <c r="AF9" s="18">
        <f t="shared" ca="1" si="9"/>
        <v>16851.14</v>
      </c>
      <c r="AG9" s="23"/>
      <c r="AH9" s="24"/>
      <c r="AI9" s="24"/>
      <c r="AJ9" s="23"/>
      <c r="AK9" s="24"/>
      <c r="AL9" s="24"/>
      <c r="AM9" s="24"/>
      <c r="AN9" s="25"/>
      <c r="AO9" s="24"/>
    </row>
    <row r="10" spans="1:41" s="2" customFormat="1" hidden="1" x14ac:dyDescent="0.15">
      <c r="A10" s="9">
        <v>8</v>
      </c>
      <c r="B10" s="10" t="s">
        <v>57</v>
      </c>
      <c r="C10" s="11" t="s">
        <v>58</v>
      </c>
      <c r="D10" s="11" t="s">
        <v>59</v>
      </c>
      <c r="E10" s="12">
        <v>21</v>
      </c>
      <c r="F10" s="13">
        <f t="shared" si="0"/>
        <v>21</v>
      </c>
      <c r="G10" s="14">
        <v>25000</v>
      </c>
      <c r="H10" s="14"/>
      <c r="I10" s="17"/>
      <c r="J10" s="18"/>
      <c r="K10" s="18"/>
      <c r="L10" s="18">
        <f t="shared" si="1"/>
        <v>0</v>
      </c>
      <c r="M10" s="18">
        <f t="shared" si="2"/>
        <v>0</v>
      </c>
      <c r="N10" s="19"/>
      <c r="O10" s="19">
        <f t="shared" si="4"/>
        <v>25000</v>
      </c>
      <c r="P10" s="18">
        <v>270.95999999999998</v>
      </c>
      <c r="Q10" s="18">
        <v>104.6</v>
      </c>
      <c r="R10" s="18">
        <v>6.77</v>
      </c>
      <c r="S10" s="18">
        <v>3000</v>
      </c>
      <c r="T10" s="18"/>
      <c r="U10" s="18"/>
      <c r="V10" s="18"/>
      <c r="W10" s="18"/>
      <c r="X10" s="18"/>
      <c r="Y10" s="18">
        <f t="shared" si="5"/>
        <v>8382.33</v>
      </c>
      <c r="Z10" s="18">
        <f ca="1">IF(ROUND(MAX((AA10-AB10)*{0.03;0.1;0.2;0.25;0.3;0.35;0.45}-{0;2520;16920;31920;52920;85920;181920},0)-AC10,2)&gt;0,ROUND(MAX((AA10-AB10)*{0.03;0.1;0.2;0.25;0.3;0.35;0.45}-{0;2520;16920;31920;52920;85920;181920},0)-AC10,2),0)</f>
        <v>498.53</v>
      </c>
      <c r="AA10" s="18">
        <f t="shared" ca="1" si="6"/>
        <v>25000</v>
      </c>
      <c r="AB10" s="18">
        <f t="shared" ca="1" si="7"/>
        <v>8382.33</v>
      </c>
      <c r="AC10" s="18">
        <f t="shared" ca="1" si="8"/>
        <v>0</v>
      </c>
      <c r="AD10" s="21"/>
      <c r="AE10" s="18"/>
      <c r="AF10" s="18">
        <f t="shared" ca="1" si="9"/>
        <v>21119.14</v>
      </c>
      <c r="AG10" s="23"/>
      <c r="AH10" s="24"/>
      <c r="AI10" s="24"/>
      <c r="AJ10" s="23"/>
      <c r="AK10" s="24"/>
      <c r="AL10" s="24"/>
      <c r="AM10" s="24"/>
      <c r="AN10" s="25"/>
      <c r="AO10" s="24"/>
    </row>
    <row r="11" spans="1:41" s="2" customFormat="1" hidden="1" x14ac:dyDescent="0.15">
      <c r="A11" s="9">
        <v>9</v>
      </c>
      <c r="B11" s="10" t="s">
        <v>60</v>
      </c>
      <c r="C11" s="11" t="s">
        <v>61</v>
      </c>
      <c r="D11" s="11" t="s">
        <v>62</v>
      </c>
      <c r="E11" s="12">
        <v>21</v>
      </c>
      <c r="F11" s="13">
        <f t="shared" si="0"/>
        <v>21</v>
      </c>
      <c r="G11" s="14">
        <v>30000</v>
      </c>
      <c r="H11" s="14"/>
      <c r="I11" s="17"/>
      <c r="J11" s="18"/>
      <c r="K11" s="18"/>
      <c r="L11" s="18">
        <f t="shared" si="1"/>
        <v>0</v>
      </c>
      <c r="M11" s="18">
        <f t="shared" si="2"/>
        <v>0</v>
      </c>
      <c r="N11" s="19"/>
      <c r="O11" s="19">
        <f t="shared" si="4"/>
        <v>30000</v>
      </c>
      <c r="P11" s="18">
        <v>270.95999999999998</v>
      </c>
      <c r="Q11" s="18">
        <v>104.6</v>
      </c>
      <c r="R11" s="18">
        <v>0</v>
      </c>
      <c r="S11" s="18">
        <v>3600</v>
      </c>
      <c r="T11" s="18"/>
      <c r="U11" s="18"/>
      <c r="V11" s="18"/>
      <c r="W11" s="18"/>
      <c r="X11" s="18"/>
      <c r="Y11" s="18">
        <f t="shared" si="5"/>
        <v>8975.56</v>
      </c>
      <c r="Z11" s="18">
        <f ca="1">IF(ROUND(MAX((AA11-AB11)*{0.03;0.1;0.2;0.25;0.3;0.35;0.45}-{0;2520;16920;31920;52920;85920;181920},0)-AC11,2)&gt;0,ROUND(MAX((AA11-AB11)*{0.03;0.1;0.2;0.25;0.3;0.35;0.45}-{0;2520;16920;31920;52920;85920;181920},0)-AC11,2),0)</f>
        <v>630.73</v>
      </c>
      <c r="AA11" s="18">
        <f t="shared" ca="1" si="6"/>
        <v>30000</v>
      </c>
      <c r="AB11" s="18">
        <f t="shared" ca="1" si="7"/>
        <v>8975.56</v>
      </c>
      <c r="AC11" s="18">
        <f t="shared" ca="1" si="8"/>
        <v>0</v>
      </c>
      <c r="AD11" s="21"/>
      <c r="AE11" s="18"/>
      <c r="AF11" s="18">
        <f t="shared" ca="1" si="9"/>
        <v>25393.71</v>
      </c>
      <c r="AG11" s="23"/>
      <c r="AH11" s="24"/>
      <c r="AI11" s="24"/>
      <c r="AJ11" s="23"/>
      <c r="AK11" s="24"/>
      <c r="AL11" s="24"/>
      <c r="AM11" s="24"/>
      <c r="AN11" s="25"/>
      <c r="AO11" s="24"/>
    </row>
    <row r="12" spans="1:41" s="2" customFormat="1" hidden="1" x14ac:dyDescent="0.15">
      <c r="A12" s="9">
        <v>10</v>
      </c>
      <c r="B12" s="10" t="s">
        <v>63</v>
      </c>
      <c r="C12" s="11" t="s">
        <v>64</v>
      </c>
      <c r="D12" s="11" t="s">
        <v>65</v>
      </c>
      <c r="E12" s="12">
        <v>21</v>
      </c>
      <c r="F12" s="13">
        <f t="shared" si="0"/>
        <v>21</v>
      </c>
      <c r="G12" s="14">
        <v>40000</v>
      </c>
      <c r="H12" s="14"/>
      <c r="I12" s="17"/>
      <c r="J12" s="18"/>
      <c r="K12" s="18"/>
      <c r="L12" s="18">
        <f t="shared" si="1"/>
        <v>0</v>
      </c>
      <c r="M12" s="18">
        <f t="shared" si="2"/>
        <v>0</v>
      </c>
      <c r="N12" s="19"/>
      <c r="O12" s="19">
        <f t="shared" si="4"/>
        <v>40000</v>
      </c>
      <c r="P12" s="18">
        <v>270.95999999999998</v>
      </c>
      <c r="Q12" s="18">
        <v>104.6</v>
      </c>
      <c r="R12" s="18">
        <v>6.77</v>
      </c>
      <c r="S12" s="18">
        <v>4800</v>
      </c>
      <c r="T12" s="18"/>
      <c r="U12" s="18">
        <v>1000</v>
      </c>
      <c r="V12" s="18"/>
      <c r="W12" s="18">
        <v>1000</v>
      </c>
      <c r="X12" s="18"/>
      <c r="Y12" s="18">
        <f t="shared" si="5"/>
        <v>10182.33</v>
      </c>
      <c r="Z12" s="18">
        <f ca="1">IF(ROUND(MAX((AA12-AB12)*{0.03;0.1;0.2;0.25;0.3;0.35;0.45}-{0;2520;16920;31920;52920;85920;181920},0)-AC12,2)&gt;0,ROUND(MAX((AA12-AB12)*{0.03;0.1;0.2;0.25;0.3;0.35;0.45}-{0;2520;16920;31920;52920;85920;181920},0)-AC12,2),0)</f>
        <v>834.53</v>
      </c>
      <c r="AA12" s="18">
        <f t="shared" ca="1" si="6"/>
        <v>40000</v>
      </c>
      <c r="AB12" s="18">
        <f t="shared" ca="1" si="7"/>
        <v>12182.33</v>
      </c>
      <c r="AC12" s="18">
        <f t="shared" ca="1" si="8"/>
        <v>0</v>
      </c>
      <c r="AD12" s="21"/>
      <c r="AE12" s="18"/>
      <c r="AF12" s="18">
        <f t="shared" ca="1" si="9"/>
        <v>33983.14</v>
      </c>
      <c r="AG12" s="23"/>
      <c r="AH12" s="24"/>
      <c r="AI12" s="24"/>
      <c r="AJ12" s="23"/>
      <c r="AK12" s="24"/>
      <c r="AL12" s="24"/>
      <c r="AM12" s="24"/>
      <c r="AN12" s="25"/>
      <c r="AO12" s="24"/>
    </row>
    <row r="13" spans="1:41" s="3" customFormat="1" ht="13.5" customHeight="1" x14ac:dyDescent="0.15">
      <c r="A13" s="32" t="s">
        <v>66</v>
      </c>
      <c r="B13" s="33"/>
      <c r="C13" s="33"/>
      <c r="D13" s="34"/>
      <c r="E13" s="15"/>
      <c r="F13" s="15"/>
      <c r="G13" s="15">
        <f t="shared" ref="G13:AF13" si="10">SUM(G3:G12)</f>
        <v>184000</v>
      </c>
      <c r="H13" s="15">
        <f t="shared" si="10"/>
        <v>0</v>
      </c>
      <c r="I13" s="15">
        <f t="shared" si="10"/>
        <v>2100</v>
      </c>
      <c r="J13" s="15">
        <f t="shared" si="10"/>
        <v>0</v>
      </c>
      <c r="K13" s="15">
        <f t="shared" si="10"/>
        <v>0</v>
      </c>
      <c r="L13" s="15">
        <f t="shared" si="10"/>
        <v>0</v>
      </c>
      <c r="M13" s="15">
        <f t="shared" si="10"/>
        <v>0</v>
      </c>
      <c r="N13" s="15">
        <f t="shared" si="10"/>
        <v>0</v>
      </c>
      <c r="O13" s="15">
        <f t="shared" si="10"/>
        <v>186100</v>
      </c>
      <c r="P13" s="15">
        <f t="shared" si="10"/>
        <v>2709.6</v>
      </c>
      <c r="Q13" s="15">
        <f t="shared" si="10"/>
        <v>1046</v>
      </c>
      <c r="R13" s="15">
        <f t="shared" si="10"/>
        <v>54.159999999999982</v>
      </c>
      <c r="S13" s="15">
        <f t="shared" si="10"/>
        <v>22080</v>
      </c>
      <c r="T13" s="15">
        <f t="shared" si="10"/>
        <v>1000</v>
      </c>
      <c r="U13" s="15">
        <f t="shared" si="10"/>
        <v>1000</v>
      </c>
      <c r="V13" s="15">
        <f t="shared" si="10"/>
        <v>0</v>
      </c>
      <c r="W13" s="15">
        <f t="shared" si="10"/>
        <v>1000</v>
      </c>
      <c r="X13" s="15">
        <f t="shared" si="10"/>
        <v>400</v>
      </c>
      <c r="Y13" s="15">
        <f t="shared" si="10"/>
        <v>75889.760000000009</v>
      </c>
      <c r="Z13" s="15">
        <f t="shared" ca="1" si="10"/>
        <v>3236.7699999999995</v>
      </c>
      <c r="AA13" s="15">
        <f t="shared" ca="1" si="10"/>
        <v>186100</v>
      </c>
      <c r="AB13" s="15">
        <f t="shared" ca="1" si="10"/>
        <v>79289.760000000009</v>
      </c>
      <c r="AC13" s="15">
        <f t="shared" ca="1" si="10"/>
        <v>0</v>
      </c>
      <c r="AD13" s="15">
        <f t="shared" si="10"/>
        <v>38</v>
      </c>
      <c r="AE13" s="15">
        <f t="shared" si="10"/>
        <v>490</v>
      </c>
      <c r="AF13" s="15">
        <f t="shared" ca="1" si="10"/>
        <v>157425.47000000003</v>
      </c>
      <c r="AG13" s="15"/>
      <c r="AH13" s="15"/>
      <c r="AI13" s="15"/>
      <c r="AJ13" s="26"/>
      <c r="AK13" s="15"/>
      <c r="AL13" s="15"/>
      <c r="AM13" s="15"/>
      <c r="AN13" s="15"/>
      <c r="AO13" s="15"/>
    </row>
  </sheetData>
  <autoFilter ref="A2:AO13"/>
  <mergeCells count="1">
    <mergeCell ref="A13:D13"/>
  </mergeCells>
  <phoneticPr fontId="1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3"/>
  <sheetViews>
    <sheetView workbookViewId="0">
      <pane xSplit="2" ySplit="2" topLeftCell="Q3" activePane="bottomRight" state="frozen"/>
      <selection pane="topRight"/>
      <selection pane="bottomLeft"/>
      <selection pane="bottomRight" activeCell="AF5" sqref="AF5"/>
    </sheetView>
  </sheetViews>
  <sheetFormatPr baseColWidth="10" defaultColWidth="9" defaultRowHeight="14" outlineLevelCol="1" x14ac:dyDescent="0.15"/>
  <cols>
    <col min="1" max="1" width="5.33203125" style="4" customWidth="1"/>
    <col min="2" max="2" width="9" style="5" customWidth="1"/>
    <col min="3" max="3" width="11.1640625" style="5" customWidth="1"/>
    <col min="4" max="4" width="13" style="5" customWidth="1"/>
    <col min="5" max="5" width="6.83203125" style="5" customWidth="1" outlineLevel="1"/>
    <col min="6" max="6" width="6.33203125" style="5" customWidth="1" outlineLevel="1"/>
    <col min="7" max="7" width="14.1640625" style="5" customWidth="1" outlineLevel="1"/>
    <col min="8" max="8" width="12.5" style="5" customWidth="1" outlineLevel="1"/>
    <col min="9" max="9" width="11.1640625" style="5" customWidth="1" outlineLevel="1"/>
    <col min="10" max="11" width="12.5" style="5" customWidth="1" outlineLevel="1"/>
    <col min="12" max="13" width="14.1640625" style="5" customWidth="1" outlineLevel="1"/>
    <col min="14" max="14" width="12.5" style="5" customWidth="1" outlineLevel="1"/>
    <col min="15" max="15" width="14.1640625" style="5" customWidth="1"/>
    <col min="16" max="17" width="11.1640625" style="5" customWidth="1" outlineLevel="1"/>
    <col min="18" max="18" width="9" style="5" customWidth="1" outlineLevel="1"/>
    <col min="19" max="19" width="12.1640625" style="5" customWidth="1" outlineLevel="1"/>
    <col min="20" max="24" width="12.5" style="5" customWidth="1" outlineLevel="1"/>
    <col min="25" max="25" width="12.1640625" style="5" customWidth="1" outlineLevel="1"/>
    <col min="26" max="26" width="14.1640625" style="5" customWidth="1"/>
    <col min="27" max="28" width="14.1640625" style="5" customWidth="1" outlineLevel="1"/>
    <col min="29" max="29" width="17.33203125" style="5" customWidth="1" outlineLevel="1"/>
    <col min="30" max="31" width="12.5" style="5" customWidth="1" outlineLevel="1"/>
    <col min="32" max="32" width="14.1640625" style="5" customWidth="1"/>
    <col min="33" max="33" width="9" style="5" customWidth="1"/>
    <col min="34" max="34" width="19" style="5" customWidth="1"/>
    <col min="35" max="35" width="18" style="5" customWidth="1" outlineLevel="1"/>
    <col min="36" max="36" width="12.5" style="6" customWidth="1" outlineLevel="1"/>
    <col min="37" max="39" width="9" style="5" customWidth="1" outlineLevel="1"/>
    <col min="40" max="40" width="12.5" style="7" customWidth="1" outlineLevel="1"/>
    <col min="41" max="41" width="9" style="5" customWidth="1" outlineLevel="1"/>
    <col min="42" max="16384" width="9" style="5"/>
  </cols>
  <sheetData>
    <row r="1" spans="1:41" x14ac:dyDescent="0.15">
      <c r="Z1" s="20">
        <v>2</v>
      </c>
    </row>
    <row r="2" spans="1:41" s="1" customFormat="1" ht="24" customHeight="1" x14ac:dyDescent="0.1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16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16" t="s">
        <v>24</v>
      </c>
      <c r="Z2" s="16" t="s">
        <v>25</v>
      </c>
      <c r="AA2" s="16" t="s">
        <v>26</v>
      </c>
      <c r="AB2" s="16" t="s">
        <v>27</v>
      </c>
      <c r="AC2" s="16" t="s">
        <v>28</v>
      </c>
      <c r="AD2" s="8" t="s">
        <v>29</v>
      </c>
      <c r="AE2" s="8" t="s">
        <v>30</v>
      </c>
      <c r="AF2" s="16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22" t="s">
        <v>39</v>
      </c>
      <c r="AO2" s="8" t="s">
        <v>40</v>
      </c>
    </row>
    <row r="3" spans="1:41" s="2" customFormat="1" x14ac:dyDescent="0.15">
      <c r="A3" s="9">
        <v>1</v>
      </c>
      <c r="B3" s="27" t="s">
        <v>67</v>
      </c>
      <c r="C3" s="10" t="s">
        <v>41</v>
      </c>
      <c r="D3" s="11" t="s">
        <v>42</v>
      </c>
      <c r="E3" s="12">
        <v>21</v>
      </c>
      <c r="F3" s="13">
        <f t="shared" ref="F3:F12" si="0">21</f>
        <v>21</v>
      </c>
      <c r="G3" s="14">
        <f>6000</f>
        <v>6000</v>
      </c>
      <c r="H3" s="14"/>
      <c r="I3" s="17">
        <f>F3*20</f>
        <v>420</v>
      </c>
      <c r="J3" s="18"/>
      <c r="K3" s="18"/>
      <c r="L3" s="18">
        <f t="shared" ref="L3:L12" si="1">E3-F3</f>
        <v>0</v>
      </c>
      <c r="M3" s="18">
        <f t="shared" ref="M3:M12" si="2">G3/21.75*L3</f>
        <v>0</v>
      </c>
      <c r="N3" s="19"/>
      <c r="O3" s="19">
        <f>ROUND(SUM(G3:K3)-M3-N3,2)</f>
        <v>6420</v>
      </c>
      <c r="P3" s="18">
        <v>270.95999999999998</v>
      </c>
      <c r="Q3" s="18">
        <v>104.6</v>
      </c>
      <c r="R3" s="18">
        <v>6.77</v>
      </c>
      <c r="S3" s="18">
        <v>720</v>
      </c>
      <c r="T3" s="18">
        <v>2000</v>
      </c>
      <c r="U3" s="18"/>
      <c r="V3" s="18"/>
      <c r="W3" s="18"/>
      <c r="X3" s="18">
        <v>800</v>
      </c>
      <c r="Y3" s="18">
        <f>ROUND(SUM(P3:S3)+5000,2)</f>
        <v>6102.33</v>
      </c>
      <c r="Z3" s="18">
        <f ca="1">IF(ROUND(MAX((AA3-AB3)*{0.03;0.1;0.2;0.25;0.3;0.35;0.45}-{0;2520;16920;31920;52920;85920;181920},0)-AC3,2)&gt;0,ROUND(MAX((AA3-AB3)*{0.03;0.1;0.2;0.25;0.3;0.35;0.45}-{0;2520;16920;31920;52920;85920;181920},0)-AC3,2),0)</f>
        <v>0</v>
      </c>
      <c r="AA3" s="18">
        <f ca="1">SUMPRODUCT(SUMIF(INDIRECT(ROW(INDIRECT("1:"&amp;$Z$1))&amp;"月!B:B"),$B3,INDIRECT(ROW(INDIRECT("1:"&amp;$Z$1))&amp;"月!O:O")))</f>
        <v>12840</v>
      </c>
      <c r="AB3" s="18">
        <f ca="1">SUMPRODUCT(SUMIF(INDIRECT(ROW(INDIRECT("1:"&amp;$Z$1))&amp;"月!B:B"),$B3,INDIRECT(ROW(INDIRECT("1:"&amp;$Z$1))&amp;"月!Y:Y")))+SUM(T3:X3)</f>
        <v>15004.66</v>
      </c>
      <c r="AC3" s="18">
        <f ca="1">IF($Z$1=1,0,SUMPRODUCT(SUMIF(INDIRECT(ROW(INDIRECT("1:"&amp;$Z$1-1))&amp;"月!B:B"),$B3,INDIRECT(ROW(INDIRECT("1:"&amp;$Z$1-1))&amp;"月!Z:Z"))))</f>
        <v>0</v>
      </c>
      <c r="AD3" s="21"/>
      <c r="AE3" s="18">
        <v>98</v>
      </c>
      <c r="AF3" s="18">
        <f ca="1">ROUND(O3-P3-Q3-R3-S3-Z3-AD3+AE3,2)</f>
        <v>5415.67</v>
      </c>
      <c r="AG3" s="23"/>
      <c r="AH3" s="24"/>
      <c r="AI3" s="24"/>
      <c r="AJ3" s="23"/>
      <c r="AK3" s="24"/>
      <c r="AL3" s="24"/>
      <c r="AM3" s="24"/>
      <c r="AN3" s="25"/>
      <c r="AO3" s="24"/>
    </row>
    <row r="4" spans="1:41" s="2" customFormat="1" x14ac:dyDescent="0.15">
      <c r="A4" s="9">
        <v>2</v>
      </c>
      <c r="B4" s="28" t="s">
        <v>68</v>
      </c>
      <c r="C4" s="10" t="s">
        <v>43</v>
      </c>
      <c r="D4" s="11" t="s">
        <v>44</v>
      </c>
      <c r="E4" s="12">
        <v>21</v>
      </c>
      <c r="F4" s="13">
        <f t="shared" si="0"/>
        <v>21</v>
      </c>
      <c r="G4" s="14">
        <v>8000</v>
      </c>
      <c r="H4" s="14"/>
      <c r="I4" s="17">
        <f t="shared" ref="I4:I7" si="3">F4*20</f>
        <v>420</v>
      </c>
      <c r="J4" s="18"/>
      <c r="K4" s="18"/>
      <c r="L4" s="18">
        <f t="shared" si="1"/>
        <v>0</v>
      </c>
      <c r="M4" s="18">
        <f t="shared" si="2"/>
        <v>0</v>
      </c>
      <c r="N4" s="19"/>
      <c r="O4" s="19">
        <f t="shared" ref="O4:O12" si="4">ROUND(SUM(G4:K4)-M4-N4,2)</f>
        <v>8420</v>
      </c>
      <c r="P4" s="18">
        <v>270.95999999999998</v>
      </c>
      <c r="Q4" s="18">
        <v>104.6</v>
      </c>
      <c r="R4" s="18">
        <v>6.77</v>
      </c>
      <c r="S4" s="18">
        <v>960</v>
      </c>
      <c r="T4" s="18"/>
      <c r="U4" s="18"/>
      <c r="V4" s="18"/>
      <c r="W4" s="18"/>
      <c r="X4" s="18"/>
      <c r="Y4" s="18">
        <f t="shared" ref="Y4:Y12" si="5">ROUND(SUM(P4:S4)+5000,2)</f>
        <v>6342.33</v>
      </c>
      <c r="Z4" s="18">
        <f ca="1">IF(ROUND(MAX((AA4-AB4)*{0.03;0.1;0.2;0.25;0.3;0.35;0.45}-{0;2520;16920;31920;52920;85920;181920},0)-AC4,2)&gt;0,ROUND(MAX((AA4-AB4)*{0.03;0.1;0.2;0.25;0.3;0.35;0.45}-{0;2520;16920;31920;52920;85920;181920},0)-AC4,2),0)</f>
        <v>62.33</v>
      </c>
      <c r="AA4" s="18">
        <f t="shared" ref="AA4:AA12" ca="1" si="6">SUMPRODUCT(SUMIF(INDIRECT(ROW(INDIRECT("1:"&amp;$Z$1))&amp;"月!B:B"),$B4,INDIRECT(ROW(INDIRECT("1:"&amp;$Z$1))&amp;"月!O:O")))</f>
        <v>16840</v>
      </c>
      <c r="AB4" s="18">
        <f t="shared" ref="AB4:AB12" ca="1" si="7">SUMPRODUCT(SUMIF(INDIRECT(ROW(INDIRECT("1:"&amp;$Z$1))&amp;"月!B:B"),$B4,INDIRECT(ROW(INDIRECT("1:"&amp;$Z$1))&amp;"月!Y:Y")))+SUM(T4:X4)</f>
        <v>12684.66</v>
      </c>
      <c r="AC4" s="18">
        <f t="shared" ref="AC4:AC12" ca="1" si="8">IF($Z$1=1,0,SUMPRODUCT(SUMIF(INDIRECT(ROW(INDIRECT("1:"&amp;$Z$1-1))&amp;"月!B:B"),$B4,INDIRECT(ROW(INDIRECT("1:"&amp;$Z$1-1))&amp;"月!Z:Z"))))</f>
        <v>62.33</v>
      </c>
      <c r="AD4" s="21"/>
      <c r="AE4" s="18">
        <v>98</v>
      </c>
      <c r="AF4" s="18">
        <f t="shared" ref="AF4:AF12" ca="1" si="9">ROUND(O4-P4-Q4-R4-S4-Z4-AD4+AE4,2)</f>
        <v>7113.34</v>
      </c>
      <c r="AG4" s="23"/>
      <c r="AH4" s="24"/>
      <c r="AI4" s="24"/>
      <c r="AJ4" s="23"/>
      <c r="AK4" s="24"/>
      <c r="AL4" s="24"/>
      <c r="AM4" s="24"/>
      <c r="AN4" s="25"/>
      <c r="AO4" s="24"/>
    </row>
    <row r="5" spans="1:41" s="2" customFormat="1" x14ac:dyDescent="0.15">
      <c r="A5" s="9">
        <v>3</v>
      </c>
      <c r="B5" s="29" t="s">
        <v>69</v>
      </c>
      <c r="C5" s="10" t="s">
        <v>45</v>
      </c>
      <c r="D5" s="11" t="s">
        <v>46</v>
      </c>
      <c r="E5" s="12">
        <v>21</v>
      </c>
      <c r="F5" s="13">
        <f t="shared" si="0"/>
        <v>21</v>
      </c>
      <c r="G5" s="14">
        <v>10000</v>
      </c>
      <c r="H5" s="14"/>
      <c r="I5" s="17">
        <f t="shared" si="3"/>
        <v>420</v>
      </c>
      <c r="J5" s="18"/>
      <c r="K5" s="18"/>
      <c r="L5" s="18">
        <f t="shared" si="1"/>
        <v>0</v>
      </c>
      <c r="M5" s="18">
        <f t="shared" si="2"/>
        <v>0</v>
      </c>
      <c r="N5" s="19"/>
      <c r="O5" s="19">
        <f t="shared" si="4"/>
        <v>10420</v>
      </c>
      <c r="P5" s="18">
        <v>270.95999999999998</v>
      </c>
      <c r="Q5" s="18">
        <v>104.6</v>
      </c>
      <c r="R5" s="18">
        <v>6.77</v>
      </c>
      <c r="S5" s="18">
        <v>1200</v>
      </c>
      <c r="T5" s="18"/>
      <c r="U5" s="18"/>
      <c r="V5" s="18"/>
      <c r="W5" s="18"/>
      <c r="X5" s="18"/>
      <c r="Y5" s="18">
        <f t="shared" si="5"/>
        <v>6582.33</v>
      </c>
      <c r="Z5" s="18">
        <f ca="1">IF(ROUND(MAX((AA5-AB5)*{0.03;0.1;0.2;0.25;0.3;0.35;0.45}-{0;2520;16920;31920;52920;85920;181920},0)-AC5,2)&gt;0,ROUND(MAX((AA5-AB5)*{0.03;0.1;0.2;0.25;0.3;0.35;0.45}-{0;2520;16920;31920;52920;85920;181920},0)-AC5,2),0)</f>
        <v>115.13</v>
      </c>
      <c r="AA5" s="18">
        <f t="shared" ca="1" si="6"/>
        <v>20840</v>
      </c>
      <c r="AB5" s="18">
        <f t="shared" ca="1" si="7"/>
        <v>13164.66</v>
      </c>
      <c r="AC5" s="18">
        <f t="shared" ca="1" si="8"/>
        <v>115.13</v>
      </c>
      <c r="AD5" s="21">
        <v>38</v>
      </c>
      <c r="AE5" s="18">
        <v>98</v>
      </c>
      <c r="AF5" s="18">
        <f t="shared" ca="1" si="9"/>
        <v>8782.5400000000009</v>
      </c>
      <c r="AG5" s="23"/>
      <c r="AH5" s="24"/>
      <c r="AI5" s="24"/>
      <c r="AJ5" s="23"/>
      <c r="AK5" s="24"/>
      <c r="AL5" s="24"/>
      <c r="AM5" s="24"/>
      <c r="AN5" s="25"/>
      <c r="AO5" s="24"/>
    </row>
    <row r="6" spans="1:41" s="2" customFormat="1" x14ac:dyDescent="0.15">
      <c r="A6" s="9">
        <v>4</v>
      </c>
      <c r="B6" s="30" t="s">
        <v>70</v>
      </c>
      <c r="C6" s="10" t="s">
        <v>47</v>
      </c>
      <c r="D6" s="11" t="s">
        <v>48</v>
      </c>
      <c r="E6" s="12">
        <v>21</v>
      </c>
      <c r="F6" s="13">
        <f t="shared" si="0"/>
        <v>21</v>
      </c>
      <c r="G6" s="14">
        <v>12000</v>
      </c>
      <c r="H6" s="14"/>
      <c r="I6" s="17">
        <f t="shared" si="3"/>
        <v>420</v>
      </c>
      <c r="J6" s="18"/>
      <c r="K6" s="18"/>
      <c r="L6" s="18">
        <f t="shared" si="1"/>
        <v>0</v>
      </c>
      <c r="M6" s="18">
        <f t="shared" si="2"/>
        <v>0</v>
      </c>
      <c r="N6" s="19"/>
      <c r="O6" s="19">
        <f t="shared" si="4"/>
        <v>12420</v>
      </c>
      <c r="P6" s="18">
        <v>270.95999999999998</v>
      </c>
      <c r="Q6" s="18">
        <v>104.6</v>
      </c>
      <c r="R6" s="18">
        <v>0</v>
      </c>
      <c r="S6" s="18">
        <v>1440</v>
      </c>
      <c r="T6" s="18"/>
      <c r="U6" s="18"/>
      <c r="V6" s="18"/>
      <c r="W6" s="18"/>
      <c r="X6" s="18"/>
      <c r="Y6" s="18">
        <f t="shared" si="5"/>
        <v>6815.56</v>
      </c>
      <c r="Z6" s="18">
        <f ca="1">IF(ROUND(MAX((AA6-AB6)*{0.03;0.1;0.2;0.25;0.3;0.35;0.45}-{0;2520;16920;31920;52920;85920;181920},0)-AC6,2)&gt;0,ROUND(MAX((AA6-AB6)*{0.03;0.1;0.2;0.25;0.3;0.35;0.45}-{0;2520;16920;31920;52920;85920;181920},0)-AC6,2),0)</f>
        <v>168.14</v>
      </c>
      <c r="AA6" s="18">
        <f t="shared" ca="1" si="6"/>
        <v>24840</v>
      </c>
      <c r="AB6" s="18">
        <f t="shared" ca="1" si="7"/>
        <v>13631.12</v>
      </c>
      <c r="AC6" s="18">
        <f t="shared" ca="1" si="8"/>
        <v>168.13</v>
      </c>
      <c r="AD6" s="21"/>
      <c r="AE6" s="18">
        <v>98</v>
      </c>
      <c r="AF6" s="18">
        <f t="shared" ca="1" si="9"/>
        <v>10534.3</v>
      </c>
      <c r="AG6" s="23"/>
      <c r="AH6" s="24"/>
      <c r="AI6" s="24"/>
      <c r="AJ6" s="23"/>
      <c r="AK6" s="24"/>
      <c r="AL6" s="24"/>
      <c r="AM6" s="24"/>
      <c r="AN6" s="25"/>
      <c r="AO6" s="24"/>
    </row>
    <row r="7" spans="1:41" s="2" customFormat="1" x14ac:dyDescent="0.15">
      <c r="A7" s="9">
        <v>5</v>
      </c>
      <c r="B7" s="31" t="s">
        <v>71</v>
      </c>
      <c r="C7" s="10" t="s">
        <v>49</v>
      </c>
      <c r="D7" s="11" t="s">
        <v>50</v>
      </c>
      <c r="E7" s="12">
        <v>21</v>
      </c>
      <c r="F7" s="13">
        <f t="shared" si="0"/>
        <v>21</v>
      </c>
      <c r="G7" s="14">
        <v>15000</v>
      </c>
      <c r="H7" s="14"/>
      <c r="I7" s="17">
        <f t="shared" si="3"/>
        <v>420</v>
      </c>
      <c r="J7" s="18"/>
      <c r="K7" s="18"/>
      <c r="L7" s="18">
        <f t="shared" si="1"/>
        <v>0</v>
      </c>
      <c r="M7" s="18">
        <f t="shared" si="2"/>
        <v>0</v>
      </c>
      <c r="N7" s="19"/>
      <c r="O7" s="19">
        <f t="shared" si="4"/>
        <v>15420</v>
      </c>
      <c r="P7" s="18">
        <v>270.95999999999998</v>
      </c>
      <c r="Q7" s="18">
        <v>104.6</v>
      </c>
      <c r="R7" s="18">
        <v>6.77</v>
      </c>
      <c r="S7" s="18">
        <v>1800</v>
      </c>
      <c r="T7" s="18"/>
      <c r="U7" s="18"/>
      <c r="V7" s="18"/>
      <c r="W7" s="18"/>
      <c r="X7" s="18"/>
      <c r="Y7" s="18">
        <f t="shared" si="5"/>
        <v>7182.33</v>
      </c>
      <c r="Z7" s="18">
        <f ca="1">IF(ROUND(MAX((AA7-AB7)*{0.03;0.1;0.2;0.25;0.3;0.35;0.45}-{0;2520;16920;31920;52920;85920;181920},0)-AC7,2)&gt;0,ROUND(MAX((AA7-AB7)*{0.03;0.1;0.2;0.25;0.3;0.35;0.45}-{0;2520;16920;31920;52920;85920;181920},0)-AC7,2),0)</f>
        <v>247.13</v>
      </c>
      <c r="AA7" s="18">
        <f t="shared" ca="1" si="6"/>
        <v>30840</v>
      </c>
      <c r="AB7" s="18">
        <f t="shared" ca="1" si="7"/>
        <v>14364.66</v>
      </c>
      <c r="AC7" s="18">
        <f t="shared" ca="1" si="8"/>
        <v>247.13</v>
      </c>
      <c r="AD7" s="21"/>
      <c r="AE7" s="18">
        <v>98</v>
      </c>
      <c r="AF7" s="18">
        <f t="shared" ca="1" si="9"/>
        <v>13088.54</v>
      </c>
      <c r="AG7" s="23"/>
      <c r="AH7" s="24"/>
      <c r="AI7" s="24"/>
      <c r="AJ7" s="23"/>
      <c r="AK7" s="24"/>
      <c r="AL7" s="24"/>
      <c r="AM7" s="24"/>
      <c r="AN7" s="25"/>
      <c r="AO7" s="24"/>
    </row>
    <row r="8" spans="1:41" s="2" customFormat="1" hidden="1" x14ac:dyDescent="0.15">
      <c r="A8" s="9">
        <v>6</v>
      </c>
      <c r="B8" s="10" t="s">
        <v>51</v>
      </c>
      <c r="C8" s="11" t="s">
        <v>52</v>
      </c>
      <c r="D8" s="11" t="s">
        <v>53</v>
      </c>
      <c r="E8" s="12">
        <v>21</v>
      </c>
      <c r="F8" s="13">
        <f t="shared" si="0"/>
        <v>21</v>
      </c>
      <c r="G8" s="14">
        <v>18000</v>
      </c>
      <c r="H8" s="14"/>
      <c r="I8" s="17"/>
      <c r="J8" s="18"/>
      <c r="K8" s="18"/>
      <c r="L8" s="18">
        <f t="shared" si="1"/>
        <v>0</v>
      </c>
      <c r="M8" s="18">
        <f t="shared" si="2"/>
        <v>0</v>
      </c>
      <c r="N8" s="19"/>
      <c r="O8" s="19">
        <f t="shared" si="4"/>
        <v>18000</v>
      </c>
      <c r="P8" s="18">
        <v>270.95999999999998</v>
      </c>
      <c r="Q8" s="18">
        <v>104.6</v>
      </c>
      <c r="R8" s="18">
        <v>6.77</v>
      </c>
      <c r="S8" s="18">
        <v>2160</v>
      </c>
      <c r="T8" s="18"/>
      <c r="U8" s="18"/>
      <c r="V8" s="18"/>
      <c r="W8" s="18"/>
      <c r="X8" s="18"/>
      <c r="Y8" s="18">
        <f t="shared" si="5"/>
        <v>7542.33</v>
      </c>
      <c r="Z8" s="18">
        <f ca="1">IF(ROUND(MAX((AA8-AB8)*{0.03;0.1;0.2;0.25;0.3;0.35;0.45}-{0;2520;16920;31920;52920;85920;181920},0)-AC8,2)&gt;0,ROUND(MAX((AA8-AB8)*{0.03;0.1;0.2;0.25;0.3;0.35;0.45}-{0;2520;16920;31920;52920;85920;181920},0)-AC8,2),0)</f>
        <v>313.73</v>
      </c>
      <c r="AA8" s="18">
        <f t="shared" ca="1" si="6"/>
        <v>36000</v>
      </c>
      <c r="AB8" s="18">
        <f t="shared" ca="1" si="7"/>
        <v>15084.66</v>
      </c>
      <c r="AC8" s="18">
        <f t="shared" ca="1" si="8"/>
        <v>313.73</v>
      </c>
      <c r="AD8" s="21"/>
      <c r="AE8" s="18"/>
      <c r="AF8" s="18">
        <f t="shared" ca="1" si="9"/>
        <v>15143.94</v>
      </c>
      <c r="AG8" s="23"/>
      <c r="AH8" s="24"/>
      <c r="AI8" s="24"/>
      <c r="AJ8" s="23"/>
      <c r="AK8" s="24"/>
      <c r="AL8" s="24"/>
      <c r="AM8" s="24"/>
      <c r="AN8" s="25"/>
      <c r="AO8" s="24"/>
    </row>
    <row r="9" spans="1:41" s="2" customFormat="1" hidden="1" x14ac:dyDescent="0.15">
      <c r="A9" s="9">
        <v>7</v>
      </c>
      <c r="B9" s="10" t="s">
        <v>54</v>
      </c>
      <c r="C9" s="11" t="s">
        <v>55</v>
      </c>
      <c r="D9" s="11" t="s">
        <v>56</v>
      </c>
      <c r="E9" s="12">
        <v>21</v>
      </c>
      <c r="F9" s="13">
        <f t="shared" si="0"/>
        <v>21</v>
      </c>
      <c r="G9" s="14">
        <v>20000</v>
      </c>
      <c r="H9" s="14"/>
      <c r="I9" s="17"/>
      <c r="J9" s="18"/>
      <c r="K9" s="18"/>
      <c r="L9" s="18">
        <f t="shared" si="1"/>
        <v>0</v>
      </c>
      <c r="M9" s="18">
        <f t="shared" si="2"/>
        <v>0</v>
      </c>
      <c r="N9" s="19"/>
      <c r="O9" s="19">
        <f t="shared" si="4"/>
        <v>20000</v>
      </c>
      <c r="P9" s="18">
        <v>270.95999999999998</v>
      </c>
      <c r="Q9" s="18">
        <v>104.6</v>
      </c>
      <c r="R9" s="18">
        <v>6.77</v>
      </c>
      <c r="S9" s="18">
        <v>2400</v>
      </c>
      <c r="T9" s="18"/>
      <c r="U9" s="18"/>
      <c r="V9" s="18"/>
      <c r="W9" s="18"/>
      <c r="X9" s="18"/>
      <c r="Y9" s="18">
        <f t="shared" si="5"/>
        <v>7782.33</v>
      </c>
      <c r="Z9" s="18">
        <f ca="1">IF(ROUND(MAX((AA9-AB9)*{0.03;0.1;0.2;0.25;0.3;0.35;0.45}-{0;2520;16920;31920;52920;85920;181920},0)-AC9,2)&gt;0,ROUND(MAX((AA9-AB9)*{0.03;0.1;0.2;0.25;0.3;0.35;0.45}-{0;2520;16920;31920;52920;85920;181920},0)-AC9,2),0)</f>
        <v>366.53</v>
      </c>
      <c r="AA9" s="18">
        <f t="shared" ca="1" si="6"/>
        <v>40000</v>
      </c>
      <c r="AB9" s="18">
        <f t="shared" ca="1" si="7"/>
        <v>15564.66</v>
      </c>
      <c r="AC9" s="18">
        <f t="shared" ca="1" si="8"/>
        <v>366.53</v>
      </c>
      <c r="AD9" s="21"/>
      <c r="AE9" s="18"/>
      <c r="AF9" s="18">
        <f t="shared" ca="1" si="9"/>
        <v>16851.14</v>
      </c>
      <c r="AG9" s="23"/>
      <c r="AH9" s="24"/>
      <c r="AI9" s="24"/>
      <c r="AJ9" s="23"/>
      <c r="AK9" s="24"/>
      <c r="AL9" s="24"/>
      <c r="AM9" s="24"/>
      <c r="AN9" s="25"/>
      <c r="AO9" s="24"/>
    </row>
    <row r="10" spans="1:41" s="2" customFormat="1" hidden="1" x14ac:dyDescent="0.15">
      <c r="A10" s="9">
        <v>8</v>
      </c>
      <c r="B10" s="10" t="s">
        <v>57</v>
      </c>
      <c r="C10" s="11" t="s">
        <v>58</v>
      </c>
      <c r="D10" s="11" t="s">
        <v>59</v>
      </c>
      <c r="E10" s="12">
        <v>21</v>
      </c>
      <c r="F10" s="13">
        <f t="shared" si="0"/>
        <v>21</v>
      </c>
      <c r="G10" s="14">
        <v>25000</v>
      </c>
      <c r="H10" s="14"/>
      <c r="I10" s="17"/>
      <c r="J10" s="18"/>
      <c r="K10" s="18"/>
      <c r="L10" s="18">
        <f t="shared" si="1"/>
        <v>0</v>
      </c>
      <c r="M10" s="18">
        <f t="shared" si="2"/>
        <v>0</v>
      </c>
      <c r="N10" s="19"/>
      <c r="O10" s="19">
        <f t="shared" si="4"/>
        <v>25000</v>
      </c>
      <c r="P10" s="18">
        <v>270.95999999999998</v>
      </c>
      <c r="Q10" s="18">
        <v>104.6</v>
      </c>
      <c r="R10" s="18">
        <v>6.77</v>
      </c>
      <c r="S10" s="18">
        <v>3000</v>
      </c>
      <c r="T10" s="18"/>
      <c r="U10" s="18"/>
      <c r="V10" s="18"/>
      <c r="W10" s="18"/>
      <c r="X10" s="18"/>
      <c r="Y10" s="18">
        <f t="shared" si="5"/>
        <v>8382.33</v>
      </c>
      <c r="Z10" s="18">
        <f ca="1">IF(ROUND(MAX((AA10-AB10)*{0.03;0.1;0.2;0.25;0.3;0.35;0.45}-{0;2520;16920;31920;52920;85920;181920},0)-AC10,2)&gt;0,ROUND(MAX((AA10-AB10)*{0.03;0.1;0.2;0.25;0.3;0.35;0.45}-{0;2520;16920;31920;52920;85920;181920},0)-AC10,2),0)</f>
        <v>498.53</v>
      </c>
      <c r="AA10" s="18">
        <f t="shared" ca="1" si="6"/>
        <v>50000</v>
      </c>
      <c r="AB10" s="18">
        <f t="shared" ca="1" si="7"/>
        <v>16764.66</v>
      </c>
      <c r="AC10" s="18">
        <f t="shared" ca="1" si="8"/>
        <v>498.53</v>
      </c>
      <c r="AD10" s="21"/>
      <c r="AE10" s="18"/>
      <c r="AF10" s="18">
        <f t="shared" ca="1" si="9"/>
        <v>21119.14</v>
      </c>
      <c r="AG10" s="23"/>
      <c r="AH10" s="24"/>
      <c r="AI10" s="24"/>
      <c r="AJ10" s="23"/>
      <c r="AK10" s="24"/>
      <c r="AL10" s="24"/>
      <c r="AM10" s="24"/>
      <c r="AN10" s="25"/>
      <c r="AO10" s="24"/>
    </row>
    <row r="11" spans="1:41" s="2" customFormat="1" hidden="1" x14ac:dyDescent="0.15">
      <c r="A11" s="9">
        <v>9</v>
      </c>
      <c r="B11" s="10" t="s">
        <v>60</v>
      </c>
      <c r="C11" s="11" t="s">
        <v>61</v>
      </c>
      <c r="D11" s="11" t="s">
        <v>62</v>
      </c>
      <c r="E11" s="12">
        <v>21</v>
      </c>
      <c r="F11" s="13">
        <f t="shared" si="0"/>
        <v>21</v>
      </c>
      <c r="G11" s="14">
        <v>30000</v>
      </c>
      <c r="H11" s="14"/>
      <c r="I11" s="17"/>
      <c r="J11" s="18"/>
      <c r="K11" s="18"/>
      <c r="L11" s="18">
        <f t="shared" si="1"/>
        <v>0</v>
      </c>
      <c r="M11" s="18">
        <f t="shared" si="2"/>
        <v>0</v>
      </c>
      <c r="N11" s="19"/>
      <c r="O11" s="19">
        <f t="shared" si="4"/>
        <v>30000</v>
      </c>
      <c r="P11" s="18">
        <v>270.95999999999998</v>
      </c>
      <c r="Q11" s="18">
        <v>104.6</v>
      </c>
      <c r="R11" s="18">
        <v>0</v>
      </c>
      <c r="S11" s="18">
        <v>3600</v>
      </c>
      <c r="T11" s="18"/>
      <c r="U11" s="18"/>
      <c r="V11" s="18"/>
      <c r="W11" s="18"/>
      <c r="X11" s="18"/>
      <c r="Y11" s="18">
        <f t="shared" si="5"/>
        <v>8975.56</v>
      </c>
      <c r="Z11" s="18">
        <f ca="1">IF(ROUND(MAX((AA11-AB11)*{0.03;0.1;0.2;0.25;0.3;0.35;0.45}-{0;2520;16920;31920;52920;85920;181920},0)-AC11,2)&gt;0,ROUND(MAX((AA11-AB11)*{0.03;0.1;0.2;0.25;0.3;0.35;0.45}-{0;2520;16920;31920;52920;85920;181920},0)-AC11,2),0)</f>
        <v>1054.1600000000001</v>
      </c>
      <c r="AA11" s="18">
        <f t="shared" ca="1" si="6"/>
        <v>60000</v>
      </c>
      <c r="AB11" s="18">
        <f t="shared" ca="1" si="7"/>
        <v>17951.12</v>
      </c>
      <c r="AC11" s="18">
        <f t="shared" ca="1" si="8"/>
        <v>630.73</v>
      </c>
      <c r="AD11" s="21"/>
      <c r="AE11" s="18"/>
      <c r="AF11" s="18">
        <f t="shared" ca="1" si="9"/>
        <v>24970.28</v>
      </c>
      <c r="AG11" s="23"/>
      <c r="AH11" s="24"/>
      <c r="AI11" s="24"/>
      <c r="AJ11" s="23"/>
      <c r="AK11" s="24"/>
      <c r="AL11" s="24"/>
      <c r="AM11" s="24"/>
      <c r="AN11" s="25"/>
      <c r="AO11" s="24"/>
    </row>
    <row r="12" spans="1:41" s="2" customFormat="1" hidden="1" x14ac:dyDescent="0.15">
      <c r="A12" s="9">
        <v>10</v>
      </c>
      <c r="B12" s="10" t="s">
        <v>63</v>
      </c>
      <c r="C12" s="11" t="s">
        <v>64</v>
      </c>
      <c r="D12" s="11" t="s">
        <v>65</v>
      </c>
      <c r="E12" s="12">
        <v>21</v>
      </c>
      <c r="F12" s="13">
        <f t="shared" si="0"/>
        <v>21</v>
      </c>
      <c r="G12" s="14">
        <v>40000</v>
      </c>
      <c r="H12" s="14"/>
      <c r="I12" s="17"/>
      <c r="J12" s="18"/>
      <c r="K12" s="18"/>
      <c r="L12" s="18">
        <f t="shared" si="1"/>
        <v>0</v>
      </c>
      <c r="M12" s="18">
        <f t="shared" si="2"/>
        <v>0</v>
      </c>
      <c r="N12" s="19"/>
      <c r="O12" s="19">
        <f t="shared" si="4"/>
        <v>40000</v>
      </c>
      <c r="P12" s="18">
        <v>270.95999999999998</v>
      </c>
      <c r="Q12" s="18">
        <v>104.6</v>
      </c>
      <c r="R12" s="18">
        <v>6.77</v>
      </c>
      <c r="S12" s="18">
        <v>4800</v>
      </c>
      <c r="T12" s="18"/>
      <c r="U12" s="18">
        <v>2000</v>
      </c>
      <c r="V12" s="18"/>
      <c r="W12" s="18">
        <v>2000</v>
      </c>
      <c r="X12" s="18"/>
      <c r="Y12" s="18">
        <f t="shared" si="5"/>
        <v>10182.33</v>
      </c>
      <c r="Z12" s="18">
        <f ca="1">IF(ROUND(MAX((AA12-AB12)*{0.03;0.1;0.2;0.25;0.3;0.35;0.45}-{0;2520;16920;31920;52920;85920;181920},0)-AC12,2)&gt;0,ROUND(MAX((AA12-AB12)*{0.03;0.1;0.2;0.25;0.3;0.35;0.45}-{0;2520;16920;31920;52920;85920;181920},0)-AC12,2),0)</f>
        <v>2209</v>
      </c>
      <c r="AA12" s="18">
        <f t="shared" ca="1" si="6"/>
        <v>80000</v>
      </c>
      <c r="AB12" s="18">
        <f t="shared" ca="1" si="7"/>
        <v>24364.66</v>
      </c>
      <c r="AC12" s="18">
        <f t="shared" ca="1" si="8"/>
        <v>834.53</v>
      </c>
      <c r="AD12" s="21"/>
      <c r="AE12" s="18"/>
      <c r="AF12" s="18">
        <f t="shared" ca="1" si="9"/>
        <v>32608.67</v>
      </c>
      <c r="AG12" s="23"/>
      <c r="AH12" s="24"/>
      <c r="AI12" s="24"/>
      <c r="AJ12" s="23"/>
      <c r="AK12" s="24"/>
      <c r="AL12" s="24"/>
      <c r="AM12" s="24"/>
      <c r="AN12" s="25"/>
      <c r="AO12" s="24"/>
    </row>
    <row r="13" spans="1:41" s="3" customFormat="1" ht="13.5" customHeight="1" x14ac:dyDescent="0.15">
      <c r="A13" s="32" t="s">
        <v>66</v>
      </c>
      <c r="B13" s="33"/>
      <c r="C13" s="33"/>
      <c r="D13" s="34"/>
      <c r="E13" s="15"/>
      <c r="F13" s="15"/>
      <c r="G13" s="15">
        <f t="shared" ref="G13:AF13" si="10">SUM(G3:G12)</f>
        <v>184000</v>
      </c>
      <c r="H13" s="15">
        <f t="shared" si="10"/>
        <v>0</v>
      </c>
      <c r="I13" s="15">
        <f t="shared" si="10"/>
        <v>2100</v>
      </c>
      <c r="J13" s="15">
        <f t="shared" si="10"/>
        <v>0</v>
      </c>
      <c r="K13" s="15">
        <f t="shared" si="10"/>
        <v>0</v>
      </c>
      <c r="L13" s="15">
        <f t="shared" si="10"/>
        <v>0</v>
      </c>
      <c r="M13" s="15">
        <f t="shared" si="10"/>
        <v>0</v>
      </c>
      <c r="N13" s="15">
        <f t="shared" si="10"/>
        <v>0</v>
      </c>
      <c r="O13" s="15">
        <f t="shared" si="10"/>
        <v>186100</v>
      </c>
      <c r="P13" s="15">
        <f t="shared" si="10"/>
        <v>2709.6</v>
      </c>
      <c r="Q13" s="15">
        <f t="shared" si="10"/>
        <v>1046</v>
      </c>
      <c r="R13" s="15">
        <f t="shared" si="10"/>
        <v>54.159999999999982</v>
      </c>
      <c r="S13" s="15">
        <f t="shared" si="10"/>
        <v>22080</v>
      </c>
      <c r="T13" s="15">
        <f t="shared" si="10"/>
        <v>2000</v>
      </c>
      <c r="U13" s="15">
        <f t="shared" si="10"/>
        <v>2000</v>
      </c>
      <c r="V13" s="15">
        <f t="shared" si="10"/>
        <v>0</v>
      </c>
      <c r="W13" s="15">
        <f t="shared" si="10"/>
        <v>2000</v>
      </c>
      <c r="X13" s="15">
        <f t="shared" si="10"/>
        <v>800</v>
      </c>
      <c r="Y13" s="15">
        <f t="shared" si="10"/>
        <v>75889.760000000009</v>
      </c>
      <c r="Z13" s="15">
        <f t="shared" ca="1" si="10"/>
        <v>5034.68</v>
      </c>
      <c r="AA13" s="15">
        <f t="shared" ca="1" si="10"/>
        <v>372200</v>
      </c>
      <c r="AB13" s="15">
        <f t="shared" ca="1" si="10"/>
        <v>158579.52000000002</v>
      </c>
      <c r="AC13" s="15">
        <f t="shared" ca="1" si="10"/>
        <v>3236.7699999999995</v>
      </c>
      <c r="AD13" s="15">
        <f t="shared" si="10"/>
        <v>38</v>
      </c>
      <c r="AE13" s="15">
        <f t="shared" si="10"/>
        <v>490</v>
      </c>
      <c r="AF13" s="15">
        <f t="shared" ca="1" si="10"/>
        <v>155627.56</v>
      </c>
      <c r="AG13" s="15"/>
      <c r="AH13" s="15"/>
      <c r="AI13" s="15"/>
      <c r="AJ13" s="26"/>
      <c r="AK13" s="15"/>
      <c r="AL13" s="15"/>
      <c r="AM13" s="15"/>
      <c r="AN13" s="15"/>
      <c r="AO13" s="15"/>
    </row>
  </sheetData>
  <autoFilter ref="A2:AO13"/>
  <mergeCells count="1">
    <mergeCell ref="A13:D13"/>
  </mergeCells>
  <phoneticPr fontId="1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3"/>
  <sheetViews>
    <sheetView tabSelected="1" workbookViewId="0">
      <pane xSplit="2" ySplit="2" topLeftCell="C4" activePane="bottomRight" state="frozen"/>
      <selection pane="topRight"/>
      <selection pane="bottomLeft"/>
      <selection pane="bottomRight" activeCell="C18" sqref="C18"/>
    </sheetView>
  </sheetViews>
  <sheetFormatPr baseColWidth="10" defaultColWidth="9" defaultRowHeight="14" outlineLevelCol="1" x14ac:dyDescent="0.15"/>
  <cols>
    <col min="1" max="1" width="5.33203125" style="4" customWidth="1"/>
    <col min="2" max="2" width="9" style="5" customWidth="1"/>
    <col min="3" max="3" width="11.1640625" style="5" customWidth="1"/>
    <col min="4" max="4" width="13" style="5" customWidth="1"/>
    <col min="5" max="5" width="6.83203125" style="5" customWidth="1" outlineLevel="1"/>
    <col min="6" max="6" width="6.33203125" style="5" customWidth="1" outlineLevel="1"/>
    <col min="7" max="7" width="14.1640625" style="5" customWidth="1" outlineLevel="1"/>
    <col min="8" max="8" width="12.5" style="5" customWidth="1" outlineLevel="1"/>
    <col min="9" max="9" width="11.1640625" style="5" customWidth="1" outlineLevel="1"/>
    <col min="10" max="11" width="12.5" style="5" customWidth="1" outlineLevel="1"/>
    <col min="12" max="13" width="14.1640625" style="5" customWidth="1" outlineLevel="1"/>
    <col min="14" max="14" width="12.5" style="5" customWidth="1" outlineLevel="1"/>
    <col min="15" max="15" width="14.1640625" style="5" customWidth="1"/>
    <col min="16" max="17" width="11.1640625" style="5" customWidth="1" outlineLevel="1"/>
    <col min="18" max="18" width="9" style="5" customWidth="1" outlineLevel="1"/>
    <col min="19" max="19" width="12.1640625" style="5" customWidth="1" outlineLevel="1"/>
    <col min="20" max="24" width="12.5" style="5" customWidth="1" outlineLevel="1"/>
    <col min="25" max="25" width="12.1640625" style="5" customWidth="1" outlineLevel="1"/>
    <col min="26" max="26" width="14.1640625" style="5" customWidth="1"/>
    <col min="27" max="28" width="14.1640625" style="5" customWidth="1" outlineLevel="1"/>
    <col min="29" max="29" width="17.33203125" style="5" customWidth="1" outlineLevel="1"/>
    <col min="30" max="31" width="12.5" style="5" customWidth="1" outlineLevel="1"/>
    <col min="32" max="32" width="14.1640625" style="5" customWidth="1"/>
    <col min="33" max="33" width="9" style="5" customWidth="1"/>
    <col min="34" max="34" width="19" style="5" customWidth="1"/>
    <col min="35" max="35" width="18" style="5" customWidth="1" outlineLevel="1"/>
    <col min="36" max="36" width="12.5" style="6" customWidth="1" outlineLevel="1"/>
    <col min="37" max="39" width="9" style="5" customWidth="1" outlineLevel="1"/>
    <col min="40" max="40" width="12.5" style="7" customWidth="1" outlineLevel="1"/>
    <col min="41" max="41" width="9" style="5" customWidth="1" outlineLevel="1"/>
    <col min="42" max="16384" width="9" style="5"/>
  </cols>
  <sheetData>
    <row r="1" spans="1:41" x14ac:dyDescent="0.15">
      <c r="Z1" s="20">
        <v>3</v>
      </c>
    </row>
    <row r="2" spans="1:41" s="1" customFormat="1" ht="24" customHeight="1" x14ac:dyDescent="0.1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16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16" t="s">
        <v>24</v>
      </c>
      <c r="Z2" s="16" t="s">
        <v>25</v>
      </c>
      <c r="AA2" s="16" t="s">
        <v>26</v>
      </c>
      <c r="AB2" s="16" t="s">
        <v>27</v>
      </c>
      <c r="AC2" s="16" t="s">
        <v>28</v>
      </c>
      <c r="AD2" s="8" t="s">
        <v>29</v>
      </c>
      <c r="AE2" s="8" t="s">
        <v>30</v>
      </c>
      <c r="AF2" s="16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22" t="s">
        <v>39</v>
      </c>
      <c r="AO2" s="8" t="s">
        <v>40</v>
      </c>
    </row>
    <row r="3" spans="1:41" s="2" customFormat="1" x14ac:dyDescent="0.15">
      <c r="A3" s="9"/>
      <c r="B3" s="27"/>
      <c r="C3" s="10" t="s">
        <v>41</v>
      </c>
      <c r="D3" s="11" t="s">
        <v>42</v>
      </c>
      <c r="E3" s="12">
        <v>21</v>
      </c>
      <c r="F3" s="13">
        <f t="shared" ref="F3:F12" si="0">21</f>
        <v>21</v>
      </c>
      <c r="G3" s="14">
        <f>6000</f>
        <v>6000</v>
      </c>
      <c r="H3" s="14"/>
      <c r="I3" s="17">
        <f>F3*20</f>
        <v>420</v>
      </c>
      <c r="J3" s="18"/>
      <c r="K3" s="18"/>
      <c r="L3" s="18">
        <f t="shared" ref="L3:L12" si="1">E3-F3</f>
        <v>0</v>
      </c>
      <c r="M3" s="18">
        <f t="shared" ref="M3:M12" si="2">G3/21.75*L3</f>
        <v>0</v>
      </c>
      <c r="N3" s="19"/>
      <c r="O3" s="19">
        <f>ROUND(SUM(G3:K3)-M3-N3,2)</f>
        <v>6420</v>
      </c>
      <c r="P3" s="18">
        <v>270.95999999999998</v>
      </c>
      <c r="Q3" s="18">
        <v>104.6</v>
      </c>
      <c r="R3" s="18">
        <v>6.77</v>
      </c>
      <c r="S3" s="18">
        <v>720</v>
      </c>
      <c r="T3" s="18">
        <v>3000</v>
      </c>
      <c r="U3" s="18"/>
      <c r="V3" s="18"/>
      <c r="W3" s="18"/>
      <c r="X3" s="18">
        <v>1200</v>
      </c>
      <c r="Y3" s="18">
        <f>ROUND(SUM(P3:S3)+5000,2)</f>
        <v>6102.33</v>
      </c>
      <c r="Z3" s="18">
        <f ca="1">IF(ROUND(MAX((AA3-AB3)*{0.03;0.1;0.2;0.25;0.3;0.35;0.45}-{0;2520;16920;31920;52920;85920;181920},0)-AC3,2)&gt;0,ROUND(MAX((AA3-AB3)*{0.03;0.1;0.2;0.25;0.3;0.35;0.45}-{0;2520;16920;31920;52920;85920;181920},0)-AC3,2),0)</f>
        <v>0</v>
      </c>
      <c r="AA3" s="18">
        <f ca="1">SUMPRODUCT(SUMIF(INDIRECT(ROW(INDIRECT("1:"&amp;$Z$1))&amp;"月!B:B"),$B3,INDIRECT(ROW(INDIRECT("1:"&amp;$Z$1))&amp;"月!O:O")))</f>
        <v>0</v>
      </c>
      <c r="AB3" s="18">
        <f ca="1">SUMPRODUCT(SUMIF(INDIRECT(ROW(INDIRECT("1:"&amp;$Z$1))&amp;"月!B:B"),$B3,INDIRECT(ROW(INDIRECT("1:"&amp;$Z$1))&amp;"月!Y:Y")))+SUM(T3:X3)</f>
        <v>4200</v>
      </c>
      <c r="AC3" s="18">
        <f ca="1">IF($Z$1=1,0,SUMPRODUCT(SUMIF(INDIRECT(ROW(INDIRECT("1:"&amp;$Z$1-1))&amp;"月!B:B"),$B3,INDIRECT(ROW(INDIRECT("1:"&amp;$Z$1-1))&amp;"月!Z:Z"))))</f>
        <v>0</v>
      </c>
      <c r="AD3" s="21"/>
      <c r="AE3" s="18">
        <v>98</v>
      </c>
      <c r="AF3" s="18">
        <f ca="1">ROUND(O3-P3-Q3-R3-S3-Z3-AD3+AE3,2)</f>
        <v>5415.67</v>
      </c>
      <c r="AG3" s="23"/>
      <c r="AH3" s="24"/>
      <c r="AI3" s="24"/>
      <c r="AJ3" s="23"/>
      <c r="AK3" s="24"/>
      <c r="AL3" s="24"/>
      <c r="AM3" s="24"/>
      <c r="AN3" s="25"/>
      <c r="AO3" s="24"/>
    </row>
    <row r="4" spans="1:41" s="2" customFormat="1" x14ac:dyDescent="0.15">
      <c r="A4" s="9"/>
      <c r="B4" s="28"/>
      <c r="C4" s="10" t="s">
        <v>43</v>
      </c>
      <c r="D4" s="11" t="s">
        <v>44</v>
      </c>
      <c r="E4" s="12">
        <v>21</v>
      </c>
      <c r="F4" s="13">
        <f t="shared" si="0"/>
        <v>21</v>
      </c>
      <c r="G4" s="14">
        <v>8000</v>
      </c>
      <c r="H4" s="14"/>
      <c r="I4" s="17">
        <f t="shared" ref="I4:I7" si="3">F4*20</f>
        <v>420</v>
      </c>
      <c r="J4" s="18"/>
      <c r="K4" s="18"/>
      <c r="L4" s="18">
        <f t="shared" si="1"/>
        <v>0</v>
      </c>
      <c r="M4" s="18">
        <f t="shared" si="2"/>
        <v>0</v>
      </c>
      <c r="N4" s="19"/>
      <c r="O4" s="19">
        <f t="shared" ref="O4:O12" si="4">ROUND(SUM(G4:K4)-M4-N4,2)</f>
        <v>8420</v>
      </c>
      <c r="P4" s="18">
        <v>270.95999999999998</v>
      </c>
      <c r="Q4" s="18">
        <v>104.6</v>
      </c>
      <c r="R4" s="18">
        <v>6.77</v>
      </c>
      <c r="S4" s="18">
        <v>960</v>
      </c>
      <c r="T4" s="18"/>
      <c r="U4" s="18"/>
      <c r="V4" s="18"/>
      <c r="W4" s="18"/>
      <c r="X4" s="18"/>
      <c r="Y4" s="18">
        <f t="shared" ref="Y4:Y12" si="5">ROUND(SUM(P4:S4)+5000,2)</f>
        <v>6342.33</v>
      </c>
      <c r="Z4" s="18">
        <f ca="1">IF(ROUND(MAX((AA4-AB4)*{0.03;0.1;0.2;0.25;0.3;0.35;0.45}-{0;2520;16920;31920;52920;85920;181920},0)-AC4,2)&gt;0,ROUND(MAX((AA4-AB4)*{0.03;0.1;0.2;0.25;0.3;0.35;0.45}-{0;2520;16920;31920;52920;85920;181920},0)-AC4,2),0)</f>
        <v>0</v>
      </c>
      <c r="AA4" s="18">
        <f t="shared" ref="AA4:AA12" ca="1" si="6">SUMPRODUCT(SUMIF(INDIRECT(ROW(INDIRECT("1:"&amp;$Z$1))&amp;"月!B:B"),$B4,INDIRECT(ROW(INDIRECT("1:"&amp;$Z$1))&amp;"月!O:O")))</f>
        <v>0</v>
      </c>
      <c r="AB4" s="18">
        <f t="shared" ref="AB4:AB12" ca="1" si="7">SUMPRODUCT(SUMIF(INDIRECT(ROW(INDIRECT("1:"&amp;$Z$1))&amp;"月!B:B"),$B4,INDIRECT(ROW(INDIRECT("1:"&amp;$Z$1))&amp;"月!Y:Y")))+SUM(T4:X4)</f>
        <v>0</v>
      </c>
      <c r="AC4" s="18">
        <f t="shared" ref="AC4:AC12" ca="1" si="8">IF($Z$1=1,0,SUMPRODUCT(SUMIF(INDIRECT(ROW(INDIRECT("1:"&amp;$Z$1-1))&amp;"月!B:B"),$B4,INDIRECT(ROW(INDIRECT("1:"&amp;$Z$1-1))&amp;"月!Z:Z"))))</f>
        <v>0</v>
      </c>
      <c r="AD4" s="21"/>
      <c r="AE4" s="18">
        <v>98</v>
      </c>
      <c r="AF4" s="18">
        <f t="shared" ref="AF4:AF12" ca="1" si="9">ROUND(O4-P4-Q4-R4-S4-Z4-AD4+AE4,2)</f>
        <v>7175.67</v>
      </c>
      <c r="AG4" s="23"/>
      <c r="AH4" s="24"/>
      <c r="AI4" s="24"/>
      <c r="AJ4" s="23"/>
      <c r="AK4" s="24"/>
      <c r="AL4" s="24"/>
      <c r="AM4" s="24"/>
      <c r="AN4" s="25"/>
      <c r="AO4" s="24"/>
    </row>
    <row r="5" spans="1:41" s="2" customFormat="1" x14ac:dyDescent="0.15">
      <c r="A5" s="9"/>
      <c r="B5" s="29"/>
      <c r="C5" s="10" t="s">
        <v>45</v>
      </c>
      <c r="D5" s="11" t="s">
        <v>46</v>
      </c>
      <c r="E5" s="12">
        <v>21</v>
      </c>
      <c r="F5" s="13">
        <f t="shared" si="0"/>
        <v>21</v>
      </c>
      <c r="G5" s="14">
        <v>10000</v>
      </c>
      <c r="H5" s="14"/>
      <c r="I5" s="17">
        <f t="shared" si="3"/>
        <v>420</v>
      </c>
      <c r="J5" s="18"/>
      <c r="K5" s="18"/>
      <c r="L5" s="18">
        <f t="shared" si="1"/>
        <v>0</v>
      </c>
      <c r="M5" s="18">
        <f t="shared" si="2"/>
        <v>0</v>
      </c>
      <c r="N5" s="19"/>
      <c r="O5" s="19">
        <f t="shared" si="4"/>
        <v>10420</v>
      </c>
      <c r="P5" s="18">
        <v>270.95999999999998</v>
      </c>
      <c r="Q5" s="18">
        <v>104.6</v>
      </c>
      <c r="R5" s="18">
        <v>6.77</v>
      </c>
      <c r="S5" s="18">
        <v>1200</v>
      </c>
      <c r="T5" s="18"/>
      <c r="U5" s="18"/>
      <c r="V5" s="18"/>
      <c r="W5" s="18"/>
      <c r="X5" s="18"/>
      <c r="Y5" s="18">
        <f t="shared" si="5"/>
        <v>6582.33</v>
      </c>
      <c r="Z5" s="18">
        <f ca="1">IF(ROUND(MAX((AA5-AB5)*{0.03;0.1;0.2;0.25;0.3;0.35;0.45}-{0;2520;16920;31920;52920;85920;181920},0)-AC5,2)&gt;0,ROUND(MAX((AA5-AB5)*{0.03;0.1;0.2;0.25;0.3;0.35;0.45}-{0;2520;16920;31920;52920;85920;181920},0)-AC5,2),0)</f>
        <v>0</v>
      </c>
      <c r="AA5" s="18">
        <f t="shared" ca="1" si="6"/>
        <v>0</v>
      </c>
      <c r="AB5" s="18">
        <f t="shared" ca="1" si="7"/>
        <v>0</v>
      </c>
      <c r="AC5" s="18">
        <f t="shared" ca="1" si="8"/>
        <v>0</v>
      </c>
      <c r="AD5" s="21">
        <v>38</v>
      </c>
      <c r="AE5" s="18">
        <v>98</v>
      </c>
      <c r="AF5" s="18">
        <f t="shared" ca="1" si="9"/>
        <v>8897.67</v>
      </c>
      <c r="AG5" s="23"/>
      <c r="AH5" s="24"/>
      <c r="AI5" s="24"/>
      <c r="AJ5" s="23"/>
      <c r="AK5" s="24"/>
      <c r="AL5" s="24"/>
      <c r="AM5" s="24"/>
      <c r="AN5" s="25"/>
      <c r="AO5" s="24"/>
    </row>
    <row r="6" spans="1:41" s="2" customFormat="1" x14ac:dyDescent="0.15">
      <c r="A6" s="9"/>
      <c r="B6" s="30"/>
      <c r="C6" s="10" t="s">
        <v>47</v>
      </c>
      <c r="D6" s="11" t="s">
        <v>48</v>
      </c>
      <c r="E6" s="12">
        <v>21</v>
      </c>
      <c r="F6" s="13">
        <f t="shared" si="0"/>
        <v>21</v>
      </c>
      <c r="G6" s="14">
        <v>12000</v>
      </c>
      <c r="H6" s="14"/>
      <c r="I6" s="17">
        <f t="shared" si="3"/>
        <v>420</v>
      </c>
      <c r="J6" s="18"/>
      <c r="K6" s="18"/>
      <c r="L6" s="18">
        <f t="shared" si="1"/>
        <v>0</v>
      </c>
      <c r="M6" s="18">
        <f t="shared" si="2"/>
        <v>0</v>
      </c>
      <c r="N6" s="19"/>
      <c r="O6" s="19">
        <f t="shared" si="4"/>
        <v>12420</v>
      </c>
      <c r="P6" s="18">
        <v>270.95999999999998</v>
      </c>
      <c r="Q6" s="18">
        <v>104.6</v>
      </c>
      <c r="R6" s="18">
        <v>0</v>
      </c>
      <c r="S6" s="18">
        <v>1440</v>
      </c>
      <c r="T6" s="18"/>
      <c r="U6" s="18"/>
      <c r="V6" s="18"/>
      <c r="W6" s="18"/>
      <c r="X6" s="18"/>
      <c r="Y6" s="18">
        <f t="shared" si="5"/>
        <v>6815.56</v>
      </c>
      <c r="Z6" s="18">
        <f ca="1">IF(ROUND(MAX((AA6-AB6)*{0.03;0.1;0.2;0.25;0.3;0.35;0.45}-{0;2520;16920;31920;52920;85920;181920},0)-AC6,2)&gt;0,ROUND(MAX((AA6-AB6)*{0.03;0.1;0.2;0.25;0.3;0.35;0.45}-{0;2520;16920;31920;52920;85920;181920},0)-AC6,2),0)</f>
        <v>0</v>
      </c>
      <c r="AA6" s="18">
        <f t="shared" ca="1" si="6"/>
        <v>0</v>
      </c>
      <c r="AB6" s="18">
        <f t="shared" ca="1" si="7"/>
        <v>0</v>
      </c>
      <c r="AC6" s="18">
        <f t="shared" ca="1" si="8"/>
        <v>0</v>
      </c>
      <c r="AD6" s="21"/>
      <c r="AE6" s="18">
        <v>98</v>
      </c>
      <c r="AF6" s="18">
        <f t="shared" ca="1" si="9"/>
        <v>10702.44</v>
      </c>
      <c r="AG6" s="23"/>
      <c r="AH6" s="24"/>
      <c r="AI6" s="24"/>
      <c r="AJ6" s="23"/>
      <c r="AK6" s="24"/>
      <c r="AL6" s="24"/>
      <c r="AM6" s="24"/>
      <c r="AN6" s="25"/>
      <c r="AO6" s="24"/>
    </row>
    <row r="7" spans="1:41" s="2" customFormat="1" x14ac:dyDescent="0.15">
      <c r="A7" s="9"/>
      <c r="B7" s="31"/>
      <c r="C7" s="10" t="s">
        <v>49</v>
      </c>
      <c r="D7" s="11" t="s">
        <v>50</v>
      </c>
      <c r="E7" s="12">
        <v>21</v>
      </c>
      <c r="F7" s="13">
        <f t="shared" si="0"/>
        <v>21</v>
      </c>
      <c r="G7" s="14">
        <v>15000</v>
      </c>
      <c r="H7" s="14"/>
      <c r="I7" s="17">
        <f t="shared" si="3"/>
        <v>420</v>
      </c>
      <c r="J7" s="18"/>
      <c r="K7" s="18"/>
      <c r="L7" s="18">
        <f t="shared" si="1"/>
        <v>0</v>
      </c>
      <c r="M7" s="18">
        <f t="shared" si="2"/>
        <v>0</v>
      </c>
      <c r="N7" s="19"/>
      <c r="O7" s="19">
        <f t="shared" si="4"/>
        <v>15420</v>
      </c>
      <c r="P7" s="18">
        <v>270.95999999999998</v>
      </c>
      <c r="Q7" s="18">
        <v>104.6</v>
      </c>
      <c r="R7" s="18">
        <v>6.77</v>
      </c>
      <c r="S7" s="18">
        <v>1800</v>
      </c>
      <c r="T7" s="18"/>
      <c r="U7" s="18"/>
      <c r="V7" s="18"/>
      <c r="W7" s="18"/>
      <c r="X7" s="18"/>
      <c r="Y7" s="18">
        <f t="shared" si="5"/>
        <v>7182.33</v>
      </c>
      <c r="Z7" s="18">
        <f ca="1">IF(ROUND(MAX((AA7-AB7)*{0.03;0.1;0.2;0.25;0.3;0.35;0.45}-{0;2520;16920;31920;52920;85920;181920},0)-AC7,2)&gt;0,ROUND(MAX((AA7-AB7)*{0.03;0.1;0.2;0.25;0.3;0.35;0.45}-{0;2520;16920;31920;52920;85920;181920},0)-AC7,2),0)</f>
        <v>0</v>
      </c>
      <c r="AA7" s="18">
        <f t="shared" ca="1" si="6"/>
        <v>0</v>
      </c>
      <c r="AB7" s="18">
        <f t="shared" ca="1" si="7"/>
        <v>0</v>
      </c>
      <c r="AC7" s="18">
        <f t="shared" ca="1" si="8"/>
        <v>0</v>
      </c>
      <c r="AD7" s="21"/>
      <c r="AE7" s="18">
        <v>98</v>
      </c>
      <c r="AF7" s="18">
        <f t="shared" ca="1" si="9"/>
        <v>13335.67</v>
      </c>
      <c r="AG7" s="23"/>
      <c r="AH7" s="24"/>
      <c r="AI7" s="24"/>
      <c r="AJ7" s="23"/>
      <c r="AK7" s="24"/>
      <c r="AL7" s="24"/>
      <c r="AM7" s="24"/>
      <c r="AN7" s="25"/>
      <c r="AO7" s="24"/>
    </row>
    <row r="8" spans="1:41" s="2" customFormat="1" hidden="1" x14ac:dyDescent="0.15">
      <c r="A8" s="9">
        <v>6</v>
      </c>
      <c r="B8" s="10" t="s">
        <v>51</v>
      </c>
      <c r="C8" s="11" t="s">
        <v>52</v>
      </c>
      <c r="D8" s="11" t="s">
        <v>53</v>
      </c>
      <c r="E8" s="12">
        <v>21</v>
      </c>
      <c r="F8" s="13">
        <f t="shared" si="0"/>
        <v>21</v>
      </c>
      <c r="G8" s="14">
        <v>18000</v>
      </c>
      <c r="H8" s="14"/>
      <c r="I8" s="17"/>
      <c r="J8" s="18"/>
      <c r="K8" s="18"/>
      <c r="L8" s="18">
        <f t="shared" si="1"/>
        <v>0</v>
      </c>
      <c r="M8" s="18">
        <f t="shared" si="2"/>
        <v>0</v>
      </c>
      <c r="N8" s="19"/>
      <c r="O8" s="19">
        <f t="shared" si="4"/>
        <v>18000</v>
      </c>
      <c r="P8" s="18">
        <v>270.95999999999998</v>
      </c>
      <c r="Q8" s="18">
        <v>104.6</v>
      </c>
      <c r="R8" s="18">
        <v>6.77</v>
      </c>
      <c r="S8" s="18">
        <v>2160</v>
      </c>
      <c r="T8" s="18"/>
      <c r="U8" s="18"/>
      <c r="V8" s="18"/>
      <c r="W8" s="18"/>
      <c r="X8" s="18"/>
      <c r="Y8" s="18">
        <f t="shared" si="5"/>
        <v>7542.33</v>
      </c>
      <c r="Z8" s="18">
        <f ca="1">IF(ROUND(MAX((AA8-AB8)*{0.03;0.1;0.2;0.25;0.3;0.35;0.45}-{0;2520;16920;31920;52920;85920;181920},0)-AC8,2)&gt;0,ROUND(MAX((AA8-AB8)*{0.03;0.1;0.2;0.25;0.3;0.35;0.45}-{0;2520;16920;31920;52920;85920;181920},0)-AC8,2),0)</f>
        <v>313.73</v>
      </c>
      <c r="AA8" s="18">
        <f t="shared" ca="1" si="6"/>
        <v>54000</v>
      </c>
      <c r="AB8" s="18">
        <f t="shared" ca="1" si="7"/>
        <v>22626.989999999998</v>
      </c>
      <c r="AC8" s="18">
        <f t="shared" ca="1" si="8"/>
        <v>627.46</v>
      </c>
      <c r="AD8" s="21"/>
      <c r="AE8" s="18"/>
      <c r="AF8" s="18">
        <f t="shared" ca="1" si="9"/>
        <v>15143.94</v>
      </c>
      <c r="AG8" s="23"/>
      <c r="AH8" s="24"/>
      <c r="AI8" s="24"/>
      <c r="AJ8" s="23"/>
      <c r="AK8" s="24"/>
      <c r="AL8" s="24"/>
      <c r="AM8" s="24"/>
      <c r="AN8" s="25"/>
      <c r="AO8" s="24"/>
    </row>
    <row r="9" spans="1:41" s="2" customFormat="1" hidden="1" x14ac:dyDescent="0.15">
      <c r="A9" s="9">
        <v>7</v>
      </c>
      <c r="B9" s="10" t="s">
        <v>54</v>
      </c>
      <c r="C9" s="11" t="s">
        <v>55</v>
      </c>
      <c r="D9" s="11" t="s">
        <v>56</v>
      </c>
      <c r="E9" s="12">
        <v>21</v>
      </c>
      <c r="F9" s="13">
        <f t="shared" si="0"/>
        <v>21</v>
      </c>
      <c r="G9" s="14">
        <v>20000</v>
      </c>
      <c r="H9" s="14"/>
      <c r="I9" s="17"/>
      <c r="J9" s="18"/>
      <c r="K9" s="18"/>
      <c r="L9" s="18">
        <f t="shared" si="1"/>
        <v>0</v>
      </c>
      <c r="M9" s="18">
        <f t="shared" si="2"/>
        <v>0</v>
      </c>
      <c r="N9" s="19"/>
      <c r="O9" s="19">
        <f t="shared" si="4"/>
        <v>20000</v>
      </c>
      <c r="P9" s="18">
        <v>270.95999999999998</v>
      </c>
      <c r="Q9" s="18">
        <v>104.6</v>
      </c>
      <c r="R9" s="18">
        <v>6.77</v>
      </c>
      <c r="S9" s="18">
        <v>2400</v>
      </c>
      <c r="T9" s="18"/>
      <c r="U9" s="18"/>
      <c r="V9" s="18"/>
      <c r="W9" s="18"/>
      <c r="X9" s="18"/>
      <c r="Y9" s="18">
        <f t="shared" si="5"/>
        <v>7782.33</v>
      </c>
      <c r="Z9" s="18">
        <f ca="1">IF(ROUND(MAX((AA9-AB9)*{0.03;0.1;0.2;0.25;0.3;0.35;0.45}-{0;2520;16920;31920;52920;85920;181920},0)-AC9,2)&gt;0,ROUND(MAX((AA9-AB9)*{0.03;0.1;0.2;0.25;0.3;0.35;0.45}-{0;2520;16920;31920;52920;85920;181920},0)-AC9,2),0)</f>
        <v>412.24</v>
      </c>
      <c r="AA9" s="18">
        <f t="shared" ca="1" si="6"/>
        <v>60000</v>
      </c>
      <c r="AB9" s="18">
        <f t="shared" ca="1" si="7"/>
        <v>23346.989999999998</v>
      </c>
      <c r="AC9" s="18">
        <f t="shared" ca="1" si="8"/>
        <v>733.06</v>
      </c>
      <c r="AD9" s="21"/>
      <c r="AE9" s="18"/>
      <c r="AF9" s="18">
        <f t="shared" ca="1" si="9"/>
        <v>16805.43</v>
      </c>
      <c r="AG9" s="23"/>
      <c r="AH9" s="24"/>
      <c r="AI9" s="24"/>
      <c r="AJ9" s="23"/>
      <c r="AK9" s="24"/>
      <c r="AL9" s="24"/>
      <c r="AM9" s="24"/>
      <c r="AN9" s="25"/>
      <c r="AO9" s="24"/>
    </row>
    <row r="10" spans="1:41" s="2" customFormat="1" hidden="1" x14ac:dyDescent="0.15">
      <c r="A10" s="9">
        <v>8</v>
      </c>
      <c r="B10" s="10" t="s">
        <v>57</v>
      </c>
      <c r="C10" s="11" t="s">
        <v>58</v>
      </c>
      <c r="D10" s="11" t="s">
        <v>59</v>
      </c>
      <c r="E10" s="12">
        <v>21</v>
      </c>
      <c r="F10" s="13">
        <f t="shared" si="0"/>
        <v>21</v>
      </c>
      <c r="G10" s="14">
        <v>25000</v>
      </c>
      <c r="H10" s="14"/>
      <c r="I10" s="17"/>
      <c r="J10" s="18"/>
      <c r="K10" s="18"/>
      <c r="L10" s="18">
        <f t="shared" si="1"/>
        <v>0</v>
      </c>
      <c r="M10" s="18">
        <f t="shared" si="2"/>
        <v>0</v>
      </c>
      <c r="N10" s="19"/>
      <c r="O10" s="19">
        <f t="shared" si="4"/>
        <v>25000</v>
      </c>
      <c r="P10" s="18">
        <v>270.95999999999998</v>
      </c>
      <c r="Q10" s="18">
        <v>104.6</v>
      </c>
      <c r="R10" s="18">
        <v>6.77</v>
      </c>
      <c r="S10" s="18">
        <v>3000</v>
      </c>
      <c r="T10" s="18"/>
      <c r="U10" s="18"/>
      <c r="V10" s="18"/>
      <c r="W10" s="18"/>
      <c r="X10" s="18"/>
      <c r="Y10" s="18">
        <f t="shared" si="5"/>
        <v>8382.33</v>
      </c>
      <c r="Z10" s="18">
        <f ca="1">IF(ROUND(MAX((AA10-AB10)*{0.03;0.1;0.2;0.25;0.3;0.35;0.45}-{0;2520;16920;31920;52920;85920;181920},0)-AC10,2)&gt;0,ROUND(MAX((AA10-AB10)*{0.03;0.1;0.2;0.25;0.3;0.35;0.45}-{0;2520;16920;31920;52920;85920;181920},0)-AC10,2),0)</f>
        <v>1468.24</v>
      </c>
      <c r="AA10" s="18">
        <f t="shared" ca="1" si="6"/>
        <v>75000</v>
      </c>
      <c r="AB10" s="18">
        <f t="shared" ca="1" si="7"/>
        <v>25146.989999999998</v>
      </c>
      <c r="AC10" s="18">
        <f t="shared" ca="1" si="8"/>
        <v>997.06</v>
      </c>
      <c r="AD10" s="21"/>
      <c r="AE10" s="18"/>
      <c r="AF10" s="18">
        <f t="shared" ca="1" si="9"/>
        <v>20149.43</v>
      </c>
      <c r="AG10" s="23"/>
      <c r="AH10" s="24"/>
      <c r="AI10" s="24"/>
      <c r="AJ10" s="23"/>
      <c r="AK10" s="24"/>
      <c r="AL10" s="24"/>
      <c r="AM10" s="24"/>
      <c r="AN10" s="25"/>
      <c r="AO10" s="24"/>
    </row>
    <row r="11" spans="1:41" s="2" customFormat="1" hidden="1" x14ac:dyDescent="0.15">
      <c r="A11" s="9">
        <v>9</v>
      </c>
      <c r="B11" s="10" t="s">
        <v>60</v>
      </c>
      <c r="C11" s="11" t="s">
        <v>61</v>
      </c>
      <c r="D11" s="11" t="s">
        <v>62</v>
      </c>
      <c r="E11" s="12">
        <v>21</v>
      </c>
      <c r="F11" s="13">
        <f t="shared" si="0"/>
        <v>21</v>
      </c>
      <c r="G11" s="14">
        <v>30000</v>
      </c>
      <c r="H11" s="14"/>
      <c r="I11" s="17"/>
      <c r="J11" s="18"/>
      <c r="K11" s="18"/>
      <c r="L11" s="18">
        <f t="shared" si="1"/>
        <v>0</v>
      </c>
      <c r="M11" s="18">
        <f t="shared" si="2"/>
        <v>0</v>
      </c>
      <c r="N11" s="19"/>
      <c r="O11" s="19">
        <f t="shared" si="4"/>
        <v>30000</v>
      </c>
      <c r="P11" s="18">
        <v>270.95999999999998</v>
      </c>
      <c r="Q11" s="18">
        <v>104.6</v>
      </c>
      <c r="R11" s="18">
        <v>0</v>
      </c>
      <c r="S11" s="18">
        <v>3600</v>
      </c>
      <c r="T11" s="18"/>
      <c r="U11" s="18"/>
      <c r="V11" s="18"/>
      <c r="W11" s="18"/>
      <c r="X11" s="18"/>
      <c r="Y11" s="18">
        <f t="shared" si="5"/>
        <v>8975.56</v>
      </c>
      <c r="Z11" s="18">
        <f ca="1">IF(ROUND(MAX((AA11-AB11)*{0.03;0.1;0.2;0.25;0.3;0.35;0.45}-{0;2520;16920;31920;52920;85920;181920},0)-AC11,2)&gt;0,ROUND(MAX((AA11-AB11)*{0.03;0.1;0.2;0.25;0.3;0.35;0.45}-{0;2520;16920;31920;52920;85920;181920},0)-AC11,2),0)</f>
        <v>2102.44</v>
      </c>
      <c r="AA11" s="18">
        <f t="shared" ca="1" si="6"/>
        <v>90000</v>
      </c>
      <c r="AB11" s="18">
        <f t="shared" ca="1" si="7"/>
        <v>26926.68</v>
      </c>
      <c r="AC11" s="18">
        <f t="shared" ca="1" si="8"/>
        <v>1684.89</v>
      </c>
      <c r="AD11" s="21"/>
      <c r="AE11" s="18"/>
      <c r="AF11" s="18">
        <f t="shared" ca="1" si="9"/>
        <v>23922</v>
      </c>
      <c r="AG11" s="23"/>
      <c r="AH11" s="24"/>
      <c r="AI11" s="24"/>
      <c r="AJ11" s="23"/>
      <c r="AK11" s="24"/>
      <c r="AL11" s="24"/>
      <c r="AM11" s="24"/>
      <c r="AN11" s="25"/>
      <c r="AO11" s="24"/>
    </row>
    <row r="12" spans="1:41" s="2" customFormat="1" hidden="1" x14ac:dyDescent="0.15">
      <c r="A12" s="9">
        <v>10</v>
      </c>
      <c r="B12" s="10" t="s">
        <v>63</v>
      </c>
      <c r="C12" s="11" t="s">
        <v>64</v>
      </c>
      <c r="D12" s="11" t="s">
        <v>65</v>
      </c>
      <c r="E12" s="12">
        <v>21</v>
      </c>
      <c r="F12" s="13">
        <f t="shared" si="0"/>
        <v>21</v>
      </c>
      <c r="G12" s="14">
        <v>40000</v>
      </c>
      <c r="H12" s="14"/>
      <c r="I12" s="17"/>
      <c r="J12" s="18"/>
      <c r="K12" s="18"/>
      <c r="L12" s="18">
        <f t="shared" si="1"/>
        <v>0</v>
      </c>
      <c r="M12" s="18">
        <f t="shared" si="2"/>
        <v>0</v>
      </c>
      <c r="N12" s="19"/>
      <c r="O12" s="19">
        <f t="shared" si="4"/>
        <v>40000</v>
      </c>
      <c r="P12" s="18">
        <v>270.95999999999998</v>
      </c>
      <c r="Q12" s="18">
        <v>104.6</v>
      </c>
      <c r="R12" s="18">
        <v>6.77</v>
      </c>
      <c r="S12" s="18">
        <v>4800</v>
      </c>
      <c r="T12" s="18"/>
      <c r="U12" s="18">
        <v>3000</v>
      </c>
      <c r="V12" s="18"/>
      <c r="W12" s="18">
        <v>3000</v>
      </c>
      <c r="X12" s="18"/>
      <c r="Y12" s="18">
        <f t="shared" si="5"/>
        <v>10182.33</v>
      </c>
      <c r="Z12" s="18">
        <f ca="1">IF(ROUND(MAX((AA12-AB12)*{0.03;0.1;0.2;0.25;0.3;0.35;0.45}-{0;2520;16920;31920;52920;85920;181920},0)-AC12,2)&gt;0,ROUND(MAX((AA12-AB12)*{0.03;0.1;0.2;0.25;0.3;0.35;0.45}-{0;2520;16920;31920;52920;85920;181920},0)-AC12,2),0)</f>
        <v>2781.77</v>
      </c>
      <c r="AA12" s="18">
        <f t="shared" ca="1" si="6"/>
        <v>120000</v>
      </c>
      <c r="AB12" s="18">
        <f t="shared" ca="1" si="7"/>
        <v>36546.99</v>
      </c>
      <c r="AC12" s="18">
        <f t="shared" ca="1" si="8"/>
        <v>3043.5299999999997</v>
      </c>
      <c r="AD12" s="21"/>
      <c r="AE12" s="18"/>
      <c r="AF12" s="18">
        <f t="shared" ca="1" si="9"/>
        <v>32035.9</v>
      </c>
      <c r="AG12" s="23"/>
      <c r="AH12" s="24"/>
      <c r="AI12" s="24"/>
      <c r="AJ12" s="23"/>
      <c r="AK12" s="24"/>
      <c r="AL12" s="24"/>
      <c r="AM12" s="24"/>
      <c r="AN12" s="25"/>
      <c r="AO12" s="24"/>
    </row>
    <row r="13" spans="1:41" s="3" customFormat="1" ht="13.5" customHeight="1" x14ac:dyDescent="0.15">
      <c r="A13" s="32" t="s">
        <v>66</v>
      </c>
      <c r="B13" s="33"/>
      <c r="C13" s="33"/>
      <c r="D13" s="34"/>
      <c r="E13" s="15"/>
      <c r="F13" s="15"/>
      <c r="G13" s="15">
        <f t="shared" ref="G13:AF13" si="10">SUM(G3:G12)</f>
        <v>184000</v>
      </c>
      <c r="H13" s="15">
        <f t="shared" si="10"/>
        <v>0</v>
      </c>
      <c r="I13" s="15">
        <f t="shared" si="10"/>
        <v>2100</v>
      </c>
      <c r="J13" s="15">
        <f t="shared" si="10"/>
        <v>0</v>
      </c>
      <c r="K13" s="15">
        <f t="shared" si="10"/>
        <v>0</v>
      </c>
      <c r="L13" s="15">
        <f t="shared" si="10"/>
        <v>0</v>
      </c>
      <c r="M13" s="15">
        <f t="shared" si="10"/>
        <v>0</v>
      </c>
      <c r="N13" s="15">
        <f t="shared" si="10"/>
        <v>0</v>
      </c>
      <c r="O13" s="15">
        <f t="shared" si="10"/>
        <v>186100</v>
      </c>
      <c r="P13" s="15">
        <f t="shared" si="10"/>
        <v>2709.6</v>
      </c>
      <c r="Q13" s="15">
        <f t="shared" si="10"/>
        <v>1046</v>
      </c>
      <c r="R13" s="15">
        <f t="shared" si="10"/>
        <v>54.159999999999982</v>
      </c>
      <c r="S13" s="15">
        <f t="shared" si="10"/>
        <v>22080</v>
      </c>
      <c r="T13" s="15">
        <f t="shared" si="10"/>
        <v>3000</v>
      </c>
      <c r="U13" s="15">
        <f t="shared" si="10"/>
        <v>3000</v>
      </c>
      <c r="V13" s="15">
        <f t="shared" si="10"/>
        <v>0</v>
      </c>
      <c r="W13" s="15">
        <f t="shared" si="10"/>
        <v>3000</v>
      </c>
      <c r="X13" s="15">
        <f t="shared" si="10"/>
        <v>1200</v>
      </c>
      <c r="Y13" s="15">
        <f t="shared" si="10"/>
        <v>75889.760000000009</v>
      </c>
      <c r="Z13" s="15">
        <f t="shared" ca="1" si="10"/>
        <v>7078.42</v>
      </c>
      <c r="AA13" s="15">
        <f t="shared" ca="1" si="10"/>
        <v>399000</v>
      </c>
      <c r="AB13" s="15">
        <f t="shared" ca="1" si="10"/>
        <v>138794.63999999998</v>
      </c>
      <c r="AC13" s="15">
        <f t="shared" ca="1" si="10"/>
        <v>7086</v>
      </c>
      <c r="AD13" s="15">
        <f t="shared" si="10"/>
        <v>38</v>
      </c>
      <c r="AE13" s="15">
        <f t="shared" si="10"/>
        <v>490</v>
      </c>
      <c r="AF13" s="15">
        <f t="shared" ca="1" si="10"/>
        <v>153583.82</v>
      </c>
      <c r="AG13" s="15"/>
      <c r="AH13" s="15"/>
      <c r="AI13" s="15"/>
      <c r="AJ13" s="26"/>
      <c r="AK13" s="15"/>
      <c r="AL13" s="15"/>
      <c r="AM13" s="15"/>
      <c r="AN13" s="15"/>
      <c r="AO13" s="15"/>
    </row>
  </sheetData>
  <autoFilter ref="A2:AO13"/>
  <mergeCells count="1">
    <mergeCell ref="A13:D13"/>
  </mergeCells>
  <phoneticPr fontId="13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1月</vt:lpstr>
      <vt:lpstr>2月</vt:lpstr>
      <vt:lpstr>3月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2006-09-16T00:00:00Z</dcterms:created>
  <dcterms:modified xsi:type="dcterms:W3CDTF">2019-08-07T06:58:40Z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