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yuko1\DesignReyuko\Tech Doc\"/>
    </mc:Choice>
  </mc:AlternateContent>
  <xr:revisionPtr revIDLastSave="0" documentId="13_ncr:1_{2C522B6F-88E1-4BE2-9F1B-AC1909475B9B}" xr6:coauthVersionLast="45" xr6:coauthVersionMax="45" xr10:uidLastSave="{00000000-0000-0000-0000-000000000000}"/>
  <bookViews>
    <workbookView xWindow="-120" yWindow="-120" windowWidth="19440" windowHeight="11640" tabRatio="814" firstSheet="37" activeTab="38" xr2:uid="{00000000-000D-0000-FFFF-FFFF00000000}"/>
  </bookViews>
  <sheets>
    <sheet name="production" sheetId="274" r:id="rId1"/>
    <sheet name="rekening perkiraan" sheetId="17" r:id="rId2"/>
    <sheet name="arus kas" sheetId="288" r:id="rId3"/>
    <sheet name="LabaRugi" sheetId="285" r:id="rId4"/>
    <sheet name="Neraca" sheetId="267" r:id="rId5"/>
    <sheet name="Sales Quotation" sheetId="2" r:id="rId6"/>
    <sheet name="sales flow" sheetId="293" r:id="rId7"/>
    <sheet name="Sales Order" sheetId="3" r:id="rId8"/>
    <sheet name="Delivery Order" sheetId="4" r:id="rId9"/>
    <sheet name="Invoice" sheetId="5" r:id="rId10"/>
    <sheet name="penerimaan barang konsinyasi" sheetId="50" r:id="rId11"/>
    <sheet name="retur barang konsinyasi" sheetId="51" r:id="rId12"/>
    <sheet name="Sales Return" sheetId="75" r:id="rId13"/>
    <sheet name="order produk jual" sheetId="6" r:id="rId14"/>
    <sheet name="order jasa jual" sheetId="10" r:id="rId15"/>
    <sheet name="order custom jual" sheetId="11" r:id="rId16"/>
    <sheet name="Shoping Cart" sheetId="36" r:id="rId17"/>
    <sheet name="Quotation Request" sheetId="37" r:id="rId18"/>
    <sheet name="Purchase Order" sheetId="38" r:id="rId19"/>
    <sheet name="Purchase Delivery" sheetId="39" r:id="rId20"/>
    <sheet name="Received Goods" sheetId="41" r:id="rId21"/>
    <sheet name="Purchase Return" sheetId="90" r:id="rId22"/>
    <sheet name="order pembayaran gaji" sheetId="281" r:id="rId23"/>
    <sheet name="modul hutang&amp;piutang" sheetId="291" r:id="rId24"/>
    <sheet name="pem-peny &amp; transfer barang" sheetId="46" r:id="rId25"/>
    <sheet name="order produk beli" sheetId="40" r:id="rId26"/>
    <sheet name="order jasa beli" sheetId="43" r:id="rId27"/>
    <sheet name="order custom beli" sheetId="44" r:id="rId28"/>
    <sheet name="order transaksi cash" sheetId="252" r:id="rId29"/>
    <sheet name="R&amp;PP" sheetId="282" r:id="rId30"/>
    <sheet name="Cash Activity" sheetId="52" r:id="rId31"/>
    <sheet name="dropdown payment&amp;cash activity" sheetId="292" r:id="rId32"/>
    <sheet name="opsi pembayaran" sheetId="253" r:id="rId33"/>
    <sheet name="Pulldown Cash Activity" sheetId="91" r:id="rId34"/>
    <sheet name="dropdown bank-kas" sheetId="258" r:id="rId35"/>
    <sheet name="data giro" sheetId="283" r:id="rId36"/>
    <sheet name="pembayaran gaji" sheetId="280" r:id="rId37"/>
    <sheet name="BUKU BESAR" sheetId="295" r:id="rId38"/>
    <sheet name="transaksi jurnal umum" sheetId="60" r:id="rId39"/>
    <sheet name="order jurnal umum" sheetId="61" r:id="rId40"/>
    <sheet name="list rekonsiliasi bank" sheetId="76" r:id="rId41"/>
    <sheet name="rekonsiliasi bank" sheetId="55" r:id="rId42"/>
    <sheet name="tabel rekonsiliasi" sheetId="56" r:id="rId43"/>
    <sheet name="list produk" sheetId="71" r:id="rId44"/>
    <sheet name="produk" sheetId="8" r:id="rId45"/>
    <sheet name="type produk" sheetId="9" r:id="rId46"/>
    <sheet name="group produk" sheetId="22" r:id="rId47"/>
    <sheet name="kategori produk " sheetId="15" r:id="rId48"/>
    <sheet name="harga pokok" sheetId="251" r:id="rId49"/>
    <sheet name="list kontak" sheetId="96" r:id="rId50"/>
    <sheet name="kontak" sheetId="12" r:id="rId51"/>
    <sheet name="Grup diskon" sheetId="257" r:id="rId52"/>
    <sheet name="Golongan Kontak" sheetId="259" r:id="rId53"/>
    <sheet name="klasifikasi kontak" sheetId="14" r:id="rId54"/>
    <sheet name="type kontak" sheetId="13" r:id="rId55"/>
    <sheet name="user id" sheetId="62" r:id="rId56"/>
    <sheet name="role employee" sheetId="45" r:id="rId57"/>
    <sheet name="list data mata uang" sheetId="105" r:id="rId58"/>
    <sheet name="data mata uang" sheetId="20" r:id="rId59"/>
    <sheet name="default akun mata uang" sheetId="290" r:id="rId60"/>
    <sheet name="Kurs mata uang" sheetId="18" r:id="rId61"/>
    <sheet name="list data pajak" sheetId="106" r:id="rId62"/>
    <sheet name="data pajak" sheetId="16" r:id="rId63"/>
    <sheet name="list dokumen" sheetId="107" r:id="rId64"/>
    <sheet name="dokumen" sheetId="19" r:id="rId65"/>
    <sheet name="type dokumen" sheetId="26" r:id="rId66"/>
    <sheet name="Internal Note" sheetId="262" r:id="rId67"/>
    <sheet name="Note Type" sheetId="263" r:id="rId68"/>
    <sheet name="list satuan dasar" sheetId="108" r:id="rId69"/>
    <sheet name="satuan dasar" sheetId="21" r:id="rId70"/>
    <sheet name="list rekening perkiraan" sheetId="109" r:id="rId71"/>
    <sheet name="klasifikasi akun" sheetId="23" r:id="rId72"/>
    <sheet name="radiobutton rekper" sheetId="260" r:id="rId73"/>
    <sheet name="list lokasi" sheetId="112" r:id="rId74"/>
    <sheet name="lokasi" sheetId="24" r:id="rId75"/>
    <sheet name="order inventori" sheetId="47" r:id="rId76"/>
    <sheet name="order production input" sheetId="275" r:id="rId77"/>
    <sheet name="order production custom" sheetId="277" r:id="rId78"/>
    <sheet name="order finished produk" sheetId="276" r:id="rId79"/>
    <sheet name="dropdown_berulang" sheetId="255" r:id="rId80"/>
    <sheet name="kalender" sheetId="254" r:id="rId81"/>
    <sheet name="list data departemen" sheetId="111" r:id="rId82"/>
    <sheet name="data departemen" sheetId="30" r:id="rId83"/>
    <sheet name="list data proyek" sheetId="110" r:id="rId84"/>
    <sheet name="data proyek" sheetId="29" r:id="rId85"/>
    <sheet name="status proyek" sheetId="264" r:id="rId86"/>
    <sheet name="list data harta tetap" sheetId="117" r:id="rId87"/>
    <sheet name="data harta tetap" sheetId="115" r:id="rId88"/>
    <sheet name="diperoleh" sheetId="273" r:id="rId89"/>
    <sheet name="kelompok harta tetap" sheetId="114" r:id="rId90"/>
    <sheet name="tabel penyusutan" sheetId="116" r:id="rId91"/>
    <sheet name="nama penyusutan" sheetId="269" r:id="rId92"/>
    <sheet name="closing" sheetId="272" r:id="rId93"/>
    <sheet name="order_closing" sheetId="271" r:id="rId94"/>
    <sheet name="rekening anggaran" sheetId="32" r:id="rId95"/>
    <sheet name="periode akuntansi" sheetId="34" r:id="rId96"/>
    <sheet name="dropdownPPT barang" sheetId="279" r:id="rId97"/>
    <sheet name="kode transaksi" sheetId="28" r:id="rId98"/>
    <sheet name="stocklist" sheetId="261" r:id="rId99"/>
    <sheet name="term pembayaran" sheetId="25" r:id="rId100"/>
    <sheet name="opsi annual" sheetId="256" r:id="rId101"/>
  </sheets>
  <definedNames>
    <definedName name="_xlnm._FilterDatabase" localSheetId="37" hidden="1">'BUKU BESAR'!$A$1:$AE$294</definedName>
    <definedName name="_xlnm._FilterDatabase" localSheetId="71" hidden="1">'klasifikasi akun'!$A$2:$G$2</definedName>
    <definedName name="_xlnm._FilterDatabase" localSheetId="50" hidden="1">kontak!$A$2:$CI$8</definedName>
    <definedName name="_xlnm._FilterDatabase" localSheetId="75" hidden="1">'order inventori'!$A$1:$W$34</definedName>
    <definedName name="_xlnm._FilterDatabase" localSheetId="25" hidden="1">'order produk beli'!$A$1:$AB$1</definedName>
    <definedName name="_xlnm._FilterDatabase" localSheetId="13" hidden="1">'order produk jual'!$A$1:$AE$1</definedName>
    <definedName name="_xlnm._FilterDatabase" localSheetId="28" hidden="1">'order transaksi cash'!$A$2:$AF$2</definedName>
    <definedName name="_xlnm._FilterDatabase" localSheetId="44" hidden="1">produk!$A$2:$BR$7</definedName>
    <definedName name="_xlnm._FilterDatabase" localSheetId="29" hidden="1">'R&amp;PP'!$A$2:$Y$2</definedName>
    <definedName name="_xlnm._FilterDatabase" localSheetId="1" hidden="1">'rekening perkiraan'!$A$2:$I$40</definedName>
    <definedName name="_xlnm._FilterDatabase" localSheetId="11" hidden="1">'retur barang konsinyasi'!$A$2:$AJ$2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57" i="295" l="1"/>
  <c r="AC156" i="295"/>
  <c r="AB157" i="295"/>
  <c r="Y157" i="295"/>
  <c r="X157" i="295"/>
  <c r="U157" i="295"/>
  <c r="T157" i="295"/>
  <c r="R157" i="295"/>
  <c r="Q157" i="295"/>
  <c r="P157" i="295"/>
  <c r="O157" i="295"/>
  <c r="N154" i="295"/>
  <c r="N157" i="295"/>
  <c r="M157" i="295"/>
  <c r="L157" i="295"/>
  <c r="K157" i="295"/>
  <c r="J157" i="295"/>
  <c r="I157" i="295"/>
  <c r="H157" i="295"/>
  <c r="G157" i="295"/>
  <c r="D157" i="295"/>
  <c r="E157" i="295"/>
  <c r="F157" i="295"/>
  <c r="B157" i="295"/>
  <c r="T3" i="61"/>
  <c r="T2" i="61"/>
  <c r="S2" i="61"/>
  <c r="S3" i="61"/>
  <c r="S4" i="61"/>
  <c r="R3" i="60"/>
  <c r="R2" i="60"/>
  <c r="B3" i="60"/>
  <c r="B2" i="60"/>
  <c r="E4" i="16" l="1"/>
  <c r="E32" i="90" l="1"/>
  <c r="E34" i="90" s="1"/>
  <c r="F24" i="47" l="1"/>
  <c r="F23" i="47"/>
  <c r="J24" i="47"/>
  <c r="I24" i="47"/>
  <c r="H2" i="276"/>
  <c r="F2" i="276"/>
  <c r="AQ10" i="8"/>
  <c r="W24" i="47" s="1"/>
  <c r="AQ3" i="8"/>
  <c r="AP10" i="8"/>
  <c r="V24" i="47" s="1"/>
  <c r="AO10" i="8"/>
  <c r="U24" i="47" s="1"/>
  <c r="AO3" i="8"/>
  <c r="S10" i="8"/>
  <c r="S3" i="8"/>
  <c r="R10" i="8"/>
  <c r="R3" i="8"/>
  <c r="M10" i="8"/>
  <c r="M9" i="8"/>
  <c r="N10" i="8"/>
  <c r="N9" i="8"/>
  <c r="E10" i="8"/>
  <c r="D10" i="8"/>
  <c r="D3" i="8"/>
  <c r="P24" i="47"/>
  <c r="L24" i="47"/>
  <c r="M23" i="47"/>
  <c r="M22" i="47"/>
  <c r="F22" i="47"/>
  <c r="F21" i="47"/>
  <c r="S24" i="47" l="1"/>
  <c r="M129" i="295"/>
  <c r="L129" i="295"/>
  <c r="E19" i="17" l="1"/>
  <c r="D19" i="17"/>
  <c r="D13" i="17"/>
  <c r="E17" i="17"/>
  <c r="D17" i="17"/>
  <c r="D11" i="17"/>
  <c r="G50" i="285" l="1"/>
  <c r="G44" i="285"/>
  <c r="G51" i="285"/>
  <c r="G45" i="285"/>
  <c r="G35" i="285"/>
  <c r="G36" i="285" s="1"/>
  <c r="G37" i="285" s="1"/>
  <c r="E35" i="285"/>
  <c r="E27" i="285"/>
  <c r="E16" i="285"/>
  <c r="E15" i="285"/>
  <c r="E4" i="17"/>
  <c r="E7" i="17"/>
  <c r="E6" i="17"/>
  <c r="E5" i="17"/>
  <c r="E8" i="17"/>
  <c r="E9" i="17"/>
  <c r="E10" i="17"/>
  <c r="E11" i="17"/>
  <c r="E12" i="17"/>
  <c r="E13" i="17"/>
  <c r="E14" i="17"/>
  <c r="E15" i="17"/>
  <c r="E16" i="17"/>
  <c r="E18" i="17"/>
  <c r="E32" i="17"/>
  <c r="E33" i="17"/>
  <c r="E34" i="17"/>
  <c r="E35" i="17"/>
  <c r="E37" i="17"/>
  <c r="E38" i="17"/>
  <c r="E3" i="17"/>
  <c r="E40" i="17"/>
  <c r="E39" i="17"/>
  <c r="E36" i="17"/>
  <c r="F55" i="288" l="1"/>
  <c r="E31" i="17"/>
  <c r="E30" i="17"/>
  <c r="E29" i="17"/>
  <c r="E28" i="17"/>
  <c r="E27" i="17"/>
  <c r="E26" i="17"/>
  <c r="E25" i="17"/>
  <c r="E24" i="17"/>
  <c r="E23" i="17"/>
  <c r="E22" i="17"/>
  <c r="E21" i="17"/>
  <c r="E20" i="17"/>
  <c r="E30" i="288"/>
  <c r="E31" i="288"/>
  <c r="E35" i="288"/>
  <c r="D29" i="288"/>
  <c r="E26" i="288"/>
  <c r="D25" i="288"/>
  <c r="D52" i="288"/>
  <c r="D50" i="288"/>
  <c r="D48" i="288"/>
  <c r="AB156" i="295" l="1"/>
  <c r="H156" i="295"/>
  <c r="E156" i="295"/>
  <c r="D156" i="295"/>
  <c r="AB155" i="295"/>
  <c r="H155" i="295"/>
  <c r="E155" i="295"/>
  <c r="D155" i="295"/>
  <c r="M154" i="295"/>
  <c r="L154" i="295"/>
  <c r="J154" i="295"/>
  <c r="I154" i="295"/>
  <c r="E154" i="295"/>
  <c r="D154" i="295"/>
  <c r="M153" i="295"/>
  <c r="L153" i="295"/>
  <c r="J153" i="295"/>
  <c r="I153" i="295"/>
  <c r="F153" i="295"/>
  <c r="E153" i="295"/>
  <c r="D153" i="295"/>
  <c r="Y152" i="295"/>
  <c r="X152" i="295"/>
  <c r="V152" i="295"/>
  <c r="M152" i="295"/>
  <c r="L152" i="295"/>
  <c r="K152" i="295"/>
  <c r="J152" i="295"/>
  <c r="I152" i="295"/>
  <c r="H152" i="295"/>
  <c r="E152" i="295"/>
  <c r="D152" i="295"/>
  <c r="Y151" i="295"/>
  <c r="X151" i="295"/>
  <c r="M151" i="295"/>
  <c r="L151" i="295"/>
  <c r="K151" i="295"/>
  <c r="J151" i="295"/>
  <c r="I151" i="295"/>
  <c r="H151" i="295"/>
  <c r="E151" i="295"/>
  <c r="D151" i="295"/>
  <c r="Y150" i="295"/>
  <c r="X150" i="295"/>
  <c r="M150" i="295"/>
  <c r="L150" i="295"/>
  <c r="K150" i="295"/>
  <c r="J150" i="295"/>
  <c r="I150" i="295"/>
  <c r="H150" i="295"/>
  <c r="E150" i="295"/>
  <c r="D150" i="295"/>
  <c r="Y149" i="295"/>
  <c r="X149" i="295"/>
  <c r="M149" i="295"/>
  <c r="L149" i="295"/>
  <c r="K149" i="295"/>
  <c r="J149" i="295"/>
  <c r="I149" i="295"/>
  <c r="H149" i="295"/>
  <c r="E149" i="295"/>
  <c r="D149" i="295"/>
  <c r="Y148" i="295"/>
  <c r="X148" i="295"/>
  <c r="M148" i="295"/>
  <c r="L148" i="295"/>
  <c r="K148" i="295"/>
  <c r="I148" i="295"/>
  <c r="H148" i="295"/>
  <c r="E148" i="295"/>
  <c r="D148" i="295"/>
  <c r="Y147" i="295"/>
  <c r="X147" i="295"/>
  <c r="M147" i="295"/>
  <c r="L147" i="295"/>
  <c r="K147" i="295"/>
  <c r="I147" i="295"/>
  <c r="H147" i="295"/>
  <c r="E147" i="295"/>
  <c r="D147" i="295"/>
  <c r="Y146" i="295"/>
  <c r="X146" i="295"/>
  <c r="M146" i="295"/>
  <c r="L146" i="295"/>
  <c r="K146" i="295"/>
  <c r="I146" i="295"/>
  <c r="H146" i="295"/>
  <c r="E146" i="295"/>
  <c r="D146" i="295"/>
  <c r="Y145" i="295"/>
  <c r="X145" i="295"/>
  <c r="M145" i="295"/>
  <c r="L145" i="295"/>
  <c r="K145" i="295"/>
  <c r="I145" i="295"/>
  <c r="H145" i="295"/>
  <c r="E145" i="295"/>
  <c r="D145" i="295"/>
  <c r="Y144" i="295"/>
  <c r="X144" i="295"/>
  <c r="M144" i="295"/>
  <c r="J144" i="295"/>
  <c r="I144" i="295"/>
  <c r="E144" i="295"/>
  <c r="D144" i="295"/>
  <c r="Y143" i="295"/>
  <c r="X143" i="295"/>
  <c r="M143" i="295"/>
  <c r="J143" i="295"/>
  <c r="I143" i="295"/>
  <c r="E143" i="295"/>
  <c r="D143" i="295"/>
  <c r="Y142" i="295"/>
  <c r="X142" i="295"/>
  <c r="M142" i="295"/>
  <c r="J142" i="295"/>
  <c r="I142" i="295"/>
  <c r="E142" i="295"/>
  <c r="D142" i="295"/>
  <c r="Y141" i="295"/>
  <c r="X141" i="295"/>
  <c r="M141" i="295"/>
  <c r="J141" i="295"/>
  <c r="I141" i="295"/>
  <c r="E141" i="295"/>
  <c r="D141" i="295"/>
  <c r="Y140" i="295"/>
  <c r="X140" i="295"/>
  <c r="M140" i="295"/>
  <c r="J140" i="295"/>
  <c r="I140" i="295"/>
  <c r="E140" i="295"/>
  <c r="D140" i="295"/>
  <c r="Y139" i="295"/>
  <c r="X139" i="295"/>
  <c r="M139" i="295"/>
  <c r="J139" i="295"/>
  <c r="I139" i="295"/>
  <c r="H139" i="295"/>
  <c r="E139" i="295"/>
  <c r="D139" i="295"/>
  <c r="Y138" i="295"/>
  <c r="X138" i="295"/>
  <c r="M138" i="295"/>
  <c r="J138" i="295"/>
  <c r="I138" i="295"/>
  <c r="H138" i="295"/>
  <c r="E138" i="295"/>
  <c r="D138" i="295"/>
  <c r="Y137" i="295"/>
  <c r="X137" i="295"/>
  <c r="M137" i="295"/>
  <c r="J137" i="295"/>
  <c r="I137" i="295"/>
  <c r="H137" i="295"/>
  <c r="E137" i="295"/>
  <c r="D137" i="295"/>
  <c r="Y136" i="295"/>
  <c r="X136" i="295"/>
  <c r="M136" i="295"/>
  <c r="J136" i="295"/>
  <c r="I136" i="295"/>
  <c r="E136" i="295"/>
  <c r="D136" i="295"/>
  <c r="Y135" i="295"/>
  <c r="X135" i="295"/>
  <c r="M135" i="295"/>
  <c r="J135" i="295"/>
  <c r="I135" i="295"/>
  <c r="E135" i="295"/>
  <c r="D135" i="295"/>
  <c r="Y134" i="295"/>
  <c r="X134" i="295"/>
  <c r="M134" i="295"/>
  <c r="J134" i="295"/>
  <c r="I134" i="295"/>
  <c r="E134" i="295"/>
  <c r="D134" i="295"/>
  <c r="Y133" i="295"/>
  <c r="X133" i="295"/>
  <c r="M133" i="295"/>
  <c r="J133" i="295"/>
  <c r="I133" i="295"/>
  <c r="E133" i="295"/>
  <c r="D133" i="295"/>
  <c r="Y132" i="295"/>
  <c r="X132" i="295"/>
  <c r="M132" i="295"/>
  <c r="J132" i="295"/>
  <c r="I132" i="295"/>
  <c r="E132" i="295"/>
  <c r="D132" i="295"/>
  <c r="D131" i="295"/>
  <c r="Y130" i="295"/>
  <c r="X130" i="295"/>
  <c r="M130" i="295"/>
  <c r="J130" i="295"/>
  <c r="I130" i="295"/>
  <c r="E130" i="295"/>
  <c r="D130" i="295"/>
  <c r="J129" i="295"/>
  <c r="I129" i="295"/>
  <c r="F129" i="295"/>
  <c r="E129" i="295"/>
  <c r="D129" i="295"/>
  <c r="Y128" i="295"/>
  <c r="X128" i="295"/>
  <c r="M128" i="295"/>
  <c r="J128" i="295"/>
  <c r="I128" i="295"/>
  <c r="E128" i="295"/>
  <c r="D128" i="295"/>
  <c r="Y127" i="295"/>
  <c r="X127" i="295"/>
  <c r="M127" i="295"/>
  <c r="J127" i="295"/>
  <c r="I127" i="295"/>
  <c r="E127" i="295"/>
  <c r="D127" i="295"/>
  <c r="Y126" i="295"/>
  <c r="X126" i="295"/>
  <c r="M126" i="295"/>
  <c r="J126" i="295"/>
  <c r="I126" i="295"/>
  <c r="E126" i="295"/>
  <c r="D126" i="295"/>
  <c r="Y125" i="295"/>
  <c r="X125" i="295"/>
  <c r="M125" i="295"/>
  <c r="J125" i="295"/>
  <c r="I125" i="295"/>
  <c r="E125" i="295"/>
  <c r="D125" i="295"/>
  <c r="Y124" i="295"/>
  <c r="X124" i="295"/>
  <c r="M124" i="295"/>
  <c r="K124" i="295"/>
  <c r="J124" i="295"/>
  <c r="I124" i="295"/>
  <c r="E124" i="295"/>
  <c r="D124" i="295"/>
  <c r="Y123" i="295"/>
  <c r="X123" i="295"/>
  <c r="M123" i="295"/>
  <c r="K123" i="295"/>
  <c r="J123" i="295"/>
  <c r="I123" i="295"/>
  <c r="E123" i="295"/>
  <c r="D123" i="295"/>
  <c r="Y122" i="295"/>
  <c r="X122" i="295"/>
  <c r="M122" i="295"/>
  <c r="K122" i="295"/>
  <c r="J122" i="295"/>
  <c r="I122" i="295"/>
  <c r="E122" i="295"/>
  <c r="D122" i="295"/>
  <c r="Y121" i="295"/>
  <c r="X121" i="295"/>
  <c r="M121" i="295"/>
  <c r="K121" i="295"/>
  <c r="J121" i="295"/>
  <c r="I121" i="295"/>
  <c r="E121" i="295"/>
  <c r="D121" i="295"/>
  <c r="Y120" i="295"/>
  <c r="X120" i="295"/>
  <c r="M120" i="295"/>
  <c r="K120" i="295"/>
  <c r="J120" i="295"/>
  <c r="I120" i="295"/>
  <c r="E120" i="295"/>
  <c r="D120" i="295"/>
  <c r="M119" i="295"/>
  <c r="J119" i="295"/>
  <c r="I119" i="295"/>
  <c r="E119" i="295"/>
  <c r="D119" i="295"/>
  <c r="M118" i="295"/>
  <c r="J118" i="295"/>
  <c r="I118" i="295"/>
  <c r="E118" i="295"/>
  <c r="D118" i="295"/>
  <c r="M117" i="295"/>
  <c r="J117" i="295"/>
  <c r="I117" i="295"/>
  <c r="E117" i="295"/>
  <c r="D117" i="295"/>
  <c r="M116" i="295"/>
  <c r="J116" i="295"/>
  <c r="I116" i="295"/>
  <c r="E116" i="295"/>
  <c r="D116" i="295"/>
  <c r="M115" i="295"/>
  <c r="J115" i="295"/>
  <c r="I115" i="295"/>
  <c r="E115" i="295"/>
  <c r="D115" i="295"/>
  <c r="Y114" i="295"/>
  <c r="X114" i="295"/>
  <c r="M114" i="295"/>
  <c r="K114" i="295"/>
  <c r="J114" i="295"/>
  <c r="I114" i="295"/>
  <c r="E114" i="295"/>
  <c r="D114" i="295"/>
  <c r="Y113" i="295"/>
  <c r="X113" i="295"/>
  <c r="M113" i="295"/>
  <c r="K113" i="295"/>
  <c r="J113" i="295"/>
  <c r="I113" i="295"/>
  <c r="E113" i="295"/>
  <c r="D113" i="295"/>
  <c r="M112" i="295"/>
  <c r="J112" i="295"/>
  <c r="I112" i="295"/>
  <c r="H112" i="295"/>
  <c r="E112" i="295"/>
  <c r="D112" i="295"/>
  <c r="M111" i="295"/>
  <c r="J111" i="295"/>
  <c r="I111" i="295"/>
  <c r="H111" i="295"/>
  <c r="E111" i="295"/>
  <c r="D111" i="295"/>
  <c r="M110" i="295"/>
  <c r="J110" i="295"/>
  <c r="I110" i="295"/>
  <c r="H110" i="295"/>
  <c r="E110" i="295"/>
  <c r="D110" i="295"/>
  <c r="M109" i="295"/>
  <c r="J109" i="295"/>
  <c r="I109" i="295"/>
  <c r="E109" i="295"/>
  <c r="D109" i="295"/>
  <c r="M108" i="295"/>
  <c r="J108" i="295"/>
  <c r="I108" i="295"/>
  <c r="E108" i="295"/>
  <c r="D108" i="295"/>
  <c r="M107" i="295"/>
  <c r="J107" i="295"/>
  <c r="I107" i="295"/>
  <c r="E107" i="295"/>
  <c r="D107" i="295"/>
  <c r="M106" i="295"/>
  <c r="J106" i="295"/>
  <c r="I106" i="295"/>
  <c r="E106" i="295"/>
  <c r="D106" i="295"/>
  <c r="M105" i="295"/>
  <c r="J105" i="295"/>
  <c r="I105" i="295"/>
  <c r="E105" i="295"/>
  <c r="D105" i="295"/>
  <c r="M104" i="295"/>
  <c r="J104" i="295"/>
  <c r="I104" i="295"/>
  <c r="E104" i="295"/>
  <c r="D104" i="295"/>
  <c r="Y103" i="295"/>
  <c r="X103" i="295"/>
  <c r="M103" i="295"/>
  <c r="J103" i="295"/>
  <c r="I103" i="295"/>
  <c r="H103" i="295"/>
  <c r="E103" i="295"/>
  <c r="D103" i="295"/>
  <c r="Y102" i="295"/>
  <c r="X102" i="295"/>
  <c r="M102" i="295"/>
  <c r="J102" i="295"/>
  <c r="I102" i="295"/>
  <c r="H102" i="295"/>
  <c r="E102" i="295"/>
  <c r="D102" i="295"/>
  <c r="P101" i="295"/>
  <c r="R101" i="295" s="1"/>
  <c r="K101" i="295"/>
  <c r="E101" i="295"/>
  <c r="D101" i="295"/>
  <c r="O100" i="295"/>
  <c r="Q100" i="295" s="1"/>
  <c r="K100" i="295"/>
  <c r="F100" i="295"/>
  <c r="E100" i="295"/>
  <c r="D100" i="295"/>
  <c r="Y99" i="295"/>
  <c r="X99" i="295"/>
  <c r="M99" i="295"/>
  <c r="J99" i="295"/>
  <c r="I99" i="295"/>
  <c r="H99" i="295"/>
  <c r="E99" i="295"/>
  <c r="D99" i="295"/>
  <c r="Y98" i="295"/>
  <c r="X98" i="295"/>
  <c r="M98" i="295"/>
  <c r="J98" i="295"/>
  <c r="I98" i="295"/>
  <c r="H98" i="295"/>
  <c r="E98" i="295"/>
  <c r="D98" i="295"/>
  <c r="Y97" i="295"/>
  <c r="X97" i="295"/>
  <c r="M97" i="295"/>
  <c r="J97" i="295"/>
  <c r="I97" i="295"/>
  <c r="H97" i="295"/>
  <c r="E97" i="295"/>
  <c r="D97" i="295"/>
  <c r="Y96" i="295"/>
  <c r="X96" i="295"/>
  <c r="O96" i="295"/>
  <c r="Q96" i="295" s="1"/>
  <c r="K96" i="295"/>
  <c r="E96" i="295"/>
  <c r="D96" i="295"/>
  <c r="Y95" i="295"/>
  <c r="X95" i="295"/>
  <c r="P95" i="295"/>
  <c r="R95" i="295" s="1"/>
  <c r="K95" i="295"/>
  <c r="E95" i="295"/>
  <c r="D95" i="295"/>
  <c r="Y94" i="295"/>
  <c r="X94" i="295"/>
  <c r="M94" i="295"/>
  <c r="J94" i="295"/>
  <c r="I94" i="295"/>
  <c r="H94" i="295"/>
  <c r="E94" i="295"/>
  <c r="D94" i="295"/>
  <c r="Y93" i="295"/>
  <c r="X93" i="295"/>
  <c r="M93" i="295"/>
  <c r="J93" i="295"/>
  <c r="I93" i="295"/>
  <c r="H93" i="295"/>
  <c r="E93" i="295"/>
  <c r="D93" i="295"/>
  <c r="Y92" i="295"/>
  <c r="X92" i="295"/>
  <c r="M92" i="295"/>
  <c r="J92" i="295"/>
  <c r="I92" i="295"/>
  <c r="H92" i="295"/>
  <c r="E92" i="295"/>
  <c r="D92" i="295"/>
  <c r="Y91" i="295"/>
  <c r="X91" i="295"/>
  <c r="M91" i="295"/>
  <c r="J91" i="295"/>
  <c r="I91" i="295"/>
  <c r="H91" i="295"/>
  <c r="E91" i="295"/>
  <c r="D91" i="295"/>
  <c r="Y90" i="295"/>
  <c r="X90" i="295"/>
  <c r="M90" i="295"/>
  <c r="J90" i="295"/>
  <c r="I90" i="295"/>
  <c r="H90" i="295"/>
  <c r="E90" i="295"/>
  <c r="D90" i="295"/>
  <c r="Y89" i="295"/>
  <c r="X89" i="295"/>
  <c r="M89" i="295"/>
  <c r="J89" i="295"/>
  <c r="I89" i="295"/>
  <c r="H89" i="295"/>
  <c r="E89" i="295"/>
  <c r="D89" i="295"/>
  <c r="Y88" i="295"/>
  <c r="X88" i="295"/>
  <c r="M88" i="295"/>
  <c r="J88" i="295"/>
  <c r="I88" i="295"/>
  <c r="H88" i="295"/>
  <c r="F88" i="295"/>
  <c r="E88" i="295"/>
  <c r="D88" i="295"/>
  <c r="Y87" i="295"/>
  <c r="X87" i="295"/>
  <c r="M87" i="295"/>
  <c r="J87" i="295"/>
  <c r="I87" i="295"/>
  <c r="H87" i="295"/>
  <c r="E87" i="295"/>
  <c r="D87" i="295"/>
  <c r="Y86" i="295"/>
  <c r="X86" i="295"/>
  <c r="M86" i="295"/>
  <c r="J86" i="295"/>
  <c r="I86" i="295"/>
  <c r="H86" i="295"/>
  <c r="E86" i="295"/>
  <c r="D86" i="295"/>
  <c r="Y85" i="295"/>
  <c r="X85" i="295"/>
  <c r="M85" i="295"/>
  <c r="J85" i="295"/>
  <c r="I85" i="295"/>
  <c r="H85" i="295"/>
  <c r="E85" i="295"/>
  <c r="D85" i="295"/>
  <c r="Y84" i="295"/>
  <c r="X84" i="295"/>
  <c r="M84" i="295"/>
  <c r="J84" i="295"/>
  <c r="I84" i="295"/>
  <c r="H84" i="295"/>
  <c r="E84" i="295"/>
  <c r="D84" i="295"/>
  <c r="AB83" i="295"/>
  <c r="K83" i="295"/>
  <c r="H83" i="295"/>
  <c r="E83" i="295"/>
  <c r="D83" i="295"/>
  <c r="T82" i="295"/>
  <c r="K82" i="295"/>
  <c r="H82" i="295"/>
  <c r="F82" i="295"/>
  <c r="E82" i="295"/>
  <c r="D82" i="295"/>
  <c r="AB81" i="295"/>
  <c r="O81" i="295"/>
  <c r="Q81" i="295" s="1"/>
  <c r="K81" i="295"/>
  <c r="H81" i="295"/>
  <c r="E81" i="295"/>
  <c r="D81" i="295"/>
  <c r="T80" i="295"/>
  <c r="P80" i="295"/>
  <c r="R80" i="295" s="1"/>
  <c r="K80" i="295"/>
  <c r="H80" i="295"/>
  <c r="E80" i="295"/>
  <c r="D80" i="295"/>
  <c r="AB79" i="295"/>
  <c r="O79" i="295"/>
  <c r="K79" i="295"/>
  <c r="H79" i="295"/>
  <c r="E79" i="295"/>
  <c r="D79" i="295"/>
  <c r="T78" i="295"/>
  <c r="P78" i="295"/>
  <c r="K78" i="295"/>
  <c r="H78" i="295"/>
  <c r="E78" i="295"/>
  <c r="D78" i="295"/>
  <c r="M77" i="295"/>
  <c r="J77" i="295"/>
  <c r="I77" i="295"/>
  <c r="H77" i="295"/>
  <c r="E77" i="295"/>
  <c r="D77" i="295"/>
  <c r="M76" i="295"/>
  <c r="J76" i="295"/>
  <c r="I76" i="295"/>
  <c r="H76" i="295"/>
  <c r="E76" i="295"/>
  <c r="D76" i="295"/>
  <c r="M75" i="295"/>
  <c r="J75" i="295"/>
  <c r="I75" i="295"/>
  <c r="H75" i="295"/>
  <c r="E75" i="295"/>
  <c r="D75" i="295"/>
  <c r="M74" i="295"/>
  <c r="J74" i="295"/>
  <c r="I74" i="295"/>
  <c r="H74" i="295"/>
  <c r="E74" i="295"/>
  <c r="D74" i="295"/>
  <c r="M73" i="295"/>
  <c r="J73" i="295"/>
  <c r="I73" i="295"/>
  <c r="H73" i="295"/>
  <c r="E73" i="295"/>
  <c r="D73" i="295"/>
  <c r="M72" i="295"/>
  <c r="J72" i="295"/>
  <c r="I72" i="295"/>
  <c r="H72" i="295"/>
  <c r="E72" i="295"/>
  <c r="D72" i="295"/>
  <c r="Y71" i="295"/>
  <c r="X71" i="295"/>
  <c r="M71" i="295"/>
  <c r="J71" i="295"/>
  <c r="I71" i="295"/>
  <c r="H71" i="295"/>
  <c r="E71" i="295"/>
  <c r="D71" i="295"/>
  <c r="Y70" i="295"/>
  <c r="X70" i="295"/>
  <c r="M70" i="295"/>
  <c r="J70" i="295"/>
  <c r="I70" i="295"/>
  <c r="H70" i="295"/>
  <c r="E70" i="295"/>
  <c r="D70" i="295"/>
  <c r="M69" i="295"/>
  <c r="J69" i="295"/>
  <c r="I69" i="295"/>
  <c r="H69" i="295"/>
  <c r="E69" i="295"/>
  <c r="D69" i="295"/>
  <c r="M68" i="295"/>
  <c r="J68" i="295"/>
  <c r="I68" i="295"/>
  <c r="H68" i="295"/>
  <c r="E68" i="295"/>
  <c r="D68" i="295"/>
  <c r="O67" i="295"/>
  <c r="K67" i="295"/>
  <c r="E67" i="295"/>
  <c r="D67" i="295"/>
  <c r="P66" i="295"/>
  <c r="K66" i="295"/>
  <c r="E66" i="295"/>
  <c r="D66" i="295"/>
  <c r="K65" i="295"/>
  <c r="J65" i="295"/>
  <c r="I65" i="295"/>
  <c r="E65" i="295"/>
  <c r="D65" i="295"/>
  <c r="K64" i="295"/>
  <c r="J64" i="295"/>
  <c r="I64" i="295"/>
  <c r="E64" i="295"/>
  <c r="D64" i="295"/>
  <c r="K63" i="295"/>
  <c r="J63" i="295"/>
  <c r="I63" i="295"/>
  <c r="E63" i="295"/>
  <c r="D63" i="295"/>
  <c r="K62" i="295"/>
  <c r="J62" i="295"/>
  <c r="I62" i="295"/>
  <c r="E62" i="295"/>
  <c r="D62" i="295"/>
  <c r="K61" i="295"/>
  <c r="J61" i="295"/>
  <c r="I61" i="295"/>
  <c r="E61" i="295"/>
  <c r="D61" i="295"/>
  <c r="Y60" i="295"/>
  <c r="X60" i="295"/>
  <c r="K60" i="295"/>
  <c r="E60" i="295"/>
  <c r="D60" i="295"/>
  <c r="Y59" i="295"/>
  <c r="X59" i="295"/>
  <c r="K59" i="295"/>
  <c r="E59" i="295"/>
  <c r="D59" i="295"/>
  <c r="Y58" i="295"/>
  <c r="X58" i="295"/>
  <c r="P58" i="295"/>
  <c r="R58" i="295" s="1"/>
  <c r="K58" i="295"/>
  <c r="E58" i="295"/>
  <c r="D58" i="295"/>
  <c r="Y57" i="295"/>
  <c r="X57" i="295"/>
  <c r="O57" i="295"/>
  <c r="Q57" i="295" s="1"/>
  <c r="K57" i="295"/>
  <c r="E57" i="295"/>
  <c r="D57" i="295"/>
  <c r="Y56" i="295"/>
  <c r="X56" i="295"/>
  <c r="P56" i="295"/>
  <c r="K56" i="295"/>
  <c r="E56" i="295"/>
  <c r="D56" i="295"/>
  <c r="Y55" i="295"/>
  <c r="X55" i="295"/>
  <c r="O55" i="295"/>
  <c r="K55" i="295"/>
  <c r="F55" i="295"/>
  <c r="E55" i="295"/>
  <c r="D55" i="295"/>
  <c r="M54" i="295"/>
  <c r="J54" i="295"/>
  <c r="I54" i="295"/>
  <c r="E54" i="295"/>
  <c r="D54" i="295"/>
  <c r="M53" i="295"/>
  <c r="J53" i="295"/>
  <c r="I53" i="295"/>
  <c r="E53" i="295"/>
  <c r="D53" i="295"/>
  <c r="M52" i="295"/>
  <c r="J52" i="295"/>
  <c r="I52" i="295"/>
  <c r="E52" i="295"/>
  <c r="D52" i="295"/>
  <c r="M51" i="295"/>
  <c r="J51" i="295"/>
  <c r="I51" i="295"/>
  <c r="E51" i="295"/>
  <c r="D51" i="295"/>
  <c r="M50" i="295"/>
  <c r="J50" i="295"/>
  <c r="I50" i="295"/>
  <c r="E50" i="295"/>
  <c r="D50" i="295"/>
  <c r="Y49" i="295"/>
  <c r="X49" i="295"/>
  <c r="M49" i="295"/>
  <c r="J49" i="295"/>
  <c r="I49" i="295"/>
  <c r="E49" i="295"/>
  <c r="D49" i="295"/>
  <c r="Y48" i="295"/>
  <c r="X48" i="295"/>
  <c r="M48" i="295"/>
  <c r="J48" i="295"/>
  <c r="I48" i="295"/>
  <c r="E48" i="295"/>
  <c r="D48" i="295"/>
  <c r="Y47" i="295"/>
  <c r="X47" i="295"/>
  <c r="M47" i="295"/>
  <c r="J47" i="295"/>
  <c r="I47" i="295"/>
  <c r="E47" i="295"/>
  <c r="D47" i="295"/>
  <c r="Y46" i="295"/>
  <c r="X46" i="295"/>
  <c r="M46" i="295"/>
  <c r="J46" i="295"/>
  <c r="I46" i="295"/>
  <c r="E46" i="295"/>
  <c r="D46" i="295"/>
  <c r="Y45" i="295"/>
  <c r="X45" i="295"/>
  <c r="M45" i="295"/>
  <c r="J45" i="295"/>
  <c r="I45" i="295"/>
  <c r="E45" i="295"/>
  <c r="D45" i="295"/>
  <c r="Y44" i="295"/>
  <c r="X44" i="295"/>
  <c r="P44" i="295"/>
  <c r="K44" i="295"/>
  <c r="E44" i="295"/>
  <c r="D44" i="295"/>
  <c r="Y43" i="295"/>
  <c r="X43" i="295"/>
  <c r="O43" i="295"/>
  <c r="K43" i="295"/>
  <c r="E43" i="295"/>
  <c r="D43" i="295"/>
  <c r="Y42" i="295"/>
  <c r="X42" i="295"/>
  <c r="M42" i="295"/>
  <c r="J42" i="295"/>
  <c r="I42" i="295"/>
  <c r="F42" i="295"/>
  <c r="E42" i="295"/>
  <c r="D42" i="295"/>
  <c r="Y41" i="295"/>
  <c r="X41" i="295"/>
  <c r="M41" i="295"/>
  <c r="J41" i="295"/>
  <c r="I41" i="295"/>
  <c r="E41" i="295"/>
  <c r="D41" i="295"/>
  <c r="Y40" i="295"/>
  <c r="X40" i="295"/>
  <c r="M40" i="295"/>
  <c r="J40" i="295"/>
  <c r="I40" i="295"/>
  <c r="E40" i="295"/>
  <c r="D40" i="295"/>
  <c r="Y39" i="295"/>
  <c r="X39" i="295"/>
  <c r="M39" i="295"/>
  <c r="J39" i="295"/>
  <c r="I39" i="295"/>
  <c r="E39" i="295"/>
  <c r="D39" i="295"/>
  <c r="Y38" i="295"/>
  <c r="X38" i="295"/>
  <c r="M38" i="295"/>
  <c r="J38" i="295"/>
  <c r="I38" i="295"/>
  <c r="E38" i="295"/>
  <c r="D38" i="295"/>
  <c r="Y37" i="295"/>
  <c r="X37" i="295"/>
  <c r="O37" i="295"/>
  <c r="K37" i="295"/>
  <c r="F37" i="295"/>
  <c r="E37" i="295"/>
  <c r="D37" i="295"/>
  <c r="Y36" i="295"/>
  <c r="X36" i="295"/>
  <c r="P36" i="295"/>
  <c r="K36" i="295"/>
  <c r="E36" i="295"/>
  <c r="D36" i="295"/>
  <c r="Y35" i="295"/>
  <c r="X35" i="295"/>
  <c r="K35" i="295"/>
  <c r="E35" i="295"/>
  <c r="D35" i="295"/>
  <c r="Y34" i="295"/>
  <c r="X34" i="295"/>
  <c r="P34" i="295"/>
  <c r="K34" i="295"/>
  <c r="E34" i="295"/>
  <c r="D34" i="295"/>
  <c r="Y33" i="295"/>
  <c r="X33" i="295"/>
  <c r="K33" i="295"/>
  <c r="E33" i="295"/>
  <c r="D33" i="295"/>
  <c r="Y32" i="295"/>
  <c r="X32" i="295"/>
  <c r="P32" i="295"/>
  <c r="K32" i="295"/>
  <c r="E32" i="295"/>
  <c r="D32" i="295"/>
  <c r="Y31" i="295"/>
  <c r="X31" i="295"/>
  <c r="K31" i="295"/>
  <c r="E31" i="295"/>
  <c r="D31" i="295"/>
  <c r="Y30" i="295"/>
  <c r="X30" i="295"/>
  <c r="O30" i="295"/>
  <c r="K30" i="295"/>
  <c r="E30" i="295"/>
  <c r="D30" i="295"/>
  <c r="Y29" i="295"/>
  <c r="X29" i="295"/>
  <c r="P29" i="295"/>
  <c r="K29" i="295"/>
  <c r="E29" i="295"/>
  <c r="D29" i="295"/>
  <c r="Y28" i="295"/>
  <c r="X28" i="295"/>
  <c r="O28" i="295"/>
  <c r="K28" i="295"/>
  <c r="E28" i="295"/>
  <c r="D28" i="295"/>
  <c r="Y27" i="295"/>
  <c r="X27" i="295"/>
  <c r="K27" i="295"/>
  <c r="E27" i="295"/>
  <c r="D27" i="295"/>
  <c r="Y26" i="295"/>
  <c r="X26" i="295"/>
  <c r="P26" i="295"/>
  <c r="K26" i="295"/>
  <c r="E26" i="295"/>
  <c r="D26" i="295"/>
  <c r="Y25" i="295"/>
  <c r="X25" i="295"/>
  <c r="P25" i="295"/>
  <c r="K25" i="295"/>
  <c r="E25" i="295"/>
  <c r="D25" i="295"/>
  <c r="Y24" i="295"/>
  <c r="X24" i="295"/>
  <c r="O24" i="295"/>
  <c r="K24" i="295"/>
  <c r="F24" i="295"/>
  <c r="E24" i="295"/>
  <c r="D24" i="295"/>
  <c r="Y23" i="295"/>
  <c r="X23" i="295"/>
  <c r="K23" i="295"/>
  <c r="E23" i="295"/>
  <c r="D23" i="295"/>
  <c r="Y22" i="295"/>
  <c r="X22" i="295"/>
  <c r="O22" i="295"/>
  <c r="K22" i="295"/>
  <c r="E22" i="295"/>
  <c r="D22" i="295"/>
  <c r="Y21" i="295"/>
  <c r="X21" i="295"/>
  <c r="P21" i="295"/>
  <c r="K21" i="295"/>
  <c r="E21" i="295"/>
  <c r="D21" i="295"/>
  <c r="Y20" i="295"/>
  <c r="X20" i="295"/>
  <c r="O20" i="295"/>
  <c r="K20" i="295"/>
  <c r="E20" i="295"/>
  <c r="D20" i="295"/>
  <c r="Y19" i="295"/>
  <c r="X19" i="295"/>
  <c r="K19" i="295"/>
  <c r="E19" i="295"/>
  <c r="D19" i="295"/>
  <c r="Y18" i="295"/>
  <c r="X18" i="295"/>
  <c r="P18" i="295"/>
  <c r="K18" i="295"/>
  <c r="E18" i="295"/>
  <c r="D18" i="295"/>
  <c r="Y17" i="295"/>
  <c r="X17" i="295"/>
  <c r="O17" i="295"/>
  <c r="K17" i="295"/>
  <c r="E17" i="295"/>
  <c r="D17" i="295"/>
  <c r="Y16" i="295"/>
  <c r="X16" i="295"/>
  <c r="P16" i="295"/>
  <c r="K16" i="295"/>
  <c r="E16" i="295"/>
  <c r="D16" i="295"/>
  <c r="Y15" i="295"/>
  <c r="X15" i="295"/>
  <c r="K15" i="295"/>
  <c r="E15" i="295"/>
  <c r="D15" i="295"/>
  <c r="Y14" i="295"/>
  <c r="X14" i="295"/>
  <c r="O14" i="295"/>
  <c r="K14" i="295"/>
  <c r="F14" i="295"/>
  <c r="E14" i="295"/>
  <c r="D14" i="295"/>
  <c r="Y13" i="295"/>
  <c r="X13" i="295"/>
  <c r="O13" i="295"/>
  <c r="K13" i="295"/>
  <c r="E13" i="295"/>
  <c r="D13" i="295"/>
  <c r="Y12" i="295"/>
  <c r="X12" i="295"/>
  <c r="P12" i="295"/>
  <c r="K12" i="295"/>
  <c r="E12" i="295"/>
  <c r="D12" i="295"/>
  <c r="Y11" i="295"/>
  <c r="X11" i="295"/>
  <c r="P11" i="295"/>
  <c r="M11" i="295"/>
  <c r="K11" i="295"/>
  <c r="H11" i="295"/>
  <c r="E11" i="295"/>
  <c r="D11" i="295"/>
  <c r="Y10" i="295"/>
  <c r="X10" i="295"/>
  <c r="O10" i="295"/>
  <c r="M10" i="295"/>
  <c r="K10" i="295"/>
  <c r="H10" i="295"/>
  <c r="E10" i="295"/>
  <c r="D10" i="295"/>
  <c r="Y9" i="295"/>
  <c r="X9" i="295"/>
  <c r="P9" i="295"/>
  <c r="M9" i="295"/>
  <c r="K9" i="295"/>
  <c r="H9" i="295"/>
  <c r="E9" i="295"/>
  <c r="D9" i="295"/>
  <c r="Y8" i="295"/>
  <c r="X8" i="295"/>
  <c r="O8" i="295"/>
  <c r="M8" i="295"/>
  <c r="K8" i="295"/>
  <c r="H8" i="295"/>
  <c r="F8" i="295"/>
  <c r="E8" i="295"/>
  <c r="D8" i="295"/>
  <c r="Y7" i="295"/>
  <c r="X7" i="295"/>
  <c r="O7" i="295"/>
  <c r="M7" i="295"/>
  <c r="K7" i="295"/>
  <c r="H7" i="295"/>
  <c r="E7" i="295"/>
  <c r="D7" i="295"/>
  <c r="Y6" i="295"/>
  <c r="X6" i="295"/>
  <c r="P6" i="295"/>
  <c r="M6" i="295"/>
  <c r="K6" i="295"/>
  <c r="H6" i="295"/>
  <c r="E6" i="295"/>
  <c r="D6" i="295"/>
  <c r="Y5" i="295"/>
  <c r="X5" i="295"/>
  <c r="O5" i="295"/>
  <c r="M5" i="295"/>
  <c r="K5" i="295"/>
  <c r="H5" i="295"/>
  <c r="E5" i="295"/>
  <c r="D5" i="295"/>
  <c r="Y4" i="295"/>
  <c r="X4" i="295"/>
  <c r="P4" i="295"/>
  <c r="M4" i="295"/>
  <c r="K4" i="295"/>
  <c r="H4" i="295"/>
  <c r="E4" i="295"/>
  <c r="D4" i="295"/>
  <c r="Y3" i="295"/>
  <c r="X3" i="295"/>
  <c r="O3" i="295"/>
  <c r="M3" i="295"/>
  <c r="K3" i="295"/>
  <c r="H3" i="295"/>
  <c r="E3" i="295"/>
  <c r="D3" i="295"/>
  <c r="Y2" i="295"/>
  <c r="X2" i="295"/>
  <c r="P2" i="295"/>
  <c r="M2" i="295"/>
  <c r="K2" i="295"/>
  <c r="H2" i="295"/>
  <c r="E2" i="295"/>
  <c r="D2" i="295"/>
  <c r="O34" i="252" l="1"/>
  <c r="O33" i="252"/>
  <c r="O31" i="252"/>
  <c r="O30" i="252"/>
  <c r="O29" i="252"/>
  <c r="O27" i="252"/>
  <c r="O26" i="252"/>
  <c r="O25" i="252"/>
  <c r="O23" i="252"/>
  <c r="N34" i="252"/>
  <c r="N33" i="252"/>
  <c r="N31" i="252"/>
  <c r="N30" i="252"/>
  <c r="N29" i="252"/>
  <c r="N27" i="252"/>
  <c r="N26" i="252"/>
  <c r="N25" i="252"/>
  <c r="N23" i="252"/>
  <c r="N22" i="252"/>
  <c r="O22" i="252"/>
  <c r="L83" i="295" l="1"/>
  <c r="L82" i="295"/>
  <c r="M83" i="295"/>
  <c r="M82" i="295"/>
  <c r="L66" i="295"/>
  <c r="L67" i="295"/>
  <c r="M96" i="295"/>
  <c r="M95" i="295"/>
  <c r="M67" i="295"/>
  <c r="M66" i="295"/>
  <c r="L55" i="295"/>
  <c r="L56" i="295"/>
  <c r="L60" i="295"/>
  <c r="L59" i="295"/>
  <c r="L96" i="295"/>
  <c r="L95" i="295"/>
  <c r="L58" i="295"/>
  <c r="L57" i="295"/>
  <c r="M59" i="295"/>
  <c r="M60" i="295"/>
  <c r="L44" i="295"/>
  <c r="L43" i="295"/>
  <c r="M56" i="295"/>
  <c r="M55" i="295"/>
  <c r="M58" i="295"/>
  <c r="M57" i="295"/>
  <c r="L79" i="295"/>
  <c r="L78" i="295"/>
  <c r="M44" i="295"/>
  <c r="M43" i="295"/>
  <c r="M79" i="295"/>
  <c r="M78" i="295"/>
  <c r="Z3" i="115"/>
  <c r="Y3" i="115"/>
  <c r="C153" i="295" s="1"/>
  <c r="U4" i="115"/>
  <c r="V3" i="115"/>
  <c r="U3" i="115"/>
  <c r="V4" i="115"/>
  <c r="S6" i="115"/>
  <c r="L8" i="115"/>
  <c r="D8" i="115"/>
  <c r="D7" i="115"/>
  <c r="D6" i="115"/>
  <c r="D5" i="115"/>
  <c r="D4" i="115"/>
  <c r="D3" i="115"/>
  <c r="C6" i="115"/>
  <c r="B8" i="115"/>
  <c r="C8" i="115" s="1"/>
  <c r="B7" i="115"/>
  <c r="C7" i="115" s="1"/>
  <c r="B6" i="115"/>
  <c r="B5" i="115"/>
  <c r="C5" i="115" s="1"/>
  <c r="B4" i="115"/>
  <c r="C4" i="115" s="1"/>
  <c r="B3" i="115"/>
  <c r="H154" i="295" l="1"/>
  <c r="H153" i="295"/>
  <c r="C3" i="115"/>
  <c r="G153" i="295"/>
  <c r="G154" i="295"/>
  <c r="H6" i="115"/>
  <c r="T153" i="295" l="1"/>
  <c r="T154" i="295"/>
  <c r="B153" i="295"/>
  <c r="B154" i="295"/>
  <c r="CD6" i="12"/>
  <c r="CD7" i="12"/>
  <c r="CD8" i="12"/>
  <c r="T2" i="60"/>
  <c r="V2" i="61" s="1"/>
  <c r="T3" i="60"/>
  <c r="V6" i="61" s="1"/>
  <c r="V4" i="61" l="1"/>
  <c r="V3" i="61"/>
  <c r="V5" i="61"/>
  <c r="C62" i="291" l="1"/>
  <c r="D3" i="254" s="1"/>
  <c r="B62" i="291"/>
  <c r="B61" i="291"/>
  <c r="C61" i="291" s="1"/>
  <c r="D2" i="254" s="1"/>
  <c r="B59" i="291"/>
  <c r="C59" i="291" s="1"/>
  <c r="B57" i="291"/>
  <c r="C57" i="291" s="1"/>
  <c r="B55" i="291"/>
  <c r="C55" i="291" s="1"/>
  <c r="B53" i="291"/>
  <c r="C53" i="291" s="1"/>
  <c r="B52" i="291"/>
  <c r="C52" i="291" s="1"/>
  <c r="B50" i="291"/>
  <c r="C50" i="291" s="1"/>
  <c r="B49" i="291"/>
  <c r="C49" i="291" s="1"/>
  <c r="B48" i="291"/>
  <c r="C48" i="291" s="1"/>
  <c r="B47" i="291"/>
  <c r="C47" i="291" s="1"/>
  <c r="B46" i="291"/>
  <c r="C46" i="291" s="1"/>
  <c r="B41" i="291"/>
  <c r="C41" i="291" s="1"/>
  <c r="B40" i="291"/>
  <c r="C40" i="291" s="1"/>
  <c r="B37" i="291"/>
  <c r="C37" i="291" s="1"/>
  <c r="B36" i="291"/>
  <c r="C36" i="291" s="1"/>
  <c r="B33" i="291"/>
  <c r="C33" i="291" s="1"/>
  <c r="B32" i="291"/>
  <c r="C32" i="291" s="1"/>
  <c r="B31" i="291"/>
  <c r="C31" i="291" s="1"/>
  <c r="B30" i="291"/>
  <c r="C30" i="291" s="1"/>
  <c r="B29" i="291"/>
  <c r="C29" i="291" s="1"/>
  <c r="B26" i="291"/>
  <c r="C26" i="291" s="1"/>
  <c r="B25" i="291"/>
  <c r="C25" i="291" s="1"/>
  <c r="B22" i="291"/>
  <c r="C22" i="291" s="1"/>
  <c r="B21" i="291"/>
  <c r="C21" i="291" s="1"/>
  <c r="B20" i="291"/>
  <c r="C20" i="291" s="1"/>
  <c r="B19" i="291"/>
  <c r="C19" i="291" s="1"/>
  <c r="B18" i="291"/>
  <c r="C18" i="291" s="1"/>
  <c r="B17" i="291"/>
  <c r="C17" i="291" s="1"/>
  <c r="B16" i="291"/>
  <c r="C16" i="291" s="1"/>
  <c r="B15" i="291"/>
  <c r="C15" i="291" s="1"/>
  <c r="B14" i="291"/>
  <c r="C14" i="291" s="1"/>
  <c r="B13" i="291"/>
  <c r="C13" i="291" s="1"/>
  <c r="B12" i="291"/>
  <c r="C12" i="291" s="1"/>
  <c r="B11" i="291"/>
  <c r="C11" i="291" s="1"/>
  <c r="B10" i="291"/>
  <c r="C10" i="291" s="1"/>
  <c r="B9" i="291"/>
  <c r="C9" i="291" s="1"/>
  <c r="B8" i="291"/>
  <c r="C8" i="291" s="1"/>
  <c r="B7" i="291"/>
  <c r="C7" i="291" s="1"/>
  <c r="B6" i="291"/>
  <c r="C6" i="291" s="1"/>
  <c r="B5" i="291"/>
  <c r="C5" i="291" s="1"/>
  <c r="B4" i="291"/>
  <c r="C4" i="291" s="1"/>
  <c r="B3" i="291"/>
  <c r="C3" i="291" s="1"/>
  <c r="B2" i="291"/>
  <c r="C2" i="291" s="1"/>
  <c r="B12" i="5"/>
  <c r="C12" i="5" s="1"/>
  <c r="S62" i="291"/>
  <c r="X62" i="291"/>
  <c r="Y62" i="291"/>
  <c r="T61" i="291"/>
  <c r="C2" i="254" s="1"/>
  <c r="D8" i="254" l="1"/>
  <c r="B2" i="10"/>
  <c r="T62" i="291"/>
  <c r="C3" i="254" s="1"/>
  <c r="J3" i="4"/>
  <c r="K3" i="4"/>
  <c r="M7" i="5"/>
  <c r="M6" i="5"/>
  <c r="K5" i="5"/>
  <c r="K4" i="3"/>
  <c r="J21" i="47" l="1"/>
  <c r="I21" i="47"/>
  <c r="H21" i="47"/>
  <c r="H20" i="47"/>
  <c r="G21" i="47"/>
  <c r="G20" i="47"/>
  <c r="F20" i="47"/>
  <c r="D21" i="47"/>
  <c r="D19" i="47"/>
  <c r="J20" i="47" l="1"/>
  <c r="I20" i="47"/>
  <c r="H19" i="47"/>
  <c r="G19" i="47"/>
  <c r="F19" i="47"/>
  <c r="P4" i="46"/>
  <c r="O4" i="46"/>
  <c r="U4" i="46"/>
  <c r="T4" i="46"/>
  <c r="V150" i="295" s="1"/>
  <c r="L20" i="47"/>
  <c r="O20" i="47" s="1"/>
  <c r="L21" i="47" s="1"/>
  <c r="O21" i="47" s="1"/>
  <c r="J19" i="47"/>
  <c r="I19" i="47"/>
  <c r="I17" i="47"/>
  <c r="C20" i="47"/>
  <c r="Z4" i="46"/>
  <c r="Z3" i="46"/>
  <c r="E19" i="47" l="1"/>
  <c r="V149" i="295"/>
  <c r="AC152" i="295"/>
  <c r="AC151" i="295"/>
  <c r="AC149" i="295"/>
  <c r="AC150" i="295"/>
  <c r="E20" i="47"/>
  <c r="F18" i="47"/>
  <c r="C4" i="46"/>
  <c r="K2" i="280"/>
  <c r="AG3" i="281" s="1"/>
  <c r="G150" i="295" l="1"/>
  <c r="G149" i="295"/>
  <c r="AB148" i="295"/>
  <c r="AB147" i="295"/>
  <c r="AG2" i="281"/>
  <c r="J8" i="254"/>
  <c r="L8" i="254"/>
  <c r="M8" i="254"/>
  <c r="D2" i="10"/>
  <c r="Y2" i="10" s="1"/>
  <c r="C8" i="254" s="1"/>
  <c r="X2" i="10"/>
  <c r="W2" i="10"/>
  <c r="N8" i="254" s="1"/>
  <c r="V2" i="10"/>
  <c r="U2" i="10"/>
  <c r="N2" i="10"/>
  <c r="J2" i="10"/>
  <c r="I2" i="10"/>
  <c r="G2" i="10"/>
  <c r="F2" i="10"/>
  <c r="V12" i="5"/>
  <c r="F16" i="6"/>
  <c r="AC12" i="5"/>
  <c r="AB12" i="5"/>
  <c r="I8" i="254" s="1"/>
  <c r="AB10" i="5"/>
  <c r="U12" i="5"/>
  <c r="E2" i="10" s="1"/>
  <c r="U11" i="5"/>
  <c r="P12" i="5"/>
  <c r="P11" i="5"/>
  <c r="O12" i="5"/>
  <c r="O11" i="5"/>
  <c r="N12" i="5"/>
  <c r="F12" i="5"/>
  <c r="G8" i="254" s="1"/>
  <c r="G12" i="5"/>
  <c r="H8" i="254" s="1"/>
  <c r="H12" i="5"/>
  <c r="I12" i="5"/>
  <c r="CA11" i="5"/>
  <c r="CA10" i="5"/>
  <c r="BZ11" i="5"/>
  <c r="AT11" i="5"/>
  <c r="P142" i="295" s="1"/>
  <c r="AM11" i="5"/>
  <c r="O140" i="295" s="1"/>
  <c r="AD16" i="6"/>
  <c r="AE16" i="6"/>
  <c r="X16" i="6"/>
  <c r="T16" i="6"/>
  <c r="T15" i="6"/>
  <c r="S16" i="6"/>
  <c r="S15" i="6"/>
  <c r="Q16" i="6"/>
  <c r="U16" i="6" s="1"/>
  <c r="BQ11" i="5" s="1"/>
  <c r="J16" i="6"/>
  <c r="I16" i="6"/>
  <c r="G16" i="6"/>
  <c r="G15" i="6"/>
  <c r="F15" i="6"/>
  <c r="D16" i="6"/>
  <c r="AB11" i="5"/>
  <c r="AC11" i="5"/>
  <c r="V11" i="5"/>
  <c r="U10" i="5"/>
  <c r="O10" i="5"/>
  <c r="F11" i="5"/>
  <c r="G11" i="5"/>
  <c r="H11" i="5"/>
  <c r="I11" i="5"/>
  <c r="D12" i="5"/>
  <c r="B11" i="5"/>
  <c r="P18" i="47"/>
  <c r="AE3" i="51" s="1"/>
  <c r="F17" i="47"/>
  <c r="D18" i="47"/>
  <c r="AE3" i="50"/>
  <c r="AI3" i="51"/>
  <c r="AI3" i="50"/>
  <c r="AH3" i="51"/>
  <c r="AH3" i="50"/>
  <c r="Y3" i="51"/>
  <c r="X3" i="51"/>
  <c r="X3" i="50"/>
  <c r="R3" i="51"/>
  <c r="Q3" i="51"/>
  <c r="E18" i="47" s="1"/>
  <c r="Q3" i="50"/>
  <c r="E17" i="47" s="1"/>
  <c r="L3" i="51"/>
  <c r="K3" i="51"/>
  <c r="K3" i="50"/>
  <c r="I3" i="51"/>
  <c r="H3" i="51"/>
  <c r="G3" i="51"/>
  <c r="F3" i="51"/>
  <c r="F3" i="50"/>
  <c r="D3" i="51"/>
  <c r="B3" i="51"/>
  <c r="S17" i="47"/>
  <c r="O17" i="47"/>
  <c r="L18" i="47" s="1"/>
  <c r="O18" i="47" s="1"/>
  <c r="J17" i="47"/>
  <c r="J18" i="47" s="1"/>
  <c r="H17" i="47"/>
  <c r="H18" i="47" s="1"/>
  <c r="I18" i="47"/>
  <c r="I7" i="47"/>
  <c r="F11" i="47"/>
  <c r="C17" i="47"/>
  <c r="L3" i="50"/>
  <c r="O3" i="5"/>
  <c r="D3" i="50"/>
  <c r="D11" i="5"/>
  <c r="D10" i="5"/>
  <c r="B10" i="5"/>
  <c r="M12" i="254"/>
  <c r="M11" i="254"/>
  <c r="L12" i="254"/>
  <c r="L11" i="254"/>
  <c r="C11" i="254"/>
  <c r="C12" i="254" s="1"/>
  <c r="CB10" i="41"/>
  <c r="CB9" i="41"/>
  <c r="CA10" i="41"/>
  <c r="J12" i="254" s="1"/>
  <c r="CA8" i="41"/>
  <c r="CB8" i="41"/>
  <c r="CA9" i="41"/>
  <c r="AA13" i="40"/>
  <c r="AB13" i="40"/>
  <c r="W13" i="40"/>
  <c r="W12" i="40"/>
  <c r="S13" i="40"/>
  <c r="S12" i="40"/>
  <c r="R13" i="40"/>
  <c r="R12" i="40"/>
  <c r="P13" i="40"/>
  <c r="J13" i="40"/>
  <c r="I13" i="40"/>
  <c r="G13" i="40"/>
  <c r="G12" i="40"/>
  <c r="D13" i="40"/>
  <c r="AO10" i="41"/>
  <c r="AC10" i="41"/>
  <c r="AC9" i="41"/>
  <c r="AB10" i="41"/>
  <c r="I11" i="254" s="1"/>
  <c r="AB9" i="41"/>
  <c r="V10" i="41"/>
  <c r="F13" i="40" s="1"/>
  <c r="U10" i="41"/>
  <c r="K11" i="254" s="1"/>
  <c r="U9" i="41"/>
  <c r="P10" i="41"/>
  <c r="P9" i="41"/>
  <c r="O10" i="41"/>
  <c r="O9" i="41"/>
  <c r="I10" i="41"/>
  <c r="H10" i="41"/>
  <c r="G10" i="41"/>
  <c r="F10" i="41"/>
  <c r="G12" i="254" s="1"/>
  <c r="F6" i="41"/>
  <c r="F9" i="41"/>
  <c r="D10" i="41"/>
  <c r="D8" i="41"/>
  <c r="B10" i="41"/>
  <c r="C10" i="41" s="1"/>
  <c r="B8" i="41"/>
  <c r="AA12" i="40"/>
  <c r="AB12" i="40"/>
  <c r="W11" i="40"/>
  <c r="R11" i="40"/>
  <c r="P12" i="40"/>
  <c r="BQ9" i="41" s="1"/>
  <c r="J11" i="40"/>
  <c r="J12" i="40"/>
  <c r="I12" i="40"/>
  <c r="G11" i="40"/>
  <c r="D12" i="40"/>
  <c r="V9" i="41"/>
  <c r="F12" i="40" s="1"/>
  <c r="U6" i="41"/>
  <c r="P6" i="41"/>
  <c r="O6" i="41"/>
  <c r="H9" i="41"/>
  <c r="I9" i="41"/>
  <c r="G9" i="41"/>
  <c r="D9" i="41"/>
  <c r="D6" i="41"/>
  <c r="B9" i="41"/>
  <c r="B6" i="41"/>
  <c r="AJ9" i="41"/>
  <c r="AI9" i="41"/>
  <c r="CA9" i="5"/>
  <c r="BZ10" i="5"/>
  <c r="BZ4" i="5"/>
  <c r="M6" i="254"/>
  <c r="M5" i="254"/>
  <c r="M4" i="254"/>
  <c r="L6" i="254"/>
  <c r="L5" i="254"/>
  <c r="L4" i="254"/>
  <c r="J5" i="254"/>
  <c r="C4" i="254"/>
  <c r="C5" i="254" s="1"/>
  <c r="C6" i="254" s="1"/>
  <c r="AI10" i="5"/>
  <c r="AC10" i="5"/>
  <c r="AB8" i="5"/>
  <c r="AB7" i="5"/>
  <c r="V10" i="5"/>
  <c r="U9" i="5"/>
  <c r="P10" i="5"/>
  <c r="O9" i="5"/>
  <c r="I10" i="5"/>
  <c r="H10" i="5"/>
  <c r="G10" i="5"/>
  <c r="F10" i="5"/>
  <c r="F9" i="5"/>
  <c r="D9" i="5"/>
  <c r="B9" i="5"/>
  <c r="AD15" i="6"/>
  <c r="AE15" i="6"/>
  <c r="X15" i="6"/>
  <c r="X14" i="6"/>
  <c r="T14" i="6"/>
  <c r="S14" i="6"/>
  <c r="M15" i="6"/>
  <c r="Q15" i="6" s="1"/>
  <c r="BP10" i="5" s="1"/>
  <c r="M14" i="6"/>
  <c r="J15" i="6"/>
  <c r="I15" i="6"/>
  <c r="G14" i="6"/>
  <c r="F14" i="6"/>
  <c r="D15" i="6"/>
  <c r="E15" i="6"/>
  <c r="S61" i="291"/>
  <c r="X61" i="291"/>
  <c r="Y61" i="291"/>
  <c r="M3" i="254"/>
  <c r="M2" i="254"/>
  <c r="L3" i="254"/>
  <c r="L2" i="254"/>
  <c r="CA4" i="5"/>
  <c r="BZ9" i="5"/>
  <c r="BY9" i="5"/>
  <c r="BX9" i="5"/>
  <c r="T12" i="40" l="1"/>
  <c r="BS9" i="41" s="1"/>
  <c r="BW9" i="41" s="1"/>
  <c r="BV9" i="41" s="1"/>
  <c r="G144" i="295"/>
  <c r="G142" i="295"/>
  <c r="G140" i="295"/>
  <c r="G143" i="295"/>
  <c r="G141" i="295"/>
  <c r="C11" i="5"/>
  <c r="G129" i="295"/>
  <c r="G130" i="295"/>
  <c r="G125" i="295"/>
  <c r="G128" i="295"/>
  <c r="G127" i="295"/>
  <c r="G126" i="295"/>
  <c r="C9" i="5"/>
  <c r="AB134" i="295"/>
  <c r="AB136" i="295"/>
  <c r="AB133" i="295"/>
  <c r="AB135" i="295"/>
  <c r="AB132" i="295"/>
  <c r="H12" i="254"/>
  <c r="K139" i="295"/>
  <c r="K137" i="295"/>
  <c r="K138" i="295"/>
  <c r="E12" i="40"/>
  <c r="V139" i="295"/>
  <c r="V137" i="295"/>
  <c r="V138" i="295"/>
  <c r="AB77" i="295"/>
  <c r="AB75" i="295"/>
  <c r="AB76" i="295"/>
  <c r="U133" i="295"/>
  <c r="U135" i="295"/>
  <c r="U132" i="295"/>
  <c r="U134" i="295"/>
  <c r="U136" i="295"/>
  <c r="F62" i="291"/>
  <c r="H130" i="295"/>
  <c r="H125" i="295"/>
  <c r="H128" i="295"/>
  <c r="H127" i="295"/>
  <c r="H126" i="295"/>
  <c r="H129" i="295"/>
  <c r="V128" i="295"/>
  <c r="V127" i="295"/>
  <c r="V126" i="295"/>
  <c r="V130" i="295"/>
  <c r="V125" i="295"/>
  <c r="AC126" i="295"/>
  <c r="AC130" i="295"/>
  <c r="AC125" i="295"/>
  <c r="AC128" i="295"/>
  <c r="AC127" i="295"/>
  <c r="N10" i="5"/>
  <c r="G136" i="295"/>
  <c r="G133" i="295"/>
  <c r="G135" i="295"/>
  <c r="G132" i="295"/>
  <c r="G134" i="295"/>
  <c r="C10" i="5"/>
  <c r="U143" i="295"/>
  <c r="U141" i="295"/>
  <c r="U144" i="295"/>
  <c r="U142" i="295"/>
  <c r="U140" i="295"/>
  <c r="E8" i="254"/>
  <c r="C2" i="10"/>
  <c r="AB126" i="295"/>
  <c r="AB130" i="295"/>
  <c r="AB125" i="295"/>
  <c r="AB128" i="295"/>
  <c r="AB127" i="295"/>
  <c r="AC45" i="295"/>
  <c r="AC47" i="295"/>
  <c r="AC49" i="295"/>
  <c r="AC46" i="295"/>
  <c r="AC48" i="295"/>
  <c r="L62" i="291"/>
  <c r="W128" i="295"/>
  <c r="W127" i="295"/>
  <c r="W126" i="295"/>
  <c r="W130" i="295"/>
  <c r="W125" i="295"/>
  <c r="G76" i="295"/>
  <c r="G77" i="295"/>
  <c r="G75" i="295"/>
  <c r="C8" i="41"/>
  <c r="AC138" i="295"/>
  <c r="AC139" i="295"/>
  <c r="AC137" i="295"/>
  <c r="H133" i="295"/>
  <c r="H135" i="295"/>
  <c r="H132" i="295"/>
  <c r="H134" i="295"/>
  <c r="H136" i="295"/>
  <c r="AB144" i="295"/>
  <c r="AB142" i="295"/>
  <c r="AB140" i="295"/>
  <c r="AB143" i="295"/>
  <c r="AB141" i="295"/>
  <c r="L143" i="295"/>
  <c r="L141" i="295"/>
  <c r="L144" i="295"/>
  <c r="L142" i="295"/>
  <c r="L140" i="295"/>
  <c r="AB145" i="295"/>
  <c r="AB146" i="295"/>
  <c r="P62" i="291"/>
  <c r="L127" i="295"/>
  <c r="L126" i="295"/>
  <c r="L130" i="295"/>
  <c r="L125" i="295"/>
  <c r="L128" i="295"/>
  <c r="L93" i="295"/>
  <c r="L94" i="295"/>
  <c r="L92" i="295"/>
  <c r="D12" i="254"/>
  <c r="B13" i="40"/>
  <c r="D11" i="254"/>
  <c r="U139" i="295"/>
  <c r="U137" i="295"/>
  <c r="U138" i="295"/>
  <c r="H144" i="295"/>
  <c r="H142" i="295"/>
  <c r="H140" i="295"/>
  <c r="H143" i="295"/>
  <c r="H141" i="295"/>
  <c r="K143" i="295"/>
  <c r="K141" i="295"/>
  <c r="K144" i="295"/>
  <c r="K142" i="295"/>
  <c r="K140" i="295"/>
  <c r="AC136" i="295"/>
  <c r="AC133" i="295"/>
  <c r="AC135" i="295"/>
  <c r="AC132" i="295"/>
  <c r="AC134" i="295"/>
  <c r="AC76" i="295"/>
  <c r="AC77" i="295"/>
  <c r="AC75" i="295"/>
  <c r="U119" i="295"/>
  <c r="U116" i="295"/>
  <c r="U118" i="295"/>
  <c r="U115" i="295"/>
  <c r="U117" i="295"/>
  <c r="K132" i="295"/>
  <c r="K134" i="295"/>
  <c r="K136" i="295"/>
  <c r="K133" i="295"/>
  <c r="K135" i="295"/>
  <c r="U122" i="295"/>
  <c r="U124" i="295"/>
  <c r="U121" i="295"/>
  <c r="U123" i="295"/>
  <c r="U120" i="295"/>
  <c r="G94" i="295"/>
  <c r="G92" i="295"/>
  <c r="G93" i="295"/>
  <c r="C6" i="41"/>
  <c r="L139" i="295"/>
  <c r="L137" i="295"/>
  <c r="L138" i="295"/>
  <c r="W143" i="295"/>
  <c r="W141" i="295"/>
  <c r="W144" i="295"/>
  <c r="W142" i="295"/>
  <c r="W140" i="295"/>
  <c r="AC144" i="295"/>
  <c r="AC142" i="295"/>
  <c r="AC140" i="295"/>
  <c r="AC143" i="295"/>
  <c r="AC141" i="295"/>
  <c r="AB48" i="295"/>
  <c r="AB45" i="295"/>
  <c r="AB47" i="295"/>
  <c r="AB49" i="295"/>
  <c r="AB46" i="295"/>
  <c r="W93" i="295"/>
  <c r="W92" i="295"/>
  <c r="W94" i="295"/>
  <c r="J3" i="51"/>
  <c r="C3" i="51"/>
  <c r="B18" i="47" s="1"/>
  <c r="W135" i="295"/>
  <c r="W132" i="295"/>
  <c r="W134" i="295"/>
  <c r="W136" i="295"/>
  <c r="W133" i="295"/>
  <c r="G138" i="295"/>
  <c r="G139" i="295"/>
  <c r="G137" i="295"/>
  <c r="C9" i="41"/>
  <c r="V94" i="295"/>
  <c r="V92" i="295"/>
  <c r="V93" i="295"/>
  <c r="L40" i="295"/>
  <c r="L42" i="295"/>
  <c r="L39" i="295"/>
  <c r="L41" i="295"/>
  <c r="L38" i="295"/>
  <c r="L134" i="295"/>
  <c r="L136" i="295"/>
  <c r="L133" i="295"/>
  <c r="L135" i="295"/>
  <c r="L132" i="295"/>
  <c r="W139" i="295"/>
  <c r="W137" i="295"/>
  <c r="W138" i="295"/>
  <c r="AB138" i="295"/>
  <c r="AB139" i="295"/>
  <c r="AB137" i="295"/>
  <c r="V135" i="295"/>
  <c r="V132" i="295"/>
  <c r="V134" i="295"/>
  <c r="V136" i="295"/>
  <c r="V133" i="295"/>
  <c r="V143" i="295"/>
  <c r="V141" i="295"/>
  <c r="V144" i="295"/>
  <c r="V142" i="295"/>
  <c r="V140" i="295"/>
  <c r="N10" i="41"/>
  <c r="E12" i="254" s="1"/>
  <c r="I12" i="254"/>
  <c r="K5" i="254"/>
  <c r="N11" i="5"/>
  <c r="K4" i="254"/>
  <c r="K6" i="254"/>
  <c r="AA62" i="291"/>
  <c r="J2" i="254"/>
  <c r="Z62" i="291"/>
  <c r="AS10" i="41"/>
  <c r="E13" i="40"/>
  <c r="BQ10" i="41"/>
  <c r="K12" i="254"/>
  <c r="K8" i="254"/>
  <c r="J6" i="254"/>
  <c r="AS9" i="41"/>
  <c r="O137" i="295" s="1"/>
  <c r="BR9" i="41"/>
  <c r="T13" i="40"/>
  <c r="BS10" i="41" s="1"/>
  <c r="G11" i="254"/>
  <c r="J11" i="254"/>
  <c r="AQ11" i="5"/>
  <c r="P141" i="295" s="1"/>
  <c r="BF11" i="5"/>
  <c r="P143" i="295" s="1"/>
  <c r="BP11" i="5"/>
  <c r="C13" i="40"/>
  <c r="BN11" i="5"/>
  <c r="O144" i="295" s="1"/>
  <c r="BR11" i="5"/>
  <c r="J4" i="254"/>
  <c r="H11" i="254"/>
  <c r="E16" i="6"/>
  <c r="H5" i="254"/>
  <c r="G6" i="254"/>
  <c r="G5" i="254"/>
  <c r="H6" i="254"/>
  <c r="I6" i="254"/>
  <c r="H4" i="254"/>
  <c r="I4" i="254"/>
  <c r="G4" i="254"/>
  <c r="I5" i="254"/>
  <c r="E5" i="254"/>
  <c r="E6" i="254"/>
  <c r="E4" i="254"/>
  <c r="BE9" i="41"/>
  <c r="O138" i="295" s="1"/>
  <c r="BO9" i="41"/>
  <c r="P139" i="295" s="1"/>
  <c r="N9" i="41"/>
  <c r="U15" i="6"/>
  <c r="BN10" i="5" s="1"/>
  <c r="O136" i="295" s="1"/>
  <c r="AQ10" i="5"/>
  <c r="P133" i="295" s="1"/>
  <c r="J3" i="254"/>
  <c r="AA61" i="291"/>
  <c r="Z61" i="291"/>
  <c r="E11" i="254" l="1"/>
  <c r="T144" i="295"/>
  <c r="T142" i="295"/>
  <c r="T140" i="295"/>
  <c r="T143" i="295"/>
  <c r="T141" i="295"/>
  <c r="B143" i="295"/>
  <c r="B141" i="295"/>
  <c r="B144" i="295"/>
  <c r="B142" i="295"/>
  <c r="B140" i="295"/>
  <c r="B16" i="6"/>
  <c r="BO10" i="41"/>
  <c r="B139" i="295"/>
  <c r="B137" i="295"/>
  <c r="B138" i="295"/>
  <c r="B12" i="40"/>
  <c r="B93" i="295"/>
  <c r="B94" i="295"/>
  <c r="B92" i="295"/>
  <c r="B11" i="40"/>
  <c r="D52" i="291"/>
  <c r="B77" i="295"/>
  <c r="B75" i="295"/>
  <c r="B76" i="295"/>
  <c r="D59" i="291"/>
  <c r="B8" i="40"/>
  <c r="D62" i="291"/>
  <c r="B14" i="6"/>
  <c r="D61" i="291"/>
  <c r="C15" i="6"/>
  <c r="T136" i="295"/>
  <c r="T133" i="295"/>
  <c r="T135" i="295"/>
  <c r="T132" i="295"/>
  <c r="T134" i="295"/>
  <c r="B134" i="295"/>
  <c r="B136" i="295"/>
  <c r="B133" i="295"/>
  <c r="B135" i="295"/>
  <c r="B132" i="295"/>
  <c r="D6" i="254"/>
  <c r="D5" i="254"/>
  <c r="D4" i="254"/>
  <c r="B15" i="6"/>
  <c r="T138" i="295"/>
  <c r="T139" i="295"/>
  <c r="T137" i="295"/>
  <c r="C16" i="6"/>
  <c r="P12" i="254"/>
  <c r="P11" i="254"/>
  <c r="BR10" i="41"/>
  <c r="BE10" i="41"/>
  <c r="BR10" i="5"/>
  <c r="C12" i="40"/>
  <c r="P4" i="254"/>
  <c r="P6" i="254"/>
  <c r="P5" i="254"/>
  <c r="BQ10" i="5"/>
  <c r="BF10" i="5"/>
  <c r="P135" i="295" s="1"/>
  <c r="AF9" i="5" l="1"/>
  <c r="AB9" i="5"/>
  <c r="AC9" i="5"/>
  <c r="V9" i="5"/>
  <c r="U4" i="5"/>
  <c r="P9" i="5"/>
  <c r="O4" i="5"/>
  <c r="I9" i="5"/>
  <c r="H9" i="5"/>
  <c r="G9" i="5"/>
  <c r="F4" i="5"/>
  <c r="D4" i="5"/>
  <c r="N9" i="5"/>
  <c r="B4" i="5"/>
  <c r="D14" i="6"/>
  <c r="F3" i="6"/>
  <c r="AD14" i="6"/>
  <c r="AE14" i="6"/>
  <c r="X3" i="6"/>
  <c r="T3" i="6"/>
  <c r="S3" i="6"/>
  <c r="Q14" i="6"/>
  <c r="M3" i="6"/>
  <c r="J14" i="6"/>
  <c r="I14" i="6"/>
  <c r="G3" i="6"/>
  <c r="L48" i="295" l="1"/>
  <c r="L45" i="295"/>
  <c r="L47" i="295"/>
  <c r="L49" i="295"/>
  <c r="L46" i="295"/>
  <c r="H47" i="295"/>
  <c r="H49" i="295"/>
  <c r="H46" i="295"/>
  <c r="H48" i="295"/>
  <c r="H45" i="295"/>
  <c r="W49" i="295"/>
  <c r="W46" i="295"/>
  <c r="W48" i="295"/>
  <c r="W45" i="295"/>
  <c r="W47" i="295"/>
  <c r="T130" i="295"/>
  <c r="T125" i="295"/>
  <c r="T128" i="295"/>
  <c r="T127" i="295"/>
  <c r="T126" i="295"/>
  <c r="K131" i="295"/>
  <c r="K127" i="295"/>
  <c r="K126" i="295"/>
  <c r="K129" i="295"/>
  <c r="K130" i="295"/>
  <c r="K125" i="295"/>
  <c r="K128" i="295"/>
  <c r="V62" i="291"/>
  <c r="U130" i="295"/>
  <c r="U125" i="295"/>
  <c r="U128" i="295"/>
  <c r="U127" i="295"/>
  <c r="U126" i="295"/>
  <c r="G47" i="295"/>
  <c r="G49" i="295"/>
  <c r="G46" i="295"/>
  <c r="G48" i="295"/>
  <c r="G45" i="295"/>
  <c r="C4" i="5"/>
  <c r="V49" i="295"/>
  <c r="V46" i="295"/>
  <c r="V48" i="295"/>
  <c r="V45" i="295"/>
  <c r="V47" i="295"/>
  <c r="M62" i="291"/>
  <c r="U62" i="291"/>
  <c r="Q61" i="291"/>
  <c r="Q62" i="291"/>
  <c r="O61" i="291"/>
  <c r="O62" i="291"/>
  <c r="W61" i="291"/>
  <c r="W62" i="291"/>
  <c r="E62" i="291"/>
  <c r="E3" i="254" s="1"/>
  <c r="E61" i="291"/>
  <c r="E2" i="254" s="1"/>
  <c r="N61" i="291"/>
  <c r="N62" i="291"/>
  <c r="BP9" i="5"/>
  <c r="AQ9" i="5"/>
  <c r="P126" i="295" s="1"/>
  <c r="U14" i="6"/>
  <c r="C14" i="6"/>
  <c r="L61" i="291"/>
  <c r="G3" i="254"/>
  <c r="G2" i="254"/>
  <c r="U61" i="291"/>
  <c r="H2" i="254"/>
  <c r="M61" i="291"/>
  <c r="H3" i="254"/>
  <c r="V61" i="291"/>
  <c r="I3" i="254"/>
  <c r="I2" i="254"/>
  <c r="F61" i="291"/>
  <c r="P61" i="291"/>
  <c r="E14" i="6"/>
  <c r="K3" i="254"/>
  <c r="K2" i="254"/>
  <c r="L7" i="5"/>
  <c r="CA8" i="5"/>
  <c r="CA7" i="5"/>
  <c r="BZ8" i="5"/>
  <c r="AD13" i="6"/>
  <c r="AE13" i="6"/>
  <c r="X13" i="6"/>
  <c r="X10" i="6"/>
  <c r="T13" i="6"/>
  <c r="W16" i="47" s="1"/>
  <c r="S13" i="6"/>
  <c r="V16" i="47" s="1"/>
  <c r="N16" i="47"/>
  <c r="M12" i="6"/>
  <c r="J13" i="6"/>
  <c r="J16" i="47" s="1"/>
  <c r="I13" i="6"/>
  <c r="I16" i="47" s="1"/>
  <c r="G13" i="6"/>
  <c r="H16" i="47" s="1"/>
  <c r="G10" i="6"/>
  <c r="F13" i="6"/>
  <c r="F16" i="47" s="1"/>
  <c r="F12" i="6"/>
  <c r="D13" i="6"/>
  <c r="C16" i="47" s="1"/>
  <c r="AC8" i="5"/>
  <c r="U8" i="5"/>
  <c r="V8" i="5"/>
  <c r="V7" i="5"/>
  <c r="O8" i="5"/>
  <c r="P8" i="5"/>
  <c r="I8" i="5"/>
  <c r="H8" i="5"/>
  <c r="G8" i="5"/>
  <c r="F8" i="5"/>
  <c r="F5" i="5"/>
  <c r="D8" i="5"/>
  <c r="D7" i="5"/>
  <c r="B8" i="5"/>
  <c r="B7" i="5"/>
  <c r="W53" i="295" l="1"/>
  <c r="W52" i="295"/>
  <c r="W54" i="295"/>
  <c r="W51" i="295"/>
  <c r="W50" i="295"/>
  <c r="V124" i="295"/>
  <c r="V121" i="295"/>
  <c r="V123" i="295"/>
  <c r="V120" i="295"/>
  <c r="V122" i="295"/>
  <c r="AB123" i="295"/>
  <c r="AB120" i="295"/>
  <c r="AB122" i="295"/>
  <c r="AB124" i="295"/>
  <c r="AB121" i="295"/>
  <c r="B48" i="295"/>
  <c r="B45" i="295"/>
  <c r="B47" i="295"/>
  <c r="B49" i="295"/>
  <c r="B46" i="295"/>
  <c r="D25" i="291"/>
  <c r="B3" i="6"/>
  <c r="AC120" i="295"/>
  <c r="AC122" i="295"/>
  <c r="AC124" i="295"/>
  <c r="AC121" i="295"/>
  <c r="AC123" i="295"/>
  <c r="G122" i="295"/>
  <c r="G124" i="295"/>
  <c r="G121" i="295"/>
  <c r="G123" i="295"/>
  <c r="G120" i="295"/>
  <c r="C8" i="5"/>
  <c r="W124" i="295"/>
  <c r="W121" i="295"/>
  <c r="W123" i="295"/>
  <c r="W120" i="295"/>
  <c r="W122" i="295"/>
  <c r="AC117" i="295"/>
  <c r="AC119" i="295"/>
  <c r="AC116" i="295"/>
  <c r="AC118" i="295"/>
  <c r="AC115" i="295"/>
  <c r="H119" i="295"/>
  <c r="H116" i="295"/>
  <c r="H118" i="295"/>
  <c r="H115" i="295"/>
  <c r="H117" i="295"/>
  <c r="L123" i="295"/>
  <c r="L120" i="295"/>
  <c r="L122" i="295"/>
  <c r="L124" i="295"/>
  <c r="L121" i="295"/>
  <c r="G117" i="295"/>
  <c r="G119" i="295"/>
  <c r="G116" i="295"/>
  <c r="G118" i="295"/>
  <c r="G115" i="295"/>
  <c r="C7" i="5"/>
  <c r="H122" i="295"/>
  <c r="H124" i="295"/>
  <c r="H121" i="295"/>
  <c r="H123" i="295"/>
  <c r="H120" i="295"/>
  <c r="BF9" i="5"/>
  <c r="P128" i="295" s="1"/>
  <c r="BQ9" i="5"/>
  <c r="BR9" i="5"/>
  <c r="BV9" i="5" s="1"/>
  <c r="N8" i="5"/>
  <c r="E13" i="6"/>
  <c r="E16" i="47" s="1"/>
  <c r="T3" i="47"/>
  <c r="J3" i="47"/>
  <c r="I3" i="47"/>
  <c r="P3" i="47"/>
  <c r="L3" i="47"/>
  <c r="I2" i="47"/>
  <c r="F3" i="47"/>
  <c r="F2" i="47"/>
  <c r="D14" i="40"/>
  <c r="S59" i="291"/>
  <c r="AA59" i="291"/>
  <c r="CB3" i="41"/>
  <c r="M8" i="40"/>
  <c r="N8" i="40"/>
  <c r="D8" i="40"/>
  <c r="AB8" i="41"/>
  <c r="AC8" i="41"/>
  <c r="W59" i="291" s="1"/>
  <c r="Z8" i="41"/>
  <c r="X8" i="41"/>
  <c r="Y8" i="41"/>
  <c r="W8" i="41"/>
  <c r="V8" i="41"/>
  <c r="F8" i="40" s="1"/>
  <c r="V3" i="41"/>
  <c r="T8" i="41"/>
  <c r="S8" i="41"/>
  <c r="P8" i="41"/>
  <c r="Q59" i="291" s="1"/>
  <c r="P3" i="41"/>
  <c r="G8" i="41"/>
  <c r="M59" i="291" s="1"/>
  <c r="H8" i="41"/>
  <c r="N59" i="291" s="1"/>
  <c r="I8" i="41"/>
  <c r="O59" i="291" s="1"/>
  <c r="L8" i="41"/>
  <c r="F59" i="291"/>
  <c r="D3" i="41"/>
  <c r="B3" i="41"/>
  <c r="AA7" i="40"/>
  <c r="AB7" i="40"/>
  <c r="AB9" i="40"/>
  <c r="AA9" i="40"/>
  <c r="W7" i="40"/>
  <c r="W8" i="40" s="1"/>
  <c r="W9" i="40"/>
  <c r="S7" i="40"/>
  <c r="S9" i="40"/>
  <c r="R7" i="40"/>
  <c r="R8" i="40" s="1"/>
  <c r="R9" i="40"/>
  <c r="P7" i="40"/>
  <c r="AU4" i="39" s="1"/>
  <c r="J7" i="40"/>
  <c r="J8" i="40" s="1"/>
  <c r="I7" i="40"/>
  <c r="I8" i="40" s="1"/>
  <c r="G7" i="40"/>
  <c r="G8" i="40" s="1"/>
  <c r="G9" i="40"/>
  <c r="D7" i="40"/>
  <c r="C3" i="47" s="1"/>
  <c r="AZ4" i="39"/>
  <c r="AZ3" i="39"/>
  <c r="AY4" i="39"/>
  <c r="AY3" i="39"/>
  <c r="AA4" i="39"/>
  <c r="Z4" i="39"/>
  <c r="Z3" i="39"/>
  <c r="S4" i="39"/>
  <c r="T4" i="39"/>
  <c r="F7" i="40" s="1"/>
  <c r="T3" i="39"/>
  <c r="M4" i="39"/>
  <c r="N4" i="39"/>
  <c r="N3" i="39"/>
  <c r="I4" i="39"/>
  <c r="H4" i="39"/>
  <c r="F4" i="39"/>
  <c r="G4" i="39"/>
  <c r="G3" i="39"/>
  <c r="D4" i="39"/>
  <c r="M8" i="41" s="1"/>
  <c r="D3" i="39"/>
  <c r="B4" i="39"/>
  <c r="B3" i="39"/>
  <c r="AB69" i="295" l="1"/>
  <c r="AB68" i="295"/>
  <c r="U76" i="295"/>
  <c r="U77" i="295"/>
  <c r="U75" i="295"/>
  <c r="AB71" i="295"/>
  <c r="AB70" i="295"/>
  <c r="AC68" i="295"/>
  <c r="AC69" i="295"/>
  <c r="T122" i="295"/>
  <c r="T124" i="295"/>
  <c r="T121" i="295"/>
  <c r="T123" i="295"/>
  <c r="T120" i="295"/>
  <c r="K71" i="295"/>
  <c r="K70" i="295"/>
  <c r="AC70" i="295"/>
  <c r="AC71" i="295"/>
  <c r="U59" i="291"/>
  <c r="K77" i="295"/>
  <c r="K75" i="295"/>
  <c r="K76" i="295"/>
  <c r="G70" i="295"/>
  <c r="G71" i="295"/>
  <c r="C4" i="39"/>
  <c r="V70" i="295"/>
  <c r="V71" i="295"/>
  <c r="AB8" i="40"/>
  <c r="Y77" i="295"/>
  <c r="Y75" i="295"/>
  <c r="Y76" i="295"/>
  <c r="AC74" i="295"/>
  <c r="AC72" i="295"/>
  <c r="AC73" i="295"/>
  <c r="B118" i="295"/>
  <c r="B115" i="295"/>
  <c r="B117" i="295"/>
  <c r="B119" i="295"/>
  <c r="B116" i="295"/>
  <c r="B12" i="6"/>
  <c r="W71" i="295"/>
  <c r="W70" i="295"/>
  <c r="U68" i="295"/>
  <c r="U69" i="295"/>
  <c r="AA8" i="40"/>
  <c r="X77" i="295"/>
  <c r="X75" i="295"/>
  <c r="X76" i="295"/>
  <c r="L71" i="295"/>
  <c r="L70" i="295"/>
  <c r="G68" i="295"/>
  <c r="G69" i="295"/>
  <c r="C3" i="39"/>
  <c r="U70" i="295"/>
  <c r="U71" i="295"/>
  <c r="G74" i="295"/>
  <c r="G72" i="295"/>
  <c r="G73" i="295"/>
  <c r="C3" i="41"/>
  <c r="B123" i="295"/>
  <c r="B120" i="295"/>
  <c r="B122" i="295"/>
  <c r="B124" i="295"/>
  <c r="B121" i="295"/>
  <c r="B13" i="6"/>
  <c r="B16" i="47" s="1"/>
  <c r="O8" i="41"/>
  <c r="F8" i="41"/>
  <c r="E7" i="40"/>
  <c r="E3" i="47" s="1"/>
  <c r="L4" i="39"/>
  <c r="U8" i="41"/>
  <c r="BU9" i="5"/>
  <c r="O129" i="295" s="1"/>
  <c r="C13" i="6"/>
  <c r="S3" i="47"/>
  <c r="O3" i="47"/>
  <c r="H3" i="47"/>
  <c r="X59" i="291"/>
  <c r="Z59" i="291"/>
  <c r="V59" i="291"/>
  <c r="Y59" i="291"/>
  <c r="T7" i="40"/>
  <c r="T8" i="40" s="1"/>
  <c r="S8" i="40"/>
  <c r="AP4" i="39"/>
  <c r="O70" i="295" s="1"/>
  <c r="AT4" i="39"/>
  <c r="P71" i="295" s="1"/>
  <c r="P8" i="40"/>
  <c r="CA6" i="5"/>
  <c r="BZ7" i="5"/>
  <c r="BZ5" i="5"/>
  <c r="J12" i="6"/>
  <c r="J11" i="6"/>
  <c r="I12" i="6"/>
  <c r="I11" i="6"/>
  <c r="F11" i="6"/>
  <c r="X12" i="6"/>
  <c r="X11" i="6"/>
  <c r="T12" i="6"/>
  <c r="T11" i="6"/>
  <c r="S12" i="6"/>
  <c r="S11" i="6"/>
  <c r="M11" i="6"/>
  <c r="O12" i="6"/>
  <c r="Q12" i="6" s="1"/>
  <c r="D12" i="6"/>
  <c r="AC7" i="5"/>
  <c r="AB5" i="5"/>
  <c r="X7" i="5"/>
  <c r="Y7" i="5"/>
  <c r="Z7" i="5"/>
  <c r="W7" i="5"/>
  <c r="V6" i="5"/>
  <c r="P7" i="5"/>
  <c r="P6" i="5"/>
  <c r="I7" i="5"/>
  <c r="H7" i="5"/>
  <c r="G7" i="5"/>
  <c r="G3" i="5"/>
  <c r="D6" i="5"/>
  <c r="B6" i="5"/>
  <c r="AT4" i="4"/>
  <c r="AT3" i="4"/>
  <c r="AU4" i="4"/>
  <c r="AU3" i="4"/>
  <c r="N14" i="47"/>
  <c r="AD10" i="6"/>
  <c r="T10" i="6"/>
  <c r="W14" i="47" s="1"/>
  <c r="S10" i="6"/>
  <c r="V14" i="47" s="1"/>
  <c r="H14" i="47"/>
  <c r="M10" i="6"/>
  <c r="Q10" i="6" s="1"/>
  <c r="AM4" i="4" s="1"/>
  <c r="J10" i="6"/>
  <c r="J14" i="47" s="1"/>
  <c r="I10" i="6"/>
  <c r="I14" i="47" s="1"/>
  <c r="G4" i="6"/>
  <c r="J15" i="47"/>
  <c r="I15" i="47"/>
  <c r="T15" i="47"/>
  <c r="P15" i="47"/>
  <c r="L15" i="47"/>
  <c r="F15" i="47"/>
  <c r="F10" i="6"/>
  <c r="F14" i="47" s="1"/>
  <c r="D10" i="6"/>
  <c r="C14" i="47" s="1"/>
  <c r="AE10" i="6"/>
  <c r="Z4" i="4"/>
  <c r="AA4" i="4"/>
  <c r="S4" i="4"/>
  <c r="T4" i="4"/>
  <c r="T3" i="4"/>
  <c r="M4" i="4"/>
  <c r="N4" i="4"/>
  <c r="N3" i="4"/>
  <c r="I4" i="4"/>
  <c r="H4" i="4"/>
  <c r="F4" i="4"/>
  <c r="G4" i="4"/>
  <c r="G3" i="4"/>
  <c r="D4" i="4"/>
  <c r="D3" i="4"/>
  <c r="B4" i="4"/>
  <c r="B3" i="4"/>
  <c r="AB52" i="295" l="1"/>
  <c r="AB54" i="295"/>
  <c r="AB51" i="295"/>
  <c r="AB53" i="295"/>
  <c r="AB50" i="295"/>
  <c r="AB102" i="295"/>
  <c r="AB103" i="295"/>
  <c r="AB115" i="295"/>
  <c r="AB117" i="295"/>
  <c r="AB119" i="295"/>
  <c r="AB116" i="295"/>
  <c r="AB118" i="295"/>
  <c r="E8" i="40"/>
  <c r="V76" i="295"/>
  <c r="V77" i="295"/>
  <c r="V75" i="295"/>
  <c r="T70" i="295"/>
  <c r="T71" i="295"/>
  <c r="B69" i="295"/>
  <c r="B68" i="295"/>
  <c r="B5" i="40"/>
  <c r="U53" i="295"/>
  <c r="U54" i="295"/>
  <c r="U51" i="295"/>
  <c r="U50" i="295"/>
  <c r="U52" i="295"/>
  <c r="G107" i="295"/>
  <c r="G104" i="295"/>
  <c r="G109" i="295"/>
  <c r="G106" i="295"/>
  <c r="G108" i="295"/>
  <c r="G105" i="295"/>
  <c r="C6" i="5"/>
  <c r="AC114" i="295"/>
  <c r="AC113" i="295"/>
  <c r="W113" i="295"/>
  <c r="W114" i="295"/>
  <c r="AB114" i="295"/>
  <c r="AB113" i="295"/>
  <c r="U114" i="295"/>
  <c r="U113" i="295"/>
  <c r="H107" i="295"/>
  <c r="H104" i="295"/>
  <c r="H109" i="295"/>
  <c r="H106" i="295"/>
  <c r="H108" i="295"/>
  <c r="H105" i="295"/>
  <c r="K118" i="295"/>
  <c r="K115" i="295"/>
  <c r="K117" i="295"/>
  <c r="K119" i="295"/>
  <c r="K116" i="295"/>
  <c r="L59" i="291"/>
  <c r="W77" i="295"/>
  <c r="W75" i="295"/>
  <c r="W76" i="295"/>
  <c r="B73" i="295"/>
  <c r="B74" i="295"/>
  <c r="B72" i="295"/>
  <c r="B6" i="40"/>
  <c r="D46" i="291"/>
  <c r="G102" i="295"/>
  <c r="G103" i="295"/>
  <c r="C3" i="4"/>
  <c r="G114" i="295"/>
  <c r="G113" i="295"/>
  <c r="C4" i="4"/>
  <c r="P59" i="291"/>
  <c r="L77" i="295"/>
  <c r="L75" i="295"/>
  <c r="L76" i="295"/>
  <c r="AE12" i="6"/>
  <c r="Y118" i="295"/>
  <c r="Y115" i="295"/>
  <c r="Y117" i="295"/>
  <c r="Y119" i="295"/>
  <c r="Y116" i="295"/>
  <c r="V113" i="295"/>
  <c r="V114" i="295"/>
  <c r="AC105" i="295"/>
  <c r="AC107" i="295"/>
  <c r="AC104" i="295"/>
  <c r="AC109" i="295"/>
  <c r="AC106" i="295"/>
  <c r="AC108" i="295"/>
  <c r="H114" i="295"/>
  <c r="H113" i="295"/>
  <c r="O7" i="5"/>
  <c r="L114" i="295"/>
  <c r="L113" i="295"/>
  <c r="AC102" i="295"/>
  <c r="AC103" i="295"/>
  <c r="AD12" i="6"/>
  <c r="X118" i="295"/>
  <c r="X115" i="295"/>
  <c r="X117" i="295"/>
  <c r="X119" i="295"/>
  <c r="X116" i="295"/>
  <c r="B71" i="295"/>
  <c r="B70" i="295"/>
  <c r="B7" i="40"/>
  <c r="B3" i="47" s="1"/>
  <c r="U7" i="5"/>
  <c r="BW9" i="5"/>
  <c r="BN9" i="5" s="1"/>
  <c r="BK9" i="5"/>
  <c r="C7" i="40"/>
  <c r="N8" i="41"/>
  <c r="L4" i="4"/>
  <c r="F7" i="5"/>
  <c r="E10" i="6"/>
  <c r="E14" i="47" s="1"/>
  <c r="H8" i="25"/>
  <c r="H3" i="25"/>
  <c r="AI4" i="4"/>
  <c r="P113" i="295" s="1"/>
  <c r="AK4" i="4"/>
  <c r="O114" i="295" s="1"/>
  <c r="U12" i="6"/>
  <c r="BQ7" i="5" s="1"/>
  <c r="BP7" i="5"/>
  <c r="AQ7" i="5"/>
  <c r="P116" i="295" s="1"/>
  <c r="AV4" i="39"/>
  <c r="AW4" i="39"/>
  <c r="AX4" i="39" s="1"/>
  <c r="AV8" i="41"/>
  <c r="O75" i="295" s="1"/>
  <c r="BS8" i="41"/>
  <c r="BO8" i="41"/>
  <c r="P77" i="295" s="1"/>
  <c r="BQ8" i="41"/>
  <c r="BR8" i="41"/>
  <c r="BE8" i="41"/>
  <c r="O76" i="295" s="1"/>
  <c r="R14" i="47"/>
  <c r="T14" i="47" s="1"/>
  <c r="S15" i="47"/>
  <c r="U10" i="6"/>
  <c r="AN4" i="4" s="1"/>
  <c r="O15" i="47"/>
  <c r="S57" i="291"/>
  <c r="CB7" i="41"/>
  <c r="CB6" i="41"/>
  <c r="CA7" i="41"/>
  <c r="AB7" i="41"/>
  <c r="AC7" i="41"/>
  <c r="W57" i="291" s="1"/>
  <c r="Z7" i="41"/>
  <c r="Y7" i="41"/>
  <c r="X7" i="41"/>
  <c r="W7" i="41"/>
  <c r="V7" i="41"/>
  <c r="F14" i="40" s="1"/>
  <c r="V4" i="41"/>
  <c r="P7" i="41"/>
  <c r="Q57" i="291" s="1"/>
  <c r="I7" i="41"/>
  <c r="O57" i="291" s="1"/>
  <c r="H7" i="41"/>
  <c r="N57" i="291" s="1"/>
  <c r="G7" i="41"/>
  <c r="M57" i="291" s="1"/>
  <c r="G5" i="41"/>
  <c r="J7" i="41"/>
  <c r="D7" i="41"/>
  <c r="F57" i="291" s="1"/>
  <c r="B7" i="41"/>
  <c r="BB4" i="38"/>
  <c r="BB3" i="38"/>
  <c r="BA4" i="38"/>
  <c r="BA3" i="38"/>
  <c r="W14" i="40"/>
  <c r="S14" i="40"/>
  <c r="R14" i="40"/>
  <c r="P14" i="40"/>
  <c r="BQ7" i="41" s="1"/>
  <c r="J14" i="40"/>
  <c r="J9" i="40"/>
  <c r="I14" i="40"/>
  <c r="I9" i="40"/>
  <c r="G14" i="40"/>
  <c r="H15" i="47" s="1"/>
  <c r="C15" i="47"/>
  <c r="AA3" i="38"/>
  <c r="Z4" i="38"/>
  <c r="AA4" i="38"/>
  <c r="D4" i="38"/>
  <c r="K7" i="41" s="1"/>
  <c r="B4" i="38"/>
  <c r="C4" i="38" s="1"/>
  <c r="T76" i="295" l="1"/>
  <c r="T77" i="295"/>
  <c r="T75" i="295"/>
  <c r="X112" i="295"/>
  <c r="X110" i="295"/>
  <c r="X111" i="295"/>
  <c r="Y112" i="295"/>
  <c r="Y110" i="295"/>
  <c r="Y111" i="295"/>
  <c r="L118" i="295"/>
  <c r="L115" i="295"/>
  <c r="L117" i="295"/>
  <c r="L119" i="295"/>
  <c r="L116" i="295"/>
  <c r="V57" i="291"/>
  <c r="U111" i="295"/>
  <c r="U112" i="295"/>
  <c r="U110" i="295"/>
  <c r="E12" i="6"/>
  <c r="V119" i="295"/>
  <c r="V116" i="295"/>
  <c r="V118" i="295"/>
  <c r="V115" i="295"/>
  <c r="V117" i="295"/>
  <c r="B114" i="295"/>
  <c r="B113" i="295"/>
  <c r="B10" i="6"/>
  <c r="B14" i="47" s="1"/>
  <c r="G112" i="295"/>
  <c r="G110" i="295"/>
  <c r="G111" i="295"/>
  <c r="C7" i="41"/>
  <c r="AB112" i="295"/>
  <c r="AB110" i="295"/>
  <c r="AB111" i="295"/>
  <c r="AC94" i="295"/>
  <c r="AC92" i="295"/>
  <c r="AC93" i="295"/>
  <c r="W116" i="295"/>
  <c r="W118" i="295"/>
  <c r="W115" i="295"/>
  <c r="W117" i="295"/>
  <c r="W119" i="295"/>
  <c r="U57" i="291"/>
  <c r="K111" i="295"/>
  <c r="K112" i="295"/>
  <c r="K110" i="295"/>
  <c r="AC112" i="295"/>
  <c r="AC110" i="295"/>
  <c r="AC111" i="295"/>
  <c r="T114" i="295"/>
  <c r="T113" i="295"/>
  <c r="B103" i="295"/>
  <c r="B102" i="295"/>
  <c r="B9" i="6"/>
  <c r="B108" i="295"/>
  <c r="B105" i="295"/>
  <c r="B107" i="295"/>
  <c r="B104" i="295"/>
  <c r="B109" i="295"/>
  <c r="B106" i="295"/>
  <c r="B11" i="6"/>
  <c r="D55" i="291"/>
  <c r="B2" i="11"/>
  <c r="H61" i="291"/>
  <c r="J61" i="291" s="1"/>
  <c r="H62" i="291"/>
  <c r="J62" i="291" s="1"/>
  <c r="P2" i="254"/>
  <c r="C8" i="40"/>
  <c r="E59" i="291"/>
  <c r="P3" i="254"/>
  <c r="C10" i="6"/>
  <c r="N7" i="5"/>
  <c r="AA14" i="40"/>
  <c r="Y57" i="291"/>
  <c r="AB14" i="40"/>
  <c r="BR7" i="5"/>
  <c r="BF7" i="5"/>
  <c r="P118" i="295" s="1"/>
  <c r="BN7" i="5"/>
  <c r="O119" i="295" s="1"/>
  <c r="AO4" i="4"/>
  <c r="I59" i="291"/>
  <c r="K59" i="291" s="1"/>
  <c r="AO4" i="38"/>
  <c r="AS7" i="41"/>
  <c r="O110" i="295" s="1"/>
  <c r="AS4" i="38"/>
  <c r="X57" i="291"/>
  <c r="AA57" i="291"/>
  <c r="Z57" i="291"/>
  <c r="T14" i="40"/>
  <c r="S4" i="38"/>
  <c r="U7" i="41" s="1"/>
  <c r="T4" i="38"/>
  <c r="T3" i="38"/>
  <c r="N4" i="38"/>
  <c r="N3" i="38"/>
  <c r="M4" i="38"/>
  <c r="O7" i="41" s="1"/>
  <c r="K3" i="36"/>
  <c r="L4" i="38"/>
  <c r="N7" i="41" s="1"/>
  <c r="I4" i="38"/>
  <c r="H4" i="38"/>
  <c r="G4" i="38"/>
  <c r="F4" i="38"/>
  <c r="F7" i="41" s="1"/>
  <c r="F3" i="37"/>
  <c r="F3" i="38" s="1"/>
  <c r="B3" i="38"/>
  <c r="C3" i="38" s="1"/>
  <c r="B4" i="40" s="1"/>
  <c r="F55" i="291"/>
  <c r="Q55" i="291"/>
  <c r="S55" i="291"/>
  <c r="AA55" i="291"/>
  <c r="CA5" i="5"/>
  <c r="BZ6" i="5"/>
  <c r="BA6" i="5"/>
  <c r="K2" i="11"/>
  <c r="BC6" i="5" s="1"/>
  <c r="P107" i="295" s="1"/>
  <c r="F2" i="11"/>
  <c r="D2" i="11"/>
  <c r="E14" i="40" l="1"/>
  <c r="E15" i="47" s="1"/>
  <c r="V111" i="295"/>
  <c r="V112" i="295"/>
  <c r="V110" i="295"/>
  <c r="C14" i="40"/>
  <c r="T111" i="295"/>
  <c r="T112" i="295"/>
  <c r="T110" i="295"/>
  <c r="T117" i="295"/>
  <c r="T119" i="295"/>
  <c r="T116" i="295"/>
  <c r="T118" i="295"/>
  <c r="T115" i="295"/>
  <c r="B112" i="295"/>
  <c r="B110" i="295"/>
  <c r="B111" i="295"/>
  <c r="D57" i="291"/>
  <c r="B14" i="40"/>
  <c r="B15" i="47" s="1"/>
  <c r="P57" i="291"/>
  <c r="L112" i="295"/>
  <c r="L110" i="295"/>
  <c r="L111" i="295"/>
  <c r="AC53" i="295"/>
  <c r="AC50" i="295"/>
  <c r="AC51" i="295"/>
  <c r="AC54" i="295"/>
  <c r="AC52" i="295"/>
  <c r="Z55" i="291"/>
  <c r="AB108" i="295"/>
  <c r="AB105" i="295"/>
  <c r="AB107" i="295"/>
  <c r="AB104" i="295"/>
  <c r="AB109" i="295"/>
  <c r="AB106" i="295"/>
  <c r="L57" i="291"/>
  <c r="W111" i="295"/>
  <c r="W112" i="295"/>
  <c r="W110" i="295"/>
  <c r="C107" i="295"/>
  <c r="E57" i="291"/>
  <c r="C12" i="6"/>
  <c r="AU4" i="38"/>
  <c r="BO7" i="41"/>
  <c r="P112" i="295" s="1"/>
  <c r="BR7" i="41"/>
  <c r="BS7" i="41"/>
  <c r="BE7" i="41"/>
  <c r="O111" i="295" s="1"/>
  <c r="AP4" i="38"/>
  <c r="AT4" i="38"/>
  <c r="AE9" i="6"/>
  <c r="AD9" i="6"/>
  <c r="AE11" i="6"/>
  <c r="F9" i="6"/>
  <c r="F13" i="47" s="1"/>
  <c r="AB6" i="5"/>
  <c r="AC6" i="5"/>
  <c r="W55" i="291" s="1"/>
  <c r="AA6" i="5"/>
  <c r="Z5" i="5"/>
  <c r="Y6" i="5"/>
  <c r="Z6" i="5"/>
  <c r="X6" i="5"/>
  <c r="V5" i="5"/>
  <c r="P5" i="5"/>
  <c r="I3" i="4"/>
  <c r="H3" i="4"/>
  <c r="G6" i="5"/>
  <c r="M55" i="291" s="1"/>
  <c r="H6" i="5"/>
  <c r="N55" i="291" s="1"/>
  <c r="I6" i="5"/>
  <c r="O55" i="291" s="1"/>
  <c r="L6" i="5"/>
  <c r="B5" i="5"/>
  <c r="AS3" i="3"/>
  <c r="AR3" i="3"/>
  <c r="D11" i="6"/>
  <c r="F8" i="6"/>
  <c r="D9" i="6"/>
  <c r="C13" i="47" s="1"/>
  <c r="B13" i="47"/>
  <c r="AA3" i="4"/>
  <c r="Z3" i="4"/>
  <c r="Z4" i="3"/>
  <c r="T4" i="3"/>
  <c r="N4" i="3"/>
  <c r="AS4" i="3"/>
  <c r="AR4" i="3"/>
  <c r="AD7" i="6"/>
  <c r="X9" i="6"/>
  <c r="X8" i="6"/>
  <c r="X7" i="6"/>
  <c r="M9" i="6"/>
  <c r="J9" i="6"/>
  <c r="J13" i="47" s="1"/>
  <c r="I9" i="6"/>
  <c r="I13" i="47" s="1"/>
  <c r="S9" i="6"/>
  <c r="V13" i="47" s="1"/>
  <c r="T9" i="6"/>
  <c r="W13" i="47" s="1"/>
  <c r="T8" i="6"/>
  <c r="T7" i="6"/>
  <c r="S8" i="6"/>
  <c r="S7" i="6"/>
  <c r="O8" i="6"/>
  <c r="O9" i="6" s="1"/>
  <c r="M8" i="6"/>
  <c r="M7" i="6"/>
  <c r="J8" i="6"/>
  <c r="J7" i="6"/>
  <c r="I8" i="6"/>
  <c r="I7" i="6"/>
  <c r="F7" i="6"/>
  <c r="F6" i="6"/>
  <c r="F5" i="6"/>
  <c r="F4" i="6"/>
  <c r="D8" i="6"/>
  <c r="AA4" i="3"/>
  <c r="AA3" i="3"/>
  <c r="Z3" i="3"/>
  <c r="X4" i="3"/>
  <c r="V4" i="3"/>
  <c r="AD8" i="6" s="1"/>
  <c r="W4" i="3"/>
  <c r="AE8" i="6" s="1"/>
  <c r="U4" i="3"/>
  <c r="U3" i="4" s="1"/>
  <c r="N3" i="3"/>
  <c r="T3" i="3"/>
  <c r="G4" i="3"/>
  <c r="H4" i="3"/>
  <c r="I4" i="3"/>
  <c r="G3" i="2"/>
  <c r="F4" i="3" s="1"/>
  <c r="F3" i="4" s="1"/>
  <c r="J4" i="3"/>
  <c r="D4" i="3"/>
  <c r="B4" i="3"/>
  <c r="C4" i="3" s="1"/>
  <c r="B8" i="6" s="1"/>
  <c r="B3" i="3"/>
  <c r="C3" i="3" s="1"/>
  <c r="B4" i="6" s="1"/>
  <c r="U103" i="295" l="1"/>
  <c r="U102" i="295"/>
  <c r="G54" i="295"/>
  <c r="G53" i="295"/>
  <c r="G52" i="295"/>
  <c r="G50" i="295"/>
  <c r="G51" i="295"/>
  <c r="C5" i="5"/>
  <c r="X106" i="295"/>
  <c r="X108" i="295"/>
  <c r="X105" i="295"/>
  <c r="X107" i="295"/>
  <c r="X104" i="295"/>
  <c r="X109" i="295"/>
  <c r="U107" i="295"/>
  <c r="U104" i="295"/>
  <c r="U109" i="295"/>
  <c r="U106" i="295"/>
  <c r="U108" i="295"/>
  <c r="U105" i="295"/>
  <c r="K103" i="295"/>
  <c r="K102" i="295"/>
  <c r="Y108" i="295"/>
  <c r="Y105" i="295"/>
  <c r="Y107" i="295"/>
  <c r="Y104" i="295"/>
  <c r="Y109" i="295"/>
  <c r="Y106" i="295"/>
  <c r="W103" i="295"/>
  <c r="W102" i="295"/>
  <c r="F6" i="5"/>
  <c r="W6" i="5"/>
  <c r="Q8" i="6"/>
  <c r="AK4" i="3" s="1"/>
  <c r="I57" i="291"/>
  <c r="K57" i="291" s="1"/>
  <c r="L2" i="11"/>
  <c r="X55" i="291"/>
  <c r="M2" i="11"/>
  <c r="Y55" i="291"/>
  <c r="V55" i="291"/>
  <c r="AD11" i="6"/>
  <c r="N13" i="47"/>
  <c r="O11" i="6"/>
  <c r="Q11" i="6" s="1"/>
  <c r="Q9" i="6"/>
  <c r="AM3" i="4" s="1"/>
  <c r="R13" i="47"/>
  <c r="AE7" i="6"/>
  <c r="X5" i="6"/>
  <c r="T5" i="6"/>
  <c r="S5" i="6"/>
  <c r="Q7" i="6"/>
  <c r="AG3" i="2" s="1"/>
  <c r="G7" i="6"/>
  <c r="G8" i="6" s="1"/>
  <c r="G9" i="6" s="1"/>
  <c r="D7" i="6"/>
  <c r="AS3" i="2"/>
  <c r="AR3" i="2"/>
  <c r="Y3" i="2"/>
  <c r="R3" i="2"/>
  <c r="Q3" i="2"/>
  <c r="S4" i="3" s="1"/>
  <c r="L3" i="2"/>
  <c r="K3" i="2"/>
  <c r="M4" i="3" s="1"/>
  <c r="M3" i="4" s="1"/>
  <c r="J3" i="2"/>
  <c r="I3" i="2"/>
  <c r="H3" i="2"/>
  <c r="D3" i="2"/>
  <c r="B3" i="2"/>
  <c r="W109" i="295" l="1"/>
  <c r="W106" i="295"/>
  <c r="W108" i="295"/>
  <c r="W105" i="295"/>
  <c r="W107" i="295"/>
  <c r="W104" i="295"/>
  <c r="B54" i="295"/>
  <c r="B53" i="295"/>
  <c r="B51" i="295"/>
  <c r="B52" i="295"/>
  <c r="B50" i="295"/>
  <c r="D29" i="291"/>
  <c r="B5" i="6"/>
  <c r="L103" i="295"/>
  <c r="L102" i="295"/>
  <c r="K106" i="295"/>
  <c r="K108" i="295"/>
  <c r="K105" i="295"/>
  <c r="K107" i="295"/>
  <c r="K104" i="295"/>
  <c r="K109" i="295"/>
  <c r="U55" i="291"/>
  <c r="AI4" i="3"/>
  <c r="C3" i="2"/>
  <c r="B7" i="6" s="1"/>
  <c r="F3" i="2"/>
  <c r="L4" i="3" s="1"/>
  <c r="C8" i="6" s="1"/>
  <c r="E7" i="6"/>
  <c r="L55" i="291"/>
  <c r="O6" i="5"/>
  <c r="E8" i="6"/>
  <c r="S3" i="4"/>
  <c r="U8" i="6"/>
  <c r="AJ4" i="3" s="1"/>
  <c r="T13" i="47"/>
  <c r="U9" i="6"/>
  <c r="AN3" i="4" s="1"/>
  <c r="U11" i="6"/>
  <c r="BQ6" i="5" s="1"/>
  <c r="BP6" i="5"/>
  <c r="AQ6" i="5"/>
  <c r="P105" i="295" s="1"/>
  <c r="AI3" i="4"/>
  <c r="P102" i="295" s="1"/>
  <c r="AK3" i="4"/>
  <c r="O103" i="295" s="1"/>
  <c r="AL4" i="3"/>
  <c r="H13" i="47"/>
  <c r="G11" i="6"/>
  <c r="G12" i="6" s="1"/>
  <c r="AK3" i="2"/>
  <c r="U7" i="6"/>
  <c r="AM3" i="2" s="1"/>
  <c r="H41" i="291"/>
  <c r="I41" i="291"/>
  <c r="U41" i="291"/>
  <c r="C34" i="252"/>
  <c r="Q34" i="252"/>
  <c r="R34" i="252"/>
  <c r="S34" i="252"/>
  <c r="V34" i="252"/>
  <c r="W34" i="252"/>
  <c r="W14" i="282"/>
  <c r="AH34" i="252" s="1"/>
  <c r="W13" i="282"/>
  <c r="V14" i="282"/>
  <c r="AG34" i="252" s="1"/>
  <c r="V8" i="282"/>
  <c r="T14" i="282"/>
  <c r="S14" i="282"/>
  <c r="D34" i="252" s="1"/>
  <c r="S11" i="282"/>
  <c r="Q14" i="282"/>
  <c r="Y34" i="252" s="1"/>
  <c r="W41" i="291" s="1"/>
  <c r="Q13" i="282"/>
  <c r="P14" i="282"/>
  <c r="X34" i="252" s="1"/>
  <c r="P13" i="282"/>
  <c r="J14" i="282"/>
  <c r="M34" i="252" s="1"/>
  <c r="O41" i="291" s="1"/>
  <c r="I14" i="282"/>
  <c r="L34" i="252" s="1"/>
  <c r="N41" i="291" s="1"/>
  <c r="H14" i="282"/>
  <c r="K34" i="252" s="1"/>
  <c r="M41" i="291" s="1"/>
  <c r="G14" i="282"/>
  <c r="J34" i="252" s="1"/>
  <c r="G9" i="282"/>
  <c r="E14" i="282"/>
  <c r="I34" i="252" s="1"/>
  <c r="B14" i="282"/>
  <c r="G34" i="252" s="1"/>
  <c r="AB67" i="295" l="1"/>
  <c r="AB66" i="295"/>
  <c r="I67" i="295"/>
  <c r="I66" i="295"/>
  <c r="V103" i="295"/>
  <c r="V102" i="295"/>
  <c r="AC67" i="295"/>
  <c r="AC66" i="295"/>
  <c r="U67" i="295"/>
  <c r="U66" i="295"/>
  <c r="L108" i="295"/>
  <c r="L105" i="295"/>
  <c r="L107" i="295"/>
  <c r="L104" i="295"/>
  <c r="L109" i="295"/>
  <c r="L106" i="295"/>
  <c r="H67" i="295"/>
  <c r="H66" i="295"/>
  <c r="W67" i="295"/>
  <c r="W66" i="295"/>
  <c r="J67" i="295"/>
  <c r="J66" i="295"/>
  <c r="C66" i="295"/>
  <c r="AM4" i="3"/>
  <c r="L3" i="4"/>
  <c r="C7" i="6"/>
  <c r="L41" i="291"/>
  <c r="V41" i="291"/>
  <c r="AA41" i="291"/>
  <c r="Z41" i="291"/>
  <c r="S41" i="291"/>
  <c r="U6" i="5"/>
  <c r="E9" i="6"/>
  <c r="E13" i="47" s="1"/>
  <c r="P55" i="291"/>
  <c r="AO3" i="4"/>
  <c r="BF6" i="5"/>
  <c r="P108" i="295" s="1"/>
  <c r="BN6" i="5"/>
  <c r="BR6" i="5"/>
  <c r="AH3" i="2"/>
  <c r="AL3" i="2"/>
  <c r="H37" i="291"/>
  <c r="I37" i="291"/>
  <c r="U37" i="291"/>
  <c r="C33" i="252"/>
  <c r="Q33" i="252"/>
  <c r="R33" i="252"/>
  <c r="S33" i="252"/>
  <c r="V33" i="252"/>
  <c r="W33" i="252"/>
  <c r="D3" i="90"/>
  <c r="F36" i="291" s="1"/>
  <c r="Y36" i="291"/>
  <c r="X36" i="291"/>
  <c r="U36" i="291"/>
  <c r="S36" i="291"/>
  <c r="I101" i="295" l="1"/>
  <c r="I100" i="295"/>
  <c r="T102" i="295"/>
  <c r="T103" i="295"/>
  <c r="V104" i="295"/>
  <c r="V109" i="295"/>
  <c r="V106" i="295"/>
  <c r="V108" i="295"/>
  <c r="V105" i="295"/>
  <c r="V107" i="295"/>
  <c r="S37" i="291"/>
  <c r="J100" i="295"/>
  <c r="J101" i="295"/>
  <c r="H55" i="291"/>
  <c r="J55" i="291" s="1"/>
  <c r="O109" i="295"/>
  <c r="C9" i="6"/>
  <c r="N6" i="5"/>
  <c r="C11" i="6" s="1"/>
  <c r="E11" i="6"/>
  <c r="E2" i="11"/>
  <c r="C2" i="11" l="1"/>
  <c r="T107" i="295"/>
  <c r="T104" i="295"/>
  <c r="T109" i="295"/>
  <c r="T106" i="295"/>
  <c r="T108" i="295"/>
  <c r="T105" i="295"/>
  <c r="E55" i="291"/>
  <c r="U50" i="291"/>
  <c r="M4" i="282"/>
  <c r="M5" i="282" s="1"/>
  <c r="F31" i="252"/>
  <c r="U49" i="291"/>
  <c r="U48" i="291"/>
  <c r="I49" i="291"/>
  <c r="K49" i="291" s="1"/>
  <c r="H48" i="291"/>
  <c r="I48" i="291"/>
  <c r="AE31" i="252" l="1"/>
  <c r="O83" i="295" s="1"/>
  <c r="P82" i="295"/>
  <c r="H50" i="291"/>
  <c r="K50" i="291" s="1"/>
  <c r="S4" i="282" l="1"/>
  <c r="D30" i="252" s="1"/>
  <c r="C80" i="295" s="1"/>
  <c r="T4" i="282"/>
  <c r="T10" i="282"/>
  <c r="C30" i="252"/>
  <c r="Q30" i="252"/>
  <c r="R30" i="252"/>
  <c r="S30" i="252"/>
  <c r="V30" i="252"/>
  <c r="W30" i="252"/>
  <c r="C31" i="252"/>
  <c r="S31" i="252"/>
  <c r="W31" i="252"/>
  <c r="E27" i="252"/>
  <c r="O59" i="295" s="1"/>
  <c r="I30" i="291"/>
  <c r="U30" i="291"/>
  <c r="C25" i="252"/>
  <c r="Q25" i="252"/>
  <c r="R25" i="252"/>
  <c r="S25" i="252"/>
  <c r="V25" i="252"/>
  <c r="W25" i="252"/>
  <c r="E7" i="282"/>
  <c r="B8" i="282"/>
  <c r="J80" i="295" l="1"/>
  <c r="J81" i="295"/>
  <c r="I80" i="295"/>
  <c r="I81" i="295"/>
  <c r="I56" i="295"/>
  <c r="I55" i="295"/>
  <c r="J83" i="295"/>
  <c r="J82" i="295"/>
  <c r="S30" i="291"/>
  <c r="J56" i="295"/>
  <c r="J55" i="295"/>
  <c r="I82" i="295"/>
  <c r="I83" i="295"/>
  <c r="U11" i="282"/>
  <c r="S50" i="291"/>
  <c r="S49" i="291"/>
  <c r="S48" i="291"/>
  <c r="F49" i="291"/>
  <c r="AC31" i="252" s="1"/>
  <c r="F50" i="291" s="1"/>
  <c r="G49" i="291"/>
  <c r="AD31" i="252" s="1"/>
  <c r="C83" i="295" s="1"/>
  <c r="AF27" i="252"/>
  <c r="P60" i="295" s="1"/>
  <c r="G50" i="291" l="1"/>
  <c r="H53" i="291"/>
  <c r="U53" i="291"/>
  <c r="C23" i="252" l="1"/>
  <c r="Q23" i="252"/>
  <c r="R23" i="252"/>
  <c r="S23" i="252"/>
  <c r="V23" i="252"/>
  <c r="W23" i="252"/>
  <c r="C22" i="252"/>
  <c r="F52" i="291"/>
  <c r="AC23" i="252" s="1"/>
  <c r="F53" i="291" s="1"/>
  <c r="K3" i="90"/>
  <c r="D3" i="38"/>
  <c r="K3" i="39" s="1"/>
  <c r="I44" i="295" l="1"/>
  <c r="I43" i="295"/>
  <c r="J96" i="295"/>
  <c r="J95" i="295"/>
  <c r="I96" i="295"/>
  <c r="I95" i="295"/>
  <c r="S53" i="291"/>
  <c r="AZ3" i="37"/>
  <c r="F46" i="291"/>
  <c r="D4" i="41"/>
  <c r="D5" i="41"/>
  <c r="D3" i="37" l="1"/>
  <c r="K3" i="38" s="1"/>
  <c r="AE3" i="36"/>
  <c r="M3" i="41"/>
  <c r="D3" i="36"/>
  <c r="K3" i="37" s="1"/>
  <c r="AG2" i="291" l="1"/>
  <c r="D3" i="3" l="1"/>
  <c r="O12" i="47" l="1"/>
  <c r="U40" i="291"/>
  <c r="S40" i="291"/>
  <c r="BQ3" i="75"/>
  <c r="AA40" i="291" s="1"/>
  <c r="CA3" i="5"/>
  <c r="BP3" i="75"/>
  <c r="BZ3" i="5"/>
  <c r="AF6" i="6"/>
  <c r="AG6" i="6"/>
  <c r="X6" i="6"/>
  <c r="T6" i="6"/>
  <c r="W12" i="47" s="1"/>
  <c r="S6" i="6"/>
  <c r="V12" i="47" s="1"/>
  <c r="D6" i="6"/>
  <c r="C12" i="47" s="1"/>
  <c r="Z3" i="75"/>
  <c r="W40" i="291" s="1"/>
  <c r="Y3" i="75"/>
  <c r="Q3" i="75"/>
  <c r="K3" i="75"/>
  <c r="AB65" i="295" l="1"/>
  <c r="AB62" i="295"/>
  <c r="AB64" i="295"/>
  <c r="AB61" i="295"/>
  <c r="AB63" i="295"/>
  <c r="U64" i="295"/>
  <c r="U61" i="295"/>
  <c r="U63" i="295"/>
  <c r="U65" i="295"/>
  <c r="U62" i="295"/>
  <c r="AB42" i="295"/>
  <c r="AB39" i="295"/>
  <c r="AB41" i="295"/>
  <c r="AB38" i="295"/>
  <c r="AB40" i="295"/>
  <c r="AC39" i="295"/>
  <c r="AC41" i="295"/>
  <c r="AC38" i="295"/>
  <c r="AC40" i="295"/>
  <c r="AC42" i="295"/>
  <c r="AC62" i="295"/>
  <c r="AC64" i="295"/>
  <c r="AC61" i="295"/>
  <c r="AC63" i="295"/>
  <c r="AC65" i="295"/>
  <c r="Z40" i="291"/>
  <c r="V40" i="291"/>
  <c r="I3" i="75"/>
  <c r="O40" i="291" s="1"/>
  <c r="H3" i="75"/>
  <c r="N40" i="291" s="1"/>
  <c r="G3" i="75"/>
  <c r="M40" i="291" s="1"/>
  <c r="F3" i="75"/>
  <c r="D3" i="75"/>
  <c r="B3" i="75"/>
  <c r="D5" i="5"/>
  <c r="J3" i="75"/>
  <c r="I33" i="291"/>
  <c r="U33" i="291"/>
  <c r="K11" i="282"/>
  <c r="S27" i="252" s="1"/>
  <c r="T11" i="282"/>
  <c r="D27" i="252"/>
  <c r="S7" i="282"/>
  <c r="W11" i="282"/>
  <c r="AH27" i="252" s="1"/>
  <c r="W10" i="282"/>
  <c r="AH26" i="252" s="1"/>
  <c r="V11" i="282"/>
  <c r="AG27" i="252" s="1"/>
  <c r="V10" i="282"/>
  <c r="AG26" i="252" s="1"/>
  <c r="F11" i="282"/>
  <c r="C27" i="252" s="1"/>
  <c r="L11" i="282"/>
  <c r="V27" i="252" s="1"/>
  <c r="N11" i="282"/>
  <c r="Q27" i="252" s="1"/>
  <c r="O11" i="282"/>
  <c r="R27" i="252" s="1"/>
  <c r="R11" i="282"/>
  <c r="U10" i="282"/>
  <c r="U31" i="291"/>
  <c r="U32" i="291"/>
  <c r="I31" i="291"/>
  <c r="H32" i="291"/>
  <c r="J32" i="291" s="1"/>
  <c r="AD16" i="252"/>
  <c r="C29" i="295" s="1"/>
  <c r="AD14" i="252"/>
  <c r="C25" i="295" s="1"/>
  <c r="AD10" i="252"/>
  <c r="C17" i="295" s="1"/>
  <c r="AD8" i="252"/>
  <c r="C13" i="295" s="1"/>
  <c r="U7" i="282"/>
  <c r="M10" i="282"/>
  <c r="W26" i="252" s="1"/>
  <c r="C26" i="252"/>
  <c r="Q26" i="252"/>
  <c r="R26" i="252"/>
  <c r="S26" i="252"/>
  <c r="V26" i="252"/>
  <c r="S10" i="282"/>
  <c r="D26" i="252" s="1"/>
  <c r="C57" i="295" s="1"/>
  <c r="W63" i="295" l="1"/>
  <c r="W65" i="295"/>
  <c r="W62" i="295"/>
  <c r="W64" i="295"/>
  <c r="W61" i="295"/>
  <c r="H64" i="295"/>
  <c r="H61" i="295"/>
  <c r="H63" i="295"/>
  <c r="H65" i="295"/>
  <c r="H62" i="295"/>
  <c r="J60" i="295"/>
  <c r="J59" i="295"/>
  <c r="Z33" i="291"/>
  <c r="AB59" i="295"/>
  <c r="AB60" i="295"/>
  <c r="I60" i="295"/>
  <c r="I59" i="295"/>
  <c r="AA31" i="291"/>
  <c r="AC58" i="295"/>
  <c r="AC57" i="295"/>
  <c r="T64" i="295"/>
  <c r="T61" i="295"/>
  <c r="T63" i="295"/>
  <c r="T65" i="295"/>
  <c r="T62" i="295"/>
  <c r="I58" i="295"/>
  <c r="I57" i="295"/>
  <c r="Z31" i="291"/>
  <c r="AB58" i="295"/>
  <c r="AB57" i="295"/>
  <c r="AA33" i="291"/>
  <c r="AC59" i="295"/>
  <c r="AC60" i="295"/>
  <c r="F29" i="291"/>
  <c r="AC25" i="252" s="1"/>
  <c r="H53" i="295"/>
  <c r="H54" i="295"/>
  <c r="H51" i="295"/>
  <c r="H52" i="295"/>
  <c r="H50" i="295"/>
  <c r="J58" i="295"/>
  <c r="J57" i="295"/>
  <c r="G64" i="295"/>
  <c r="G61" i="295"/>
  <c r="G63" i="295"/>
  <c r="G65" i="295"/>
  <c r="G62" i="295"/>
  <c r="C3" i="75"/>
  <c r="C59" i="295"/>
  <c r="L40" i="291"/>
  <c r="F40" i="291"/>
  <c r="AC34" i="252" s="1"/>
  <c r="F41" i="291" s="1"/>
  <c r="J33" i="291"/>
  <c r="G32" i="291"/>
  <c r="AD27" i="252" s="1"/>
  <c r="M11" i="282"/>
  <c r="W27" i="252" s="1"/>
  <c r="F32" i="291"/>
  <c r="AC27" i="252" s="1"/>
  <c r="F33" i="291" s="1"/>
  <c r="S32" i="291"/>
  <c r="S31" i="291"/>
  <c r="S33" i="291"/>
  <c r="E40" i="291"/>
  <c r="AB34" i="252" s="1"/>
  <c r="AA32" i="291"/>
  <c r="Z32" i="291"/>
  <c r="U26" i="291"/>
  <c r="I26" i="291"/>
  <c r="R22" i="252"/>
  <c r="Q22" i="252"/>
  <c r="W22" i="252"/>
  <c r="V22" i="252"/>
  <c r="S22" i="252"/>
  <c r="D3" i="5"/>
  <c r="B65" i="295" l="1"/>
  <c r="B62" i="295"/>
  <c r="B64" i="295"/>
  <c r="B61" i="295"/>
  <c r="B63" i="295"/>
  <c r="D40" i="291"/>
  <c r="B6" i="6"/>
  <c r="B12" i="47" s="1"/>
  <c r="H41" i="295"/>
  <c r="H38" i="295"/>
  <c r="H40" i="295"/>
  <c r="H42" i="295"/>
  <c r="H39" i="295"/>
  <c r="J43" i="295"/>
  <c r="J44" i="295"/>
  <c r="T67" i="295"/>
  <c r="T66" i="295"/>
  <c r="C60" i="295"/>
  <c r="F25" i="291"/>
  <c r="E41" i="291"/>
  <c r="G33" i="291"/>
  <c r="S26" i="291"/>
  <c r="U47" i="291" l="1"/>
  <c r="H47" i="291"/>
  <c r="I47" i="291"/>
  <c r="W29" i="252"/>
  <c r="V29" i="252"/>
  <c r="S29" i="252"/>
  <c r="R29" i="252"/>
  <c r="Q29" i="252"/>
  <c r="E13" i="282"/>
  <c r="I33" i="252" s="1"/>
  <c r="E9" i="282"/>
  <c r="I25" i="252" s="1"/>
  <c r="E10" i="282"/>
  <c r="E5" i="282"/>
  <c r="I31" i="252" s="1"/>
  <c r="E8" i="282"/>
  <c r="I23" i="252" s="1"/>
  <c r="E4" i="282"/>
  <c r="I30" i="252" s="1"/>
  <c r="E3" i="282"/>
  <c r="I29" i="252" s="1"/>
  <c r="T5" i="282"/>
  <c r="T13" i="282"/>
  <c r="T9" i="282"/>
  <c r="S5" i="282"/>
  <c r="D31" i="252" s="1"/>
  <c r="S9" i="282"/>
  <c r="D25" i="252" s="1"/>
  <c r="S13" i="282"/>
  <c r="D33" i="252" s="1"/>
  <c r="T7" i="282"/>
  <c r="T8" i="282"/>
  <c r="S8" i="282"/>
  <c r="D23" i="252" s="1"/>
  <c r="S3" i="282"/>
  <c r="D29" i="252" s="1"/>
  <c r="T3" i="282"/>
  <c r="C29" i="252"/>
  <c r="S52" i="291"/>
  <c r="U52" i="291"/>
  <c r="X52" i="291"/>
  <c r="Y52" i="291"/>
  <c r="S46" i="291"/>
  <c r="AC29" i="252"/>
  <c r="F47" i="291" s="1"/>
  <c r="AC30" i="252" s="1"/>
  <c r="F48" i="291" s="1"/>
  <c r="J79" i="295" l="1"/>
  <c r="J78" i="295"/>
  <c r="H96" i="295"/>
  <c r="H95" i="295"/>
  <c r="I79" i="295"/>
  <c r="I78" i="295"/>
  <c r="H56" i="295"/>
  <c r="H55" i="295"/>
  <c r="H101" i="295"/>
  <c r="H100" i="295"/>
  <c r="C82" i="295"/>
  <c r="C78" i="295"/>
  <c r="C100" i="295"/>
  <c r="C95" i="295"/>
  <c r="C55" i="295"/>
  <c r="I26" i="252"/>
  <c r="E11" i="282"/>
  <c r="I27" i="252" s="1"/>
  <c r="D22" i="252"/>
  <c r="I22" i="252"/>
  <c r="S47" i="291"/>
  <c r="H57" i="295" l="1"/>
  <c r="H58" i="295"/>
  <c r="H44" i="295"/>
  <c r="H43" i="295"/>
  <c r="H60" i="295"/>
  <c r="H59" i="295"/>
  <c r="C43" i="295"/>
  <c r="AD20" i="252" l="1"/>
  <c r="J20" i="252"/>
  <c r="K20" i="252"/>
  <c r="L20" i="252"/>
  <c r="M20" i="252"/>
  <c r="Q20" i="252"/>
  <c r="R20" i="252"/>
  <c r="S20" i="252"/>
  <c r="V20" i="252"/>
  <c r="W20" i="252"/>
  <c r="C20" i="252"/>
  <c r="X18" i="52"/>
  <c r="W18" i="52"/>
  <c r="W17" i="52"/>
  <c r="V18" i="52"/>
  <c r="D20" i="252" s="1"/>
  <c r="V17" i="52"/>
  <c r="D19" i="252" s="1"/>
  <c r="T18" i="52"/>
  <c r="Y20" i="252" s="1"/>
  <c r="S18" i="52"/>
  <c r="X20" i="252" s="1"/>
  <c r="S14" i="52"/>
  <c r="S15" i="52" s="1"/>
  <c r="X17" i="252" s="1"/>
  <c r="B18" i="52"/>
  <c r="G20" i="252" s="1"/>
  <c r="X22" i="291"/>
  <c r="Y22" i="291"/>
  <c r="U22" i="291"/>
  <c r="Y20" i="291"/>
  <c r="X20" i="291"/>
  <c r="U20" i="291"/>
  <c r="I20" i="291"/>
  <c r="AE19" i="252" s="1"/>
  <c r="O35" i="295" s="1"/>
  <c r="X21" i="291"/>
  <c r="Y21" i="291"/>
  <c r="U21" i="291"/>
  <c r="V18" i="252"/>
  <c r="Q18" i="252"/>
  <c r="R18" i="252"/>
  <c r="S18" i="252"/>
  <c r="S19" i="252"/>
  <c r="C18" i="252"/>
  <c r="X17" i="52"/>
  <c r="V15" i="52"/>
  <c r="D17" i="252" s="1"/>
  <c r="Q17" i="52"/>
  <c r="Q19" i="252" s="1"/>
  <c r="R17" i="52"/>
  <c r="R19" i="252" s="1"/>
  <c r="O17" i="52"/>
  <c r="V19" i="252" s="1"/>
  <c r="F17" i="52"/>
  <c r="C19" i="252" s="1"/>
  <c r="X16" i="52"/>
  <c r="W16" i="52"/>
  <c r="V16" i="52"/>
  <c r="D18" i="252" s="1"/>
  <c r="V8" i="52"/>
  <c r="D10" i="252" s="1"/>
  <c r="C16" i="295" s="1"/>
  <c r="P16" i="52"/>
  <c r="P17" i="52" s="1"/>
  <c r="W19" i="252" s="1"/>
  <c r="L16" i="52"/>
  <c r="O18" i="252" s="1"/>
  <c r="K16" i="52"/>
  <c r="N18" i="252" s="1"/>
  <c r="K14" i="52"/>
  <c r="J16" i="52"/>
  <c r="J17" i="52" s="1"/>
  <c r="M19" i="252" s="1"/>
  <c r="O22" i="291" s="1"/>
  <c r="I16" i="52"/>
  <c r="I17" i="52" s="1"/>
  <c r="L19" i="252" s="1"/>
  <c r="N22" i="291" s="1"/>
  <c r="H16" i="52"/>
  <c r="K18" i="252" s="1"/>
  <c r="M21" i="291" s="1"/>
  <c r="G16" i="52"/>
  <c r="J18" i="252" s="1"/>
  <c r="B16" i="52"/>
  <c r="G18" i="252" s="1"/>
  <c r="B13" i="52"/>
  <c r="G15" i="252" s="1"/>
  <c r="U19" i="291"/>
  <c r="X19" i="291"/>
  <c r="Y19" i="291"/>
  <c r="S17" i="252"/>
  <c r="X15" i="52"/>
  <c r="W15" i="52"/>
  <c r="V13" i="52"/>
  <c r="D15" i="252" s="1"/>
  <c r="O15" i="52"/>
  <c r="V17" i="252" s="1"/>
  <c r="Q15" i="52"/>
  <c r="Q17" i="252" s="1"/>
  <c r="R15" i="52"/>
  <c r="R17" i="252" s="1"/>
  <c r="F15" i="52"/>
  <c r="C17" i="252" s="1"/>
  <c r="K15" i="52"/>
  <c r="N17" i="252" s="1"/>
  <c r="Y18" i="291"/>
  <c r="X18" i="291"/>
  <c r="U18" i="291"/>
  <c r="X17" i="291"/>
  <c r="Y17" i="291"/>
  <c r="U17" i="291"/>
  <c r="H17" i="291"/>
  <c r="J17" i="291" s="1"/>
  <c r="I18" i="291"/>
  <c r="K18" i="291" s="1"/>
  <c r="V16" i="252"/>
  <c r="S16" i="252"/>
  <c r="N16" i="252"/>
  <c r="Q16" i="252"/>
  <c r="R16" i="252"/>
  <c r="C16" i="252"/>
  <c r="L18" i="52"/>
  <c r="O20" i="252" s="1"/>
  <c r="K18" i="52"/>
  <c r="N20" i="252" s="1"/>
  <c r="Y18" i="52"/>
  <c r="AG20" i="252" s="1"/>
  <c r="Y17" i="52"/>
  <c r="AG19" i="252" s="1"/>
  <c r="Z18" i="52"/>
  <c r="AH20" i="252" s="1"/>
  <c r="Z17" i="52"/>
  <c r="AH19" i="252" s="1"/>
  <c r="Z16" i="52"/>
  <c r="AH18" i="252" s="1"/>
  <c r="Z15" i="52"/>
  <c r="AH17" i="252" s="1"/>
  <c r="Z14" i="52"/>
  <c r="AH16" i="252" s="1"/>
  <c r="Z13" i="52"/>
  <c r="AH15" i="252" s="1"/>
  <c r="Y14" i="52"/>
  <c r="AG16" i="252" s="1"/>
  <c r="Y15" i="52"/>
  <c r="AG17" i="252" s="1"/>
  <c r="Y16" i="52"/>
  <c r="AG18" i="252" s="1"/>
  <c r="Y11" i="52"/>
  <c r="X14" i="52"/>
  <c r="X13" i="52"/>
  <c r="X10" i="52"/>
  <c r="W14" i="52"/>
  <c r="W10" i="52"/>
  <c r="V14" i="52"/>
  <c r="D16" i="252" s="1"/>
  <c r="C28" i="295" s="1"/>
  <c r="V10" i="52"/>
  <c r="D12" i="252" s="1"/>
  <c r="C20" i="295" s="1"/>
  <c r="T16" i="52"/>
  <c r="T17" i="52" s="1"/>
  <c r="Y19" i="252" s="1"/>
  <c r="W22" i="291" s="1"/>
  <c r="T14" i="52"/>
  <c r="Y16" i="252" s="1"/>
  <c r="W17" i="291" s="1"/>
  <c r="S16" i="52"/>
  <c r="X18" i="252" s="1"/>
  <c r="S8" i="52"/>
  <c r="S9" i="52" s="1"/>
  <c r="X11" i="252" s="1"/>
  <c r="P14" i="52"/>
  <c r="P15" i="52" s="1"/>
  <c r="W17" i="252" s="1"/>
  <c r="G14" i="52"/>
  <c r="J16" i="252" s="1"/>
  <c r="H14" i="52"/>
  <c r="H15" i="52" s="1"/>
  <c r="K17" i="252" s="1"/>
  <c r="M19" i="291" s="1"/>
  <c r="I14" i="52"/>
  <c r="I15" i="52" s="1"/>
  <c r="L17" i="252" s="1"/>
  <c r="N19" i="291" s="1"/>
  <c r="J14" i="52"/>
  <c r="M16" i="252" s="1"/>
  <c r="O18" i="291" s="1"/>
  <c r="B14" i="52"/>
  <c r="G16" i="252" s="1"/>
  <c r="B12" i="52"/>
  <c r="G14" i="252" s="1"/>
  <c r="U16" i="291"/>
  <c r="X16" i="291"/>
  <c r="Y16" i="291"/>
  <c r="X15" i="291"/>
  <c r="Y15" i="291"/>
  <c r="U15" i="291"/>
  <c r="I15" i="291"/>
  <c r="AE15" i="252" s="1"/>
  <c r="V14" i="252"/>
  <c r="W14" i="252"/>
  <c r="V15" i="252"/>
  <c r="W15" i="252"/>
  <c r="S14" i="252"/>
  <c r="S15" i="252"/>
  <c r="Q14" i="252"/>
  <c r="R14" i="252"/>
  <c r="Q15" i="252"/>
  <c r="R15" i="252"/>
  <c r="C14" i="252"/>
  <c r="C15" i="252"/>
  <c r="W13" i="52"/>
  <c r="V6" i="52"/>
  <c r="J13" i="52"/>
  <c r="M15" i="252" s="1"/>
  <c r="O16" i="291" s="1"/>
  <c r="I13" i="52"/>
  <c r="L15" i="252" s="1"/>
  <c r="N16" i="291" s="1"/>
  <c r="H13" i="52"/>
  <c r="K15" i="252" s="1"/>
  <c r="M16" i="291" s="1"/>
  <c r="G13" i="52"/>
  <c r="J15" i="252" s="1"/>
  <c r="X12" i="52"/>
  <c r="X11" i="52"/>
  <c r="W12" i="52"/>
  <c r="V12" i="52"/>
  <c r="D14" i="252" s="1"/>
  <c r="V4" i="52"/>
  <c r="J12" i="52"/>
  <c r="M14" i="252" s="1"/>
  <c r="O15" i="291" s="1"/>
  <c r="I12" i="52"/>
  <c r="L14" i="252" s="1"/>
  <c r="N15" i="291" s="1"/>
  <c r="H12" i="52"/>
  <c r="K14" i="252" s="1"/>
  <c r="M15" i="291" s="1"/>
  <c r="G12" i="52"/>
  <c r="J14" i="252" s="1"/>
  <c r="B10" i="52"/>
  <c r="G12" i="252" s="1"/>
  <c r="B5" i="52"/>
  <c r="U14" i="291"/>
  <c r="X14" i="291"/>
  <c r="Y14" i="291"/>
  <c r="AG13" i="252"/>
  <c r="S13" i="252"/>
  <c r="W11" i="52"/>
  <c r="V11" i="52"/>
  <c r="D13" i="252" s="1"/>
  <c r="V9" i="52"/>
  <c r="D11" i="252" s="1"/>
  <c r="V7" i="52"/>
  <c r="D9" i="252" s="1"/>
  <c r="Q11" i="52"/>
  <c r="Q13" i="252" s="1"/>
  <c r="R11" i="52"/>
  <c r="R13" i="252" s="1"/>
  <c r="O11" i="52"/>
  <c r="V13" i="252" s="1"/>
  <c r="F11" i="52"/>
  <c r="C13" i="252" s="1"/>
  <c r="U13" i="291"/>
  <c r="Y13" i="291"/>
  <c r="X13" i="291"/>
  <c r="I13" i="291"/>
  <c r="X12" i="291"/>
  <c r="Y12" i="291"/>
  <c r="U12" i="291"/>
  <c r="H12" i="291"/>
  <c r="V12" i="252"/>
  <c r="Q12" i="252"/>
  <c r="R12" i="252"/>
  <c r="S12" i="252"/>
  <c r="C12" i="252"/>
  <c r="P10" i="52"/>
  <c r="P11" i="52" s="1"/>
  <c r="W13" i="252" s="1"/>
  <c r="J10" i="52"/>
  <c r="J11" i="52" s="1"/>
  <c r="M13" i="252" s="1"/>
  <c r="O14" i="291" s="1"/>
  <c r="I10" i="52"/>
  <c r="L12" i="252" s="1"/>
  <c r="N12" i="291" s="1"/>
  <c r="H10" i="52"/>
  <c r="H11" i="52" s="1"/>
  <c r="K13" i="252" s="1"/>
  <c r="M14" i="291" s="1"/>
  <c r="G10" i="52"/>
  <c r="G11" i="52" s="1"/>
  <c r="J13" i="252" s="1"/>
  <c r="B7" i="52"/>
  <c r="X11" i="291"/>
  <c r="Y11" i="291"/>
  <c r="U11" i="291"/>
  <c r="S11" i="252"/>
  <c r="X9" i="52"/>
  <c r="W9" i="52"/>
  <c r="F9" i="52"/>
  <c r="C11" i="252" s="1"/>
  <c r="O9" i="52"/>
  <c r="V11" i="252" s="1"/>
  <c r="Q9" i="52"/>
  <c r="Q11" i="252" s="1"/>
  <c r="R9" i="52"/>
  <c r="R11" i="252" s="1"/>
  <c r="Y10" i="291"/>
  <c r="X10" i="291"/>
  <c r="U10" i="291"/>
  <c r="H10" i="291"/>
  <c r="I10" i="291"/>
  <c r="H9" i="291"/>
  <c r="I9" i="291"/>
  <c r="AE11" i="252" s="1"/>
  <c r="O19" i="295" s="1"/>
  <c r="X8" i="52"/>
  <c r="V10" i="252"/>
  <c r="S10" i="252"/>
  <c r="R10" i="252"/>
  <c r="Q10" i="252"/>
  <c r="C10" i="252"/>
  <c r="X7" i="52"/>
  <c r="W8" i="52"/>
  <c r="P8" i="52"/>
  <c r="W10" i="252" s="1"/>
  <c r="J8" i="52"/>
  <c r="M10" i="252" s="1"/>
  <c r="O9" i="291" s="1"/>
  <c r="I8" i="52"/>
  <c r="I9" i="52" s="1"/>
  <c r="L11" i="252" s="1"/>
  <c r="N11" i="291" s="1"/>
  <c r="H8" i="52"/>
  <c r="K10" i="252" s="1"/>
  <c r="M10" i="291" s="1"/>
  <c r="G8" i="52"/>
  <c r="G9" i="52" s="1"/>
  <c r="J11" i="252" s="1"/>
  <c r="G3" i="52"/>
  <c r="B8" i="52"/>
  <c r="B9" i="52" s="1"/>
  <c r="G11" i="252" s="1"/>
  <c r="B6" i="52"/>
  <c r="U9" i="291"/>
  <c r="X9" i="291"/>
  <c r="Y9" i="291"/>
  <c r="X8" i="291"/>
  <c r="Y8" i="291"/>
  <c r="U8" i="291"/>
  <c r="G9" i="252"/>
  <c r="Q9" i="252"/>
  <c r="R9" i="252"/>
  <c r="S9" i="252"/>
  <c r="V9" i="252"/>
  <c r="W9" i="252"/>
  <c r="C9" i="252"/>
  <c r="X7" i="291"/>
  <c r="Y7" i="291"/>
  <c r="U7" i="291"/>
  <c r="U4" i="291"/>
  <c r="W7" i="52"/>
  <c r="W4" i="52"/>
  <c r="Z12" i="52"/>
  <c r="AH14" i="252" s="1"/>
  <c r="Z11" i="52"/>
  <c r="AH13" i="252" s="1"/>
  <c r="Z10" i="52"/>
  <c r="AH12" i="252" s="1"/>
  <c r="Y12" i="52"/>
  <c r="AG14" i="252" s="1"/>
  <c r="Y13" i="52"/>
  <c r="AG15" i="252" s="1"/>
  <c r="Y8" i="52"/>
  <c r="AG10" i="252" s="1"/>
  <c r="S12" i="52"/>
  <c r="X14" i="252" s="1"/>
  <c r="T12" i="52"/>
  <c r="Y14" i="252" s="1"/>
  <c r="W15" i="291" s="1"/>
  <c r="S13" i="52"/>
  <c r="X15" i="252" s="1"/>
  <c r="T13" i="52"/>
  <c r="Y15" i="252" s="1"/>
  <c r="W16" i="291" s="1"/>
  <c r="S10" i="52"/>
  <c r="S11" i="52" s="1"/>
  <c r="X13" i="252" s="1"/>
  <c r="T10" i="52"/>
  <c r="T11" i="52" s="1"/>
  <c r="Y13" i="252" s="1"/>
  <c r="W14" i="291" s="1"/>
  <c r="T8" i="52"/>
  <c r="T9" i="52" s="1"/>
  <c r="Y11" i="252" s="1"/>
  <c r="W11" i="291" s="1"/>
  <c r="S7" i="52"/>
  <c r="X9" i="252" s="1"/>
  <c r="T7" i="52"/>
  <c r="Y9" i="252" s="1"/>
  <c r="W8" i="291" s="1"/>
  <c r="L14" i="52"/>
  <c r="L15" i="52" s="1"/>
  <c r="O17" i="252" s="1"/>
  <c r="L13" i="52"/>
  <c r="O15" i="252" s="1"/>
  <c r="L12" i="52"/>
  <c r="O14" i="252" s="1"/>
  <c r="L10" i="52"/>
  <c r="L11" i="52" s="1"/>
  <c r="O13" i="252" s="1"/>
  <c r="L8" i="52"/>
  <c r="O10" i="252" s="1"/>
  <c r="L7" i="52"/>
  <c r="O9" i="252" s="1"/>
  <c r="L6" i="52"/>
  <c r="K13" i="52"/>
  <c r="N15" i="252" s="1"/>
  <c r="K12" i="52"/>
  <c r="N14" i="252" s="1"/>
  <c r="K10" i="52"/>
  <c r="K11" i="52" s="1"/>
  <c r="N13" i="252" s="1"/>
  <c r="K8" i="52"/>
  <c r="K9" i="52" s="1"/>
  <c r="N11" i="252" s="1"/>
  <c r="K7" i="52"/>
  <c r="N9" i="252" s="1"/>
  <c r="K6" i="52"/>
  <c r="J7" i="52"/>
  <c r="M9" i="252" s="1"/>
  <c r="O8" i="291" s="1"/>
  <c r="I7" i="52"/>
  <c r="L9" i="252" s="1"/>
  <c r="N8" i="291" s="1"/>
  <c r="H7" i="52"/>
  <c r="K9" i="252" s="1"/>
  <c r="M8" i="291" s="1"/>
  <c r="G7" i="52"/>
  <c r="J9" i="252" s="1"/>
  <c r="W6" i="52"/>
  <c r="W5" i="52"/>
  <c r="V5" i="52"/>
  <c r="L22" i="295" l="1"/>
  <c r="L23" i="295"/>
  <c r="W15" i="295"/>
  <c r="W14" i="295"/>
  <c r="L25" i="295"/>
  <c r="L24" i="295"/>
  <c r="U15" i="295"/>
  <c r="U14" i="295"/>
  <c r="AB17" i="295"/>
  <c r="AB16" i="295"/>
  <c r="I20" i="295"/>
  <c r="I21" i="295"/>
  <c r="AC35" i="295"/>
  <c r="AC34" i="295"/>
  <c r="Q21" i="291"/>
  <c r="M33" i="295"/>
  <c r="M32" i="295"/>
  <c r="J37" i="295"/>
  <c r="J36" i="295"/>
  <c r="L18" i="295"/>
  <c r="L19" i="295"/>
  <c r="AB27" i="295"/>
  <c r="AB26" i="295"/>
  <c r="J21" i="295"/>
  <c r="J20" i="295"/>
  <c r="J27" i="295"/>
  <c r="J26" i="295"/>
  <c r="Z21" i="291"/>
  <c r="AB33" i="295"/>
  <c r="AB32" i="295"/>
  <c r="AC36" i="295"/>
  <c r="AC37" i="295"/>
  <c r="L29" i="295"/>
  <c r="L28" i="295"/>
  <c r="M17" i="295"/>
  <c r="M16" i="295"/>
  <c r="AB25" i="295"/>
  <c r="AB24" i="295"/>
  <c r="J25" i="295"/>
  <c r="J24" i="295"/>
  <c r="AB31" i="295"/>
  <c r="AB30" i="295"/>
  <c r="Z22" i="291"/>
  <c r="AB35" i="295"/>
  <c r="AB34" i="295"/>
  <c r="S17" i="291"/>
  <c r="J29" i="295"/>
  <c r="J28" i="295"/>
  <c r="L20" i="291"/>
  <c r="W33" i="295"/>
  <c r="W32" i="295"/>
  <c r="M14" i="295"/>
  <c r="M15" i="295"/>
  <c r="L14" i="295"/>
  <c r="L15" i="295"/>
  <c r="M22" i="295"/>
  <c r="M23" i="295"/>
  <c r="U23" i="295"/>
  <c r="U22" i="295"/>
  <c r="AC21" i="295"/>
  <c r="AC20" i="295"/>
  <c r="I16" i="295"/>
  <c r="I17" i="295"/>
  <c r="I19" i="295"/>
  <c r="I18" i="295"/>
  <c r="W23" i="295"/>
  <c r="W22" i="295"/>
  <c r="I27" i="295"/>
  <c r="I26" i="295"/>
  <c r="L17" i="291"/>
  <c r="W29" i="295"/>
  <c r="W28" i="295"/>
  <c r="Z17" i="291"/>
  <c r="AB29" i="295"/>
  <c r="AB28" i="295"/>
  <c r="AB37" i="295"/>
  <c r="AB36" i="295"/>
  <c r="M25" i="295"/>
  <c r="M24" i="295"/>
  <c r="AC23" i="295"/>
  <c r="AC22" i="295"/>
  <c r="I15" i="295"/>
  <c r="I14" i="295"/>
  <c r="F8" i="291"/>
  <c r="W19" i="295"/>
  <c r="W18" i="295"/>
  <c r="W25" i="295"/>
  <c r="W24" i="295"/>
  <c r="I25" i="295"/>
  <c r="I24" i="295"/>
  <c r="AC27" i="295"/>
  <c r="AC26" i="295"/>
  <c r="L37" i="295"/>
  <c r="L36" i="295"/>
  <c r="L30" i="295"/>
  <c r="L31" i="295"/>
  <c r="S19" i="291"/>
  <c r="J31" i="295"/>
  <c r="J30" i="295"/>
  <c r="F20" i="291"/>
  <c r="AC19" i="252" s="1"/>
  <c r="F22" i="291" s="1"/>
  <c r="I33" i="295"/>
  <c r="I32" i="295"/>
  <c r="M27" i="295"/>
  <c r="M26" i="295"/>
  <c r="U27" i="295"/>
  <c r="U26" i="295"/>
  <c r="AC25" i="295"/>
  <c r="AC24" i="295"/>
  <c r="I23" i="295"/>
  <c r="I22" i="295"/>
  <c r="S14" i="291"/>
  <c r="J23" i="295"/>
  <c r="J22" i="295"/>
  <c r="W27" i="295"/>
  <c r="W26" i="295"/>
  <c r="U19" i="295"/>
  <c r="U18" i="295"/>
  <c r="AC29" i="295"/>
  <c r="AC28" i="295"/>
  <c r="M37" i="295"/>
  <c r="M36" i="295"/>
  <c r="I31" i="295"/>
  <c r="I30" i="295"/>
  <c r="J35" i="295"/>
  <c r="J34" i="295"/>
  <c r="U31" i="295"/>
  <c r="U30" i="295"/>
  <c r="I37" i="295"/>
  <c r="I36" i="295"/>
  <c r="Q19" i="291"/>
  <c r="M31" i="295"/>
  <c r="M30" i="295"/>
  <c r="J17" i="295"/>
  <c r="J16" i="295"/>
  <c r="J19" i="295"/>
  <c r="J18" i="295"/>
  <c r="AB22" i="295"/>
  <c r="AB23" i="295"/>
  <c r="V21" i="291"/>
  <c r="U33" i="295"/>
  <c r="U32" i="295"/>
  <c r="AA19" i="291"/>
  <c r="AC31" i="295"/>
  <c r="AC30" i="295"/>
  <c r="I29" i="295"/>
  <c r="I28" i="295"/>
  <c r="I35" i="295"/>
  <c r="I34" i="295"/>
  <c r="S20" i="291"/>
  <c r="J33" i="295"/>
  <c r="J32" i="295"/>
  <c r="U37" i="295"/>
  <c r="U36" i="295"/>
  <c r="W37" i="295"/>
  <c r="W36" i="295"/>
  <c r="L26" i="295"/>
  <c r="L27" i="295"/>
  <c r="U25" i="295"/>
  <c r="U24" i="295"/>
  <c r="J15" i="295"/>
  <c r="J14" i="295"/>
  <c r="H16" i="291"/>
  <c r="O27" i="295"/>
  <c r="AC33" i="295"/>
  <c r="AC32" i="295"/>
  <c r="P20" i="291"/>
  <c r="L33" i="295"/>
  <c r="L32" i="295"/>
  <c r="C26" i="295"/>
  <c r="C34" i="295"/>
  <c r="C30" i="295"/>
  <c r="C36" i="295"/>
  <c r="C14" i="295"/>
  <c r="C24" i="295"/>
  <c r="C32" i="295"/>
  <c r="C22" i="295"/>
  <c r="C18" i="295"/>
  <c r="C37" i="295"/>
  <c r="X16" i="252"/>
  <c r="G17" i="52"/>
  <c r="J19" i="252" s="1"/>
  <c r="I11" i="52"/>
  <c r="L13" i="252" s="1"/>
  <c r="N14" i="291" s="1"/>
  <c r="K16" i="252"/>
  <c r="M18" i="291" s="1"/>
  <c r="H17" i="52"/>
  <c r="K19" i="252" s="1"/>
  <c r="M22" i="291" s="1"/>
  <c r="X10" i="252"/>
  <c r="K17" i="52"/>
  <c r="N19" i="252" s="1"/>
  <c r="L9" i="52"/>
  <c r="O11" i="252" s="1"/>
  <c r="X12" i="252"/>
  <c r="L16" i="252"/>
  <c r="N17" i="291" s="1"/>
  <c r="G15" i="52"/>
  <c r="J17" i="252" s="1"/>
  <c r="B15" i="52"/>
  <c r="G17" i="252" s="1"/>
  <c r="L17" i="52"/>
  <c r="O19" i="252" s="1"/>
  <c r="S17" i="52"/>
  <c r="X19" i="252" s="1"/>
  <c r="Y18" i="252"/>
  <c r="W20" i="291" s="1"/>
  <c r="J10" i="252"/>
  <c r="O12" i="252"/>
  <c r="O16" i="252"/>
  <c r="W16" i="252"/>
  <c r="J15" i="52"/>
  <c r="M17" i="252" s="1"/>
  <c r="O19" i="291" s="1"/>
  <c r="T15" i="52"/>
  <c r="Y17" i="252" s="1"/>
  <c r="W19" i="291" s="1"/>
  <c r="B17" i="52"/>
  <c r="G19" i="252" s="1"/>
  <c r="M18" i="252"/>
  <c r="O20" i="291" s="1"/>
  <c r="N10" i="252"/>
  <c r="P9" i="52"/>
  <c r="W11" i="252" s="1"/>
  <c r="B11" i="52"/>
  <c r="G13" i="252" s="1"/>
  <c r="L18" i="252"/>
  <c r="N20" i="291" s="1"/>
  <c r="W18" i="252"/>
  <c r="Y12" i="252"/>
  <c r="W12" i="291" s="1"/>
  <c r="G15" i="291"/>
  <c r="AD15" i="252" s="1"/>
  <c r="S21" i="291"/>
  <c r="Z20" i="291"/>
  <c r="M20" i="291"/>
  <c r="V20" i="291"/>
  <c r="Q20" i="291"/>
  <c r="V16" i="291"/>
  <c r="Q8" i="291"/>
  <c r="L8" i="291"/>
  <c r="Q10" i="291"/>
  <c r="V15" i="291"/>
  <c r="AA12" i="291"/>
  <c r="F9" i="291"/>
  <c r="AC11" i="252" s="1"/>
  <c r="F11" i="291" s="1"/>
  <c r="S11" i="291"/>
  <c r="L14" i="291"/>
  <c r="Z16" i="291"/>
  <c r="V11" i="291"/>
  <c r="G17" i="291"/>
  <c r="AD17" i="252" s="1"/>
  <c r="C31" i="295" s="1"/>
  <c r="Z18" i="291"/>
  <c r="S18" i="291"/>
  <c r="V19" i="291"/>
  <c r="P14" i="291"/>
  <c r="P8" i="291"/>
  <c r="P16" i="291"/>
  <c r="V8" i="291"/>
  <c r="Z10" i="291"/>
  <c r="AA14" i="291"/>
  <c r="G9" i="291"/>
  <c r="AD11" i="252" s="1"/>
  <c r="C19" i="295" s="1"/>
  <c r="G10" i="291"/>
  <c r="AD12" i="252" s="1"/>
  <c r="C21" i="295" s="1"/>
  <c r="G12" i="291"/>
  <c r="AD13" i="252" s="1"/>
  <c r="C23" i="295" s="1"/>
  <c r="Z14" i="291"/>
  <c r="L16" i="291"/>
  <c r="Q15" i="291"/>
  <c r="S16" i="291"/>
  <c r="AA15" i="291"/>
  <c r="AC16" i="252"/>
  <c r="F18" i="291" s="1"/>
  <c r="AC18" i="252" s="1"/>
  <c r="F21" i="291" s="1"/>
  <c r="V18" i="291"/>
  <c r="P21" i="291"/>
  <c r="L21" i="291"/>
  <c r="AC20" i="252"/>
  <c r="S10" i="291"/>
  <c r="Q11" i="291"/>
  <c r="F12" i="291"/>
  <c r="AC13" i="252" s="1"/>
  <c r="F14" i="291" s="1"/>
  <c r="Q14" i="291"/>
  <c r="AC14" i="252"/>
  <c r="F15" i="291" s="1"/>
  <c r="AC15" i="252" s="1"/>
  <c r="F16" i="291" s="1"/>
  <c r="P15" i="291"/>
  <c r="S15" i="291"/>
  <c r="K16" i="291"/>
  <c r="G18" i="291"/>
  <c r="AD18" i="252" s="1"/>
  <c r="C33" i="295" s="1"/>
  <c r="P19" i="291"/>
  <c r="H22" i="291"/>
  <c r="K22" i="291" s="1"/>
  <c r="P11" i="291"/>
  <c r="Q16" i="291"/>
  <c r="Z15" i="291"/>
  <c r="AA16" i="291"/>
  <c r="S8" i="291"/>
  <c r="P10" i="291"/>
  <c r="L11" i="291"/>
  <c r="S13" i="291"/>
  <c r="V13" i="291"/>
  <c r="V14" i="291"/>
  <c r="L15" i="291"/>
  <c r="P18" i="291"/>
  <c r="L18" i="291"/>
  <c r="AA17" i="291"/>
  <c r="F17" i="291"/>
  <c r="AC17" i="252" s="1"/>
  <c r="F19" i="291" s="1"/>
  <c r="Z19" i="291"/>
  <c r="N21" i="291"/>
  <c r="AA21" i="291"/>
  <c r="W21" i="291"/>
  <c r="G20" i="291"/>
  <c r="AD19" i="252" s="1"/>
  <c r="C35" i="295" s="1"/>
  <c r="AA20" i="291"/>
  <c r="S22" i="291"/>
  <c r="AA22" i="291"/>
  <c r="V17" i="291"/>
  <c r="AE18" i="252"/>
  <c r="O33" i="295" s="1"/>
  <c r="P17" i="291"/>
  <c r="J10" i="291"/>
  <c r="AF17" i="252"/>
  <c r="P31" i="295" s="1"/>
  <c r="W18" i="291"/>
  <c r="O17" i="291"/>
  <c r="K15" i="291"/>
  <c r="AA18" i="291"/>
  <c r="H9" i="52"/>
  <c r="K11" i="252" s="1"/>
  <c r="M11" i="291" s="1"/>
  <c r="G10" i="252"/>
  <c r="Y10" i="252"/>
  <c r="W9" i="291" s="1"/>
  <c r="L10" i="252"/>
  <c r="N10" i="291" s="1"/>
  <c r="J9" i="52"/>
  <c r="M11" i="252" s="1"/>
  <c r="O11" i="291" s="1"/>
  <c r="N12" i="252"/>
  <c r="J12" i="252"/>
  <c r="W12" i="252"/>
  <c r="K12" i="252"/>
  <c r="M13" i="291" s="1"/>
  <c r="S9" i="291"/>
  <c r="M12" i="252"/>
  <c r="O13" i="291" s="1"/>
  <c r="Q9" i="291"/>
  <c r="Q12" i="291"/>
  <c r="V12" i="291"/>
  <c r="P9" i="291"/>
  <c r="Z9" i="291"/>
  <c r="M9" i="291"/>
  <c r="AA13" i="291"/>
  <c r="AF13" i="252"/>
  <c r="P23" i="295" s="1"/>
  <c r="AC10" i="252"/>
  <c r="F10" i="291" s="1"/>
  <c r="AC12" i="252" s="1"/>
  <c r="F13" i="291" s="1"/>
  <c r="O10" i="291"/>
  <c r="J12" i="291"/>
  <c r="N13" i="291"/>
  <c r="J13" i="291"/>
  <c r="S12" i="291"/>
  <c r="K9" i="291"/>
  <c r="T6" i="52"/>
  <c r="S6" i="52"/>
  <c r="X8" i="252" s="1"/>
  <c r="X6" i="52"/>
  <c r="W8" i="252"/>
  <c r="AD5" i="252"/>
  <c r="C7" i="295" s="1"/>
  <c r="N8" i="252"/>
  <c r="Q8" i="252"/>
  <c r="R8" i="252"/>
  <c r="S8" i="252"/>
  <c r="V8" i="252"/>
  <c r="C8" i="252"/>
  <c r="Y9" i="52"/>
  <c r="AG11" i="252" s="1"/>
  <c r="Y10" i="52"/>
  <c r="AG12" i="252" s="1"/>
  <c r="Y6" i="52"/>
  <c r="AG8" i="252" s="1"/>
  <c r="Y7" i="52"/>
  <c r="AG9" i="252" s="1"/>
  <c r="Z9" i="52"/>
  <c r="AH11" i="252" s="1"/>
  <c r="Z8" i="52"/>
  <c r="AH10" i="252" s="1"/>
  <c r="Z7" i="52"/>
  <c r="AH9" i="252" s="1"/>
  <c r="Z6" i="52"/>
  <c r="AH8" i="252" s="1"/>
  <c r="Z5" i="52"/>
  <c r="AH7" i="252" s="1"/>
  <c r="Y3" i="52"/>
  <c r="D8" i="252"/>
  <c r="S3" i="52"/>
  <c r="O8" i="252"/>
  <c r="L5" i="52"/>
  <c r="O7" i="252" s="1"/>
  <c r="Q6" i="291" s="1"/>
  <c r="K5" i="52"/>
  <c r="N7" i="252" s="1"/>
  <c r="P6" i="291" s="1"/>
  <c r="G6" i="52"/>
  <c r="J8" i="252" s="1"/>
  <c r="H6" i="52"/>
  <c r="K8" i="252" s="1"/>
  <c r="M7" i="291" s="1"/>
  <c r="I6" i="52"/>
  <c r="L8" i="252" s="1"/>
  <c r="N7" i="291" s="1"/>
  <c r="J6" i="52"/>
  <c r="M8" i="252" s="1"/>
  <c r="O7" i="291" s="1"/>
  <c r="G8" i="252"/>
  <c r="B3" i="52"/>
  <c r="X6" i="291"/>
  <c r="Y6" i="291"/>
  <c r="U6" i="291"/>
  <c r="I6" i="291"/>
  <c r="C7" i="252"/>
  <c r="D7" i="252"/>
  <c r="Q7" i="252"/>
  <c r="R7" i="252"/>
  <c r="S7" i="252"/>
  <c r="V7" i="252"/>
  <c r="Z4" i="52"/>
  <c r="Y5" i="52"/>
  <c r="AG7" i="252" s="1"/>
  <c r="Y4" i="52"/>
  <c r="X5" i="52"/>
  <c r="X4" i="52"/>
  <c r="W3" i="52"/>
  <c r="V3" i="52"/>
  <c r="T5" i="52"/>
  <c r="Y7" i="252" s="1"/>
  <c r="W6" i="291" s="1"/>
  <c r="T4" i="52"/>
  <c r="S5" i="52"/>
  <c r="X7" i="252" s="1"/>
  <c r="S4" i="52"/>
  <c r="J5" i="52"/>
  <c r="M7" i="252" s="1"/>
  <c r="O6" i="291" s="1"/>
  <c r="I5" i="52"/>
  <c r="L7" i="252" s="1"/>
  <c r="N6" i="291" s="1"/>
  <c r="H5" i="52"/>
  <c r="K7" i="252" s="1"/>
  <c r="M6" i="291" s="1"/>
  <c r="G5" i="52"/>
  <c r="J7" i="252" s="1"/>
  <c r="G4" i="52"/>
  <c r="G7" i="252"/>
  <c r="B4" i="52"/>
  <c r="U11" i="295" l="1"/>
  <c r="U10" i="295"/>
  <c r="AB11" i="295"/>
  <c r="AB10" i="295"/>
  <c r="AC10" i="295"/>
  <c r="AC11" i="295"/>
  <c r="AB18" i="295"/>
  <c r="AB19" i="295"/>
  <c r="L21" i="295"/>
  <c r="L20" i="295"/>
  <c r="V22" i="291"/>
  <c r="U35" i="295"/>
  <c r="U34" i="295"/>
  <c r="U16" i="295"/>
  <c r="U17" i="295"/>
  <c r="W12" i="295"/>
  <c r="W13" i="295"/>
  <c r="M35" i="295"/>
  <c r="M34" i="295"/>
  <c r="AC13" i="295"/>
  <c r="AC12" i="295"/>
  <c r="AC15" i="295"/>
  <c r="AC14" i="295"/>
  <c r="U12" i="295"/>
  <c r="U13" i="295"/>
  <c r="AC17" i="295"/>
  <c r="AC16" i="295"/>
  <c r="J12" i="295"/>
  <c r="J13" i="295"/>
  <c r="L19" i="291"/>
  <c r="W31" i="295"/>
  <c r="W30" i="295"/>
  <c r="I12" i="295"/>
  <c r="I13" i="295"/>
  <c r="M13" i="295"/>
  <c r="M12" i="295"/>
  <c r="AC19" i="295"/>
  <c r="AC18" i="295"/>
  <c r="Q18" i="291"/>
  <c r="M29" i="295"/>
  <c r="M28" i="295"/>
  <c r="L22" i="291"/>
  <c r="W35" i="295"/>
  <c r="W34" i="295"/>
  <c r="J11" i="295"/>
  <c r="J10" i="295"/>
  <c r="AB14" i="295"/>
  <c r="AB15" i="295"/>
  <c r="Q13" i="291"/>
  <c r="M21" i="295"/>
  <c r="M20" i="295"/>
  <c r="U20" i="295"/>
  <c r="U21" i="295"/>
  <c r="U29" i="295"/>
  <c r="U28" i="295"/>
  <c r="AB13" i="295"/>
  <c r="AB12" i="295"/>
  <c r="L13" i="295"/>
  <c r="L12" i="295"/>
  <c r="L17" i="295"/>
  <c r="L16" i="295"/>
  <c r="L10" i="291"/>
  <c r="W17" i="295"/>
  <c r="W16" i="295"/>
  <c r="M18" i="295"/>
  <c r="M19" i="295"/>
  <c r="L6" i="291"/>
  <c r="W11" i="295"/>
  <c r="W10" i="295"/>
  <c r="I11" i="295"/>
  <c r="I10" i="295"/>
  <c r="AB21" i="295"/>
  <c r="AB20" i="295"/>
  <c r="W21" i="295"/>
  <c r="W20" i="295"/>
  <c r="P22" i="291"/>
  <c r="L34" i="295"/>
  <c r="L35" i="295"/>
  <c r="C10" i="295"/>
  <c r="C12" i="295"/>
  <c r="G16" i="291"/>
  <c r="C27" i="295"/>
  <c r="L9" i="291"/>
  <c r="M17" i="291"/>
  <c r="O21" i="291"/>
  <c r="Q17" i="291"/>
  <c r="Q22" i="291"/>
  <c r="V9" i="291"/>
  <c r="W13" i="291"/>
  <c r="V10" i="291"/>
  <c r="N18" i="291"/>
  <c r="L7" i="291"/>
  <c r="Z13" i="291"/>
  <c r="S7" i="291"/>
  <c r="V7" i="291"/>
  <c r="P13" i="291"/>
  <c r="G19" i="291"/>
  <c r="H21" i="291"/>
  <c r="K21" i="291" s="1"/>
  <c r="G22" i="291"/>
  <c r="G11" i="291"/>
  <c r="Z11" i="291"/>
  <c r="G7" i="291"/>
  <c r="AD9" i="252" s="1"/>
  <c r="AA7" i="291"/>
  <c r="Z8" i="291"/>
  <c r="F7" i="291"/>
  <c r="AC9" i="252" s="1"/>
  <c r="I19" i="291"/>
  <c r="J19" i="291" s="1"/>
  <c r="G21" i="291"/>
  <c r="Q7" i="291"/>
  <c r="AA11" i="291"/>
  <c r="AA8" i="291"/>
  <c r="Z7" i="291"/>
  <c r="P7" i="291"/>
  <c r="I14" i="291"/>
  <c r="J14" i="291" s="1"/>
  <c r="L13" i="291"/>
  <c r="G14" i="291"/>
  <c r="G13" i="291"/>
  <c r="L12" i="291"/>
  <c r="N9" i="291"/>
  <c r="O12" i="291"/>
  <c r="AA9" i="291"/>
  <c r="AA10" i="291"/>
  <c r="M12" i="291"/>
  <c r="Z12" i="291"/>
  <c r="P12" i="291"/>
  <c r="W10" i="291"/>
  <c r="V6" i="291"/>
  <c r="AC8" i="252"/>
  <c r="Y8" i="252"/>
  <c r="W7" i="291" s="1"/>
  <c r="S6" i="291"/>
  <c r="Z6" i="291"/>
  <c r="AA6" i="291"/>
  <c r="C15" i="295" l="1"/>
  <c r="G8" i="291"/>
  <c r="S29" i="291"/>
  <c r="Y25" i="291"/>
  <c r="X25" i="291"/>
  <c r="S25" i="291"/>
  <c r="AC22" i="252"/>
  <c r="F26" i="291" s="1"/>
  <c r="U5" i="291" l="1"/>
  <c r="X5" i="291"/>
  <c r="Y5" i="291"/>
  <c r="I5" i="291"/>
  <c r="C6" i="252"/>
  <c r="G6" i="252"/>
  <c r="J6" i="252"/>
  <c r="Q6" i="252"/>
  <c r="R6" i="252"/>
  <c r="S6" i="252"/>
  <c r="V6" i="252"/>
  <c r="X6" i="252"/>
  <c r="Y6" i="252"/>
  <c r="W5" i="291" s="1"/>
  <c r="AG6" i="252"/>
  <c r="AH6" i="252"/>
  <c r="Z3" i="52"/>
  <c r="AH3" i="252" s="1"/>
  <c r="D6" i="252"/>
  <c r="L4" i="52"/>
  <c r="O6" i="252" s="1"/>
  <c r="Q5" i="291" s="1"/>
  <c r="K4" i="52"/>
  <c r="N6" i="252" s="1"/>
  <c r="J4" i="52"/>
  <c r="M6" i="252" s="1"/>
  <c r="O5" i="291" s="1"/>
  <c r="I4" i="52"/>
  <c r="L6" i="252" s="1"/>
  <c r="N5" i="291" s="1"/>
  <c r="H4" i="52"/>
  <c r="K6" i="252" s="1"/>
  <c r="M5" i="291" s="1"/>
  <c r="X3" i="52"/>
  <c r="U3" i="291"/>
  <c r="X3" i="291"/>
  <c r="Y3" i="291"/>
  <c r="X4" i="291"/>
  <c r="Y4" i="291"/>
  <c r="AG5" i="252"/>
  <c r="AG4" i="252"/>
  <c r="AG3" i="252"/>
  <c r="AD4" i="252"/>
  <c r="AD3" i="252"/>
  <c r="X5" i="252"/>
  <c r="X4" i="252"/>
  <c r="X3" i="252"/>
  <c r="V5" i="252"/>
  <c r="V4" i="252"/>
  <c r="V3" i="252"/>
  <c r="S5" i="252"/>
  <c r="S4" i="252"/>
  <c r="S3" i="252"/>
  <c r="R4" i="252"/>
  <c r="R5" i="252"/>
  <c r="Q5" i="252"/>
  <c r="Q4" i="252"/>
  <c r="Q3" i="252"/>
  <c r="J5" i="252"/>
  <c r="J4" i="252"/>
  <c r="J3" i="252"/>
  <c r="G5" i="252"/>
  <c r="G4" i="252"/>
  <c r="G3" i="252"/>
  <c r="D5" i="252"/>
  <c r="D4" i="252"/>
  <c r="D3" i="252"/>
  <c r="C5" i="252"/>
  <c r="C4" i="252"/>
  <c r="C3" i="252"/>
  <c r="C2" i="292"/>
  <c r="C3" i="292"/>
  <c r="C4" i="292"/>
  <c r="C5" i="292"/>
  <c r="C6" i="292"/>
  <c r="C18" i="52" s="1"/>
  <c r="D18" i="52" s="1"/>
  <c r="B20" i="252" s="1"/>
  <c r="T36" i="295" s="1"/>
  <c r="C7" i="292"/>
  <c r="C8" i="292"/>
  <c r="D8" i="292"/>
  <c r="D7" i="292"/>
  <c r="D3" i="292"/>
  <c r="D4" i="292"/>
  <c r="D5" i="292"/>
  <c r="D6" i="292"/>
  <c r="E18" i="52" s="1"/>
  <c r="I20" i="252" s="1"/>
  <c r="D2" i="292"/>
  <c r="Z3" i="291" l="1"/>
  <c r="AB5" i="295"/>
  <c r="AB4" i="295"/>
  <c r="AC9" i="295"/>
  <c r="AC8" i="295"/>
  <c r="W8" i="295"/>
  <c r="W9" i="295"/>
  <c r="AB2" i="295"/>
  <c r="AB3" i="295"/>
  <c r="AB7" i="295"/>
  <c r="AB6" i="295"/>
  <c r="AB8" i="295"/>
  <c r="AB9" i="295"/>
  <c r="AC2" i="295"/>
  <c r="AC3" i="295"/>
  <c r="I8" i="295"/>
  <c r="I9" i="295"/>
  <c r="AH4" i="252"/>
  <c r="AC3" i="252"/>
  <c r="I3" i="295"/>
  <c r="I2" i="295"/>
  <c r="V3" i="291"/>
  <c r="U5" i="295"/>
  <c r="U4" i="295"/>
  <c r="U9" i="295"/>
  <c r="U8" i="295"/>
  <c r="U3" i="295"/>
  <c r="U2" i="295"/>
  <c r="AC4" i="252"/>
  <c r="I5" i="295"/>
  <c r="I4" i="295"/>
  <c r="W3" i="295"/>
  <c r="W2" i="295"/>
  <c r="J3" i="295"/>
  <c r="J2" i="295"/>
  <c r="U7" i="295"/>
  <c r="U6" i="295"/>
  <c r="P5" i="291"/>
  <c r="L11" i="295"/>
  <c r="L10" i="295"/>
  <c r="L9" i="295"/>
  <c r="L8" i="295"/>
  <c r="AC5" i="252"/>
  <c r="I7" i="295"/>
  <c r="I6" i="295"/>
  <c r="W4" i="295"/>
  <c r="W5" i="295"/>
  <c r="S3" i="291"/>
  <c r="J4" i="295"/>
  <c r="J5" i="295"/>
  <c r="S5" i="291"/>
  <c r="J8" i="295"/>
  <c r="J9" i="295"/>
  <c r="H36" i="295"/>
  <c r="H37" i="295"/>
  <c r="L4" i="291"/>
  <c r="W6" i="295"/>
  <c r="W7" i="295"/>
  <c r="J6" i="295"/>
  <c r="J7" i="295"/>
  <c r="C6" i="295"/>
  <c r="C4" i="295"/>
  <c r="C3" i="295"/>
  <c r="C2" i="295"/>
  <c r="C5" i="295"/>
  <c r="C8" i="295"/>
  <c r="AH5" i="252"/>
  <c r="C16" i="52"/>
  <c r="D16" i="52" s="1"/>
  <c r="B18" i="252" s="1"/>
  <c r="C6" i="52"/>
  <c r="D6" i="52" s="1"/>
  <c r="B8" i="252" s="1"/>
  <c r="C13" i="52"/>
  <c r="D13" i="52" s="1"/>
  <c r="B15" i="252" s="1"/>
  <c r="C8" i="52"/>
  <c r="D8" i="52" s="1"/>
  <c r="B10" i="252" s="1"/>
  <c r="C3" i="52"/>
  <c r="D3" i="52" s="1"/>
  <c r="E14" i="52"/>
  <c r="E10" i="52"/>
  <c r="E12" i="52"/>
  <c r="I14" i="252" s="1"/>
  <c r="E7" i="52"/>
  <c r="I9" i="252" s="1"/>
  <c r="E5" i="52"/>
  <c r="I7" i="252" s="1"/>
  <c r="E4" i="52"/>
  <c r="I6" i="252" s="1"/>
  <c r="C7" i="52"/>
  <c r="D7" i="52" s="1"/>
  <c r="B9" i="252" s="1"/>
  <c r="C10" i="52"/>
  <c r="D10" i="52" s="1"/>
  <c r="B12" i="252" s="1"/>
  <c r="C5" i="52"/>
  <c r="D5" i="52" s="1"/>
  <c r="B7" i="252" s="1"/>
  <c r="C14" i="52"/>
  <c r="D14" i="52" s="1"/>
  <c r="B16" i="252" s="1"/>
  <c r="C12" i="52"/>
  <c r="D12" i="52" s="1"/>
  <c r="B14" i="252" s="1"/>
  <c r="C4" i="52"/>
  <c r="D4" i="52" s="1"/>
  <c r="B6" i="252" s="1"/>
  <c r="E8" i="52"/>
  <c r="E16" i="52"/>
  <c r="E6" i="52"/>
  <c r="I8" i="252" s="1"/>
  <c r="E13" i="52"/>
  <c r="I15" i="252" s="1"/>
  <c r="E3" i="52"/>
  <c r="C9" i="282"/>
  <c r="C14" i="282"/>
  <c r="C7" i="282"/>
  <c r="C10" i="282"/>
  <c r="C11" i="282" s="1"/>
  <c r="C13" i="282"/>
  <c r="H20" i="252"/>
  <c r="C4" i="282"/>
  <c r="C8" i="282"/>
  <c r="C5" i="282"/>
  <c r="C3" i="282"/>
  <c r="S4" i="291"/>
  <c r="L5" i="291"/>
  <c r="V4" i="291"/>
  <c r="Z4" i="291"/>
  <c r="AA5" i="291"/>
  <c r="Z5" i="291"/>
  <c r="V5" i="291"/>
  <c r="L3" i="291"/>
  <c r="H3" i="291"/>
  <c r="H4" i="291"/>
  <c r="J4" i="291" s="1"/>
  <c r="H2" i="291"/>
  <c r="J2" i="291" s="1"/>
  <c r="F3" i="291"/>
  <c r="AC6" i="252" s="1"/>
  <c r="F5" i="291" s="1"/>
  <c r="F4" i="291"/>
  <c r="F2" i="291"/>
  <c r="G3" i="291"/>
  <c r="G4" i="291"/>
  <c r="G2" i="291"/>
  <c r="X2" i="291"/>
  <c r="Y2" i="291"/>
  <c r="V2" i="291"/>
  <c r="U2" i="291"/>
  <c r="S2" i="291"/>
  <c r="AH2" i="291" s="1"/>
  <c r="AD2" i="291" s="1"/>
  <c r="R3" i="252"/>
  <c r="L3" i="52"/>
  <c r="H3" i="52"/>
  <c r="AA2" i="291"/>
  <c r="Z2" i="291"/>
  <c r="T3" i="52"/>
  <c r="AB4" i="5"/>
  <c r="K3" i="52"/>
  <c r="P25" i="291"/>
  <c r="J3" i="52"/>
  <c r="I3" i="52"/>
  <c r="L2" i="291"/>
  <c r="B10" i="282"/>
  <c r="B9" i="282"/>
  <c r="G25" i="252" s="1"/>
  <c r="B13" i="282"/>
  <c r="G33" i="252" s="1"/>
  <c r="B7" i="282"/>
  <c r="B5" i="282"/>
  <c r="G31" i="252" s="1"/>
  <c r="G23" i="252"/>
  <c r="B4" i="282"/>
  <c r="G30" i="252" s="1"/>
  <c r="B3" i="282"/>
  <c r="G29" i="252" s="1"/>
  <c r="BL3" i="90"/>
  <c r="CB5" i="41"/>
  <c r="CB4" i="41"/>
  <c r="W5" i="282"/>
  <c r="AH31" i="252" s="1"/>
  <c r="W9" i="282"/>
  <c r="AH25" i="252" s="1"/>
  <c r="AH33" i="252"/>
  <c r="W8" i="282"/>
  <c r="AH23" i="252" s="1"/>
  <c r="W7" i="282"/>
  <c r="W4" i="282"/>
  <c r="AH30" i="252" s="1"/>
  <c r="W3" i="282"/>
  <c r="AH29" i="252" s="1"/>
  <c r="H27" i="295" l="1"/>
  <c r="H26" i="295"/>
  <c r="G36" i="295"/>
  <c r="G37" i="295"/>
  <c r="H13" i="295"/>
  <c r="H12" i="295"/>
  <c r="T14" i="295"/>
  <c r="D8" i="291"/>
  <c r="T16" i="295"/>
  <c r="D10" i="291"/>
  <c r="D9" i="291"/>
  <c r="E9" i="291"/>
  <c r="T20" i="295"/>
  <c r="E12" i="291"/>
  <c r="D12" i="291"/>
  <c r="D13" i="291"/>
  <c r="T26" i="295"/>
  <c r="D16" i="291"/>
  <c r="AC90" i="295"/>
  <c r="AC89" i="295"/>
  <c r="AC91" i="295"/>
  <c r="T12" i="295"/>
  <c r="D7" i="291"/>
  <c r="AC98" i="295"/>
  <c r="AC99" i="295"/>
  <c r="AC97" i="295"/>
  <c r="T9" i="295"/>
  <c r="T8" i="295"/>
  <c r="D5" i="291"/>
  <c r="H15" i="295"/>
  <c r="H14" i="295"/>
  <c r="T32" i="295"/>
  <c r="D21" i="291"/>
  <c r="D20" i="291"/>
  <c r="AC84" i="295"/>
  <c r="AC86" i="295"/>
  <c r="AC88" i="295"/>
  <c r="AC85" i="295"/>
  <c r="AC87" i="295"/>
  <c r="V25" i="291"/>
  <c r="U47" i="295"/>
  <c r="U49" i="295"/>
  <c r="U46" i="295"/>
  <c r="U48" i="295"/>
  <c r="U45" i="295"/>
  <c r="AC96" i="295"/>
  <c r="AC95" i="295"/>
  <c r="AC101" i="295"/>
  <c r="AC100" i="295"/>
  <c r="T24" i="295"/>
  <c r="D15" i="291"/>
  <c r="H24" i="295"/>
  <c r="H25" i="295"/>
  <c r="AC7" i="295"/>
  <c r="AC6" i="295"/>
  <c r="B4" i="252"/>
  <c r="B3" i="252"/>
  <c r="B5" i="252"/>
  <c r="AC79" i="295"/>
  <c r="AC78" i="295"/>
  <c r="AC80" i="295"/>
  <c r="AC81" i="295"/>
  <c r="AC56" i="295"/>
  <c r="AC55" i="295"/>
  <c r="T28" i="295"/>
  <c r="D17" i="291"/>
  <c r="E17" i="291"/>
  <c r="D18" i="291"/>
  <c r="AA3" i="291"/>
  <c r="AC4" i="295"/>
  <c r="AC5" i="295"/>
  <c r="AC83" i="295"/>
  <c r="AC82" i="295"/>
  <c r="T11" i="295"/>
  <c r="T10" i="295"/>
  <c r="D6" i="291"/>
  <c r="AA4" i="291"/>
  <c r="E17" i="52"/>
  <c r="I19" i="252" s="1"/>
  <c r="I18" i="252"/>
  <c r="H14" i="252"/>
  <c r="H9" i="252"/>
  <c r="H10" i="252"/>
  <c r="C9" i="52"/>
  <c r="D9" i="52" s="1"/>
  <c r="B11" i="252" s="1"/>
  <c r="AB20" i="252"/>
  <c r="T37" i="295" s="1"/>
  <c r="I5" i="252"/>
  <c r="I4" i="252"/>
  <c r="I3" i="252"/>
  <c r="E9" i="52"/>
  <c r="I11" i="252" s="1"/>
  <c r="I10" i="252"/>
  <c r="C15" i="52"/>
  <c r="D15" i="52" s="1"/>
  <c r="B17" i="252" s="1"/>
  <c r="H16" i="252"/>
  <c r="E11" i="52"/>
  <c r="I13" i="252" s="1"/>
  <c r="I12" i="252"/>
  <c r="H15" i="252"/>
  <c r="AA36" i="291"/>
  <c r="H7" i="252"/>
  <c r="I16" i="252"/>
  <c r="E15" i="52"/>
  <c r="I17" i="252" s="1"/>
  <c r="H8" i="252"/>
  <c r="D14" i="282"/>
  <c r="B34" i="252" s="1"/>
  <c r="D41" i="291" s="1"/>
  <c r="H34" i="252"/>
  <c r="H6" i="252"/>
  <c r="C11" i="52"/>
  <c r="D11" i="52" s="1"/>
  <c r="B13" i="252" s="1"/>
  <c r="H12" i="252"/>
  <c r="H5" i="252"/>
  <c r="H3" i="252"/>
  <c r="H4" i="252"/>
  <c r="H18" i="252"/>
  <c r="C17" i="52"/>
  <c r="D17" i="52" s="1"/>
  <c r="B19" i="252" s="1"/>
  <c r="AA37" i="291"/>
  <c r="AA48" i="291"/>
  <c r="AA49" i="291"/>
  <c r="AA50" i="291"/>
  <c r="AA30" i="291"/>
  <c r="AA53" i="291"/>
  <c r="B11" i="282"/>
  <c r="G27" i="252" s="1"/>
  <c r="G26" i="252"/>
  <c r="AA52" i="291"/>
  <c r="AA46" i="291"/>
  <c r="AA29" i="291"/>
  <c r="AA25" i="291"/>
  <c r="AH22" i="252"/>
  <c r="G22" i="252"/>
  <c r="AA47" i="291"/>
  <c r="J5" i="291"/>
  <c r="J6" i="291"/>
  <c r="O4" i="252"/>
  <c r="Q3" i="291" s="1"/>
  <c r="O5" i="252"/>
  <c r="Q4" i="291" s="1"/>
  <c r="O3" i="252"/>
  <c r="Q2" i="291" s="1"/>
  <c r="K5" i="252"/>
  <c r="M4" i="291" s="1"/>
  <c r="K3" i="252"/>
  <c r="M2" i="291" s="1"/>
  <c r="K4" i="252"/>
  <c r="M3" i="291" s="1"/>
  <c r="M4" i="252"/>
  <c r="O3" i="291" s="1"/>
  <c r="M3" i="252"/>
  <c r="O2" i="291" s="1"/>
  <c r="M5" i="252"/>
  <c r="O4" i="291" s="1"/>
  <c r="N5" i="252"/>
  <c r="N4" i="252"/>
  <c r="N3" i="252"/>
  <c r="L3" i="252"/>
  <c r="N2" i="291" s="1"/>
  <c r="L4" i="252"/>
  <c r="N3" i="291" s="1"/>
  <c r="L5" i="252"/>
  <c r="N4" i="291" s="1"/>
  <c r="Y4" i="252"/>
  <c r="W3" i="291" s="1"/>
  <c r="Y3" i="252"/>
  <c r="W2" i="291" s="1"/>
  <c r="Y5" i="252"/>
  <c r="W4" i="291" s="1"/>
  <c r="AD6" i="252"/>
  <c r="J3" i="291"/>
  <c r="Q29" i="271"/>
  <c r="Q28" i="271"/>
  <c r="Q27" i="271"/>
  <c r="Q26" i="271"/>
  <c r="Q25" i="271"/>
  <c r="C29" i="271"/>
  <c r="C28" i="271"/>
  <c r="C27" i="271"/>
  <c r="C26" i="271"/>
  <c r="C25" i="271"/>
  <c r="AP8" i="115"/>
  <c r="R29" i="271" s="1"/>
  <c r="AP7" i="115"/>
  <c r="R28" i="271" s="1"/>
  <c r="AP6" i="115"/>
  <c r="R27" i="271" s="1"/>
  <c r="AP5" i="115"/>
  <c r="R26" i="271" s="1"/>
  <c r="AP4" i="115"/>
  <c r="R25" i="271" s="1"/>
  <c r="AP3" i="115"/>
  <c r="Y156" i="295" l="1"/>
  <c r="Y155" i="295"/>
  <c r="T22" i="295"/>
  <c r="D14" i="291"/>
  <c r="H32" i="295"/>
  <c r="H33" i="295"/>
  <c r="G9" i="295"/>
  <c r="G8" i="295"/>
  <c r="G27" i="295"/>
  <c r="G26" i="295"/>
  <c r="H35" i="295"/>
  <c r="H34" i="295"/>
  <c r="T4" i="295"/>
  <c r="T5" i="295"/>
  <c r="D3" i="291"/>
  <c r="T34" i="295"/>
  <c r="D22" i="291"/>
  <c r="G67" i="295"/>
  <c r="G66" i="295"/>
  <c r="H20" i="295"/>
  <c r="H21" i="295"/>
  <c r="L7" i="295"/>
  <c r="L6" i="295"/>
  <c r="G11" i="295"/>
  <c r="G10" i="295"/>
  <c r="G32" i="295"/>
  <c r="G33" i="295"/>
  <c r="H23" i="295"/>
  <c r="H22" i="295"/>
  <c r="H19" i="295"/>
  <c r="H18" i="295"/>
  <c r="G5" i="295"/>
  <c r="G4" i="295"/>
  <c r="G13" i="295"/>
  <c r="G12" i="295"/>
  <c r="G28" i="295"/>
  <c r="G29" i="295"/>
  <c r="T18" i="295"/>
  <c r="D11" i="291"/>
  <c r="G21" i="295"/>
  <c r="G20" i="295"/>
  <c r="I156" i="295"/>
  <c r="I155" i="295"/>
  <c r="P2" i="291"/>
  <c r="L3" i="295"/>
  <c r="L2" i="295"/>
  <c r="AC44" i="295"/>
  <c r="AC43" i="295"/>
  <c r="G3" i="295"/>
  <c r="G2" i="295"/>
  <c r="H31" i="295"/>
  <c r="H30" i="295"/>
  <c r="T30" i="295"/>
  <c r="D19" i="291"/>
  <c r="G17" i="295"/>
  <c r="G16" i="295"/>
  <c r="T7" i="295"/>
  <c r="T6" i="295"/>
  <c r="D4" i="291"/>
  <c r="G24" i="295"/>
  <c r="G25" i="295"/>
  <c r="AC155" i="295"/>
  <c r="L4" i="295"/>
  <c r="L5" i="295"/>
  <c r="G6" i="295"/>
  <c r="G7" i="295"/>
  <c r="H28" i="295"/>
  <c r="H29" i="295"/>
  <c r="H16" i="295"/>
  <c r="H17" i="295"/>
  <c r="G15" i="295"/>
  <c r="G14" i="295"/>
  <c r="T3" i="295"/>
  <c r="T2" i="295"/>
  <c r="D2" i="291"/>
  <c r="C9" i="295"/>
  <c r="G5" i="291"/>
  <c r="AD7" i="252" s="1"/>
  <c r="H19" i="252"/>
  <c r="AB13" i="252"/>
  <c r="H11" i="252"/>
  <c r="E20" i="291"/>
  <c r="AB19" i="252" s="1"/>
  <c r="T35" i="295" s="1"/>
  <c r="H13" i="252"/>
  <c r="AB8" i="252"/>
  <c r="T13" i="295" s="1"/>
  <c r="AB4" i="252"/>
  <c r="E3" i="291" s="1"/>
  <c r="AB16" i="252"/>
  <c r="T29" i="295" s="1"/>
  <c r="AB17" i="252"/>
  <c r="T31" i="295" s="1"/>
  <c r="AB14" i="252"/>
  <c r="T25" i="295" s="1"/>
  <c r="AB3" i="252"/>
  <c r="E2" i="291" s="1"/>
  <c r="AB5" i="252"/>
  <c r="E4" i="291" s="1"/>
  <c r="H17" i="252"/>
  <c r="AB10" i="252"/>
  <c r="T17" i="295" s="1"/>
  <c r="AB11" i="252"/>
  <c r="T19" i="295" s="1"/>
  <c r="AA26" i="291"/>
  <c r="P4" i="291"/>
  <c r="P3" i="291"/>
  <c r="AC7" i="252"/>
  <c r="F6" i="291" s="1"/>
  <c r="B2" i="271"/>
  <c r="E2" i="271"/>
  <c r="G35" i="295" l="1"/>
  <c r="G34" i="295"/>
  <c r="G31" i="295"/>
  <c r="G30" i="295"/>
  <c r="G23" i="295"/>
  <c r="G22" i="295"/>
  <c r="T23" i="295"/>
  <c r="E14" i="291"/>
  <c r="G19" i="295"/>
  <c r="G18" i="295"/>
  <c r="G6" i="291"/>
  <c r="C11" i="295"/>
  <c r="E18" i="291"/>
  <c r="AB18" i="252" s="1"/>
  <c r="T33" i="295" s="1"/>
  <c r="E7" i="291"/>
  <c r="E15" i="291"/>
  <c r="AB15" i="252" s="1"/>
  <c r="T27" i="295" s="1"/>
  <c r="AB6" i="252"/>
  <c r="E5" i="291" s="1"/>
  <c r="E11" i="291"/>
  <c r="E22" i="291"/>
  <c r="E10" i="291"/>
  <c r="AB12" i="252" s="1"/>
  <c r="T21" i="295" s="1"/>
  <c r="E19" i="291"/>
  <c r="T9" i="47"/>
  <c r="T10" i="47"/>
  <c r="AB9" i="252" l="1"/>
  <c r="AB7" i="252"/>
  <c r="E6" i="291" s="1"/>
  <c r="E13" i="291"/>
  <c r="E16" i="291"/>
  <c r="E21" i="291"/>
  <c r="T4" i="47"/>
  <c r="T5" i="47"/>
  <c r="T2" i="47"/>
  <c r="T15" i="295" l="1"/>
  <c r="E8" i="291"/>
  <c r="V9" i="282"/>
  <c r="AG25" i="252" s="1"/>
  <c r="Y11" i="282"/>
  <c r="P10" i="282"/>
  <c r="Q10" i="282"/>
  <c r="J10" i="282"/>
  <c r="I10" i="282"/>
  <c r="H10" i="282"/>
  <c r="G10" i="282"/>
  <c r="J25" i="252"/>
  <c r="J9" i="282"/>
  <c r="M25" i="252" s="1"/>
  <c r="O30" i="291" s="1"/>
  <c r="I9" i="282"/>
  <c r="L25" i="252" s="1"/>
  <c r="N30" i="291" s="1"/>
  <c r="H9" i="282"/>
  <c r="K25" i="252" s="1"/>
  <c r="M30" i="291" s="1"/>
  <c r="G7" i="282"/>
  <c r="P9" i="282"/>
  <c r="X25" i="252" s="1"/>
  <c r="Q9" i="282"/>
  <c r="Y25" i="252" s="1"/>
  <c r="W30" i="291" s="1"/>
  <c r="AC5" i="5"/>
  <c r="AC4" i="5"/>
  <c r="W25" i="291" s="1"/>
  <c r="J11" i="47"/>
  <c r="I11" i="47"/>
  <c r="F10" i="47"/>
  <c r="U56" i="295" l="1"/>
  <c r="U55" i="295"/>
  <c r="W56" i="295"/>
  <c r="W55" i="295"/>
  <c r="AB56" i="295"/>
  <c r="AB55" i="295"/>
  <c r="H33" i="252"/>
  <c r="Z30" i="291"/>
  <c r="L30" i="291"/>
  <c r="V30" i="291"/>
  <c r="H25" i="252"/>
  <c r="M26" i="252"/>
  <c r="J11" i="282"/>
  <c r="M27" i="252" s="1"/>
  <c r="O33" i="291" s="1"/>
  <c r="H26" i="252"/>
  <c r="J26" i="252"/>
  <c r="G11" i="282"/>
  <c r="J27" i="252" s="1"/>
  <c r="Q11" i="282"/>
  <c r="Y27" i="252" s="1"/>
  <c r="W33" i="291" s="1"/>
  <c r="Y26" i="252"/>
  <c r="H11" i="282"/>
  <c r="K27" i="252" s="1"/>
  <c r="M33" i="291" s="1"/>
  <c r="K26" i="252"/>
  <c r="X26" i="252"/>
  <c r="P11" i="282"/>
  <c r="I11" i="282"/>
  <c r="L27" i="252" s="1"/>
  <c r="N33" i="291" s="1"/>
  <c r="L26" i="252"/>
  <c r="Z29" i="291"/>
  <c r="Z25" i="291"/>
  <c r="J22" i="252"/>
  <c r="V29" i="291"/>
  <c r="W29" i="291"/>
  <c r="D13" i="282"/>
  <c r="B33" i="252" s="1"/>
  <c r="D10" i="282"/>
  <c r="B26" i="252" s="1"/>
  <c r="D9" i="282"/>
  <c r="B25" i="252" s="1"/>
  <c r="D30" i="291" s="1"/>
  <c r="Y5" i="282"/>
  <c r="R5" i="282"/>
  <c r="O5" i="282"/>
  <c r="R31" i="252" s="1"/>
  <c r="N5" i="282"/>
  <c r="Q31" i="252" s="1"/>
  <c r="L5" i="282"/>
  <c r="V31" i="252" s="1"/>
  <c r="G58" i="295" l="1"/>
  <c r="G57" i="295"/>
  <c r="T57" i="295"/>
  <c r="D32" i="291"/>
  <c r="E32" i="291"/>
  <c r="AB27" i="252" s="1"/>
  <c r="D31" i="291"/>
  <c r="G100" i="295"/>
  <c r="G101" i="295"/>
  <c r="G56" i="295"/>
  <c r="G55" i="295"/>
  <c r="U57" i="295"/>
  <c r="U58" i="295"/>
  <c r="W43" i="295"/>
  <c r="W44" i="295"/>
  <c r="W60" i="295"/>
  <c r="W59" i="295"/>
  <c r="W58" i="295"/>
  <c r="W57" i="295"/>
  <c r="L33" i="291"/>
  <c r="L31" i="291"/>
  <c r="L32" i="291"/>
  <c r="V32" i="291"/>
  <c r="V31" i="291"/>
  <c r="N31" i="291"/>
  <c r="N32" i="291"/>
  <c r="M31" i="291"/>
  <c r="M32" i="291"/>
  <c r="H27" i="252"/>
  <c r="X27" i="252"/>
  <c r="W31" i="291"/>
  <c r="W32" i="291"/>
  <c r="O31" i="291"/>
  <c r="O32" i="291"/>
  <c r="L26" i="291"/>
  <c r="D11" i="282"/>
  <c r="B27" i="252" s="1"/>
  <c r="T60" i="295" l="1"/>
  <c r="E33" i="291"/>
  <c r="U60" i="295"/>
  <c r="U59" i="295"/>
  <c r="T59" i="295"/>
  <c r="D33" i="291"/>
  <c r="G60" i="295"/>
  <c r="G59" i="295"/>
  <c r="V33" i="291"/>
  <c r="Y5" i="5"/>
  <c r="X5" i="5"/>
  <c r="T4" i="6"/>
  <c r="S4" i="6"/>
  <c r="O5" i="6"/>
  <c r="M5" i="6"/>
  <c r="M4" i="6"/>
  <c r="J5" i="6"/>
  <c r="J6" i="6" s="1"/>
  <c r="J12" i="47" s="1"/>
  <c r="I5" i="6"/>
  <c r="I6" i="6" s="1"/>
  <c r="I12" i="47" s="1"/>
  <c r="X4" i="6"/>
  <c r="AE2" i="6"/>
  <c r="AD2" i="6"/>
  <c r="X2" i="6"/>
  <c r="F2" i="6"/>
  <c r="D2" i="6"/>
  <c r="D5" i="6"/>
  <c r="D11" i="47" s="1"/>
  <c r="B3" i="5"/>
  <c r="W5" i="5"/>
  <c r="S3" i="75"/>
  <c r="F12" i="47" s="1"/>
  <c r="V4" i="5"/>
  <c r="S5" i="5"/>
  <c r="M3" i="75"/>
  <c r="P4" i="5"/>
  <c r="Q25" i="291" s="1"/>
  <c r="J5" i="5"/>
  <c r="I5" i="5"/>
  <c r="H5" i="5"/>
  <c r="G5" i="5"/>
  <c r="L29" i="291"/>
  <c r="L25" i="291"/>
  <c r="AE4" i="6"/>
  <c r="AD4" i="6"/>
  <c r="M65" i="295" l="1"/>
  <c r="M62" i="295"/>
  <c r="M64" i="295"/>
  <c r="M61" i="295"/>
  <c r="M63" i="295"/>
  <c r="K54" i="295"/>
  <c r="K53" i="295"/>
  <c r="K51" i="295"/>
  <c r="K52" i="295"/>
  <c r="K50" i="295"/>
  <c r="X52" i="295"/>
  <c r="X54" i="295"/>
  <c r="X51" i="295"/>
  <c r="X50" i="295"/>
  <c r="X53" i="295"/>
  <c r="G39" i="295"/>
  <c r="G41" i="295"/>
  <c r="G38" i="295"/>
  <c r="G40" i="295"/>
  <c r="G42" i="295"/>
  <c r="C3" i="5"/>
  <c r="V3" i="75"/>
  <c r="Y54" i="295"/>
  <c r="Y51" i="295"/>
  <c r="Y53" i="295"/>
  <c r="Y50" i="295"/>
  <c r="Y52" i="295"/>
  <c r="P6" i="6"/>
  <c r="N11" i="47"/>
  <c r="R11" i="47"/>
  <c r="M6" i="6"/>
  <c r="Q6" i="6" s="1"/>
  <c r="P3" i="75"/>
  <c r="X29" i="291"/>
  <c r="U3" i="75"/>
  <c r="Q40" i="291"/>
  <c r="Q5" i="6"/>
  <c r="AQ5" i="5" s="1"/>
  <c r="P51" i="295" s="1"/>
  <c r="Q4" i="6"/>
  <c r="U4" i="6" s="1"/>
  <c r="AL3" i="3" s="1"/>
  <c r="R6" i="47"/>
  <c r="T6" i="47" s="1"/>
  <c r="N29" i="291"/>
  <c r="O29" i="291"/>
  <c r="Q29" i="291"/>
  <c r="AE5" i="6"/>
  <c r="AE6" i="6" s="1"/>
  <c r="Y29" i="291"/>
  <c r="M29" i="291"/>
  <c r="U29" i="291"/>
  <c r="AD5" i="6"/>
  <c r="AD6" i="6" s="1"/>
  <c r="B11" i="47"/>
  <c r="J4" i="6"/>
  <c r="I4" i="6"/>
  <c r="G5" i="6"/>
  <c r="D4" i="6"/>
  <c r="S3" i="3"/>
  <c r="U5" i="5" s="1"/>
  <c r="M3" i="3"/>
  <c r="O5" i="5" s="1"/>
  <c r="I3" i="3"/>
  <c r="H3" i="3"/>
  <c r="G3" i="3"/>
  <c r="F3" i="3"/>
  <c r="L3" i="3"/>
  <c r="J6" i="47"/>
  <c r="I6" i="47"/>
  <c r="F6" i="47"/>
  <c r="T2" i="6"/>
  <c r="S2" i="6"/>
  <c r="M2" i="6"/>
  <c r="Q2" i="6" s="1"/>
  <c r="J2" i="6"/>
  <c r="I2" i="6"/>
  <c r="G2" i="6"/>
  <c r="H6" i="47" s="1"/>
  <c r="D6" i="47"/>
  <c r="N3" i="5"/>
  <c r="AB3" i="5"/>
  <c r="AC3" i="5"/>
  <c r="U3" i="5"/>
  <c r="V3" i="5"/>
  <c r="P3" i="5"/>
  <c r="F3" i="5"/>
  <c r="H3" i="5"/>
  <c r="I3" i="5"/>
  <c r="L3" i="75" l="1"/>
  <c r="L54" i="295"/>
  <c r="L51" i="295"/>
  <c r="L53" i="295"/>
  <c r="L52" i="295"/>
  <c r="L50" i="295"/>
  <c r="T39" i="295"/>
  <c r="T41" i="295"/>
  <c r="T38" i="295"/>
  <c r="T40" i="295"/>
  <c r="T42" i="295"/>
  <c r="Y65" i="295"/>
  <c r="Y62" i="295"/>
  <c r="Y64" i="295"/>
  <c r="Y61" i="295"/>
  <c r="Y63" i="295"/>
  <c r="B40" i="295"/>
  <c r="B42" i="295"/>
  <c r="B39" i="295"/>
  <c r="B41" i="295"/>
  <c r="B38" i="295"/>
  <c r="B2" i="6"/>
  <c r="B6" i="47" s="1"/>
  <c r="V52" i="295"/>
  <c r="V54" i="295"/>
  <c r="V51" i="295"/>
  <c r="V53" i="295"/>
  <c r="V50" i="295"/>
  <c r="K38" i="295"/>
  <c r="K40" i="295"/>
  <c r="K42" i="295"/>
  <c r="K39" i="295"/>
  <c r="K41" i="295"/>
  <c r="E2" i="6"/>
  <c r="E6" i="47" s="1"/>
  <c r="V41" i="295"/>
  <c r="V38" i="295"/>
  <c r="V40" i="295"/>
  <c r="V42" i="295"/>
  <c r="V39" i="295"/>
  <c r="Y40" i="291"/>
  <c r="X63" i="295"/>
  <c r="X65" i="295"/>
  <c r="X62" i="295"/>
  <c r="X64" i="295"/>
  <c r="X61" i="295"/>
  <c r="W38" i="295"/>
  <c r="W40" i="295"/>
  <c r="W42" i="295"/>
  <c r="W39" i="295"/>
  <c r="W41" i="295"/>
  <c r="U41" i="295"/>
  <c r="U38" i="295"/>
  <c r="U40" i="295"/>
  <c r="U42" i="295"/>
  <c r="U39" i="295"/>
  <c r="AI3" i="3"/>
  <c r="T11" i="47"/>
  <c r="AK3" i="3"/>
  <c r="BP5" i="5"/>
  <c r="AI3" i="75"/>
  <c r="O62" i="295" s="1"/>
  <c r="U6" i="6"/>
  <c r="R12" i="47"/>
  <c r="T12" i="47" s="1"/>
  <c r="BF3" i="75"/>
  <c r="BE3" i="75"/>
  <c r="P65" i="295" s="1"/>
  <c r="U5" i="6"/>
  <c r="BN5" i="5" s="1"/>
  <c r="X40" i="291"/>
  <c r="R3" i="75"/>
  <c r="P40" i="291"/>
  <c r="H11" i="47"/>
  <c r="G6" i="6"/>
  <c r="H12" i="47" s="1"/>
  <c r="AJ3" i="3"/>
  <c r="AM3" i="3"/>
  <c r="BF5" i="5"/>
  <c r="P53" i="295" s="1"/>
  <c r="BR5" i="5"/>
  <c r="R8" i="47"/>
  <c r="T8" i="47" s="1"/>
  <c r="R7" i="47"/>
  <c r="T7" i="47" s="1"/>
  <c r="E4" i="6"/>
  <c r="P29" i="291"/>
  <c r="B8" i="47"/>
  <c r="N4" i="5"/>
  <c r="N5" i="5"/>
  <c r="C4" i="6"/>
  <c r="E5" i="6"/>
  <c r="E11" i="47" s="1"/>
  <c r="C2" i="6"/>
  <c r="BP3" i="5"/>
  <c r="AQ3" i="5"/>
  <c r="P39" i="295" s="1"/>
  <c r="U2" i="6"/>
  <c r="BF3" i="5" s="1"/>
  <c r="P41" i="295" s="1"/>
  <c r="P7" i="282"/>
  <c r="Q7" i="282"/>
  <c r="V7" i="282"/>
  <c r="J7" i="282"/>
  <c r="I7" i="282"/>
  <c r="H7" i="282"/>
  <c r="T47" i="295" l="1"/>
  <c r="T49" i="295"/>
  <c r="T46" i="295"/>
  <c r="T48" i="295"/>
  <c r="T45" i="295"/>
  <c r="V61" i="295"/>
  <c r="V63" i="295"/>
  <c r="V65" i="295"/>
  <c r="V62" i="295"/>
  <c r="V64" i="295"/>
  <c r="T54" i="295"/>
  <c r="T53" i="295"/>
  <c r="T52" i="295"/>
  <c r="T50" i="295"/>
  <c r="T51" i="295"/>
  <c r="L65" i="295"/>
  <c r="L62" i="295"/>
  <c r="L64" i="295"/>
  <c r="L61" i="295"/>
  <c r="L63" i="295"/>
  <c r="H29" i="291"/>
  <c r="J31" i="291" s="1"/>
  <c r="O54" i="295"/>
  <c r="BQ5" i="5"/>
  <c r="I40" i="291"/>
  <c r="BL3" i="75"/>
  <c r="BG3" i="75"/>
  <c r="AU3" i="75"/>
  <c r="O64" i="295" s="1"/>
  <c r="BH3" i="75"/>
  <c r="J30" i="291"/>
  <c r="E6" i="6"/>
  <c r="E12" i="47" s="1"/>
  <c r="BK3" i="5"/>
  <c r="O42" i="295" s="1"/>
  <c r="BR3" i="5"/>
  <c r="J29" i="291"/>
  <c r="M22" i="252"/>
  <c r="O26" i="291" s="1"/>
  <c r="H22" i="252"/>
  <c r="AG22" i="252"/>
  <c r="K22" i="252"/>
  <c r="M26" i="291" s="1"/>
  <c r="Y22" i="252"/>
  <c r="W26" i="291" s="1"/>
  <c r="L22" i="252"/>
  <c r="N26" i="291" s="1"/>
  <c r="X22" i="252"/>
  <c r="B7" i="47"/>
  <c r="E25" i="291"/>
  <c r="AB22" i="252" s="1"/>
  <c r="E29" i="291"/>
  <c r="AB25" i="252" s="1"/>
  <c r="D7" i="282"/>
  <c r="B22" i="252" s="1"/>
  <c r="D26" i="291" s="1"/>
  <c r="C5" i="6"/>
  <c r="C6" i="6" s="1"/>
  <c r="BQ3" i="5"/>
  <c r="J13" i="282"/>
  <c r="M33" i="252" s="1"/>
  <c r="O37" i="291" s="1"/>
  <c r="I13" i="282"/>
  <c r="L33" i="252" s="1"/>
  <c r="N37" i="291" s="1"/>
  <c r="H13" i="282"/>
  <c r="K33" i="252" s="1"/>
  <c r="M37" i="291" s="1"/>
  <c r="G13" i="282"/>
  <c r="J33" i="252" s="1"/>
  <c r="G8" i="282"/>
  <c r="J23" i="252" s="1"/>
  <c r="V13" i="282"/>
  <c r="AG33" i="252" s="1"/>
  <c r="V3" i="282"/>
  <c r="AG29" i="252" s="1"/>
  <c r="AB78" i="295" s="1"/>
  <c r="Y33" i="252"/>
  <c r="W37" i="291" s="1"/>
  <c r="X33" i="252"/>
  <c r="P3" i="282"/>
  <c r="X29" i="252" s="1"/>
  <c r="I3" i="90"/>
  <c r="H3" i="90"/>
  <c r="G3" i="90"/>
  <c r="F3" i="90"/>
  <c r="U44" i="295" l="1"/>
  <c r="U43" i="295"/>
  <c r="U79" i="295"/>
  <c r="U78" i="295"/>
  <c r="U100" i="295"/>
  <c r="U101" i="295"/>
  <c r="AB44" i="295"/>
  <c r="AB43" i="295"/>
  <c r="AB101" i="295"/>
  <c r="AB100" i="295"/>
  <c r="T56" i="295"/>
  <c r="T55" i="295"/>
  <c r="G44" i="295"/>
  <c r="G43" i="295"/>
  <c r="W99" i="295"/>
  <c r="W97" i="295"/>
  <c r="W98" i="295"/>
  <c r="W96" i="295"/>
  <c r="W95" i="295"/>
  <c r="W101" i="295"/>
  <c r="W100" i="295"/>
  <c r="T44" i="295"/>
  <c r="T43" i="295"/>
  <c r="K40" i="291"/>
  <c r="K41" i="291"/>
  <c r="Z37" i="291"/>
  <c r="V37" i="291"/>
  <c r="L37" i="291"/>
  <c r="M36" i="291"/>
  <c r="O36" i="291"/>
  <c r="N36" i="291"/>
  <c r="AC33" i="252"/>
  <c r="F37" i="291" s="1"/>
  <c r="L36" i="291"/>
  <c r="L53" i="291"/>
  <c r="E26" i="291"/>
  <c r="V26" i="291"/>
  <c r="Z26" i="291"/>
  <c r="Z47" i="291"/>
  <c r="V47" i="291"/>
  <c r="M10" i="47"/>
  <c r="J10" i="47"/>
  <c r="I10" i="47"/>
  <c r="F9" i="47"/>
  <c r="E30" i="291" l="1"/>
  <c r="AB26" i="252" s="1"/>
  <c r="T58" i="295" s="1"/>
  <c r="BK3" i="90"/>
  <c r="AA3" i="90"/>
  <c r="Z3" i="90"/>
  <c r="AB15" i="40"/>
  <c r="AA15" i="40"/>
  <c r="W15" i="40"/>
  <c r="S15" i="40"/>
  <c r="S11" i="40"/>
  <c r="R15" i="40"/>
  <c r="O15" i="40"/>
  <c r="M15" i="40"/>
  <c r="P15" i="40" s="1"/>
  <c r="BA3" i="90" s="1"/>
  <c r="J15" i="40"/>
  <c r="I15" i="40"/>
  <c r="D15" i="40"/>
  <c r="D10" i="47" s="1"/>
  <c r="V36" i="291" l="1"/>
  <c r="U99" i="295"/>
  <c r="U97" i="295"/>
  <c r="U98" i="295"/>
  <c r="AB98" i="295"/>
  <c r="AB99" i="295"/>
  <c r="AB97" i="295"/>
  <c r="Z36" i="291"/>
  <c r="W36" i="291"/>
  <c r="E31" i="291"/>
  <c r="AH3" i="90"/>
  <c r="P97" i="295" s="1"/>
  <c r="T15" i="40"/>
  <c r="AQ3" i="90" l="1"/>
  <c r="P98" i="295" s="1"/>
  <c r="AY3" i="90"/>
  <c r="O99" i="295" s="1"/>
  <c r="BB3" i="90"/>
  <c r="BC3" i="90"/>
  <c r="F5" i="41"/>
  <c r="B3" i="90"/>
  <c r="AG23" i="252"/>
  <c r="P8" i="282"/>
  <c r="X23" i="252" s="1"/>
  <c r="Q8" i="282"/>
  <c r="Y23" i="252" s="1"/>
  <c r="W53" i="291" s="1"/>
  <c r="H8" i="282"/>
  <c r="K23" i="252" s="1"/>
  <c r="M53" i="291" s="1"/>
  <c r="I8" i="282"/>
  <c r="L23" i="252" s="1"/>
  <c r="N53" i="291" s="1"/>
  <c r="J8" i="282"/>
  <c r="M23" i="252" s="1"/>
  <c r="O53" i="291" s="1"/>
  <c r="P9" i="47"/>
  <c r="L9" i="47"/>
  <c r="L5" i="47"/>
  <c r="J9" i="47"/>
  <c r="I9" i="47"/>
  <c r="I5" i="47"/>
  <c r="F8" i="47"/>
  <c r="G6" i="41"/>
  <c r="H6" i="41"/>
  <c r="I6" i="41"/>
  <c r="P5" i="41"/>
  <c r="O5" i="41"/>
  <c r="V6" i="41"/>
  <c r="V5" i="41"/>
  <c r="S3" i="90"/>
  <c r="U5" i="41"/>
  <c r="AB6" i="41"/>
  <c r="AC6" i="41"/>
  <c r="CA6" i="41"/>
  <c r="B5" i="41"/>
  <c r="AA11" i="40"/>
  <c r="AB11" i="40"/>
  <c r="W10" i="40"/>
  <c r="S10" i="40"/>
  <c r="R10" i="40"/>
  <c r="P11" i="40"/>
  <c r="AS6" i="41" s="1"/>
  <c r="O92" i="295" s="1"/>
  <c r="I11" i="40"/>
  <c r="G10" i="40"/>
  <c r="H5" i="47" s="1"/>
  <c r="D11" i="40"/>
  <c r="C9" i="47" s="1"/>
  <c r="C10" i="47" s="1"/>
  <c r="U96" i="295" l="1"/>
  <c r="U95" i="295"/>
  <c r="AB93" i="295"/>
  <c r="AB94" i="295"/>
  <c r="AB92" i="295"/>
  <c r="AB96" i="295"/>
  <c r="AB95" i="295"/>
  <c r="L3" i="90"/>
  <c r="G98" i="295"/>
  <c r="G99" i="295"/>
  <c r="G97" i="295"/>
  <c r="C3" i="90"/>
  <c r="U94" i="295"/>
  <c r="U92" i="295"/>
  <c r="U93" i="295"/>
  <c r="W91" i="295"/>
  <c r="W89" i="295"/>
  <c r="W90" i="295"/>
  <c r="L91" i="295"/>
  <c r="L89" i="295"/>
  <c r="L90" i="295"/>
  <c r="V99" i="295"/>
  <c r="V97" i="295"/>
  <c r="V98" i="295"/>
  <c r="V90" i="295"/>
  <c r="V91" i="295"/>
  <c r="V89" i="295"/>
  <c r="K93" i="295"/>
  <c r="K94" i="295"/>
  <c r="K92" i="295"/>
  <c r="K91" i="295"/>
  <c r="K89" i="295"/>
  <c r="K90" i="295"/>
  <c r="G90" i="295"/>
  <c r="G89" i="295"/>
  <c r="G91" i="295"/>
  <c r="C5" i="41"/>
  <c r="E11" i="40"/>
  <c r="E9" i="47" s="1"/>
  <c r="E10" i="47" s="1"/>
  <c r="H36" i="291"/>
  <c r="H30" i="252"/>
  <c r="V53" i="291"/>
  <c r="Z53" i="291"/>
  <c r="H23" i="252"/>
  <c r="V52" i="291"/>
  <c r="M3" i="90"/>
  <c r="P52" i="291"/>
  <c r="L52" i="291"/>
  <c r="O52" i="291"/>
  <c r="Z52" i="291"/>
  <c r="N3" i="90"/>
  <c r="Q52" i="291"/>
  <c r="N52" i="291"/>
  <c r="W52" i="291"/>
  <c r="M52" i="291"/>
  <c r="O9" i="47"/>
  <c r="L10" i="47" s="1"/>
  <c r="O10" i="47" s="1"/>
  <c r="S9" i="47"/>
  <c r="D8" i="282"/>
  <c r="B23" i="252" s="1"/>
  <c r="D53" i="291" s="1"/>
  <c r="D4" i="282"/>
  <c r="B30" i="252" s="1"/>
  <c r="E15" i="40"/>
  <c r="J3" i="90"/>
  <c r="B9" i="47"/>
  <c r="F11" i="40"/>
  <c r="T3" i="90"/>
  <c r="K3" i="8"/>
  <c r="P10" i="47"/>
  <c r="S10" i="47" s="1"/>
  <c r="BQ6" i="41"/>
  <c r="T11" i="40"/>
  <c r="BE6" i="41" s="1"/>
  <c r="O93" i="295" s="1"/>
  <c r="H9" i="47"/>
  <c r="H10" i="47" s="1"/>
  <c r="G15" i="40"/>
  <c r="N6" i="41"/>
  <c r="T94" i="295" l="1"/>
  <c r="T92" i="295"/>
  <c r="T93" i="295"/>
  <c r="B91" i="295"/>
  <c r="B89" i="295"/>
  <c r="B90" i="295"/>
  <c r="B10" i="40"/>
  <c r="L99" i="295"/>
  <c r="L97" i="295"/>
  <c r="L98" i="295"/>
  <c r="B99" i="295"/>
  <c r="B97" i="295"/>
  <c r="B98" i="295"/>
  <c r="D36" i="291"/>
  <c r="B15" i="40"/>
  <c r="B10" i="47" s="1"/>
  <c r="T98" i="295"/>
  <c r="T99" i="295"/>
  <c r="T97" i="295"/>
  <c r="G95" i="295"/>
  <c r="G96" i="295"/>
  <c r="D49" i="291"/>
  <c r="D48" i="291"/>
  <c r="E49" i="291"/>
  <c r="G80" i="295"/>
  <c r="G81" i="295"/>
  <c r="K99" i="295"/>
  <c r="K97" i="295"/>
  <c r="K98" i="295"/>
  <c r="BR6" i="41"/>
  <c r="BO6" i="41"/>
  <c r="P94" i="295" s="1"/>
  <c r="J36" i="291"/>
  <c r="J37" i="291"/>
  <c r="E36" i="291"/>
  <c r="AB33" i="252" s="1"/>
  <c r="E37" i="291" s="1"/>
  <c r="H31" i="252"/>
  <c r="AB31" i="252"/>
  <c r="T83" i="295" s="1"/>
  <c r="Q36" i="291"/>
  <c r="P36" i="291"/>
  <c r="E52" i="291"/>
  <c r="AB23" i="252" s="1"/>
  <c r="D5" i="282"/>
  <c r="B31" i="252" s="1"/>
  <c r="D50" i="291" s="1"/>
  <c r="F15" i="40"/>
  <c r="C11" i="40"/>
  <c r="C15" i="40" s="1"/>
  <c r="BS6" i="41"/>
  <c r="AE3" i="6"/>
  <c r="AD3" i="6"/>
  <c r="W2" i="40"/>
  <c r="R3" i="40"/>
  <c r="J8" i="47"/>
  <c r="J7" i="47"/>
  <c r="J5" i="47"/>
  <c r="I8" i="47"/>
  <c r="F7" i="47"/>
  <c r="F5" i="47"/>
  <c r="Q3" i="6"/>
  <c r="U3" i="6" s="1"/>
  <c r="BR4" i="5" s="1"/>
  <c r="J3" i="6"/>
  <c r="I3" i="6"/>
  <c r="H8" i="47"/>
  <c r="D3" i="6"/>
  <c r="D7" i="47" s="1"/>
  <c r="B5" i="47"/>
  <c r="I4" i="5"/>
  <c r="H4" i="5"/>
  <c r="G4" i="5"/>
  <c r="F4" i="47"/>
  <c r="P5" i="47"/>
  <c r="T95" i="295" l="1"/>
  <c r="T96" i="295"/>
  <c r="G83" i="295"/>
  <c r="G82" i="295"/>
  <c r="K46" i="295"/>
  <c r="K48" i="295"/>
  <c r="K45" i="295"/>
  <c r="K47" i="295"/>
  <c r="K49" i="295"/>
  <c r="T101" i="295"/>
  <c r="T100" i="295"/>
  <c r="E3" i="6"/>
  <c r="E8" i="47" s="1"/>
  <c r="I52" i="291"/>
  <c r="K53" i="291" s="1"/>
  <c r="E50" i="291"/>
  <c r="E53" i="291"/>
  <c r="P8" i="47"/>
  <c r="S8" i="47" s="1"/>
  <c r="S5" i="47"/>
  <c r="BP4" i="5"/>
  <c r="N25" i="291"/>
  <c r="U25" i="291"/>
  <c r="M25" i="291"/>
  <c r="O25" i="291"/>
  <c r="AQ4" i="5"/>
  <c r="P46" i="295" s="1"/>
  <c r="BF4" i="5"/>
  <c r="P48" i="295" s="1"/>
  <c r="BQ4" i="5"/>
  <c r="BN4" i="5"/>
  <c r="C3" i="6"/>
  <c r="D8" i="47"/>
  <c r="H7" i="47"/>
  <c r="H25" i="291" l="1"/>
  <c r="O49" i="295"/>
  <c r="K52" i="291"/>
  <c r="P11" i="47"/>
  <c r="P12" i="47" s="1"/>
  <c r="J25" i="291"/>
  <c r="J26" i="291"/>
  <c r="E7" i="47"/>
  <c r="AA10" i="40"/>
  <c r="AB10" i="40"/>
  <c r="P10" i="40"/>
  <c r="J10" i="40"/>
  <c r="I10" i="40"/>
  <c r="G2" i="40"/>
  <c r="D10" i="40"/>
  <c r="C5" i="47" s="1"/>
  <c r="N5" i="41"/>
  <c r="B4" i="41"/>
  <c r="CA5" i="41"/>
  <c r="CA3" i="41"/>
  <c r="AC5" i="41"/>
  <c r="AB5" i="41"/>
  <c r="AB3" i="41"/>
  <c r="F10" i="40"/>
  <c r="E10" i="40"/>
  <c r="E5" i="47" s="1"/>
  <c r="U4" i="41"/>
  <c r="O4" i="41"/>
  <c r="I5" i="41"/>
  <c r="H5" i="41"/>
  <c r="F3" i="41"/>
  <c r="L87" i="295" l="1"/>
  <c r="L86" i="295"/>
  <c r="L84" i="295"/>
  <c r="L88" i="295"/>
  <c r="L85" i="295"/>
  <c r="AB91" i="295"/>
  <c r="AB89" i="295"/>
  <c r="AB90" i="295"/>
  <c r="V88" i="295"/>
  <c r="V85" i="295"/>
  <c r="V87" i="295"/>
  <c r="V84" i="295"/>
  <c r="V86" i="295"/>
  <c r="G86" i="295"/>
  <c r="G84" i="295"/>
  <c r="G88" i="295"/>
  <c r="G85" i="295"/>
  <c r="G87" i="295"/>
  <c r="C4" i="41"/>
  <c r="U74" i="295"/>
  <c r="U72" i="295"/>
  <c r="U73" i="295"/>
  <c r="W73" i="295"/>
  <c r="W74" i="295"/>
  <c r="W72" i="295"/>
  <c r="U90" i="295"/>
  <c r="U91" i="295"/>
  <c r="U89" i="295"/>
  <c r="AB73" i="295"/>
  <c r="AB74" i="295"/>
  <c r="AB72" i="295"/>
  <c r="T90" i="295"/>
  <c r="T91" i="295"/>
  <c r="T89" i="295"/>
  <c r="S12" i="47"/>
  <c r="P14" i="47"/>
  <c r="P13" i="47"/>
  <c r="S13" i="47" s="1"/>
  <c r="S11" i="47"/>
  <c r="L46" i="291"/>
  <c r="Z46" i="291"/>
  <c r="V46" i="291"/>
  <c r="C10" i="40"/>
  <c r="O5" i="47"/>
  <c r="Q8" i="47" s="1"/>
  <c r="L8" i="47"/>
  <c r="O8" i="47" s="1"/>
  <c r="BQ5" i="41"/>
  <c r="AS5" i="41"/>
  <c r="O89" i="295" s="1"/>
  <c r="T10" i="40"/>
  <c r="BS5" i="41" s="1"/>
  <c r="AB4" i="41"/>
  <c r="AC4" i="41"/>
  <c r="CA4" i="41"/>
  <c r="B87" i="295" l="1"/>
  <c r="B86" i="295"/>
  <c r="B84" i="295"/>
  <c r="B88" i="295"/>
  <c r="B85" i="295"/>
  <c r="B2" i="43"/>
  <c r="B9" i="40"/>
  <c r="B4" i="47" s="1"/>
  <c r="U88" i="295"/>
  <c r="U85" i="295"/>
  <c r="U87" i="295"/>
  <c r="U84" i="295"/>
  <c r="U86" i="295"/>
  <c r="AB84" i="295"/>
  <c r="AB86" i="295"/>
  <c r="AB88" i="295"/>
  <c r="AB85" i="295"/>
  <c r="AB87" i="295"/>
  <c r="S14" i="47"/>
  <c r="L11" i="47"/>
  <c r="O11" i="47" s="1"/>
  <c r="L13" i="47" s="1"/>
  <c r="O13" i="47" s="1"/>
  <c r="Q11" i="47"/>
  <c r="N5" i="6"/>
  <c r="AM5" i="5" s="1"/>
  <c r="O50" i="295" s="1"/>
  <c r="BE5" i="41"/>
  <c r="O90" i="295" s="1"/>
  <c r="BR5" i="41"/>
  <c r="BL5" i="41"/>
  <c r="P91" i="295" s="1"/>
  <c r="N14" i="6" l="1"/>
  <c r="N15" i="6"/>
  <c r="Q14" i="47"/>
  <c r="N10" i="6"/>
  <c r="N12" i="6" s="1"/>
  <c r="L14" i="47"/>
  <c r="O14" i="47" s="1"/>
  <c r="L16" i="47" s="1"/>
  <c r="O16" i="47" s="1"/>
  <c r="N6" i="6"/>
  <c r="AL3" i="75" s="1"/>
  <c r="O63" i="295" s="1"/>
  <c r="AT5" i="5"/>
  <c r="P52" i="295" s="1"/>
  <c r="N9" i="6"/>
  <c r="N11" i="6" s="1"/>
  <c r="AM6" i="5" s="1"/>
  <c r="O104" i="295" s="1"/>
  <c r="Q13" i="47"/>
  <c r="U2" i="43"/>
  <c r="T2" i="43"/>
  <c r="AT10" i="5" l="1"/>
  <c r="P134" i="295" s="1"/>
  <c r="AM10" i="5"/>
  <c r="O132" i="295" s="1"/>
  <c r="AM9" i="5"/>
  <c r="O125" i="295" s="1"/>
  <c r="AT9" i="5"/>
  <c r="P127" i="295" s="1"/>
  <c r="AG3" i="75"/>
  <c r="P61" i="295" s="1"/>
  <c r="AW7" i="5"/>
  <c r="P117" i="295" s="1"/>
  <c r="AM7" i="5"/>
  <c r="O115" i="295" s="1"/>
  <c r="AW6" i="5"/>
  <c r="P106" i="295" s="1"/>
  <c r="AQ6" i="8"/>
  <c r="P2" i="43" s="1"/>
  <c r="AP6" i="8"/>
  <c r="O2" i="43" s="1"/>
  <c r="AO6" i="8"/>
  <c r="N2" i="43" s="1"/>
  <c r="AO4" i="8"/>
  <c r="K2" i="43"/>
  <c r="M2" i="43" s="1"/>
  <c r="AY4" i="41" s="1"/>
  <c r="O86" i="295" s="1"/>
  <c r="I2" i="43"/>
  <c r="H2" i="43"/>
  <c r="G2" i="43"/>
  <c r="E2" i="43"/>
  <c r="D2" i="43"/>
  <c r="P4" i="47"/>
  <c r="P6" i="47" s="1"/>
  <c r="L4" i="47"/>
  <c r="J4" i="47"/>
  <c r="I4" i="47"/>
  <c r="S3" i="40"/>
  <c r="P9" i="40"/>
  <c r="T9" i="40" s="1"/>
  <c r="H4" i="47"/>
  <c r="D9" i="40"/>
  <c r="C4" i="47" s="1"/>
  <c r="N4" i="41"/>
  <c r="F2" i="43"/>
  <c r="P4" i="41"/>
  <c r="G4" i="41"/>
  <c r="H4" i="41"/>
  <c r="I4" i="41"/>
  <c r="F4" i="41"/>
  <c r="W85" i="295" l="1"/>
  <c r="W87" i="295"/>
  <c r="W84" i="295"/>
  <c r="W86" i="295"/>
  <c r="W88" i="295"/>
  <c r="C2" i="43"/>
  <c r="T86" i="295"/>
  <c r="T88" i="295"/>
  <c r="T85" i="295"/>
  <c r="T87" i="295"/>
  <c r="T84" i="295"/>
  <c r="K85" i="295"/>
  <c r="K87" i="295"/>
  <c r="K86" i="295"/>
  <c r="K84" i="295"/>
  <c r="K88" i="295"/>
  <c r="P20" i="47"/>
  <c r="P19" i="47"/>
  <c r="S19" i="47" s="1"/>
  <c r="S4" i="46" s="1"/>
  <c r="P149" i="295" s="1"/>
  <c r="Q2" i="43"/>
  <c r="BH4" i="41" s="1"/>
  <c r="O87" i="295" s="1"/>
  <c r="S4" i="47"/>
  <c r="Q46" i="291"/>
  <c r="S6" i="47"/>
  <c r="O4" i="47"/>
  <c r="Q6" i="47" s="1"/>
  <c r="N2" i="6" s="1"/>
  <c r="AM3" i="5" s="1"/>
  <c r="O38" i="295" s="1"/>
  <c r="L6" i="47"/>
  <c r="O6" i="47" s="1"/>
  <c r="L19" i="47" s="1"/>
  <c r="O19" i="47" s="1"/>
  <c r="C8" i="47"/>
  <c r="C11" i="47" s="1"/>
  <c r="C6" i="47"/>
  <c r="BE4" i="41"/>
  <c r="O85" i="295" s="1"/>
  <c r="BQ4" i="41"/>
  <c r="AS4" i="41"/>
  <c r="O84" i="295" s="1"/>
  <c r="C9" i="40"/>
  <c r="F9" i="40"/>
  <c r="E9" i="40"/>
  <c r="E4" i="47" s="1"/>
  <c r="H29" i="252"/>
  <c r="V4" i="282"/>
  <c r="AG30" i="252" s="1"/>
  <c r="AB80" i="295" s="1"/>
  <c r="Q4" i="282"/>
  <c r="P4" i="282"/>
  <c r="J4" i="282"/>
  <c r="M30" i="252" s="1"/>
  <c r="I4" i="282"/>
  <c r="L30" i="252" s="1"/>
  <c r="H4" i="282"/>
  <c r="K30" i="252" s="1"/>
  <c r="G4" i="282"/>
  <c r="J30" i="252" s="1"/>
  <c r="G3" i="282"/>
  <c r="J29" i="252" s="1"/>
  <c r="Q3" i="282"/>
  <c r="Y29" i="252" s="1"/>
  <c r="W47" i="291" s="1"/>
  <c r="J3" i="282"/>
  <c r="M29" i="252" s="1"/>
  <c r="O47" i="291" s="1"/>
  <c r="I3" i="282"/>
  <c r="L29" i="252" s="1"/>
  <c r="N47" i="291" s="1"/>
  <c r="H3" i="282"/>
  <c r="K29" i="252" s="1"/>
  <c r="M47" i="291" s="1"/>
  <c r="AC3" i="41"/>
  <c r="F6" i="40"/>
  <c r="D6" i="40"/>
  <c r="F5" i="40"/>
  <c r="L3" i="41"/>
  <c r="I3" i="41"/>
  <c r="H3" i="41"/>
  <c r="G3" i="41"/>
  <c r="J2" i="47"/>
  <c r="J2" i="40"/>
  <c r="J3" i="40" s="1"/>
  <c r="J4" i="40" s="1"/>
  <c r="I2" i="40"/>
  <c r="I3" i="40" s="1"/>
  <c r="I4" i="40" s="1"/>
  <c r="AY3" i="37"/>
  <c r="AA3" i="39"/>
  <c r="AA3" i="37"/>
  <c r="Z3" i="38" s="1"/>
  <c r="F4" i="40"/>
  <c r="I3" i="39"/>
  <c r="H3" i="39"/>
  <c r="J3" i="39"/>
  <c r="B2" i="47"/>
  <c r="D5" i="40"/>
  <c r="C2" i="47" s="1"/>
  <c r="C7" i="47" s="1"/>
  <c r="D4" i="40"/>
  <c r="T3" i="37"/>
  <c r="F3" i="40" s="1"/>
  <c r="N3" i="37"/>
  <c r="I3" i="38"/>
  <c r="H3" i="38"/>
  <c r="G3" i="38"/>
  <c r="G3" i="37"/>
  <c r="J3" i="38"/>
  <c r="R4" i="40"/>
  <c r="B3" i="37"/>
  <c r="C3" i="37" s="1"/>
  <c r="B3" i="40" s="1"/>
  <c r="D3" i="40"/>
  <c r="AB2" i="40"/>
  <c r="AA2" i="40"/>
  <c r="W3" i="37"/>
  <c r="AB3" i="40" s="1"/>
  <c r="V3" i="37"/>
  <c r="V3" i="38" s="1"/>
  <c r="AL3" i="37"/>
  <c r="AL3" i="38" s="1"/>
  <c r="AL3" i="39" s="1"/>
  <c r="AM3" i="37"/>
  <c r="AM3" i="38" s="1"/>
  <c r="AM3" i="39" s="1"/>
  <c r="AN3" i="37"/>
  <c r="AN3" i="38" s="1"/>
  <c r="AN3" i="39" s="1"/>
  <c r="AK3" i="37"/>
  <c r="AK3" i="38" s="1"/>
  <c r="AK3" i="39" s="1"/>
  <c r="AD3" i="36"/>
  <c r="AB3" i="37"/>
  <c r="W3" i="36"/>
  <c r="Z3" i="37"/>
  <c r="W3" i="40"/>
  <c r="W4" i="40" s="1"/>
  <c r="S4" i="40"/>
  <c r="N3" i="40"/>
  <c r="N4" i="40" s="1"/>
  <c r="M3" i="40"/>
  <c r="M4" i="40" s="1"/>
  <c r="G3" i="40"/>
  <c r="G4" i="40" s="1"/>
  <c r="U3" i="37"/>
  <c r="U3" i="38" s="1"/>
  <c r="U3" i="39" s="1"/>
  <c r="J3" i="37"/>
  <c r="I3" i="37"/>
  <c r="H3" i="37"/>
  <c r="F3" i="39"/>
  <c r="B3" i="36"/>
  <c r="F3" i="62"/>
  <c r="F4" i="62"/>
  <c r="F2" i="62"/>
  <c r="AE3" i="8"/>
  <c r="P2" i="40"/>
  <c r="P3" i="40" s="1"/>
  <c r="M3" i="8"/>
  <c r="D2" i="40"/>
  <c r="X3" i="36"/>
  <c r="W79" i="295" l="1"/>
  <c r="W78" i="295"/>
  <c r="G79" i="295"/>
  <c r="G78" i="295"/>
  <c r="W80" i="295"/>
  <c r="W81" i="295"/>
  <c r="C3" i="36"/>
  <c r="B2" i="40" s="1"/>
  <c r="F3" i="36"/>
  <c r="W69" i="295"/>
  <c r="W68" i="295"/>
  <c r="W3" i="41"/>
  <c r="K69" i="295"/>
  <c r="K68" i="295"/>
  <c r="BR4" i="41"/>
  <c r="S20" i="47"/>
  <c r="P21" i="47"/>
  <c r="S21" i="47" s="1"/>
  <c r="I5" i="40"/>
  <c r="I6" i="40" s="1"/>
  <c r="M5" i="40"/>
  <c r="M6" i="40" s="1"/>
  <c r="J5" i="40"/>
  <c r="J6" i="40" s="1"/>
  <c r="G5" i="40"/>
  <c r="S5" i="40"/>
  <c r="S6" i="40" s="1"/>
  <c r="N5" i="40"/>
  <c r="N6" i="40" s="1"/>
  <c r="W5" i="40"/>
  <c r="W6" i="40" s="1"/>
  <c r="R5" i="40"/>
  <c r="R6" i="40" s="1"/>
  <c r="Z48" i="291"/>
  <c r="Z49" i="291"/>
  <c r="L49" i="291"/>
  <c r="L48" i="291"/>
  <c r="P5" i="282"/>
  <c r="X30" i="252"/>
  <c r="N49" i="291"/>
  <c r="N48" i="291"/>
  <c r="O48" i="291"/>
  <c r="O49" i="291"/>
  <c r="M48" i="291"/>
  <c r="M49" i="291"/>
  <c r="Q5" i="282"/>
  <c r="Y31" i="252" s="1"/>
  <c r="W50" i="291" s="1"/>
  <c r="Y30" i="252"/>
  <c r="V3" i="39"/>
  <c r="AA4" i="40"/>
  <c r="AA3" i="40"/>
  <c r="W3" i="38"/>
  <c r="N46" i="291"/>
  <c r="U46" i="291"/>
  <c r="O46" i="291"/>
  <c r="W46" i="291"/>
  <c r="M46" i="291"/>
  <c r="J5" i="282"/>
  <c r="L47" i="291"/>
  <c r="V5" i="282"/>
  <c r="AG31" i="252" s="1"/>
  <c r="AB82" i="295" s="1"/>
  <c r="AT3" i="5"/>
  <c r="P40" i="295" s="1"/>
  <c r="D3" i="282"/>
  <c r="B29" i="252" s="1"/>
  <c r="D47" i="291" s="1"/>
  <c r="L3" i="37"/>
  <c r="I5" i="282"/>
  <c r="L31" i="252" s="1"/>
  <c r="N50" i="291" s="1"/>
  <c r="H5" i="282"/>
  <c r="K31" i="252" s="1"/>
  <c r="M50" i="291" s="1"/>
  <c r="G5" i="282"/>
  <c r="J31" i="252" s="1"/>
  <c r="BL4" i="41"/>
  <c r="P88" i="295" s="1"/>
  <c r="BS4" i="41"/>
  <c r="AS3" i="37"/>
  <c r="T3" i="40"/>
  <c r="T4" i="40" s="1"/>
  <c r="P4" i="40"/>
  <c r="AO3" i="37"/>
  <c r="AC3" i="36"/>
  <c r="W83" i="295" l="1"/>
  <c r="W82" i="295"/>
  <c r="K73" i="295"/>
  <c r="K74" i="295"/>
  <c r="K72" i="295"/>
  <c r="X69" i="295"/>
  <c r="X68" i="295"/>
  <c r="U81" i="295"/>
  <c r="U80" i="295"/>
  <c r="P2" i="47"/>
  <c r="W4" i="46"/>
  <c r="O150" i="295" s="1"/>
  <c r="S3" i="46"/>
  <c r="P151" i="295" s="1"/>
  <c r="W3" i="46"/>
  <c r="O152" i="295" s="1"/>
  <c r="G6" i="40"/>
  <c r="H2" i="47"/>
  <c r="L2" i="47"/>
  <c r="O2" i="47" s="1"/>
  <c r="Q7" i="47" s="1"/>
  <c r="N3" i="6" s="1"/>
  <c r="Z50" i="291"/>
  <c r="X31" i="252"/>
  <c r="L50" i="291"/>
  <c r="M31" i="252"/>
  <c r="O50" i="291" s="1"/>
  <c r="W49" i="291"/>
  <c r="W48" i="291"/>
  <c r="V49" i="291"/>
  <c r="V48" i="291"/>
  <c r="W3" i="39"/>
  <c r="AB4" i="40"/>
  <c r="AA5" i="40"/>
  <c r="X3" i="41"/>
  <c r="L3" i="38"/>
  <c r="C3" i="40"/>
  <c r="C2" i="40"/>
  <c r="P7" i="47"/>
  <c r="AS3" i="38"/>
  <c r="P5" i="40"/>
  <c r="AO3" i="38"/>
  <c r="AU3" i="37"/>
  <c r="AP3" i="37"/>
  <c r="AT3" i="37"/>
  <c r="T5" i="40"/>
  <c r="AT3" i="38"/>
  <c r="AP3" i="38"/>
  <c r="AU3" i="38"/>
  <c r="R3" i="36"/>
  <c r="F2" i="40" s="1"/>
  <c r="Q3" i="36"/>
  <c r="L3" i="36"/>
  <c r="M3" i="37"/>
  <c r="M3" i="38" s="1"/>
  <c r="M3" i="39" s="1"/>
  <c r="J3" i="36"/>
  <c r="I3" i="36"/>
  <c r="H3" i="36"/>
  <c r="G3" i="36"/>
  <c r="X73" i="295" l="1"/>
  <c r="X74" i="295"/>
  <c r="X72" i="295"/>
  <c r="U82" i="295"/>
  <c r="U83" i="295"/>
  <c r="Y69" i="295"/>
  <c r="Y68" i="295"/>
  <c r="L69" i="295"/>
  <c r="L68" i="295"/>
  <c r="S2" i="47"/>
  <c r="L7" i="47"/>
  <c r="O7" i="47" s="1"/>
  <c r="V50" i="291"/>
  <c r="O3" i="41"/>
  <c r="E2" i="40"/>
  <c r="S3" i="37"/>
  <c r="AA6" i="40"/>
  <c r="X46" i="291"/>
  <c r="Y3" i="41"/>
  <c r="AB5" i="40"/>
  <c r="AM4" i="5"/>
  <c r="O45" i="295" s="1"/>
  <c r="S7" i="47"/>
  <c r="L3" i="39"/>
  <c r="C4" i="40"/>
  <c r="P6" i="40"/>
  <c r="AT3" i="39"/>
  <c r="P69" i="295" s="1"/>
  <c r="AU3" i="39"/>
  <c r="AP3" i="39"/>
  <c r="O68" i="295" s="1"/>
  <c r="T6" i="40"/>
  <c r="AV3" i="39"/>
  <c r="AW3" i="39"/>
  <c r="AX3" i="39" s="1"/>
  <c r="I40" i="17"/>
  <c r="I39" i="17"/>
  <c r="H40" i="17"/>
  <c r="H39" i="17"/>
  <c r="F40" i="17"/>
  <c r="F39" i="17"/>
  <c r="D40" i="17"/>
  <c r="F107" i="295" s="1"/>
  <c r="D39" i="17"/>
  <c r="F86" i="295" s="1"/>
  <c r="C40" i="17"/>
  <c r="C39" i="17"/>
  <c r="S9" i="9"/>
  <c r="H4" i="17"/>
  <c r="F4" i="17"/>
  <c r="C4" i="17"/>
  <c r="L73" i="295" l="1"/>
  <c r="L74" i="295"/>
  <c r="L72" i="295"/>
  <c r="Y73" i="295"/>
  <c r="Y74" i="295"/>
  <c r="Y72" i="295"/>
  <c r="T68" i="295"/>
  <c r="T69" i="295"/>
  <c r="AT4" i="5"/>
  <c r="P47" i="295" s="1"/>
  <c r="AB6" i="40"/>
  <c r="Y46" i="291"/>
  <c r="S3" i="38"/>
  <c r="E3" i="40"/>
  <c r="P46" i="291"/>
  <c r="N3" i="41"/>
  <c r="C5" i="40"/>
  <c r="AV3" i="41"/>
  <c r="O72" i="295" s="1"/>
  <c r="BQ3" i="41"/>
  <c r="BR3" i="41"/>
  <c r="BS3" i="41"/>
  <c r="BE3" i="41"/>
  <c r="O73" i="295" s="1"/>
  <c r="BO3" i="41"/>
  <c r="P74" i="295" s="1"/>
  <c r="I4" i="20"/>
  <c r="I3" i="20"/>
  <c r="M3" i="2" s="1"/>
  <c r="G4" i="290"/>
  <c r="F4" i="290"/>
  <c r="E4" i="290"/>
  <c r="D4" i="290"/>
  <c r="C4" i="290"/>
  <c r="B4" i="290"/>
  <c r="BM8" i="5" s="1"/>
  <c r="I3" i="290"/>
  <c r="H3" i="290"/>
  <c r="G3" i="290"/>
  <c r="F3" i="290"/>
  <c r="E3" i="290"/>
  <c r="D3" i="290"/>
  <c r="BJ5" i="41" s="1"/>
  <c r="C3" i="290"/>
  <c r="B3" i="290"/>
  <c r="T74" i="295" l="1"/>
  <c r="T72" i="295"/>
  <c r="T73" i="295"/>
  <c r="C91" i="295"/>
  <c r="C124" i="295"/>
  <c r="BM9" i="41"/>
  <c r="BM6" i="41"/>
  <c r="C94" i="295" s="1"/>
  <c r="BM10" i="41"/>
  <c r="BM8" i="41"/>
  <c r="C77" i="295" s="1"/>
  <c r="BM3" i="41"/>
  <c r="C74" i="295" s="1"/>
  <c r="BM7" i="41"/>
  <c r="C112" i="295" s="1"/>
  <c r="AX3" i="90"/>
  <c r="C99" i="295" s="1"/>
  <c r="BJ9" i="5"/>
  <c r="BJ3" i="5"/>
  <c r="BJ4" i="41"/>
  <c r="BM10" i="5"/>
  <c r="BM4" i="5"/>
  <c r="C49" i="295" s="1"/>
  <c r="BM11" i="5"/>
  <c r="BM9" i="5"/>
  <c r="BM7" i="5"/>
  <c r="BM6" i="5"/>
  <c r="C109" i="295" s="1"/>
  <c r="BM5" i="5"/>
  <c r="C54" i="295" s="1"/>
  <c r="BC3" i="75"/>
  <c r="C65" i="295" s="1"/>
  <c r="S3" i="39"/>
  <c r="E4" i="40"/>
  <c r="I46" i="291"/>
  <c r="E46" i="291"/>
  <c r="AB29" i="252" s="1"/>
  <c r="T79" i="295" s="1"/>
  <c r="C6" i="40"/>
  <c r="E42" i="288"/>
  <c r="E41" i="288"/>
  <c r="E40" i="288"/>
  <c r="E39" i="288"/>
  <c r="D38" i="288"/>
  <c r="E22" i="288"/>
  <c r="D21" i="288"/>
  <c r="E18" i="288"/>
  <c r="D17" i="288"/>
  <c r="E14" i="288"/>
  <c r="E13" i="288"/>
  <c r="D12" i="288"/>
  <c r="V68" i="295" l="1"/>
  <c r="V69" i="295"/>
  <c r="C129" i="295"/>
  <c r="C119" i="295"/>
  <c r="C136" i="295"/>
  <c r="G62" i="291"/>
  <c r="C131" i="295"/>
  <c r="C130" i="295"/>
  <c r="C88" i="295"/>
  <c r="C144" i="295"/>
  <c r="C42" i="295"/>
  <c r="C139" i="295"/>
  <c r="G29" i="291"/>
  <c r="AD25" i="252" s="1"/>
  <c r="C56" i="295" s="1"/>
  <c r="G52" i="291"/>
  <c r="AD23" i="252" s="1"/>
  <c r="C96" i="295" s="1"/>
  <c r="G55" i="291"/>
  <c r="G25" i="291"/>
  <c r="AD22" i="252" s="1"/>
  <c r="C44" i="295" s="1"/>
  <c r="G46" i="291"/>
  <c r="AD29" i="252" s="1"/>
  <c r="C79" i="295" s="1"/>
  <c r="G59" i="291"/>
  <c r="G57" i="291"/>
  <c r="G40" i="291"/>
  <c r="AD34" i="252" s="1"/>
  <c r="C67" i="295" s="1"/>
  <c r="G61" i="291"/>
  <c r="G36" i="291"/>
  <c r="AD33" i="252" s="1"/>
  <c r="C101" i="295" s="1"/>
  <c r="K47" i="291"/>
  <c r="K46" i="291"/>
  <c r="K48" i="291"/>
  <c r="E5" i="40"/>
  <c r="E2" i="47" s="1"/>
  <c r="U3" i="41"/>
  <c r="E47" i="291"/>
  <c r="AB30" i="252" s="1"/>
  <c r="T81" i="295" s="1"/>
  <c r="V74" i="295" l="1"/>
  <c r="V72" i="295"/>
  <c r="V73" i="295"/>
  <c r="G41" i="291"/>
  <c r="G53" i="291"/>
  <c r="G26" i="291"/>
  <c r="G37" i="291"/>
  <c r="G47" i="291"/>
  <c r="AD30" i="252" s="1"/>
  <c r="C81" i="295" s="1"/>
  <c r="G30" i="291"/>
  <c r="AD26" i="252" s="1"/>
  <c r="C58" i="295" s="1"/>
  <c r="E48" i="291"/>
  <c r="E6" i="40"/>
  <c r="D3" i="281"/>
  <c r="D2" i="281"/>
  <c r="C12" i="12"/>
  <c r="B12" i="12"/>
  <c r="J148" i="295" l="1"/>
  <c r="J147" i="295"/>
  <c r="J146" i="295"/>
  <c r="J145" i="295"/>
  <c r="G31" i="291"/>
  <c r="G48" i="291"/>
  <c r="E2" i="9"/>
  <c r="E3" i="9"/>
  <c r="E4" i="9"/>
  <c r="E5" i="9"/>
  <c r="E6" i="9"/>
  <c r="E7" i="9"/>
  <c r="E8" i="9"/>
  <c r="E9" i="9"/>
  <c r="E10" i="9"/>
  <c r="D10" i="9"/>
  <c r="D9" i="9"/>
  <c r="D8" i="9"/>
  <c r="D7" i="9"/>
  <c r="D6" i="9"/>
  <c r="D5" i="9"/>
  <c r="D4" i="9"/>
  <c r="AD3" i="8" s="1"/>
  <c r="D3" i="9"/>
  <c r="D2" i="9"/>
  <c r="D4" i="30" l="1"/>
  <c r="D3" i="30"/>
  <c r="G41" i="267" l="1"/>
  <c r="D34" i="285" l="1"/>
  <c r="E49" i="285"/>
  <c r="E43" i="285"/>
  <c r="E74" i="267"/>
  <c r="E73" i="267"/>
  <c r="E55" i="267"/>
  <c r="E25" i="267"/>
  <c r="E23" i="267"/>
  <c r="E19" i="267"/>
  <c r="E15" i="267"/>
  <c r="E61" i="267"/>
  <c r="E60" i="267"/>
  <c r="E59" i="267"/>
  <c r="E58" i="267"/>
  <c r="E57" i="267"/>
  <c r="E56" i="267"/>
  <c r="E53" i="267"/>
  <c r="E54" i="267"/>
  <c r="E52" i="267"/>
  <c r="D65" i="267"/>
  <c r="D63" i="267"/>
  <c r="D51" i="267"/>
  <c r="E40" i="267"/>
  <c r="E39" i="267"/>
  <c r="E38" i="267"/>
  <c r="E37" i="267"/>
  <c r="E34" i="267"/>
  <c r="E31" i="267"/>
  <c r="E30" i="267"/>
  <c r="E29" i="267"/>
  <c r="E26" i="267"/>
  <c r="E24" i="267"/>
  <c r="E22" i="267"/>
  <c r="E18" i="267"/>
  <c r="E14" i="267"/>
  <c r="D46" i="267"/>
  <c r="D44" i="267"/>
  <c r="D42" i="267"/>
  <c r="D36" i="267"/>
  <c r="D33" i="267"/>
  <c r="D28" i="267"/>
  <c r="D21" i="267"/>
  <c r="D17" i="267"/>
  <c r="D13" i="267"/>
  <c r="D72" i="267"/>
  <c r="D70" i="267"/>
  <c r="C12" i="267"/>
  <c r="C47" i="285"/>
  <c r="C41" i="285"/>
  <c r="C33" i="285"/>
  <c r="E23" i="285"/>
  <c r="C21" i="285"/>
  <c r="E14" i="285"/>
  <c r="C12" i="285"/>
  <c r="I13" i="17" l="1"/>
  <c r="I12" i="17"/>
  <c r="I11" i="17"/>
  <c r="I10" i="17"/>
  <c r="I9" i="17"/>
  <c r="I8" i="17"/>
  <c r="I7" i="17"/>
  <c r="I6" i="17"/>
  <c r="I5" i="17"/>
  <c r="I4" i="17"/>
  <c r="I3" i="17"/>
  <c r="I33" i="17"/>
  <c r="H29" i="17"/>
  <c r="H28" i="17"/>
  <c r="H27" i="17"/>
  <c r="H26" i="17"/>
  <c r="H25" i="17"/>
  <c r="H24" i="17"/>
  <c r="H23" i="17"/>
  <c r="H22" i="17"/>
  <c r="H21" i="17"/>
  <c r="H12" i="17"/>
  <c r="H11" i="17"/>
  <c r="H10" i="17"/>
  <c r="H9" i="17"/>
  <c r="H8" i="17"/>
  <c r="H7" i="17"/>
  <c r="H6" i="17"/>
  <c r="H5" i="17"/>
  <c r="H3" i="17"/>
  <c r="H20" i="17"/>
  <c r="H13" i="17"/>
  <c r="H30" i="17"/>
  <c r="B2" i="280" l="1"/>
  <c r="E2" i="280"/>
  <c r="AC3" i="281" l="1"/>
  <c r="AC2" i="281"/>
  <c r="X2" i="281"/>
  <c r="X3" i="281"/>
  <c r="G146" i="295" l="1"/>
  <c r="G145" i="295"/>
  <c r="G148" i="295"/>
  <c r="G147" i="295"/>
  <c r="C148" i="295"/>
  <c r="C146" i="295"/>
  <c r="P2" i="281"/>
  <c r="K3" i="281"/>
  <c r="L3" i="281" s="1"/>
  <c r="I3" i="281"/>
  <c r="K2" i="281"/>
  <c r="L2" i="281" s="1"/>
  <c r="I2" i="281"/>
  <c r="H3" i="281"/>
  <c r="BJ7" i="12"/>
  <c r="BJ8" i="12"/>
  <c r="BI8" i="12"/>
  <c r="G3" i="281" s="1"/>
  <c r="BI7" i="12"/>
  <c r="G2" i="281" s="1"/>
  <c r="H2" i="281"/>
  <c r="F3" i="281"/>
  <c r="F2" i="281"/>
  <c r="E3" i="281"/>
  <c r="E2" i="281"/>
  <c r="B3" i="281"/>
  <c r="AD3" i="281" s="1"/>
  <c r="B2" i="281"/>
  <c r="AD2" i="281" s="1"/>
  <c r="L2" i="280"/>
  <c r="I2" i="280"/>
  <c r="H2" i="280"/>
  <c r="D2" i="280"/>
  <c r="T146" i="295" l="1"/>
  <c r="T145" i="295"/>
  <c r="T147" i="295"/>
  <c r="T148" i="295"/>
  <c r="W146" i="295"/>
  <c r="W145" i="295"/>
  <c r="W148" i="295"/>
  <c r="W147" i="295"/>
  <c r="Q2" i="281"/>
  <c r="T2" i="281"/>
  <c r="P145" i="295" s="1"/>
  <c r="Q3" i="281"/>
  <c r="AB2" i="281"/>
  <c r="AB3" i="281"/>
  <c r="AH3" i="281"/>
  <c r="AH2" i="281"/>
  <c r="AA3" i="281"/>
  <c r="AA2" i="281"/>
  <c r="R3" i="281"/>
  <c r="R2" i="281"/>
  <c r="Y3" i="281"/>
  <c r="O148" i="295" s="1"/>
  <c r="T3" i="281"/>
  <c r="P147" i="295" s="1"/>
  <c r="Y2" i="281"/>
  <c r="O146" i="295" s="1"/>
  <c r="K10" i="9"/>
  <c r="AA16" i="6" s="1"/>
  <c r="AR11" i="5" s="1"/>
  <c r="AQ9" i="8"/>
  <c r="Q2" i="10" s="1"/>
  <c r="R2" i="10" s="1"/>
  <c r="P8" i="254" s="1"/>
  <c r="AP9" i="8"/>
  <c r="P2" i="10" s="1"/>
  <c r="AO9" i="8"/>
  <c r="O2" i="10" s="1"/>
  <c r="AE9" i="8"/>
  <c r="AD9" i="8"/>
  <c r="AD6" i="8"/>
  <c r="S9" i="8"/>
  <c r="R9" i="8"/>
  <c r="R8" i="8"/>
  <c r="N3" i="8"/>
  <c r="M8" i="8"/>
  <c r="E9" i="8"/>
  <c r="H2" i="10" s="1"/>
  <c r="D9" i="8"/>
  <c r="C9" i="15"/>
  <c r="T3" i="115"/>
  <c r="T4" i="115"/>
  <c r="T5" i="115"/>
  <c r="T6" i="115"/>
  <c r="T7" i="115"/>
  <c r="T8" i="115"/>
  <c r="N27" i="271"/>
  <c r="S5" i="115"/>
  <c r="N26" i="271" s="1"/>
  <c r="S8" i="115"/>
  <c r="N29" i="271" s="1"/>
  <c r="S7" i="115"/>
  <c r="N28" i="271" s="1"/>
  <c r="S4" i="115"/>
  <c r="N25" i="271" s="1"/>
  <c r="S3" i="115"/>
  <c r="P5" i="46"/>
  <c r="O5" i="46"/>
  <c r="AC146" i="295" l="1"/>
  <c r="AC145" i="295"/>
  <c r="AC148" i="295"/>
  <c r="AC147" i="295"/>
  <c r="V155" i="295"/>
  <c r="V156" i="295"/>
  <c r="U147" i="295"/>
  <c r="U148" i="295"/>
  <c r="V154" i="295"/>
  <c r="V153" i="295"/>
  <c r="U146" i="295"/>
  <c r="U145" i="295"/>
  <c r="C142" i="295"/>
  <c r="C147" i="295"/>
  <c r="C145" i="295"/>
  <c r="J2" i="280"/>
  <c r="B5" i="46"/>
  <c r="B4" i="46"/>
  <c r="B3" i="46"/>
  <c r="P2" i="274" l="1"/>
  <c r="O2" i="274"/>
  <c r="Q2" i="274"/>
  <c r="J2" i="274"/>
  <c r="H24" i="47"/>
  <c r="C2" i="276"/>
  <c r="C24" i="47" s="1"/>
  <c r="K2" i="277"/>
  <c r="L2" i="274" s="1"/>
  <c r="C161" i="295" s="1"/>
  <c r="J2" i="277"/>
  <c r="N2" i="274" s="1"/>
  <c r="P161" i="295" s="1"/>
  <c r="C2" i="277"/>
  <c r="C3" i="275"/>
  <c r="D23" i="47" s="1"/>
  <c r="C2" i="275"/>
  <c r="D22" i="47" s="1"/>
  <c r="AQ8" i="8"/>
  <c r="AP8" i="8"/>
  <c r="AP3" i="8"/>
  <c r="AO8" i="8"/>
  <c r="AP4" i="8"/>
  <c r="AQ4" i="8"/>
  <c r="AI7" i="8"/>
  <c r="AH7" i="8"/>
  <c r="AE8" i="8"/>
  <c r="AE7" i="8"/>
  <c r="H3" i="275"/>
  <c r="H2" i="275"/>
  <c r="F2" i="275"/>
  <c r="H22" i="47" s="1"/>
  <c r="F3" i="275"/>
  <c r="H23" i="47" s="1"/>
  <c r="U159" i="295" l="1"/>
  <c r="U161" i="295"/>
  <c r="U160" i="295"/>
  <c r="V2" i="274"/>
  <c r="O159" i="295"/>
  <c r="V9" i="47"/>
  <c r="V11" i="47"/>
  <c r="V10" i="47"/>
  <c r="V5" i="47"/>
  <c r="V8" i="47"/>
  <c r="V7" i="47"/>
  <c r="V2" i="47"/>
  <c r="Q13" i="40"/>
  <c r="R14" i="6"/>
  <c r="Q12" i="40"/>
  <c r="Q11" i="40"/>
  <c r="R15" i="6"/>
  <c r="R3" i="6"/>
  <c r="R13" i="6"/>
  <c r="U16" i="47" s="1"/>
  <c r="R10" i="6"/>
  <c r="R9" i="6"/>
  <c r="R7" i="6"/>
  <c r="R8" i="6"/>
  <c r="R5" i="6"/>
  <c r="R4" i="6"/>
  <c r="Q10" i="40"/>
  <c r="U5" i="47" s="1"/>
  <c r="Q3" i="40"/>
  <c r="Q4" i="40" s="1"/>
  <c r="Q5" i="40" s="1"/>
  <c r="W9" i="47"/>
  <c r="W11" i="47"/>
  <c r="W10" i="47"/>
  <c r="W5" i="47"/>
  <c r="W7" i="47"/>
  <c r="W8" i="47"/>
  <c r="W2" i="47"/>
  <c r="F2" i="274"/>
  <c r="E2" i="274"/>
  <c r="V161" i="295" l="1"/>
  <c r="V160" i="295"/>
  <c r="V159" i="295"/>
  <c r="R6" i="6"/>
  <c r="U12" i="47" s="1"/>
  <c r="U11" i="47"/>
  <c r="U14" i="47"/>
  <c r="R12" i="6"/>
  <c r="U9" i="47"/>
  <c r="U10" i="47" s="1"/>
  <c r="Q15" i="40"/>
  <c r="R11" i="6"/>
  <c r="U13" i="47"/>
  <c r="U2" i="47"/>
  <c r="Q6" i="40"/>
  <c r="U7" i="47"/>
  <c r="U8" i="47"/>
  <c r="D2" i="276"/>
  <c r="E24" i="47" s="1"/>
  <c r="R2" i="274"/>
  <c r="D2" i="275"/>
  <c r="E22" i="47" s="1"/>
  <c r="D2" i="277"/>
  <c r="D3" i="275"/>
  <c r="E23" i="47" s="1"/>
  <c r="AD8" i="8"/>
  <c r="AD7" i="8"/>
  <c r="W16" i="6" s="1"/>
  <c r="I10" i="9"/>
  <c r="I8" i="9"/>
  <c r="G10" i="9"/>
  <c r="G8" i="9"/>
  <c r="K8" i="9"/>
  <c r="O10" i="9"/>
  <c r="O8" i="9"/>
  <c r="Q10" i="9"/>
  <c r="Q8" i="9"/>
  <c r="AE3" i="115"/>
  <c r="G14" i="271"/>
  <c r="G13" i="271"/>
  <c r="G12" i="271"/>
  <c r="G11" i="271"/>
  <c r="F14" i="271"/>
  <c r="F13" i="271"/>
  <c r="F12" i="271"/>
  <c r="F11" i="271"/>
  <c r="G10" i="271"/>
  <c r="G9" i="271"/>
  <c r="G8" i="271"/>
  <c r="G7" i="271"/>
  <c r="G6" i="271"/>
  <c r="G5" i="271"/>
  <c r="G4" i="271"/>
  <c r="G3" i="271"/>
  <c r="G2" i="271"/>
  <c r="F10" i="271"/>
  <c r="F9" i="271"/>
  <c r="F8" i="271"/>
  <c r="F7" i="271"/>
  <c r="F6" i="271"/>
  <c r="F5" i="271"/>
  <c r="F4" i="271"/>
  <c r="F3" i="271"/>
  <c r="F2" i="271"/>
  <c r="H2" i="272"/>
  <c r="AH3" i="115"/>
  <c r="L13" i="271" s="1"/>
  <c r="L4" i="115"/>
  <c r="M4" i="115" s="1"/>
  <c r="N4" i="115" s="1"/>
  <c r="L5" i="115"/>
  <c r="M5" i="115" s="1"/>
  <c r="N5" i="115" s="1"/>
  <c r="L6" i="115"/>
  <c r="M6" i="115" s="1"/>
  <c r="N6" i="115" s="1"/>
  <c r="L7" i="115"/>
  <c r="M7" i="115" s="1"/>
  <c r="N7" i="115" s="1"/>
  <c r="M8" i="115"/>
  <c r="N8" i="115" s="1"/>
  <c r="L3" i="115"/>
  <c r="B161" i="295" l="1"/>
  <c r="B3" i="275"/>
  <c r="B23" i="47" s="1"/>
  <c r="B160" i="295"/>
  <c r="B2" i="275"/>
  <c r="B22" i="47" s="1"/>
  <c r="B2" i="277"/>
  <c r="B159" i="295"/>
  <c r="B2" i="276"/>
  <c r="B24" i="47" s="1"/>
  <c r="AK7" i="8"/>
  <c r="AC16" i="6"/>
  <c r="AG7" i="8"/>
  <c r="Z16" i="6"/>
  <c r="AO11" i="5" s="1"/>
  <c r="AF7" i="8"/>
  <c r="Y16" i="6"/>
  <c r="AL11" i="5" s="1"/>
  <c r="AJ7" i="8"/>
  <c r="AB16" i="6"/>
  <c r="L8" i="271"/>
  <c r="L12" i="271"/>
  <c r="J9" i="271"/>
  <c r="J3" i="271"/>
  <c r="L10" i="271"/>
  <c r="L14" i="271"/>
  <c r="J5" i="271"/>
  <c r="L4" i="271"/>
  <c r="J12" i="271"/>
  <c r="L2" i="271"/>
  <c r="J7" i="271"/>
  <c r="L6" i="271"/>
  <c r="J14" i="271"/>
  <c r="J4" i="271"/>
  <c r="J8" i="271"/>
  <c r="L3" i="271"/>
  <c r="L7" i="271"/>
  <c r="J11" i="271"/>
  <c r="L11" i="271"/>
  <c r="J2" i="271"/>
  <c r="J6" i="271"/>
  <c r="J10" i="271"/>
  <c r="L5" i="271"/>
  <c r="L9" i="271"/>
  <c r="J13" i="271"/>
  <c r="O7" i="115"/>
  <c r="O6" i="115"/>
  <c r="O5" i="115"/>
  <c r="O8" i="115"/>
  <c r="O4" i="115"/>
  <c r="M3" i="115"/>
  <c r="O3" i="115" s="1"/>
  <c r="Z5" i="115"/>
  <c r="Z6" i="115"/>
  <c r="Y6" i="115"/>
  <c r="Y5" i="115"/>
  <c r="X8" i="115"/>
  <c r="X7" i="115"/>
  <c r="W8" i="115"/>
  <c r="W7" i="115"/>
  <c r="V5" i="115"/>
  <c r="V6" i="115"/>
  <c r="V7" i="115"/>
  <c r="V8" i="115"/>
  <c r="U8" i="115"/>
  <c r="U7" i="115"/>
  <c r="U6" i="115"/>
  <c r="U5" i="115"/>
  <c r="C141" i="295" l="1"/>
  <c r="C140" i="295"/>
  <c r="AD3" i="115"/>
  <c r="N3" i="115"/>
  <c r="I38" i="17"/>
  <c r="I37" i="17"/>
  <c r="H38" i="17"/>
  <c r="H37" i="17"/>
  <c r="D38" i="17"/>
  <c r="D37" i="17"/>
  <c r="C38" i="17"/>
  <c r="C37" i="17"/>
  <c r="I36" i="17"/>
  <c r="H36" i="17"/>
  <c r="I35" i="17"/>
  <c r="I34" i="17"/>
  <c r="I32" i="17"/>
  <c r="I31" i="17"/>
  <c r="H35" i="17"/>
  <c r="H34" i="17"/>
  <c r="H33" i="17"/>
  <c r="H32" i="17"/>
  <c r="H31" i="17"/>
  <c r="I30" i="17"/>
  <c r="F2" i="272"/>
  <c r="E29" i="271"/>
  <c r="E28" i="271"/>
  <c r="E27" i="271"/>
  <c r="E26" i="271"/>
  <c r="E25" i="271"/>
  <c r="E11" i="271"/>
  <c r="B11" i="271"/>
  <c r="B29" i="271"/>
  <c r="B28" i="271"/>
  <c r="B27" i="271"/>
  <c r="B26" i="271"/>
  <c r="B25" i="271"/>
  <c r="G25" i="271"/>
  <c r="G26" i="271"/>
  <c r="G27" i="271"/>
  <c r="G28" i="271"/>
  <c r="G29" i="271"/>
  <c r="F25" i="271"/>
  <c r="F26" i="271"/>
  <c r="F27" i="271"/>
  <c r="F28" i="271"/>
  <c r="F29" i="271"/>
  <c r="K155" i="295" l="1"/>
  <c r="K156" i="295"/>
  <c r="O29" i="271"/>
  <c r="O25" i="271"/>
  <c r="O27" i="271"/>
  <c r="O26" i="271"/>
  <c r="O28" i="271"/>
  <c r="G2" i="272"/>
  <c r="G156" i="295" l="1"/>
  <c r="G155" i="295"/>
  <c r="P28" i="271"/>
  <c r="P27" i="271"/>
  <c r="P26" i="271"/>
  <c r="P29" i="271"/>
  <c r="P25" i="271"/>
  <c r="K3" i="114"/>
  <c r="C3" i="116"/>
  <c r="C4" i="116"/>
  <c r="C5" i="116"/>
  <c r="B4" i="116"/>
  <c r="B5" i="116"/>
  <c r="B3" i="116"/>
  <c r="T155" i="295" l="1"/>
  <c r="T156" i="295"/>
  <c r="AE6" i="8"/>
  <c r="AE4" i="8"/>
  <c r="AD4" i="8"/>
  <c r="AD5" i="8"/>
  <c r="H8" i="21"/>
  <c r="H7" i="21"/>
  <c r="G8" i="21"/>
  <c r="G7" i="21"/>
  <c r="V12" i="40" l="1"/>
  <c r="V11" i="40"/>
  <c r="W15" i="6"/>
  <c r="W14" i="6"/>
  <c r="V13" i="40"/>
  <c r="W3" i="6"/>
  <c r="W13" i="6"/>
  <c r="W12" i="6"/>
  <c r="W10" i="6"/>
  <c r="W11" i="6"/>
  <c r="W9" i="6"/>
  <c r="W8" i="6"/>
  <c r="W7" i="6"/>
  <c r="W5" i="6"/>
  <c r="W6" i="6" s="1"/>
  <c r="W4" i="6"/>
  <c r="V15" i="40"/>
  <c r="V10" i="40"/>
  <c r="V2" i="40"/>
  <c r="V3" i="40" s="1"/>
  <c r="V4" i="40" s="1"/>
  <c r="V5" i="40" s="1"/>
  <c r="V6" i="40" s="1"/>
  <c r="V9" i="40"/>
  <c r="V7" i="40"/>
  <c r="V8" i="40" s="1"/>
  <c r="V14" i="40"/>
  <c r="W2" i="6"/>
  <c r="AL4" i="8"/>
  <c r="AL6" i="8"/>
  <c r="S2" i="43" s="1"/>
  <c r="AX4" i="41" s="1"/>
  <c r="AL9" i="8"/>
  <c r="T2" i="10" s="1"/>
  <c r="C86" i="295" l="1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M12" i="32"/>
  <c r="M11" i="32"/>
  <c r="M10" i="32"/>
  <c r="M9" i="32"/>
  <c r="M8" i="32"/>
  <c r="M7" i="32"/>
  <c r="M6" i="32"/>
  <c r="M5" i="32"/>
  <c r="M4" i="32"/>
  <c r="M3" i="32"/>
  <c r="G4" i="20"/>
  <c r="F4" i="20"/>
  <c r="C4" i="18"/>
  <c r="C3" i="18"/>
  <c r="B4" i="18"/>
  <c r="G3" i="20"/>
  <c r="F3" i="20"/>
  <c r="B3" i="18"/>
  <c r="C2" i="18"/>
  <c r="B2" i="18"/>
  <c r="N88" i="295" l="1"/>
  <c r="R88" i="295" s="1"/>
  <c r="N129" i="295"/>
  <c r="Q129" i="295" s="1"/>
  <c r="N126" i="295"/>
  <c r="R126" i="295" s="1"/>
  <c r="N105" i="295"/>
  <c r="R105" i="295" s="1"/>
  <c r="N148" i="295"/>
  <c r="Q148" i="295" s="1"/>
  <c r="N136" i="295"/>
  <c r="Q136" i="295" s="1"/>
  <c r="N117" i="295"/>
  <c r="R117" i="295" s="1"/>
  <c r="N112" i="295"/>
  <c r="R112" i="295" s="1"/>
  <c r="N110" i="295"/>
  <c r="Q110" i="295" s="1"/>
  <c r="N102" i="295"/>
  <c r="R102" i="295" s="1"/>
  <c r="N153" i="295"/>
  <c r="N144" i="295"/>
  <c r="Q144" i="295" s="1"/>
  <c r="N142" i="295"/>
  <c r="R142" i="295" s="1"/>
  <c r="G59" i="267" s="1"/>
  <c r="N140" i="295"/>
  <c r="Q140" i="295" s="1"/>
  <c r="N138" i="295"/>
  <c r="Q138" i="295" s="1"/>
  <c r="N133" i="295"/>
  <c r="R133" i="295" s="1"/>
  <c r="N130" i="295"/>
  <c r="Q130" i="295" s="1"/>
  <c r="N125" i="295"/>
  <c r="Q125" i="295" s="1"/>
  <c r="N114" i="295"/>
  <c r="Q114" i="295" s="1"/>
  <c r="N107" i="295"/>
  <c r="R107" i="295" s="1"/>
  <c r="G16" i="285" s="1"/>
  <c r="N147" i="295"/>
  <c r="R147" i="295" s="1"/>
  <c r="N119" i="295"/>
  <c r="Q119" i="295" s="1"/>
  <c r="N104" i="295"/>
  <c r="Q104" i="295" s="1"/>
  <c r="N152" i="295"/>
  <c r="Q152" i="295" s="1"/>
  <c r="G27" i="285" s="1"/>
  <c r="G28" i="285" s="1"/>
  <c r="N135" i="295"/>
  <c r="R135" i="295" s="1"/>
  <c r="N128" i="295"/>
  <c r="R128" i="295" s="1"/>
  <c r="N116" i="295"/>
  <c r="R116" i="295" s="1"/>
  <c r="N109" i="295"/>
  <c r="Q109" i="295" s="1"/>
  <c r="N151" i="295"/>
  <c r="R151" i="295" s="1"/>
  <c r="N146" i="295"/>
  <c r="Q146" i="295" s="1"/>
  <c r="N132" i="295"/>
  <c r="Q132" i="295" s="1"/>
  <c r="N113" i="295"/>
  <c r="R113" i="295" s="1"/>
  <c r="N111" i="295"/>
  <c r="Q111" i="295" s="1"/>
  <c r="N106" i="295"/>
  <c r="R106" i="295" s="1"/>
  <c r="N150" i="295"/>
  <c r="Q150" i="295" s="1"/>
  <c r="N143" i="295"/>
  <c r="R143" i="295" s="1"/>
  <c r="N141" i="295"/>
  <c r="R141" i="295" s="1"/>
  <c r="N139" i="295"/>
  <c r="R139" i="295" s="1"/>
  <c r="N137" i="295"/>
  <c r="Q137" i="295" s="1"/>
  <c r="N127" i="295"/>
  <c r="R127" i="295" s="1"/>
  <c r="N118" i="295"/>
  <c r="R118" i="295" s="1"/>
  <c r="N103" i="295"/>
  <c r="Q103" i="295" s="1"/>
  <c r="N149" i="295"/>
  <c r="R149" i="295" s="1"/>
  <c r="N145" i="295"/>
  <c r="R145" i="295" s="1"/>
  <c r="N134" i="295"/>
  <c r="R134" i="295" s="1"/>
  <c r="N115" i="295"/>
  <c r="Q115" i="295" s="1"/>
  <c r="N108" i="295"/>
  <c r="R108" i="295" s="1"/>
  <c r="N93" i="295"/>
  <c r="Q93" i="295" s="1"/>
  <c r="N91" i="295"/>
  <c r="R91" i="295" s="1"/>
  <c r="N89" i="295"/>
  <c r="Q89" i="295" s="1"/>
  <c r="N77" i="295"/>
  <c r="R77" i="295" s="1"/>
  <c r="N75" i="295"/>
  <c r="Q75" i="295" s="1"/>
  <c r="N73" i="295"/>
  <c r="Q73" i="295" s="1"/>
  <c r="N71" i="295"/>
  <c r="R71" i="295" s="1"/>
  <c r="N69" i="295"/>
  <c r="R69" i="295" s="1"/>
  <c r="N86" i="295"/>
  <c r="Q86" i="295" s="1"/>
  <c r="N84" i="295"/>
  <c r="Q84" i="295" s="1"/>
  <c r="N98" i="295"/>
  <c r="R98" i="295" s="1"/>
  <c r="N94" i="295"/>
  <c r="R94" i="295" s="1"/>
  <c r="N92" i="295"/>
  <c r="Q92" i="295" s="1"/>
  <c r="N90" i="295"/>
  <c r="Q90" i="295" s="1"/>
  <c r="N76" i="295"/>
  <c r="Q76" i="295" s="1"/>
  <c r="N74" i="295"/>
  <c r="R74" i="295" s="1"/>
  <c r="N72" i="295"/>
  <c r="Q72" i="295" s="1"/>
  <c r="N70" i="295"/>
  <c r="Q70" i="295" s="1"/>
  <c r="N68" i="295"/>
  <c r="Q68" i="295" s="1"/>
  <c r="N53" i="295"/>
  <c r="R53" i="295" s="1"/>
  <c r="N85" i="295"/>
  <c r="Q85" i="295" s="1"/>
  <c r="N99" i="295"/>
  <c r="Q99" i="295" s="1"/>
  <c r="N97" i="295"/>
  <c r="R97" i="295" s="1"/>
  <c r="N87" i="295"/>
  <c r="Q87" i="295" s="1"/>
  <c r="N52" i="295"/>
  <c r="R52" i="295" s="1"/>
  <c r="N45" i="295"/>
  <c r="Q45" i="295" s="1"/>
  <c r="N10" i="295"/>
  <c r="Q10" i="295" s="1"/>
  <c r="N50" i="295"/>
  <c r="Q50" i="295" s="1"/>
  <c r="N39" i="295"/>
  <c r="R39" i="295" s="1"/>
  <c r="F30" i="288" s="1"/>
  <c r="N47" i="295"/>
  <c r="R47" i="295" s="1"/>
  <c r="N9" i="295"/>
  <c r="R9" i="295" s="1"/>
  <c r="N41" i="295"/>
  <c r="R41" i="295" s="1"/>
  <c r="N49" i="295"/>
  <c r="Q49" i="295" s="1"/>
  <c r="N38" i="295"/>
  <c r="Q38" i="295" s="1"/>
  <c r="F35" i="288" s="1"/>
  <c r="N8" i="295"/>
  <c r="Q8" i="295" s="1"/>
  <c r="N46" i="295"/>
  <c r="R46" i="295" s="1"/>
  <c r="N54" i="295"/>
  <c r="Q54" i="295" s="1"/>
  <c r="N40" i="295"/>
  <c r="R40" i="295" s="1"/>
  <c r="F18" i="288" s="1"/>
  <c r="N11" i="295"/>
  <c r="R11" i="295" s="1"/>
  <c r="N2" i="295"/>
  <c r="R2" i="295" s="1"/>
  <c r="N4" i="295"/>
  <c r="R4" i="295" s="1"/>
  <c r="N51" i="295"/>
  <c r="R51" i="295" s="1"/>
  <c r="N48" i="295"/>
  <c r="R48" i="295" s="1"/>
  <c r="N6" i="295"/>
  <c r="R6" i="295" s="1"/>
  <c r="N5" i="295"/>
  <c r="Q5" i="295" s="1"/>
  <c r="N42" i="295"/>
  <c r="Q42" i="295" s="1"/>
  <c r="N7" i="295"/>
  <c r="Q7" i="295" s="1"/>
  <c r="N3" i="295"/>
  <c r="Q3" i="295" s="1"/>
  <c r="P27" i="252"/>
  <c r="P34" i="252"/>
  <c r="P26" i="252"/>
  <c r="P25" i="252"/>
  <c r="P23" i="252"/>
  <c r="P33" i="252"/>
  <c r="P30" i="252"/>
  <c r="P29" i="252"/>
  <c r="P22" i="252"/>
  <c r="P31" i="252"/>
  <c r="N120" i="295"/>
  <c r="N122" i="295"/>
  <c r="N124" i="295"/>
  <c r="N121" i="295"/>
  <c r="N123" i="295"/>
  <c r="M3" i="51"/>
  <c r="Q12" i="5"/>
  <c r="Q10" i="41"/>
  <c r="Q11" i="5"/>
  <c r="M3" i="50"/>
  <c r="Q9" i="41"/>
  <c r="Q6" i="41"/>
  <c r="Q10" i="5"/>
  <c r="Q9" i="5"/>
  <c r="Q8" i="41"/>
  <c r="R59" i="291" s="1"/>
  <c r="Q3" i="41"/>
  <c r="R46" i="291" s="1"/>
  <c r="O4" i="39"/>
  <c r="Q7" i="5"/>
  <c r="Q6" i="5"/>
  <c r="R55" i="291" s="1"/>
  <c r="O4" i="4"/>
  <c r="Q7" i="41"/>
  <c r="R57" i="291" s="1"/>
  <c r="O3" i="38"/>
  <c r="O4" i="38"/>
  <c r="O3" i="4"/>
  <c r="O4" i="3"/>
  <c r="Q5" i="5"/>
  <c r="O3" i="3"/>
  <c r="M14" i="52"/>
  <c r="M8" i="52"/>
  <c r="M18" i="52"/>
  <c r="P20" i="252" s="1"/>
  <c r="M13" i="52"/>
  <c r="P15" i="252" s="1"/>
  <c r="M7" i="52"/>
  <c r="P9" i="252" s="1"/>
  <c r="M16" i="52"/>
  <c r="M12" i="52"/>
  <c r="P14" i="252" s="1"/>
  <c r="M6" i="52"/>
  <c r="P8" i="252" s="1"/>
  <c r="M10" i="52"/>
  <c r="M5" i="52"/>
  <c r="P7" i="252" s="1"/>
  <c r="R6" i="291" s="1"/>
  <c r="M4" i="52"/>
  <c r="P6" i="252" s="1"/>
  <c r="R5" i="291" s="1"/>
  <c r="M3" i="52"/>
  <c r="Q4" i="5"/>
  <c r="R25" i="291" s="1"/>
  <c r="Q3" i="5"/>
  <c r="F36" i="288"/>
  <c r="Q5" i="41"/>
  <c r="Q4" i="41"/>
  <c r="O3" i="37"/>
  <c r="O3" i="39"/>
  <c r="M3" i="36"/>
  <c r="Q8" i="5"/>
  <c r="F3" i="60"/>
  <c r="G4" i="61" s="1"/>
  <c r="F2" i="60"/>
  <c r="G2" i="61" s="1"/>
  <c r="C6" i="14"/>
  <c r="C7" i="14"/>
  <c r="B7" i="14"/>
  <c r="B6" i="14"/>
  <c r="B2" i="14"/>
  <c r="E8" i="12"/>
  <c r="D8" i="12"/>
  <c r="C5" i="14"/>
  <c r="B5" i="14"/>
  <c r="B4" i="14"/>
  <c r="E7" i="12"/>
  <c r="E6" i="12"/>
  <c r="E5" i="12"/>
  <c r="E4" i="12"/>
  <c r="E3" i="12"/>
  <c r="E11" i="12"/>
  <c r="E10" i="12"/>
  <c r="E9" i="12"/>
  <c r="D11" i="12"/>
  <c r="D10" i="12"/>
  <c r="D9" i="12"/>
  <c r="D7" i="12"/>
  <c r="D6" i="12"/>
  <c r="D5" i="12"/>
  <c r="D4" i="12"/>
  <c r="D3" i="12"/>
  <c r="C4" i="14"/>
  <c r="C3" i="14"/>
  <c r="B3" i="14"/>
  <c r="BH3" i="12"/>
  <c r="BG3" i="12"/>
  <c r="AQ5" i="8"/>
  <c r="AP5" i="8"/>
  <c r="AP7" i="8"/>
  <c r="V17" i="47" s="1"/>
  <c r="V18" i="47" s="1"/>
  <c r="AO5" i="8"/>
  <c r="AO7" i="8"/>
  <c r="U17" i="47" s="1"/>
  <c r="G3" i="61" l="1"/>
  <c r="F22" i="288"/>
  <c r="G5" i="61"/>
  <c r="N36" i="295"/>
  <c r="R36" i="295" s="1"/>
  <c r="N37" i="295"/>
  <c r="Q37" i="295" s="1"/>
  <c r="G61" i="267"/>
  <c r="F42" i="288"/>
  <c r="N59" i="295"/>
  <c r="Q59" i="295" s="1"/>
  <c r="N60" i="295"/>
  <c r="R60" i="295" s="1"/>
  <c r="F31" i="288"/>
  <c r="F32" i="288" s="1"/>
  <c r="G15" i="285"/>
  <c r="N13" i="295"/>
  <c r="Q13" i="295" s="1"/>
  <c r="N12" i="295"/>
  <c r="R12" i="295" s="1"/>
  <c r="N79" i="295"/>
  <c r="Q79" i="295" s="1"/>
  <c r="F39" i="288" s="1"/>
  <c r="N78" i="295"/>
  <c r="R78" i="295" s="1"/>
  <c r="N25" i="295"/>
  <c r="R25" i="295" s="1"/>
  <c r="N24" i="295"/>
  <c r="Q24" i="295" s="1"/>
  <c r="N56" i="295"/>
  <c r="R56" i="295" s="1"/>
  <c r="N55" i="295"/>
  <c r="Q55" i="295" s="1"/>
  <c r="G58" i="267"/>
  <c r="F40" i="288"/>
  <c r="G31" i="267"/>
  <c r="N27" i="295"/>
  <c r="Q27" i="295" s="1"/>
  <c r="N26" i="295"/>
  <c r="R26" i="295" s="1"/>
  <c r="N44" i="295"/>
  <c r="R44" i="295" s="1"/>
  <c r="N43" i="295"/>
  <c r="Q43" i="295" s="1"/>
  <c r="N15" i="295"/>
  <c r="N14" i="295"/>
  <c r="Q14" i="295" s="1"/>
  <c r="N83" i="295"/>
  <c r="Q83" i="295" s="1"/>
  <c r="N82" i="295"/>
  <c r="R82" i="295" s="1"/>
  <c r="N67" i="295"/>
  <c r="Q67" i="295" s="1"/>
  <c r="N66" i="295"/>
  <c r="R66" i="295" s="1"/>
  <c r="F23" i="288"/>
  <c r="G6" i="61"/>
  <c r="R61" i="291"/>
  <c r="R62" i="291"/>
  <c r="R15" i="291"/>
  <c r="N3" i="75"/>
  <c r="R29" i="291"/>
  <c r="M17" i="52"/>
  <c r="P19" i="252" s="1"/>
  <c r="P18" i="252"/>
  <c r="R52" i="291"/>
  <c r="O3" i="90"/>
  <c r="R36" i="291" s="1"/>
  <c r="W21" i="47"/>
  <c r="W19" i="47"/>
  <c r="W20" i="47"/>
  <c r="M13" i="6"/>
  <c r="P16" i="47"/>
  <c r="S16" i="47" s="1"/>
  <c r="Q16" i="47"/>
  <c r="N13" i="6"/>
  <c r="M11" i="52"/>
  <c r="P13" i="252" s="1"/>
  <c r="P12" i="252"/>
  <c r="R8" i="291"/>
  <c r="M15" i="52"/>
  <c r="P17" i="252" s="1"/>
  <c r="P16" i="252"/>
  <c r="V21" i="47"/>
  <c r="V20" i="47"/>
  <c r="V19" i="47"/>
  <c r="P4" i="252"/>
  <c r="R3" i="291" s="1"/>
  <c r="P3" i="252"/>
  <c r="R2" i="291" s="1"/>
  <c r="P5" i="252"/>
  <c r="R4" i="291" s="1"/>
  <c r="M9" i="52"/>
  <c r="P11" i="252" s="1"/>
  <c r="P10" i="252"/>
  <c r="U21" i="47"/>
  <c r="U20" i="47"/>
  <c r="U19" i="47"/>
  <c r="R7" i="291"/>
  <c r="R16" i="291"/>
  <c r="W3" i="47"/>
  <c r="W15" i="47"/>
  <c r="W6" i="47"/>
  <c r="W4" i="47"/>
  <c r="V15" i="47"/>
  <c r="V3" i="47"/>
  <c r="V6" i="47"/>
  <c r="V4" i="47"/>
  <c r="R16" i="6"/>
  <c r="U18" i="47"/>
  <c r="Q7" i="40"/>
  <c r="Q9" i="40"/>
  <c r="U4" i="47" s="1"/>
  <c r="Q14" i="40"/>
  <c r="U15" i="47" s="1"/>
  <c r="R2" i="6"/>
  <c r="U6" i="47" s="1"/>
  <c r="F13" i="288" l="1"/>
  <c r="N23" i="295"/>
  <c r="R23" i="295" s="1"/>
  <c r="N22" i="295"/>
  <c r="Q22" i="295" s="1"/>
  <c r="N35" i="295"/>
  <c r="Q35" i="295" s="1"/>
  <c r="F41" i="288" s="1"/>
  <c r="N34" i="295"/>
  <c r="R34" i="295" s="1"/>
  <c r="N17" i="295"/>
  <c r="Q17" i="295" s="1"/>
  <c r="N16" i="295"/>
  <c r="R16" i="295" s="1"/>
  <c r="N29" i="295"/>
  <c r="R29" i="295" s="1"/>
  <c r="N28" i="295"/>
  <c r="Q28" i="295" s="1"/>
  <c r="N19" i="295"/>
  <c r="Q19" i="295" s="1"/>
  <c r="N18" i="295"/>
  <c r="R18" i="295" s="1"/>
  <c r="N31" i="295"/>
  <c r="R31" i="295" s="1"/>
  <c r="F14" i="288" s="1"/>
  <c r="N30" i="295"/>
  <c r="Q30" i="295" s="1"/>
  <c r="N62" i="295"/>
  <c r="Q62" i="295" s="1"/>
  <c r="G14" i="285" s="1"/>
  <c r="N64" i="295"/>
  <c r="Q64" i="295" s="1"/>
  <c r="N61" i="295"/>
  <c r="R61" i="295" s="1"/>
  <c r="N63" i="295"/>
  <c r="Q63" i="295" s="1"/>
  <c r="N65" i="295"/>
  <c r="R65" i="295" s="1"/>
  <c r="N33" i="295"/>
  <c r="Q33" i="295" s="1"/>
  <c r="N32" i="295"/>
  <c r="R32" i="295" s="1"/>
  <c r="N21" i="295"/>
  <c r="R21" i="295" s="1"/>
  <c r="N20" i="295"/>
  <c r="Q20" i="295" s="1"/>
  <c r="AM8" i="5"/>
  <c r="O120" i="295" s="1"/>
  <c r="Q120" i="295" s="1"/>
  <c r="AT8" i="5"/>
  <c r="P122" i="295" s="1"/>
  <c r="R122" i="295" s="1"/>
  <c r="G29" i="267" s="1"/>
  <c r="R17" i="291"/>
  <c r="R18" i="291"/>
  <c r="R21" i="291"/>
  <c r="R20" i="291"/>
  <c r="R19" i="291"/>
  <c r="R12" i="291"/>
  <c r="R13" i="291"/>
  <c r="R22" i="291"/>
  <c r="R11" i="291"/>
  <c r="R40" i="291"/>
  <c r="R9" i="291"/>
  <c r="R10" i="291"/>
  <c r="R14" i="291"/>
  <c r="Q13" i="6"/>
  <c r="R16" i="47"/>
  <c r="T16" i="47" s="1"/>
  <c r="Q8" i="40"/>
  <c r="U3" i="47"/>
  <c r="G22" i="267" l="1"/>
  <c r="G26" i="267"/>
  <c r="G60" i="267"/>
  <c r="G23" i="285"/>
  <c r="G18" i="267"/>
  <c r="U13" i="6"/>
  <c r="BR8" i="5"/>
  <c r="BP8" i="5"/>
  <c r="AQ8" i="5"/>
  <c r="P121" i="295" s="1"/>
  <c r="R121" i="295" s="1"/>
  <c r="G30" i="267" s="1"/>
  <c r="BN8" i="5"/>
  <c r="O124" i="295" s="1"/>
  <c r="Q124" i="295" s="1"/>
  <c r="G23" i="267" s="1"/>
  <c r="G3" i="114"/>
  <c r="G4" i="114"/>
  <c r="G5" i="114"/>
  <c r="G6" i="114"/>
  <c r="G7" i="114"/>
  <c r="G8" i="114"/>
  <c r="R6" i="115" s="1"/>
  <c r="BQ8" i="5" l="1"/>
  <c r="BF8" i="5"/>
  <c r="P123" i="295" s="1"/>
  <c r="R123" i="295" s="1"/>
  <c r="G34" i="267" s="1"/>
  <c r="E4" i="30"/>
  <c r="E3" i="30"/>
  <c r="H3" i="115" l="1"/>
  <c r="F36" i="17" l="1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5" i="17"/>
  <c r="F14" i="17"/>
  <c r="F13" i="17"/>
  <c r="F12" i="17"/>
  <c r="F10" i="17"/>
  <c r="F9" i="17"/>
  <c r="F7" i="17"/>
  <c r="F6" i="17"/>
  <c r="F5" i="17"/>
  <c r="F3" i="17"/>
  <c r="F17" i="17"/>
  <c r="F16" i="17"/>
  <c r="F11" i="17"/>
  <c r="F8" i="17"/>
  <c r="F2" i="106"/>
  <c r="F3" i="106"/>
  <c r="D3" i="105"/>
  <c r="E3" i="108"/>
  <c r="F3" i="108"/>
  <c r="E4" i="108"/>
  <c r="F4" i="108"/>
  <c r="E5" i="108"/>
  <c r="F5" i="108"/>
  <c r="E6" i="108"/>
  <c r="F6" i="108"/>
  <c r="F2" i="108"/>
  <c r="E2" i="108"/>
  <c r="B5" i="108"/>
  <c r="C5" i="108"/>
  <c r="D5" i="108"/>
  <c r="B6" i="108"/>
  <c r="C6" i="108"/>
  <c r="D6" i="108"/>
  <c r="D2" i="105" l="1"/>
  <c r="E3" i="60"/>
  <c r="E2" i="60"/>
  <c r="F3" i="61" l="1"/>
  <c r="F2" i="61"/>
  <c r="F4" i="61"/>
  <c r="F5" i="61"/>
  <c r="F6" i="61"/>
  <c r="D4" i="25" l="1"/>
  <c r="D5" i="25"/>
  <c r="D3" i="25"/>
  <c r="AA8" i="8" l="1"/>
  <c r="M3" i="275" l="1"/>
  <c r="AC8" i="8" l="1"/>
  <c r="I3" i="275"/>
  <c r="S8" i="8"/>
  <c r="E8" i="8"/>
  <c r="D8" i="8"/>
  <c r="K12" i="40" l="1"/>
  <c r="K13" i="40"/>
  <c r="K15" i="6"/>
  <c r="K14" i="6"/>
  <c r="K13" i="6"/>
  <c r="K16" i="47" s="1"/>
  <c r="K11" i="6"/>
  <c r="K12" i="6"/>
  <c r="K10" i="6"/>
  <c r="K14" i="47" s="1"/>
  <c r="K8" i="6"/>
  <c r="K9" i="6"/>
  <c r="K13" i="47" s="1"/>
  <c r="K7" i="6"/>
  <c r="K11" i="47"/>
  <c r="K5" i="6"/>
  <c r="K6" i="6" s="1"/>
  <c r="K12" i="47" s="1"/>
  <c r="K4" i="6"/>
  <c r="K10" i="47"/>
  <c r="K15" i="40"/>
  <c r="K9" i="47"/>
  <c r="K11" i="40"/>
  <c r="K7" i="47"/>
  <c r="K5" i="47"/>
  <c r="K8" i="47"/>
  <c r="K3" i="6"/>
  <c r="K10" i="40"/>
  <c r="K2" i="47"/>
  <c r="K2" i="40"/>
  <c r="K3" i="40" s="1"/>
  <c r="K4" i="40" s="1"/>
  <c r="K5" i="40" s="1"/>
  <c r="K6" i="40" s="1"/>
  <c r="AC5" i="8"/>
  <c r="AC7" i="8" l="1"/>
  <c r="AC3" i="8"/>
  <c r="AQ7" i="8" l="1"/>
  <c r="W17" i="47" s="1"/>
  <c r="D7" i="8"/>
  <c r="W18" i="47" l="1"/>
  <c r="AG3" i="50"/>
  <c r="AF3" i="50"/>
  <c r="AG3" i="51" l="1"/>
  <c r="AF3" i="51"/>
  <c r="C59" i="23" l="1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4" i="23"/>
  <c r="C45" i="23"/>
  <c r="C28" i="23"/>
  <c r="C27" i="23"/>
  <c r="C26" i="23"/>
  <c r="C25" i="23"/>
  <c r="C43" i="23"/>
  <c r="C42" i="23"/>
  <c r="C41" i="23"/>
  <c r="C40" i="23"/>
  <c r="N8" i="114"/>
  <c r="AO6" i="115" s="1"/>
  <c r="N7" i="114"/>
  <c r="AO7" i="115" s="1"/>
  <c r="N6" i="114"/>
  <c r="AO5" i="115" s="1"/>
  <c r="N5" i="114"/>
  <c r="N4" i="114"/>
  <c r="AO3" i="115" s="1"/>
  <c r="N3" i="114"/>
  <c r="L8" i="114"/>
  <c r="AM6" i="115" s="1"/>
  <c r="L7" i="114"/>
  <c r="AM7" i="115" s="1"/>
  <c r="L6" i="114"/>
  <c r="AM5" i="115" s="1"/>
  <c r="L5" i="114"/>
  <c r="L4" i="114"/>
  <c r="AM3" i="115" s="1"/>
  <c r="L3" i="114"/>
  <c r="J8" i="114"/>
  <c r="AK6" i="115" s="1"/>
  <c r="J7" i="114"/>
  <c r="AK4" i="115" s="1"/>
  <c r="J6" i="114"/>
  <c r="AK5" i="115" s="1"/>
  <c r="J5" i="114"/>
  <c r="J4" i="114"/>
  <c r="AK3" i="115" s="1"/>
  <c r="J3" i="114"/>
  <c r="I4" i="115"/>
  <c r="M5" i="114"/>
  <c r="M3" i="114"/>
  <c r="K5" i="114"/>
  <c r="I5" i="114"/>
  <c r="I3" i="114"/>
  <c r="F5" i="114"/>
  <c r="F3" i="114"/>
  <c r="E5" i="114"/>
  <c r="E3" i="114"/>
  <c r="D8" i="114"/>
  <c r="D7" i="114"/>
  <c r="D6" i="114"/>
  <c r="D5" i="114"/>
  <c r="H4" i="115"/>
  <c r="AO4" i="115" l="1"/>
  <c r="AK8" i="115"/>
  <c r="AK7" i="115"/>
  <c r="AO8" i="115"/>
  <c r="AM8" i="115"/>
  <c r="AM4" i="115"/>
  <c r="E26" i="32" l="1"/>
  <c r="E25" i="32"/>
  <c r="E24" i="32"/>
  <c r="E23" i="32"/>
  <c r="E22" i="32"/>
  <c r="E21" i="32"/>
  <c r="E20" i="32"/>
  <c r="E19" i="32"/>
  <c r="E18" i="32"/>
  <c r="E17" i="32"/>
  <c r="E16" i="32"/>
  <c r="E15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E14" i="32"/>
  <c r="E13" i="32"/>
  <c r="E12" i="32"/>
  <c r="E11" i="32"/>
  <c r="E10" i="32"/>
  <c r="E9" i="32"/>
  <c r="E8" i="32"/>
  <c r="E7" i="32"/>
  <c r="E6" i="32"/>
  <c r="E5" i="32"/>
  <c r="E4" i="32"/>
  <c r="E3" i="32"/>
  <c r="D14" i="32"/>
  <c r="D13" i="32"/>
  <c r="D12" i="32"/>
  <c r="D11" i="32"/>
  <c r="D10" i="32"/>
  <c r="D9" i="32"/>
  <c r="D8" i="32"/>
  <c r="D7" i="32"/>
  <c r="D6" i="32"/>
  <c r="D5" i="32"/>
  <c r="D4" i="32"/>
  <c r="D3" i="32"/>
  <c r="C14" i="32"/>
  <c r="C13" i="32"/>
  <c r="C12" i="32"/>
  <c r="C11" i="32"/>
  <c r="C10" i="32"/>
  <c r="C9" i="32"/>
  <c r="C8" i="32"/>
  <c r="C7" i="32"/>
  <c r="C6" i="32"/>
  <c r="C5" i="32"/>
  <c r="C4" i="32"/>
  <c r="C3" i="32"/>
  <c r="D36" i="17" l="1"/>
  <c r="D48" i="285" s="1"/>
  <c r="D35" i="17"/>
  <c r="D42" i="285" s="1"/>
  <c r="C35" i="17"/>
  <c r="C36" i="17"/>
  <c r="C37" i="23"/>
  <c r="C36" i="23"/>
  <c r="C34" i="23"/>
  <c r="C33" i="23"/>
  <c r="E3" i="117" l="1"/>
  <c r="E4" i="117"/>
  <c r="E5" i="117"/>
  <c r="E6" i="117"/>
  <c r="E7" i="117"/>
  <c r="C3" i="117"/>
  <c r="C4" i="117"/>
  <c r="C5" i="117"/>
  <c r="C6" i="117"/>
  <c r="C7" i="117"/>
  <c r="E2" i="117"/>
  <c r="C2" i="117"/>
  <c r="B3" i="117"/>
  <c r="B4" i="117"/>
  <c r="B5" i="117"/>
  <c r="B6" i="117"/>
  <c r="B7" i="117"/>
  <c r="B2" i="117"/>
  <c r="I3" i="115"/>
  <c r="D3" i="117"/>
  <c r="I5" i="115"/>
  <c r="I6" i="115"/>
  <c r="I7" i="115"/>
  <c r="I8" i="115"/>
  <c r="D7" i="117" s="1"/>
  <c r="H8" i="115"/>
  <c r="H7" i="115"/>
  <c r="H5" i="115"/>
  <c r="F4" i="114"/>
  <c r="F6" i="114"/>
  <c r="F7" i="114"/>
  <c r="F8" i="114"/>
  <c r="M8" i="114"/>
  <c r="AN6" i="115" s="1"/>
  <c r="K27" i="271" s="1"/>
  <c r="M7" i="114"/>
  <c r="K8" i="114"/>
  <c r="AL6" i="115" s="1"/>
  <c r="H27" i="271" s="1"/>
  <c r="K7" i="114"/>
  <c r="M6" i="114"/>
  <c r="AN5" i="115" s="1"/>
  <c r="K26" i="271" s="1"/>
  <c r="M4" i="114"/>
  <c r="AN3" i="115" s="1"/>
  <c r="K6" i="114"/>
  <c r="AL5" i="115" s="1"/>
  <c r="H26" i="271" s="1"/>
  <c r="K4" i="114"/>
  <c r="AL3" i="115" s="1"/>
  <c r="I6" i="114"/>
  <c r="AJ5" i="115" s="1"/>
  <c r="I4" i="114"/>
  <c r="AJ3" i="115" s="1"/>
  <c r="I8" i="114"/>
  <c r="AJ6" i="115" s="1"/>
  <c r="I7" i="114"/>
  <c r="AH6" i="115"/>
  <c r="R5" i="115"/>
  <c r="E8" i="114"/>
  <c r="C8" i="114"/>
  <c r="E7" i="114"/>
  <c r="E6" i="114"/>
  <c r="E4" i="114"/>
  <c r="F4" i="116"/>
  <c r="F5" i="116"/>
  <c r="F3" i="116"/>
  <c r="C7" i="114"/>
  <c r="C154" i="295" l="1"/>
  <c r="K13" i="271"/>
  <c r="K10" i="271"/>
  <c r="K6" i="271"/>
  <c r="K2" i="271"/>
  <c r="K3" i="271"/>
  <c r="K12" i="271"/>
  <c r="K9" i="271"/>
  <c r="K5" i="271"/>
  <c r="K14" i="271"/>
  <c r="K11" i="271"/>
  <c r="K8" i="271"/>
  <c r="K4" i="271"/>
  <c r="K7" i="271"/>
  <c r="H13" i="271"/>
  <c r="H8" i="271"/>
  <c r="H4" i="271"/>
  <c r="H5" i="271"/>
  <c r="H12" i="271"/>
  <c r="H7" i="271"/>
  <c r="H3" i="271"/>
  <c r="H11" i="271"/>
  <c r="H10" i="271"/>
  <c r="H6" i="271"/>
  <c r="H2" i="271"/>
  <c r="H14" i="271"/>
  <c r="H9" i="271"/>
  <c r="L27" i="271"/>
  <c r="J27" i="271"/>
  <c r="D2" i="117"/>
  <c r="AE6" i="115"/>
  <c r="AG6" i="115" s="1"/>
  <c r="I5" i="117" s="1"/>
  <c r="D4" i="117"/>
  <c r="AJ8" i="115"/>
  <c r="AJ4" i="115"/>
  <c r="AL8" i="115"/>
  <c r="H29" i="271" s="1"/>
  <c r="AL4" i="115"/>
  <c r="H25" i="271" s="1"/>
  <c r="R7" i="115"/>
  <c r="F6" i="117" s="1"/>
  <c r="R4" i="115"/>
  <c r="AN8" i="115"/>
  <c r="K29" i="271" s="1"/>
  <c r="AN4" i="115"/>
  <c r="K25" i="271" s="1"/>
  <c r="R8" i="115"/>
  <c r="AH8" i="115" s="1"/>
  <c r="AH5" i="115"/>
  <c r="F4" i="117"/>
  <c r="H5" i="117"/>
  <c r="D5" i="117"/>
  <c r="D6" i="117"/>
  <c r="F5" i="117"/>
  <c r="AL7" i="115"/>
  <c r="H28" i="271" s="1"/>
  <c r="AJ7" i="115"/>
  <c r="AN7" i="115"/>
  <c r="K28" i="271" s="1"/>
  <c r="C6" i="114"/>
  <c r="C156" i="295" l="1"/>
  <c r="C155" i="295"/>
  <c r="AD6" i="115"/>
  <c r="G5" i="117" s="1"/>
  <c r="J29" i="271"/>
  <c r="L29" i="271"/>
  <c r="L26" i="271"/>
  <c r="J26" i="271"/>
  <c r="AE8" i="115"/>
  <c r="AG8" i="115" s="1"/>
  <c r="I7" i="117" s="1"/>
  <c r="F7" i="117"/>
  <c r="H7" i="117"/>
  <c r="AH7" i="115"/>
  <c r="AE5" i="115"/>
  <c r="H4" i="117"/>
  <c r="AH4" i="115"/>
  <c r="F3" i="117"/>
  <c r="H6" i="61"/>
  <c r="H5" i="61"/>
  <c r="H4" i="61"/>
  <c r="R3" i="115"/>
  <c r="F2" i="117" s="1"/>
  <c r="D34" i="17"/>
  <c r="C34" i="17"/>
  <c r="C31" i="17"/>
  <c r="D32" i="17"/>
  <c r="F154" i="295" s="1"/>
  <c r="D33" i="17"/>
  <c r="C33" i="17"/>
  <c r="C32" i="17"/>
  <c r="D31" i="17"/>
  <c r="F156" i="295" s="1"/>
  <c r="I29" i="17"/>
  <c r="D30" i="17"/>
  <c r="F155" i="295" s="1"/>
  <c r="D29" i="17"/>
  <c r="C30" i="17"/>
  <c r="C29" i="17"/>
  <c r="I28" i="17"/>
  <c r="C31" i="23"/>
  <c r="C30" i="23"/>
  <c r="C24" i="23"/>
  <c r="C23" i="23"/>
  <c r="AD8" i="115" l="1"/>
  <c r="G7" i="117" s="1"/>
  <c r="J28" i="271"/>
  <c r="L28" i="271"/>
  <c r="L25" i="271"/>
  <c r="O156" i="295" s="1"/>
  <c r="J25" i="271"/>
  <c r="P155" i="295" s="1"/>
  <c r="AE7" i="115"/>
  <c r="AD7" i="115" s="1"/>
  <c r="G6" i="117" s="1"/>
  <c r="H6" i="117"/>
  <c r="AE4" i="115"/>
  <c r="H3" i="117"/>
  <c r="AD5" i="115"/>
  <c r="G4" i="117" s="1"/>
  <c r="AG5" i="115"/>
  <c r="I4" i="117" s="1"/>
  <c r="B3" i="111"/>
  <c r="C3" i="111"/>
  <c r="B4" i="111"/>
  <c r="C4" i="111"/>
  <c r="C2" i="111"/>
  <c r="B2" i="111"/>
  <c r="B3" i="112"/>
  <c r="C3" i="112"/>
  <c r="D3" i="112"/>
  <c r="E3" i="112"/>
  <c r="F3" i="112"/>
  <c r="F2" i="112"/>
  <c r="E2" i="112"/>
  <c r="D2" i="112"/>
  <c r="C2" i="112"/>
  <c r="B2" i="112"/>
  <c r="B3" i="109"/>
  <c r="C3" i="109"/>
  <c r="D3" i="109"/>
  <c r="B4" i="109"/>
  <c r="C4" i="109"/>
  <c r="D4" i="109"/>
  <c r="B5" i="109"/>
  <c r="C5" i="109"/>
  <c r="D5" i="109"/>
  <c r="B6" i="109"/>
  <c r="C6" i="109"/>
  <c r="D6" i="109"/>
  <c r="B7" i="109"/>
  <c r="C7" i="109"/>
  <c r="D7" i="109"/>
  <c r="B8" i="109"/>
  <c r="C8" i="109"/>
  <c r="D8" i="109"/>
  <c r="B9" i="109"/>
  <c r="C9" i="109"/>
  <c r="D9" i="109"/>
  <c r="B10" i="109"/>
  <c r="C10" i="109"/>
  <c r="D10" i="109"/>
  <c r="B11" i="109"/>
  <c r="C11" i="109"/>
  <c r="D11" i="109"/>
  <c r="B12" i="109"/>
  <c r="C12" i="109"/>
  <c r="D12" i="109"/>
  <c r="B13" i="109"/>
  <c r="C13" i="109"/>
  <c r="D13" i="109"/>
  <c r="B14" i="109"/>
  <c r="C14" i="109"/>
  <c r="D14" i="109"/>
  <c r="B15" i="109"/>
  <c r="C15" i="109"/>
  <c r="D15" i="109"/>
  <c r="B16" i="109"/>
  <c r="C16" i="109"/>
  <c r="D16" i="109"/>
  <c r="B17" i="109"/>
  <c r="C17" i="109"/>
  <c r="D17" i="109"/>
  <c r="B18" i="109"/>
  <c r="C18" i="109"/>
  <c r="D18" i="109"/>
  <c r="B19" i="109"/>
  <c r="C19" i="109"/>
  <c r="D19" i="109"/>
  <c r="B20" i="109"/>
  <c r="C20" i="109"/>
  <c r="D20" i="109"/>
  <c r="B21" i="109"/>
  <c r="C21" i="109"/>
  <c r="D21" i="109"/>
  <c r="B22" i="109"/>
  <c r="C22" i="109"/>
  <c r="D22" i="109"/>
  <c r="B23" i="109"/>
  <c r="C23" i="109"/>
  <c r="D23" i="109"/>
  <c r="B24" i="109"/>
  <c r="C24" i="109"/>
  <c r="D24" i="109"/>
  <c r="B25" i="109"/>
  <c r="C25" i="109"/>
  <c r="D25" i="109"/>
  <c r="B26" i="109"/>
  <c r="C26" i="109"/>
  <c r="D26" i="109"/>
  <c r="B27" i="109"/>
  <c r="C27" i="109"/>
  <c r="D27" i="109"/>
  <c r="B28" i="109"/>
  <c r="C28" i="109"/>
  <c r="D28" i="109"/>
  <c r="F28" i="109"/>
  <c r="D2" i="109"/>
  <c r="C2" i="109"/>
  <c r="B2" i="109"/>
  <c r="D3" i="108"/>
  <c r="D4" i="108"/>
  <c r="C3" i="108"/>
  <c r="C4" i="108"/>
  <c r="D2" i="108"/>
  <c r="C2" i="108"/>
  <c r="B3" i="108"/>
  <c r="B4" i="108"/>
  <c r="B2" i="108"/>
  <c r="E3" i="107"/>
  <c r="C3" i="107"/>
  <c r="B3" i="107"/>
  <c r="E2" i="107"/>
  <c r="C2" i="107"/>
  <c r="B2" i="107"/>
  <c r="C9" i="19"/>
  <c r="B9" i="19"/>
  <c r="C8" i="19"/>
  <c r="B8" i="19"/>
  <c r="C6" i="19"/>
  <c r="B6" i="19"/>
  <c r="B3" i="106"/>
  <c r="C3" i="106"/>
  <c r="D3" i="106"/>
  <c r="E3" i="106"/>
  <c r="E2" i="106"/>
  <c r="D2" i="106"/>
  <c r="C2" i="106"/>
  <c r="B2" i="106"/>
  <c r="F3" i="105"/>
  <c r="E3" i="105"/>
  <c r="B3" i="105"/>
  <c r="F2" i="105"/>
  <c r="E2" i="105"/>
  <c r="B2" i="105"/>
  <c r="E3" i="96"/>
  <c r="F3" i="96"/>
  <c r="G3" i="96"/>
  <c r="H3" i="96"/>
  <c r="I3" i="96"/>
  <c r="J3" i="96"/>
  <c r="E4" i="96"/>
  <c r="F4" i="96"/>
  <c r="G4" i="96"/>
  <c r="H4" i="96"/>
  <c r="I4" i="96"/>
  <c r="J4" i="96"/>
  <c r="E5" i="96"/>
  <c r="F5" i="96"/>
  <c r="G5" i="96"/>
  <c r="H5" i="96"/>
  <c r="I5" i="96"/>
  <c r="J5" i="96"/>
  <c r="E6" i="96"/>
  <c r="F6" i="96"/>
  <c r="G6" i="96"/>
  <c r="H6" i="96"/>
  <c r="I6" i="96"/>
  <c r="J6" i="96"/>
  <c r="E7" i="96"/>
  <c r="F7" i="96"/>
  <c r="G7" i="96"/>
  <c r="H7" i="96"/>
  <c r="I7" i="96"/>
  <c r="J7" i="96"/>
  <c r="E8" i="96"/>
  <c r="F8" i="96"/>
  <c r="G8" i="96"/>
  <c r="H8" i="96"/>
  <c r="I8" i="96"/>
  <c r="J8" i="96"/>
  <c r="E9" i="96"/>
  <c r="F9" i="96"/>
  <c r="G9" i="96"/>
  <c r="H9" i="96"/>
  <c r="I9" i="96"/>
  <c r="J9" i="96"/>
  <c r="E10" i="96"/>
  <c r="F10" i="96"/>
  <c r="G10" i="96"/>
  <c r="H10" i="96"/>
  <c r="I10" i="96"/>
  <c r="J10" i="96"/>
  <c r="B3" i="96"/>
  <c r="B4" i="96"/>
  <c r="B5" i="96"/>
  <c r="B6" i="96"/>
  <c r="B7" i="96"/>
  <c r="B8" i="96"/>
  <c r="B9" i="96"/>
  <c r="B10" i="96"/>
  <c r="J2" i="96"/>
  <c r="I2" i="96"/>
  <c r="H2" i="96"/>
  <c r="G2" i="96"/>
  <c r="F2" i="96"/>
  <c r="E2" i="96"/>
  <c r="B2" i="96"/>
  <c r="AG7" i="115" l="1"/>
  <c r="I6" i="117" s="1"/>
  <c r="G9" i="19"/>
  <c r="D2" i="107" s="1"/>
  <c r="G2" i="117"/>
  <c r="H2" i="117"/>
  <c r="AD4" i="115"/>
  <c r="G3" i="117" s="1"/>
  <c r="AG4" i="115"/>
  <c r="I3" i="117" s="1"/>
  <c r="G8" i="19"/>
  <c r="AA7" i="8"/>
  <c r="AG3" i="115" l="1"/>
  <c r="I2" i="117" l="1"/>
  <c r="P153" i="295"/>
  <c r="R153" i="295" s="1"/>
  <c r="G14" i="267" s="1"/>
  <c r="O154" i="295"/>
  <c r="Q154" i="295" s="1"/>
  <c r="F26" i="288" s="1"/>
  <c r="F27" i="288" s="1"/>
  <c r="B3" i="71"/>
  <c r="C3" i="71"/>
  <c r="D3" i="71"/>
  <c r="F3" i="71"/>
  <c r="H3" i="71"/>
  <c r="B4" i="71"/>
  <c r="C4" i="71"/>
  <c r="D4" i="71"/>
  <c r="B5" i="71"/>
  <c r="C5" i="71"/>
  <c r="D5" i="71"/>
  <c r="F5" i="71"/>
  <c r="H5" i="71"/>
  <c r="B6" i="71"/>
  <c r="C6" i="71"/>
  <c r="D6" i="71"/>
  <c r="D2" i="71"/>
  <c r="C2" i="71"/>
  <c r="B2" i="71"/>
  <c r="I5" i="71" l="1"/>
  <c r="I3" i="71"/>
  <c r="H3" i="61" l="1"/>
  <c r="H2" i="61"/>
  <c r="R2" i="61"/>
  <c r="R3" i="61"/>
  <c r="R4" i="61"/>
  <c r="R5" i="61"/>
  <c r="R6" i="61"/>
  <c r="I27" i="17" l="1"/>
  <c r="F27" i="109" s="1"/>
  <c r="I26" i="17"/>
  <c r="F26" i="109" s="1"/>
  <c r="D28" i="17"/>
  <c r="C28" i="17"/>
  <c r="F148" i="295" l="1"/>
  <c r="F146" i="295"/>
  <c r="E28" i="109"/>
  <c r="G15" i="19" l="1"/>
  <c r="G7" i="19" l="1"/>
  <c r="K6" i="61" l="1"/>
  <c r="K5" i="61"/>
  <c r="J6" i="61"/>
  <c r="I6" i="61"/>
  <c r="L3" i="60"/>
  <c r="D6" i="61"/>
  <c r="C6" i="61"/>
  <c r="B6" i="61"/>
  <c r="B3" i="50" l="1"/>
  <c r="D4" i="46"/>
  <c r="C3" i="46"/>
  <c r="T150" i="295" l="1"/>
  <c r="T149" i="295"/>
  <c r="G152" i="295"/>
  <c r="G151" i="295"/>
  <c r="J3" i="50"/>
  <c r="C3" i="50"/>
  <c r="B17" i="47" s="1"/>
  <c r="D3" i="46"/>
  <c r="B20" i="47"/>
  <c r="B19" i="47"/>
  <c r="Y4" i="46"/>
  <c r="Y3" i="46"/>
  <c r="S3" i="60"/>
  <c r="S2" i="60"/>
  <c r="O3" i="60"/>
  <c r="N3" i="60"/>
  <c r="K3" i="60"/>
  <c r="D5" i="61"/>
  <c r="C2" i="61"/>
  <c r="C3" i="61"/>
  <c r="Q3" i="60"/>
  <c r="Q2" i="60"/>
  <c r="B5" i="61"/>
  <c r="C5" i="61"/>
  <c r="K4" i="61"/>
  <c r="J5" i="61"/>
  <c r="J4" i="61"/>
  <c r="J3" i="61"/>
  <c r="J2" i="61"/>
  <c r="I5" i="61"/>
  <c r="I4" i="61"/>
  <c r="B4" i="62"/>
  <c r="B3" i="62"/>
  <c r="B2" i="62"/>
  <c r="D4" i="61"/>
  <c r="C4" i="61"/>
  <c r="B4" i="61"/>
  <c r="T152" i="295" l="1"/>
  <c r="T151" i="295"/>
  <c r="AB152" i="295"/>
  <c r="AB151" i="295"/>
  <c r="AB150" i="295"/>
  <c r="AB149" i="295"/>
  <c r="B21" i="47"/>
  <c r="U3" i="61"/>
  <c r="U2" i="61"/>
  <c r="U4" i="61"/>
  <c r="U6" i="61"/>
  <c r="U5" i="61"/>
  <c r="O4" i="61"/>
  <c r="O6" i="61"/>
  <c r="O5" i="61"/>
  <c r="Q2" i="61"/>
  <c r="Q3" i="61"/>
  <c r="S6" i="61"/>
  <c r="S5" i="61"/>
  <c r="P4" i="61"/>
  <c r="P6" i="61"/>
  <c r="P5" i="61"/>
  <c r="Q5" i="61"/>
  <c r="Q4" i="61"/>
  <c r="Q6" i="61"/>
  <c r="M3" i="60"/>
  <c r="L2" i="60"/>
  <c r="K2" i="60"/>
  <c r="I3" i="61"/>
  <c r="K3" i="61"/>
  <c r="D3" i="61"/>
  <c r="B3" i="61"/>
  <c r="K2" i="61"/>
  <c r="I2" i="61"/>
  <c r="C157" i="295" s="1"/>
  <c r="D2" i="61"/>
  <c r="B2" i="61"/>
  <c r="O2" i="60"/>
  <c r="N2" i="60"/>
  <c r="P2" i="61" l="1"/>
  <c r="P3" i="61"/>
  <c r="O3" i="61"/>
  <c r="O2" i="61"/>
  <c r="M2" i="60"/>
  <c r="D27" i="17"/>
  <c r="C27" i="17"/>
  <c r="D26" i="17"/>
  <c r="C26" i="17"/>
  <c r="F60" i="295" l="1"/>
  <c r="F32" i="295"/>
  <c r="F16" i="295"/>
  <c r="F57" i="295"/>
  <c r="F35" i="295"/>
  <c r="F19" i="295"/>
  <c r="F28" i="295"/>
  <c r="F20" i="295"/>
  <c r="F31" i="295"/>
  <c r="F23" i="295"/>
  <c r="F83" i="295"/>
  <c r="F80" i="295"/>
  <c r="E26" i="109"/>
  <c r="E27" i="109"/>
  <c r="V4" i="46" l="1"/>
  <c r="V3" i="46"/>
  <c r="C152" i="295" l="1"/>
  <c r="C150" i="295"/>
  <c r="F6" i="71" l="1"/>
  <c r="K4" i="46"/>
  <c r="J4" i="46"/>
  <c r="K3" i="46"/>
  <c r="J3" i="46"/>
  <c r="U150" i="295" l="1"/>
  <c r="U149" i="295"/>
  <c r="U152" i="295"/>
  <c r="U151" i="295"/>
  <c r="G3" i="50"/>
  <c r="Y3" i="50" l="1"/>
  <c r="R3" i="50"/>
  <c r="I3" i="50"/>
  <c r="H3" i="50"/>
  <c r="S7" i="8"/>
  <c r="R7" i="8"/>
  <c r="E7" i="8"/>
  <c r="H16" i="6" s="1"/>
  <c r="I25" i="17"/>
  <c r="F25" i="109" s="1"/>
  <c r="D25" i="17"/>
  <c r="C25" i="17"/>
  <c r="D26" i="285" l="1"/>
  <c r="F152" i="295"/>
  <c r="K16" i="6"/>
  <c r="K17" i="47"/>
  <c r="K18" i="47" s="1"/>
  <c r="G6" i="71"/>
  <c r="E25" i="109"/>
  <c r="H6" i="71"/>
  <c r="I6" i="71" s="1"/>
  <c r="AA5" i="8" l="1"/>
  <c r="P3" i="46"/>
  <c r="O3" i="46"/>
  <c r="V151" i="295" s="1"/>
  <c r="E21" i="47" l="1"/>
  <c r="C14" i="19"/>
  <c r="B14" i="19"/>
  <c r="C13" i="19"/>
  <c r="C12" i="19"/>
  <c r="C11" i="19"/>
  <c r="B13" i="19"/>
  <c r="B12" i="19"/>
  <c r="B11" i="19"/>
  <c r="C7" i="19"/>
  <c r="C5" i="19"/>
  <c r="C4" i="19"/>
  <c r="B7" i="19"/>
  <c r="B5" i="19"/>
  <c r="C10" i="19"/>
  <c r="B10" i="19"/>
  <c r="F4" i="71" l="1"/>
  <c r="G11" i="19" l="1"/>
  <c r="G10" i="19"/>
  <c r="G14" i="19"/>
  <c r="D3" i="107" s="1"/>
  <c r="G12" i="19" l="1"/>
  <c r="G13" i="19" l="1"/>
  <c r="G5" i="19"/>
  <c r="G6" i="19"/>
  <c r="AA3" i="8" l="1"/>
  <c r="F2" i="71" l="1"/>
  <c r="D10" i="96" l="1"/>
  <c r="D9" i="96"/>
  <c r="D8" i="96"/>
  <c r="C11" i="12"/>
  <c r="C10" i="96" s="1"/>
  <c r="C10" i="12"/>
  <c r="C9" i="96" s="1"/>
  <c r="C9" i="12"/>
  <c r="C8" i="96" s="1"/>
  <c r="B11" i="12"/>
  <c r="B10" i="12"/>
  <c r="B9" i="12"/>
  <c r="G4" i="30" l="1"/>
  <c r="D4" i="111" s="1"/>
  <c r="F4" i="30"/>
  <c r="G3" i="30"/>
  <c r="D3" i="111" s="1"/>
  <c r="F3" i="30"/>
  <c r="G2" i="30"/>
  <c r="D2" i="111" s="1"/>
  <c r="F2" i="30"/>
  <c r="C20" i="23"/>
  <c r="C19" i="23"/>
  <c r="C18" i="23"/>
  <c r="C17" i="23"/>
  <c r="C15" i="23"/>
  <c r="C14" i="23"/>
  <c r="C13" i="23"/>
  <c r="C12" i="23"/>
  <c r="C10" i="23"/>
  <c r="C9" i="23"/>
  <c r="C7" i="23"/>
  <c r="C6" i="23"/>
  <c r="C5" i="23"/>
  <c r="C4" i="23"/>
  <c r="E4" i="22"/>
  <c r="D4" i="22"/>
  <c r="E3" i="22"/>
  <c r="D3" i="22"/>
  <c r="C3" i="105"/>
  <c r="N8" i="8"/>
  <c r="B4" i="19"/>
  <c r="G3" i="19"/>
  <c r="C3" i="19"/>
  <c r="B3" i="19"/>
  <c r="I24" i="17"/>
  <c r="F24" i="109" s="1"/>
  <c r="D24" i="17"/>
  <c r="F142" i="295" s="1"/>
  <c r="C24" i="17"/>
  <c r="I23" i="17"/>
  <c r="F23" i="109" s="1"/>
  <c r="D23" i="17"/>
  <c r="F87" i="295" s="1"/>
  <c r="C23" i="17"/>
  <c r="I22" i="17"/>
  <c r="F22" i="109" s="1"/>
  <c r="D22" i="17"/>
  <c r="C22" i="17"/>
  <c r="I21" i="17"/>
  <c r="F21" i="109" s="1"/>
  <c r="D21" i="17"/>
  <c r="C21" i="17"/>
  <c r="I20" i="17"/>
  <c r="F20" i="109" s="1"/>
  <c r="D20" i="17"/>
  <c r="C20" i="17"/>
  <c r="F19" i="109"/>
  <c r="E19" i="109"/>
  <c r="C19" i="17"/>
  <c r="F18" i="109"/>
  <c r="D18" i="17"/>
  <c r="E18" i="109" s="1"/>
  <c r="C18" i="17"/>
  <c r="F17" i="109"/>
  <c r="E17" i="109"/>
  <c r="C17" i="17"/>
  <c r="F16" i="109"/>
  <c r="D16" i="17"/>
  <c r="C16" i="17"/>
  <c r="F15" i="109"/>
  <c r="D15" i="17"/>
  <c r="E15" i="109" s="1"/>
  <c r="C15" i="17"/>
  <c r="F14" i="109"/>
  <c r="D14" i="17"/>
  <c r="F124" i="295" s="1"/>
  <c r="C14" i="17"/>
  <c r="F13" i="109"/>
  <c r="C13" i="17"/>
  <c r="F12" i="109"/>
  <c r="D12" i="17"/>
  <c r="C12" i="17"/>
  <c r="F11" i="109"/>
  <c r="C11" i="17"/>
  <c r="F10" i="109"/>
  <c r="D10" i="17"/>
  <c r="C10" i="17"/>
  <c r="F9" i="109"/>
  <c r="D9" i="17"/>
  <c r="C9" i="17"/>
  <c r="F8" i="109"/>
  <c r="E8" i="109"/>
  <c r="F7" i="109"/>
  <c r="D8" i="17"/>
  <c r="C8" i="17"/>
  <c r="F6" i="109"/>
  <c r="D7" i="17"/>
  <c r="C7" i="17"/>
  <c r="F5" i="109"/>
  <c r="D6" i="17"/>
  <c r="C6" i="17"/>
  <c r="F4" i="109"/>
  <c r="D5" i="17"/>
  <c r="C5" i="17"/>
  <c r="F3" i="109"/>
  <c r="D4" i="17"/>
  <c r="F2" i="109"/>
  <c r="D3" i="17"/>
  <c r="C3" i="17"/>
  <c r="H4" i="16"/>
  <c r="H3" i="106" s="1"/>
  <c r="G4" i="16"/>
  <c r="AR6" i="8" s="1"/>
  <c r="R2" i="43" s="1"/>
  <c r="BG4" i="41" s="1"/>
  <c r="F4" i="16"/>
  <c r="G3" i="106" s="1"/>
  <c r="H3" i="16"/>
  <c r="H2" i="106" s="1"/>
  <c r="G3" i="16"/>
  <c r="F3" i="16"/>
  <c r="G2" i="106" s="1"/>
  <c r="E3" i="16"/>
  <c r="C7" i="15"/>
  <c r="C5" i="15"/>
  <c r="C3" i="15"/>
  <c r="C2" i="14"/>
  <c r="D7" i="96"/>
  <c r="C8" i="12"/>
  <c r="C7" i="96" s="1"/>
  <c r="B8" i="12"/>
  <c r="X3" i="2" s="1"/>
  <c r="D6" i="96"/>
  <c r="C7" i="12"/>
  <c r="C6" i="96" s="1"/>
  <c r="B7" i="12"/>
  <c r="D5" i="96"/>
  <c r="C6" i="12"/>
  <c r="C5" i="96" s="1"/>
  <c r="B6" i="12"/>
  <c r="D4" i="96"/>
  <c r="C5" i="12"/>
  <c r="C4" i="96" s="1"/>
  <c r="B5" i="12"/>
  <c r="D3" i="96"/>
  <c r="C4" i="12"/>
  <c r="C3" i="96" s="1"/>
  <c r="B4" i="12"/>
  <c r="D2" i="96"/>
  <c r="C3" i="12"/>
  <c r="C2" i="96" s="1"/>
  <c r="B3" i="12"/>
  <c r="O7" i="9"/>
  <c r="K7" i="9"/>
  <c r="O6" i="9"/>
  <c r="M6" i="9"/>
  <c r="K6" i="9"/>
  <c r="G5" i="9"/>
  <c r="Q4" i="9"/>
  <c r="O4" i="9"/>
  <c r="M4" i="9"/>
  <c r="K4" i="9"/>
  <c r="I4" i="9"/>
  <c r="G4" i="9"/>
  <c r="Q3" i="9"/>
  <c r="I3" i="9"/>
  <c r="G3" i="9"/>
  <c r="Q2" i="9"/>
  <c r="I2" i="9"/>
  <c r="S6" i="8"/>
  <c r="G5" i="71" s="1"/>
  <c r="R6" i="8"/>
  <c r="E6" i="8"/>
  <c r="D6" i="8"/>
  <c r="M5" i="8"/>
  <c r="AE5" i="8"/>
  <c r="S5" i="8"/>
  <c r="R5" i="8"/>
  <c r="E5" i="8"/>
  <c r="D5" i="8"/>
  <c r="S4" i="8"/>
  <c r="R4" i="8"/>
  <c r="E4" i="8"/>
  <c r="D4" i="8"/>
  <c r="I2" i="275"/>
  <c r="H3" i="8"/>
  <c r="G3" i="8"/>
  <c r="E3" i="8"/>
  <c r="AR10" i="8" l="1"/>
  <c r="AR3" i="8"/>
  <c r="F103" i="295"/>
  <c r="F114" i="295"/>
  <c r="F106" i="295"/>
  <c r="F117" i="295"/>
  <c r="F119" i="295"/>
  <c r="F65" i="295"/>
  <c r="F25" i="295"/>
  <c r="F144" i="295"/>
  <c r="F136" i="295"/>
  <c r="F58" i="295"/>
  <c r="F54" i="295"/>
  <c r="F33" i="295"/>
  <c r="F29" i="295"/>
  <c r="F109" i="295"/>
  <c r="F56" i="295"/>
  <c r="F49" i="295"/>
  <c r="F44" i="295"/>
  <c r="F130" i="295"/>
  <c r="F67" i="295"/>
  <c r="F27" i="295"/>
  <c r="F123" i="295"/>
  <c r="F111" i="295"/>
  <c r="F73" i="295"/>
  <c r="F128" i="295"/>
  <c r="F108" i="295"/>
  <c r="F98" i="295"/>
  <c r="F118" i="295"/>
  <c r="F90" i="295"/>
  <c r="F76" i="295"/>
  <c r="F64" i="295"/>
  <c r="F143" i="295"/>
  <c r="F135" i="295"/>
  <c r="F93" i="295"/>
  <c r="F85" i="295"/>
  <c r="F53" i="295"/>
  <c r="F41" i="295"/>
  <c r="F138" i="295"/>
  <c r="F48" i="295"/>
  <c r="F115" i="295"/>
  <c r="F61" i="295"/>
  <c r="F125" i="295"/>
  <c r="F120" i="295"/>
  <c r="F104" i="295"/>
  <c r="F140" i="295"/>
  <c r="F132" i="295"/>
  <c r="F50" i="295"/>
  <c r="F38" i="295"/>
  <c r="F45" i="295"/>
  <c r="F69" i="295"/>
  <c r="F72" i="295"/>
  <c r="F121" i="295"/>
  <c r="F75" i="295"/>
  <c r="F71" i="295"/>
  <c r="F137" i="295"/>
  <c r="F97" i="295"/>
  <c r="F47" i="295"/>
  <c r="F134" i="295"/>
  <c r="F127" i="295"/>
  <c r="F92" i="295"/>
  <c r="F70" i="295"/>
  <c r="F40" i="295"/>
  <c r="F149" i="295"/>
  <c r="F122" i="295"/>
  <c r="F110" i="295"/>
  <c r="F102" i="295"/>
  <c r="F68" i="295"/>
  <c r="F150" i="295"/>
  <c r="F113" i="295"/>
  <c r="F89" i="295"/>
  <c r="F63" i="295"/>
  <c r="F151" i="295"/>
  <c r="F84" i="295"/>
  <c r="F52" i="295"/>
  <c r="F141" i="295"/>
  <c r="F133" i="295"/>
  <c r="F51" i="295"/>
  <c r="F39" i="295"/>
  <c r="F116" i="295"/>
  <c r="F46" i="295"/>
  <c r="F105" i="295"/>
  <c r="F126" i="295"/>
  <c r="F62" i="295"/>
  <c r="F91" i="295"/>
  <c r="F78" i="295"/>
  <c r="F66" i="295"/>
  <c r="F36" i="295"/>
  <c r="F12" i="295"/>
  <c r="F4" i="295"/>
  <c r="F59" i="295"/>
  <c r="F145" i="295"/>
  <c r="F95" i="295"/>
  <c r="F43" i="295"/>
  <c r="F34" i="295"/>
  <c r="F30" i="295"/>
  <c r="F26" i="295"/>
  <c r="F22" i="295"/>
  <c r="F18" i="295"/>
  <c r="F10" i="295"/>
  <c r="F6" i="295"/>
  <c r="F2" i="295"/>
  <c r="F147" i="295"/>
  <c r="F101" i="295"/>
  <c r="F81" i="295"/>
  <c r="F77" i="295"/>
  <c r="F21" i="295"/>
  <c r="F17" i="295"/>
  <c r="F13" i="295"/>
  <c r="F9" i="295"/>
  <c r="F5" i="295"/>
  <c r="F112" i="295"/>
  <c r="F96" i="295"/>
  <c r="F79" i="295"/>
  <c r="F74" i="295"/>
  <c r="F15" i="295"/>
  <c r="F11" i="295"/>
  <c r="F3" i="295"/>
  <c r="F94" i="295"/>
  <c r="F139" i="295"/>
  <c r="F99" i="295"/>
  <c r="F7" i="295"/>
  <c r="C87" i="295"/>
  <c r="V15" i="6"/>
  <c r="BD10" i="5" s="1"/>
  <c r="U13" i="40"/>
  <c r="BD10" i="41" s="1"/>
  <c r="U12" i="40"/>
  <c r="BD9" i="41" s="1"/>
  <c r="U11" i="40"/>
  <c r="BD6" i="41" s="1"/>
  <c r="V16" i="6"/>
  <c r="BD11" i="5" s="1"/>
  <c r="V14" i="6"/>
  <c r="BD9" i="5" s="1"/>
  <c r="V3" i="6"/>
  <c r="BD4" i="5" s="1"/>
  <c r="V10" i="6"/>
  <c r="V13" i="6"/>
  <c r="BD8" i="5" s="1"/>
  <c r="U7" i="40"/>
  <c r="U8" i="40" s="1"/>
  <c r="BD8" i="41" s="1"/>
  <c r="U9" i="40"/>
  <c r="BD4" i="41" s="1"/>
  <c r="V12" i="6"/>
  <c r="BD7" i="5" s="1"/>
  <c r="V11" i="6"/>
  <c r="BD6" i="5" s="1"/>
  <c r="U14" i="40"/>
  <c r="BD7" i="41" s="1"/>
  <c r="V7" i="6"/>
  <c r="V8" i="6"/>
  <c r="V9" i="6"/>
  <c r="V5" i="6"/>
  <c r="V4" i="6"/>
  <c r="V2" i="6"/>
  <c r="BD3" i="5" s="1"/>
  <c r="U15" i="40"/>
  <c r="AO3" i="90" s="1"/>
  <c r="U10" i="40"/>
  <c r="BD5" i="41" s="1"/>
  <c r="U2" i="40"/>
  <c r="U3" i="40" s="1"/>
  <c r="U4" i="40" s="1"/>
  <c r="U5" i="40" s="1"/>
  <c r="U6" i="40" s="1"/>
  <c r="BD3" i="41" s="1"/>
  <c r="E10" i="109"/>
  <c r="E5" i="109"/>
  <c r="K21" i="47"/>
  <c r="K20" i="47"/>
  <c r="K19" i="47"/>
  <c r="E20" i="109"/>
  <c r="H4" i="6"/>
  <c r="H9" i="6"/>
  <c r="H13" i="6"/>
  <c r="H7" i="6"/>
  <c r="H13" i="40"/>
  <c r="H3" i="6"/>
  <c r="H12" i="6"/>
  <c r="H12" i="40"/>
  <c r="H5" i="6"/>
  <c r="H6" i="6" s="1"/>
  <c r="H10" i="6"/>
  <c r="H14" i="6"/>
  <c r="H11" i="6"/>
  <c r="H15" i="6"/>
  <c r="H8" i="6"/>
  <c r="H15" i="40"/>
  <c r="H11" i="40"/>
  <c r="H10" i="40"/>
  <c r="H2" i="40"/>
  <c r="H3" i="40" s="1"/>
  <c r="H4" i="40" s="1"/>
  <c r="H5" i="40" s="1"/>
  <c r="H6" i="40" s="1"/>
  <c r="H2" i="6"/>
  <c r="H7" i="40"/>
  <c r="H8" i="40" s="1"/>
  <c r="H14" i="40"/>
  <c r="H9" i="40"/>
  <c r="K3" i="47"/>
  <c r="K7" i="40"/>
  <c r="K8" i="40" s="1"/>
  <c r="K15" i="47"/>
  <c r="K9" i="40"/>
  <c r="K14" i="40"/>
  <c r="K6" i="47"/>
  <c r="K2" i="6"/>
  <c r="K4" i="47"/>
  <c r="AK8" i="8"/>
  <c r="AC15" i="6"/>
  <c r="AC14" i="6"/>
  <c r="AC3" i="6"/>
  <c r="AC13" i="6"/>
  <c r="AC12" i="6"/>
  <c r="AC10" i="6"/>
  <c r="AC11" i="6"/>
  <c r="AC8" i="6"/>
  <c r="AC7" i="6"/>
  <c r="AC9" i="6"/>
  <c r="AC5" i="6"/>
  <c r="AC6" i="6" s="1"/>
  <c r="AC4" i="6"/>
  <c r="AC2" i="6"/>
  <c r="AI8" i="8"/>
  <c r="Y13" i="40"/>
  <c r="Y11" i="40"/>
  <c r="Y12" i="40"/>
  <c r="Y9" i="40"/>
  <c r="Y7" i="40"/>
  <c r="Y14" i="40"/>
  <c r="Y15" i="40"/>
  <c r="Y10" i="40"/>
  <c r="Y2" i="40"/>
  <c r="Y3" i="40" s="1"/>
  <c r="Y4" i="40" s="1"/>
  <c r="Y5" i="40" s="1"/>
  <c r="AG8" i="8"/>
  <c r="Z14" i="6"/>
  <c r="AO9" i="5" s="1"/>
  <c r="Z15" i="6"/>
  <c r="AO10" i="5" s="1"/>
  <c r="Z3" i="6"/>
  <c r="AO4" i="5" s="1"/>
  <c r="Z13" i="6"/>
  <c r="AO8" i="5" s="1"/>
  <c r="Z10" i="6"/>
  <c r="Z12" i="6"/>
  <c r="AO7" i="5" s="1"/>
  <c r="Z11" i="6"/>
  <c r="AO6" i="5" s="1"/>
  <c r="Z7" i="6"/>
  <c r="Z9" i="6"/>
  <c r="Z8" i="6"/>
  <c r="Z4" i="6"/>
  <c r="Z2" i="6"/>
  <c r="AO3" i="5" s="1"/>
  <c r="Z5" i="6"/>
  <c r="AH8" i="8"/>
  <c r="N3" i="275" s="1"/>
  <c r="X12" i="40"/>
  <c r="AR9" i="41" s="1"/>
  <c r="X13" i="40"/>
  <c r="AR10" i="41" s="1"/>
  <c r="AA15" i="6"/>
  <c r="AR10" i="5" s="1"/>
  <c r="X11" i="40"/>
  <c r="AR6" i="41" s="1"/>
  <c r="AA14" i="6"/>
  <c r="AR9" i="5" s="1"/>
  <c r="AA3" i="6"/>
  <c r="AR4" i="5" s="1"/>
  <c r="AA13" i="6"/>
  <c r="AR8" i="5" s="1"/>
  <c r="X9" i="40"/>
  <c r="AR4" i="41" s="1"/>
  <c r="X7" i="40"/>
  <c r="AA12" i="6"/>
  <c r="AA10" i="6"/>
  <c r="AG4" i="4" s="1"/>
  <c r="AA11" i="6"/>
  <c r="X14" i="40"/>
  <c r="AR7" i="41" s="1"/>
  <c r="AA7" i="6"/>
  <c r="AA8" i="6"/>
  <c r="AA9" i="6"/>
  <c r="AG3" i="4" s="1"/>
  <c r="Q3" i="46"/>
  <c r="AA5" i="6"/>
  <c r="AA4" i="6"/>
  <c r="AA2" i="6"/>
  <c r="AR3" i="5" s="1"/>
  <c r="X15" i="40"/>
  <c r="AF3" i="90" s="1"/>
  <c r="X10" i="40"/>
  <c r="AR5" i="41" s="1"/>
  <c r="X2" i="40"/>
  <c r="X3" i="40" s="1"/>
  <c r="X4" i="40" s="1"/>
  <c r="X5" i="40" s="1"/>
  <c r="AF8" i="8"/>
  <c r="Y15" i="6"/>
  <c r="AL10" i="5" s="1"/>
  <c r="Y14" i="6"/>
  <c r="AL9" i="5" s="1"/>
  <c r="Y3" i="6"/>
  <c r="AL4" i="5" s="1"/>
  <c r="Y13" i="6"/>
  <c r="AL8" i="5" s="1"/>
  <c r="Y12" i="6"/>
  <c r="AL7" i="5" s="1"/>
  <c r="Y11" i="6"/>
  <c r="AL6" i="5" s="1"/>
  <c r="Y10" i="6"/>
  <c r="Y7" i="6"/>
  <c r="Y8" i="6"/>
  <c r="Y9" i="6"/>
  <c r="Y4" i="6"/>
  <c r="Y2" i="6"/>
  <c r="AL3" i="5" s="1"/>
  <c r="Y5" i="6"/>
  <c r="AJ8" i="8"/>
  <c r="AB14" i="6"/>
  <c r="AB15" i="6"/>
  <c r="AB3" i="6"/>
  <c r="AB13" i="6"/>
  <c r="AB12" i="6"/>
  <c r="AU7" i="5" s="1"/>
  <c r="AB11" i="6"/>
  <c r="AU6" i="5" s="1"/>
  <c r="AB10" i="6"/>
  <c r="AJ4" i="4" s="1"/>
  <c r="AB8" i="6"/>
  <c r="AB7" i="6"/>
  <c r="AB9" i="6"/>
  <c r="AJ3" i="4" s="1"/>
  <c r="AB5" i="6"/>
  <c r="AB6" i="6" s="1"/>
  <c r="AB4" i="6"/>
  <c r="AB2" i="6"/>
  <c r="E14" i="109"/>
  <c r="AR8" i="8"/>
  <c r="AR9" i="8"/>
  <c r="S2" i="10" s="1"/>
  <c r="AR4" i="8"/>
  <c r="D22" i="285"/>
  <c r="D13" i="285"/>
  <c r="AI3" i="8"/>
  <c r="D3" i="60"/>
  <c r="D2" i="60"/>
  <c r="AR5" i="8"/>
  <c r="M4" i="8"/>
  <c r="N4" i="8"/>
  <c r="E3" i="71" s="1"/>
  <c r="N5" i="8"/>
  <c r="E7" i="109"/>
  <c r="E11" i="109"/>
  <c r="AH3" i="8"/>
  <c r="M7" i="8"/>
  <c r="AR7" i="8"/>
  <c r="G3" i="71"/>
  <c r="G2" i="71"/>
  <c r="G4" i="71"/>
  <c r="E6" i="109"/>
  <c r="M6" i="8"/>
  <c r="E16" i="109"/>
  <c r="C2" i="105"/>
  <c r="N7" i="8"/>
  <c r="N6" i="8"/>
  <c r="E5" i="71" s="1"/>
  <c r="G4" i="19"/>
  <c r="AK5" i="8"/>
  <c r="E22" i="109"/>
  <c r="E9" i="109"/>
  <c r="E13" i="109"/>
  <c r="E21" i="109"/>
  <c r="E2" i="109"/>
  <c r="E4" i="109"/>
  <c r="E12" i="109"/>
  <c r="E24" i="109"/>
  <c r="E3" i="109"/>
  <c r="E23" i="109"/>
  <c r="AG5" i="8"/>
  <c r="AH5" i="8"/>
  <c r="AJ3" i="8"/>
  <c r="L6" i="61"/>
  <c r="AG3" i="8"/>
  <c r="AK3" i="8"/>
  <c r="AI5" i="8"/>
  <c r="Q4" i="46"/>
  <c r="AF3" i="8"/>
  <c r="AF5" i="8"/>
  <c r="AJ5" i="8"/>
  <c r="L5" i="61"/>
  <c r="L2" i="61"/>
  <c r="L4" i="61"/>
  <c r="L3" i="61"/>
  <c r="C125" i="295" l="1"/>
  <c r="C47" i="295"/>
  <c r="C39" i="295"/>
  <c r="C41" i="295"/>
  <c r="C118" i="295"/>
  <c r="C93" i="295"/>
  <c r="C114" i="295"/>
  <c r="C115" i="295"/>
  <c r="C132" i="295"/>
  <c r="C97" i="295"/>
  <c r="C151" i="295"/>
  <c r="C110" i="295"/>
  <c r="C127" i="295"/>
  <c r="C137" i="295"/>
  <c r="C105" i="295"/>
  <c r="C46" i="295"/>
  <c r="C73" i="295"/>
  <c r="C85" i="295"/>
  <c r="C48" i="295"/>
  <c r="C138" i="295"/>
  <c r="C104" i="295"/>
  <c r="C103" i="295"/>
  <c r="C38" i="295"/>
  <c r="C40" i="295"/>
  <c r="C92" i="295"/>
  <c r="C90" i="295"/>
  <c r="C111" i="295"/>
  <c r="C76" i="295"/>
  <c r="C128" i="295"/>
  <c r="C89" i="295"/>
  <c r="C121" i="295"/>
  <c r="C149" i="295"/>
  <c r="C106" i="295"/>
  <c r="C120" i="295"/>
  <c r="C102" i="295"/>
  <c r="C84" i="295"/>
  <c r="C116" i="295"/>
  <c r="C133" i="295"/>
  <c r="C117" i="295"/>
  <c r="C45" i="295"/>
  <c r="C113" i="295"/>
  <c r="C122" i="295"/>
  <c r="C134" i="295"/>
  <c r="C126" i="295"/>
  <c r="C98" i="295"/>
  <c r="C108" i="295"/>
  <c r="C123" i="295"/>
  <c r="C143" i="295"/>
  <c r="C135" i="295"/>
  <c r="V6" i="6"/>
  <c r="AT3" i="75" s="1"/>
  <c r="BD5" i="5"/>
  <c r="AO4" i="39"/>
  <c r="X8" i="40"/>
  <c r="AR3" i="39"/>
  <c r="Y6" i="40"/>
  <c r="AU3" i="41" s="1"/>
  <c r="AO3" i="39"/>
  <c r="X6" i="40"/>
  <c r="AO5" i="5"/>
  <c r="Z6" i="6"/>
  <c r="AH3" i="75" s="1"/>
  <c r="Y6" i="6"/>
  <c r="AE3" i="75" s="1"/>
  <c r="AL5" i="5"/>
  <c r="Y8" i="40"/>
  <c r="AU8" i="41" s="1"/>
  <c r="AR4" i="39"/>
  <c r="AR5" i="5"/>
  <c r="AA6" i="6"/>
  <c r="AK3" i="75" s="1"/>
  <c r="N2" i="275"/>
  <c r="I2" i="274" s="1"/>
  <c r="M2" i="276"/>
  <c r="E5" i="61"/>
  <c r="E4" i="61"/>
  <c r="E6" i="61"/>
  <c r="E3" i="61"/>
  <c r="E2" i="61"/>
  <c r="E4" i="71"/>
  <c r="E2" i="71"/>
  <c r="E6" i="71"/>
  <c r="C160" i="295" l="1"/>
  <c r="C159" i="295"/>
  <c r="C72" i="295"/>
  <c r="C75" i="295"/>
  <c r="C51" i="295"/>
  <c r="C69" i="295"/>
  <c r="C64" i="295"/>
  <c r="C71" i="295"/>
  <c r="C62" i="295"/>
  <c r="C53" i="295"/>
  <c r="C63" i="295"/>
  <c r="C50" i="295"/>
  <c r="C52" i="295"/>
  <c r="C61" i="295"/>
  <c r="C68" i="295"/>
  <c r="C70" i="295"/>
  <c r="G17" i="285"/>
  <c r="G19" i="285" s="1"/>
  <c r="G27" i="267" l="1"/>
  <c r="F15" i="288"/>
  <c r="G16" i="267" l="1"/>
  <c r="G20" i="267" l="1"/>
  <c r="M2" i="275" l="1"/>
  <c r="K2" i="274" s="1"/>
  <c r="P160" i="295" s="1"/>
  <c r="U2" i="274" l="1"/>
  <c r="G35" i="267" l="1"/>
  <c r="H2" i="71" l="1"/>
  <c r="I2" i="71" s="1"/>
  <c r="H4" i="71" l="1"/>
  <c r="I4" i="71" s="1"/>
  <c r="G32" i="267" l="1"/>
  <c r="G48" i="267" s="1"/>
  <c r="G24" i="285"/>
  <c r="D25" i="271"/>
  <c r="D26" i="271"/>
  <c r="D28" i="271"/>
  <c r="D27" i="271"/>
  <c r="D29" i="271"/>
  <c r="J155" i="295" l="1"/>
  <c r="J156" i="295"/>
  <c r="G29" i="285"/>
  <c r="G31" i="285" s="1"/>
  <c r="G39" i="285" s="1"/>
  <c r="G53" i="285" s="1"/>
  <c r="G73" i="267" s="1"/>
  <c r="G75" i="267" s="1"/>
  <c r="G76" i="267" s="1"/>
  <c r="F19" i="288"/>
  <c r="H11" i="291"/>
  <c r="K11" i="291" s="1"/>
  <c r="H7" i="291"/>
  <c r="AF9" i="252" l="1"/>
  <c r="P15" i="295" s="1"/>
  <c r="R15" i="295" s="1"/>
  <c r="G52" i="267" s="1"/>
  <c r="G62" i="267" s="1"/>
  <c r="G67" i="267" s="1"/>
  <c r="G78" i="267" s="1"/>
  <c r="J7" i="291"/>
  <c r="I8" i="291" l="1"/>
  <c r="J8" i="291" s="1"/>
  <c r="F30" i="291"/>
  <c r="AC26" i="252" s="1"/>
  <c r="F31" i="291" s="1"/>
  <c r="F43" i="288" l="1"/>
  <c r="F45" i="288" s="1"/>
  <c r="F57" i="288" s="1"/>
  <c r="F59" i="288" s="1"/>
</calcChain>
</file>

<file path=xl/sharedStrings.xml><?xml version="1.0" encoding="utf-8"?>
<sst xmlns="http://schemas.openxmlformats.org/spreadsheetml/2006/main" count="4107" uniqueCount="1735">
  <si>
    <t>id_jurnal</t>
  </si>
  <si>
    <t>id_employee</t>
  </si>
  <si>
    <t>id_pelanggan</t>
  </si>
  <si>
    <t>biaya 1</t>
  </si>
  <si>
    <t>biaya produksi</t>
  </si>
  <si>
    <t>penjualan produk 1</t>
  </si>
  <si>
    <t xml:space="preserve">pendapatan usaha </t>
  </si>
  <si>
    <t>persediaan 1</t>
  </si>
  <si>
    <t>persediaan</t>
  </si>
  <si>
    <t>kas</t>
  </si>
  <si>
    <t>hutang pajak penjualan</t>
  </si>
  <si>
    <t>hutang lancar</t>
  </si>
  <si>
    <t>kartu kredit</t>
  </si>
  <si>
    <t>bank</t>
  </si>
  <si>
    <t>piutang usaha</t>
  </si>
  <si>
    <t>persediaan dalam perjalanan jual</t>
  </si>
  <si>
    <t>id_penawaran</t>
  </si>
  <si>
    <t>no_penawaran</t>
  </si>
  <si>
    <t>nama_pelanggan</t>
  </si>
  <si>
    <t>no_hp</t>
  </si>
  <si>
    <t>email</t>
  </si>
  <si>
    <t>mata_uang</t>
  </si>
  <si>
    <t>id_no_referensi_dokumen</t>
  </si>
  <si>
    <t>no_referensi_dokumen</t>
  </si>
  <si>
    <t>id_lokasi</t>
  </si>
  <si>
    <t>Nama_Tempat_Lokasi</t>
  </si>
  <si>
    <t>keterangan</t>
  </si>
  <si>
    <t>total_order_produk</t>
  </si>
  <si>
    <t>total_pajak_produk</t>
  </si>
  <si>
    <t xml:space="preserve">total_order_jasa </t>
  </si>
  <si>
    <t>total_pajak_jasa</t>
  </si>
  <si>
    <t>total_custom</t>
  </si>
  <si>
    <t>tanggal_penutupan</t>
  </si>
  <si>
    <t>checkbox_inclusive_tax</t>
  </si>
  <si>
    <t>checkbox_selesai</t>
  </si>
  <si>
    <t>id_petugas</t>
  </si>
  <si>
    <t>nama_petugas</t>
  </si>
  <si>
    <t>checkbox_tunai/term_pembayaran</t>
  </si>
  <si>
    <t>checkbox_berulang</t>
  </si>
  <si>
    <t>dropdown_berulang</t>
  </si>
  <si>
    <t>tanggal_berulang</t>
  </si>
  <si>
    <t>total_pajak</t>
  </si>
  <si>
    <t>total_setelah_pajak</t>
  </si>
  <si>
    <t>checkbox_posted</t>
  </si>
  <si>
    <t>tahun_buku_awal</t>
  </si>
  <si>
    <t>tahun_buku_akhir</t>
  </si>
  <si>
    <t>id_proyek</t>
  </si>
  <si>
    <t>id_departemen</t>
  </si>
  <si>
    <t>id_order_penjualan</t>
  </si>
  <si>
    <t>no_order_penjualan</t>
  </si>
  <si>
    <t>tanggal_order_penjualan</t>
  </si>
  <si>
    <t>tanggal_pengantaran</t>
  </si>
  <si>
    <t>id_DO</t>
  </si>
  <si>
    <t>no_DO</t>
  </si>
  <si>
    <t>nomor_order_penjualan</t>
  </si>
  <si>
    <t>tanggal_DO</t>
  </si>
  <si>
    <t>akun_persediaan_produk</t>
  </si>
  <si>
    <t>total_debit_akun_persediaan_produk</t>
  </si>
  <si>
    <t>total_kredit_akun_persediaan_produk</t>
  </si>
  <si>
    <t>total_debit_akun_pengiriman_jual_produk</t>
  </si>
  <si>
    <t>total_kredit_akun_pengiriman_jual_produk</t>
  </si>
  <si>
    <t>total_debit_akun_harga_pokok_produk</t>
  </si>
  <si>
    <t>total_kredit_akun_harga_pokok_produk</t>
  </si>
  <si>
    <t>total_debit_akun_penjualan_produk</t>
  </si>
  <si>
    <t>total_kredit_akun_penjualan_produk</t>
  </si>
  <si>
    <t>total_debit_penjualan_jasa</t>
  </si>
  <si>
    <t>total_kredit_penjualan_jasa</t>
  </si>
  <si>
    <t>total_debit_penjualan_custom</t>
  </si>
  <si>
    <t>total_kredit_penjualan_custom</t>
  </si>
  <si>
    <t>id_akun_pajak_produk</t>
  </si>
  <si>
    <t>total_debit_akun_pajak_produk</t>
  </si>
  <si>
    <t>total_kredit_akun_pajak_produk</t>
  </si>
  <si>
    <t>id_akun_pajak_jasa</t>
  </si>
  <si>
    <t>total_debit_akun_pajak_jasa</t>
  </si>
  <si>
    <t>total_kredit_akun_pajak_jasa</t>
  </si>
  <si>
    <t>total_debit_akun_piutang_penjualan</t>
  </si>
  <si>
    <t>total_kredit_akun_piutang_penjualan</t>
  </si>
  <si>
    <t>id_invoice</t>
  </si>
  <si>
    <t>id_produk</t>
  </si>
  <si>
    <t xml:space="preserve">nama_produk </t>
  </si>
  <si>
    <t>diskon_produk</t>
  </si>
  <si>
    <t>harga_jual</t>
  </si>
  <si>
    <t>id_pajak</t>
  </si>
  <si>
    <t>akun_persediaan</t>
  </si>
  <si>
    <t>no_invoice</t>
  </si>
  <si>
    <t xml:space="preserve">check_box_tidak_aktif </t>
  </si>
  <si>
    <t>id_produk_kategori</t>
  </si>
  <si>
    <t>produk_kategori</t>
  </si>
  <si>
    <t>SKU</t>
  </si>
  <si>
    <t>id_group_produk</t>
  </si>
  <si>
    <t>nama_group_produk</t>
  </si>
  <si>
    <t>Nama_Produk</t>
  </si>
  <si>
    <t>Harga_Beli</t>
  </si>
  <si>
    <t>Harga_Jual</t>
  </si>
  <si>
    <t>id_satuan_dasar</t>
  </si>
  <si>
    <t>Satuan_Dasar</t>
  </si>
  <si>
    <t>checkbox_Manage_Stok</t>
  </si>
  <si>
    <t>Jumlah_Stok</t>
  </si>
  <si>
    <t>Batas_Stok_Min</t>
  </si>
  <si>
    <t>Upload_Image1</t>
  </si>
  <si>
    <t xml:space="preserve">Upload_Image2 </t>
  </si>
  <si>
    <t>Upload_Image3</t>
  </si>
  <si>
    <t>Tipe_Produk</t>
  </si>
  <si>
    <t>id_akun_harga_pokok</t>
  </si>
  <si>
    <t>id_akun_penjualan</t>
  </si>
  <si>
    <t>id_akun_persediaan</t>
  </si>
  <si>
    <t>id_akun_pengiriman_beli</t>
  </si>
  <si>
    <t>id_akun_pengiriman_jual</t>
  </si>
  <si>
    <t>id_akun_retur_penjualan</t>
  </si>
  <si>
    <t>id_akun_jasa</t>
  </si>
  <si>
    <t>Panjang</t>
  </si>
  <si>
    <t>Lebar</t>
  </si>
  <si>
    <t>Tinggi</t>
  </si>
  <si>
    <t>Berat</t>
  </si>
  <si>
    <t>Keterangan</t>
  </si>
  <si>
    <t>id_mata_uang</t>
  </si>
  <si>
    <t>Min_Pemesanan</t>
  </si>
  <si>
    <t>checkbox_diskon_produk</t>
  </si>
  <si>
    <t>Diskon_produk_persen</t>
  </si>
  <si>
    <t>tanggal_mulai_diskon_produk</t>
  </si>
  <si>
    <t>tanggal_berakhir_diskon_produk</t>
  </si>
  <si>
    <t>Keterangan_Suplier_A</t>
  </si>
  <si>
    <t>Keterangan_Suplier_B</t>
  </si>
  <si>
    <t>Keterangan_Suplier_C</t>
  </si>
  <si>
    <t>Keterangan_Suplier_D</t>
  </si>
  <si>
    <t>iphone6-16gb-putih</t>
  </si>
  <si>
    <t>sin-srvc-iphone</t>
  </si>
  <si>
    <t>service iphone6</t>
  </si>
  <si>
    <t>sin-csg-iphone</t>
  </si>
  <si>
    <t>hardcase-iphone6</t>
  </si>
  <si>
    <t>pengantaran</t>
  </si>
  <si>
    <t>harga_pokok_option</t>
  </si>
  <si>
    <t>penjualan_option</t>
  </si>
  <si>
    <t>persediaan_option</t>
  </si>
  <si>
    <t xml:space="preserve">pengiriman_beli_option </t>
  </si>
  <si>
    <t>pengiriman_jual_option</t>
  </si>
  <si>
    <t>retur_penjualan_option</t>
  </si>
  <si>
    <t>dijual</t>
  </si>
  <si>
    <t>dijual_dibeli</t>
  </si>
  <si>
    <t>dijual_dibeli_disimpan</t>
  </si>
  <si>
    <t>dibeli</t>
  </si>
  <si>
    <t>dibeli_disimpan</t>
  </si>
  <si>
    <t>disimpan</t>
  </si>
  <si>
    <t>disimpan_dijual</t>
  </si>
  <si>
    <t xml:space="preserve">id_order_jasa </t>
  </si>
  <si>
    <t>jumlah_jasa</t>
  </si>
  <si>
    <t>harga_jasa</t>
  </si>
  <si>
    <t>diskon_jasa</t>
  </si>
  <si>
    <t>akun_jasa</t>
  </si>
  <si>
    <t>id_order_custom</t>
  </si>
  <si>
    <t>nama_custom</t>
  </si>
  <si>
    <t>jumlah_custom</t>
  </si>
  <si>
    <t xml:space="preserve">harga_custom </t>
  </si>
  <si>
    <t>akun_custom</t>
  </si>
  <si>
    <t>id_type_kontak</t>
  </si>
  <si>
    <t>type_kontak</t>
  </si>
  <si>
    <t>id_klasifikasi_kontak</t>
  </si>
  <si>
    <t>klasifikasi_kontak</t>
  </si>
  <si>
    <t>nama_a</t>
  </si>
  <si>
    <t>nama_b</t>
  </si>
  <si>
    <t>nama_c</t>
  </si>
  <si>
    <t>nama_d</t>
  </si>
  <si>
    <t>no_hp_a</t>
  </si>
  <si>
    <t>no_hp_b</t>
  </si>
  <si>
    <t>no_hp_c</t>
  </si>
  <si>
    <t>no_hp_d</t>
  </si>
  <si>
    <t>email_a</t>
  </si>
  <si>
    <t>email_b</t>
  </si>
  <si>
    <t>email_c</t>
  </si>
  <si>
    <t>email_d</t>
  </si>
  <si>
    <t>gender_a</t>
  </si>
  <si>
    <t>gender_b</t>
  </si>
  <si>
    <t>gender_c</t>
  </si>
  <si>
    <t>gender_d</t>
  </si>
  <si>
    <t>alamat_a</t>
  </si>
  <si>
    <t>alamat_b</t>
  </si>
  <si>
    <t>alamat_c</t>
  </si>
  <si>
    <t>alamat_d</t>
  </si>
  <si>
    <t>kota_a</t>
  </si>
  <si>
    <t>kota_b</t>
  </si>
  <si>
    <t>kota_c</t>
  </si>
  <si>
    <t>kota_d</t>
  </si>
  <si>
    <t>kode_pos_a</t>
  </si>
  <si>
    <t>kode_pos_b</t>
  </si>
  <si>
    <t>kode_pos_c</t>
  </si>
  <si>
    <t>kode_pos_d</t>
  </si>
  <si>
    <t>propinsi_a</t>
  </si>
  <si>
    <t>propinsi_b</t>
  </si>
  <si>
    <t>propinsi_c</t>
  </si>
  <si>
    <t>propinsi_d</t>
  </si>
  <si>
    <t>negara_a</t>
  </si>
  <si>
    <t>negara_b</t>
  </si>
  <si>
    <t>negara_c</t>
  </si>
  <si>
    <t>negara_d</t>
  </si>
  <si>
    <t>map_location_a</t>
  </si>
  <si>
    <t>map_location_b</t>
  </si>
  <si>
    <t>map_location_c</t>
  </si>
  <si>
    <t>map_location_d</t>
  </si>
  <si>
    <t>upload_foto_a</t>
  </si>
  <si>
    <t>upload_foto_b</t>
  </si>
  <si>
    <t>upload_foto_c</t>
  </si>
  <si>
    <t>upload_foto_d</t>
  </si>
  <si>
    <t>keterangan_a</t>
  </si>
  <si>
    <t>keterangan_b</t>
  </si>
  <si>
    <t>keterangan_c</t>
  </si>
  <si>
    <t>keterangan_d</t>
  </si>
  <si>
    <t>npwp_a</t>
  </si>
  <si>
    <t>batas_kredit_a</t>
  </si>
  <si>
    <t>nama_bank_a</t>
  </si>
  <si>
    <t>no_rek_a</t>
  </si>
  <si>
    <t>dimas dhaniarso</t>
  </si>
  <si>
    <t>dhadan33@gmail.com</t>
  </si>
  <si>
    <t xml:space="preserve">jln. Tebet barat dalam IV D no. 24 </t>
  </si>
  <si>
    <t>jakarta selatan</t>
  </si>
  <si>
    <t>bca</t>
  </si>
  <si>
    <t>yuli hendarto</t>
  </si>
  <si>
    <t>yuli_hendarto@yahoo.com</t>
  </si>
  <si>
    <t>jln. Sersan bajuri raya no. 41</t>
  </si>
  <si>
    <t>bandung</t>
  </si>
  <si>
    <t>bni</t>
  </si>
  <si>
    <t>rahmat handono</t>
  </si>
  <si>
    <t>rahmat.ph@gmail.com</t>
  </si>
  <si>
    <t>jln. Jendral A rivai no. 56</t>
  </si>
  <si>
    <t>palembang</t>
  </si>
  <si>
    <t>bri</t>
  </si>
  <si>
    <t>dea fitri maharani</t>
  </si>
  <si>
    <t>maharani.deafitri@yahoo.com</t>
  </si>
  <si>
    <t>jln. Tebet barat dalam IV D no. 25</t>
  </si>
  <si>
    <t>gisela tria canitha</t>
  </si>
  <si>
    <t>giselatria91@yahoo.com</t>
  </si>
  <si>
    <t>jln. Bunga mawar no 41</t>
  </si>
  <si>
    <t>jakarta timur</t>
  </si>
  <si>
    <t>yusril</t>
  </si>
  <si>
    <t>yusril@gmail.com</t>
  </si>
  <si>
    <t>jln. Bekasi no 12</t>
  </si>
  <si>
    <t>bekasi</t>
  </si>
  <si>
    <t>mandiri</t>
  </si>
  <si>
    <t>pelanggan</t>
  </si>
  <si>
    <t>vendor</t>
  </si>
  <si>
    <t>employee</t>
  </si>
  <si>
    <t>nama_klasifikasi_kontak</t>
  </si>
  <si>
    <t xml:space="preserve">id_produk_kategori_parent </t>
  </si>
  <si>
    <t>handphone</t>
  </si>
  <si>
    <t>iphone</t>
  </si>
  <si>
    <t>aksesoris</t>
  </si>
  <si>
    <t>casing iphone</t>
  </si>
  <si>
    <t>service</t>
  </si>
  <si>
    <t>service iphone</t>
  </si>
  <si>
    <t>delivery</t>
  </si>
  <si>
    <t>PPn</t>
  </si>
  <si>
    <t>pph</t>
  </si>
  <si>
    <t>kode</t>
  </si>
  <si>
    <t>checkbox_tidak_aktif</t>
  </si>
  <si>
    <t>persediaan dalam perjalanan beli</t>
  </si>
  <si>
    <t>hutang usaha</t>
  </si>
  <si>
    <t>uang muka pembelian</t>
  </si>
  <si>
    <t>uang muka penjualan</t>
  </si>
  <si>
    <t>piutang usaha (USD)</t>
  </si>
  <si>
    <t>hutang usaha (USD)</t>
  </si>
  <si>
    <t>bank (USD)</t>
  </si>
  <si>
    <t>kas (USD)</t>
  </si>
  <si>
    <t>uang muka pembelian (USD)</t>
  </si>
  <si>
    <t>uang muka penjualan (USD)</t>
  </si>
  <si>
    <t>pajak dibayar dimuka</t>
  </si>
  <si>
    <t>hutang bunga</t>
  </si>
  <si>
    <t>hutang konsinyasi</t>
  </si>
  <si>
    <t>checkbox_aktif</t>
  </si>
  <si>
    <t>default_data_mata_uang</t>
  </si>
  <si>
    <t>AED</t>
  </si>
  <si>
    <t>Dinar</t>
  </si>
  <si>
    <t>ع.د</t>
  </si>
  <si>
    <t>CNY</t>
  </si>
  <si>
    <t>Yuan Renmin</t>
  </si>
  <si>
    <t>¥</t>
  </si>
  <si>
    <t>EGP</t>
  </si>
  <si>
    <t>Pound</t>
  </si>
  <si>
    <t>E£</t>
  </si>
  <si>
    <t>EUR</t>
  </si>
  <si>
    <t>Euro</t>
  </si>
  <si>
    <t>€</t>
  </si>
  <si>
    <t>GBP</t>
  </si>
  <si>
    <t>£</t>
  </si>
  <si>
    <t>HKD</t>
  </si>
  <si>
    <t>Dollar</t>
  </si>
  <si>
    <t>HK$</t>
  </si>
  <si>
    <t>IDR</t>
  </si>
  <si>
    <t>Rupiah</t>
  </si>
  <si>
    <t>Rp</t>
  </si>
  <si>
    <t>INR</t>
  </si>
  <si>
    <t>Rupee</t>
  </si>
  <si>
    <t>₹</t>
  </si>
  <si>
    <t>JPY</t>
  </si>
  <si>
    <t>Yen</t>
  </si>
  <si>
    <t>￥</t>
  </si>
  <si>
    <t>MYR</t>
  </si>
  <si>
    <t>Ringgit</t>
  </si>
  <si>
    <t>RM</t>
  </si>
  <si>
    <t>PHP</t>
  </si>
  <si>
    <t>Peso</t>
  </si>
  <si>
    <t>Php</t>
  </si>
  <si>
    <t>QAR</t>
  </si>
  <si>
    <t>Rial</t>
  </si>
  <si>
    <t>﷼</t>
  </si>
  <si>
    <t>SAR</t>
  </si>
  <si>
    <t>Riyal</t>
  </si>
  <si>
    <t>SR</t>
  </si>
  <si>
    <t>SGD</t>
  </si>
  <si>
    <t>$</t>
  </si>
  <si>
    <t>THB</t>
  </si>
  <si>
    <t>Bath</t>
  </si>
  <si>
    <t>฿</t>
  </si>
  <si>
    <t>TWS</t>
  </si>
  <si>
    <t>NT$</t>
  </si>
  <si>
    <t>USD</t>
  </si>
  <si>
    <t>id_dokumen</t>
  </si>
  <si>
    <t>id_type_dokumen</t>
  </si>
  <si>
    <t>type_dokumen</t>
  </si>
  <si>
    <t>tanggal_dokumen</t>
  </si>
  <si>
    <t>pelanggan_dokumen</t>
  </si>
  <si>
    <t>keterangan_dokumen</t>
  </si>
  <si>
    <t xml:space="preserve">upload_file1 </t>
  </si>
  <si>
    <t>upload_file2</t>
  </si>
  <si>
    <t>upload_file3</t>
  </si>
  <si>
    <t>upload_file4</t>
  </si>
  <si>
    <t>DKM00002</t>
  </si>
  <si>
    <t>barang tidak bergaransi</t>
  </si>
  <si>
    <t>id_kurs_mata_uang</t>
  </si>
  <si>
    <t>tanggal_kurs_mata_uang</t>
  </si>
  <si>
    <t>Kode_Satuan</t>
  </si>
  <si>
    <t>Nama_Satuan</t>
  </si>
  <si>
    <t>Jumlah_Satuan</t>
  </si>
  <si>
    <t>Detil_Satuan</t>
  </si>
  <si>
    <t>u</t>
  </si>
  <si>
    <t>unit</t>
  </si>
  <si>
    <t>pcs</t>
  </si>
  <si>
    <t>piece</t>
  </si>
  <si>
    <t>srv</t>
  </si>
  <si>
    <t>kategori_group_produk</t>
  </si>
  <si>
    <t xml:space="preserve">Diskon_persen </t>
  </si>
  <si>
    <t>tanggal_mulai_diskon</t>
  </si>
  <si>
    <t>tanggal_berakhir_diskon</t>
  </si>
  <si>
    <t>iphone6</t>
  </si>
  <si>
    <t>iphone7</t>
  </si>
  <si>
    <t>id_KA</t>
  </si>
  <si>
    <t>kategori_KA</t>
  </si>
  <si>
    <t>id_parent_kategori_KA</t>
  </si>
  <si>
    <t>akun_level</t>
  </si>
  <si>
    <t>harta</t>
  </si>
  <si>
    <t>harta lancar</t>
  </si>
  <si>
    <t>1.2.3</t>
  </si>
  <si>
    <t>1.2.4</t>
  </si>
  <si>
    <t>1.2.5</t>
  </si>
  <si>
    <t>pendapatan</t>
  </si>
  <si>
    <t>pendapatan usaha</t>
  </si>
  <si>
    <t>7.8.9</t>
  </si>
  <si>
    <t>biaya atas pendapatan</t>
  </si>
  <si>
    <t>10.11.12</t>
  </si>
  <si>
    <t>1.13.14</t>
  </si>
  <si>
    <t>kewajiban</t>
  </si>
  <si>
    <t>15.16.17</t>
  </si>
  <si>
    <t>biaya dibayar dimuka</t>
  </si>
  <si>
    <t>1.18.19</t>
  </si>
  <si>
    <t xml:space="preserve">No_Telp_Lokasi </t>
  </si>
  <si>
    <t>Email_Lokasi</t>
  </si>
  <si>
    <t>Alamat_Lokasi</t>
  </si>
  <si>
    <t>Kota_Lokasi</t>
  </si>
  <si>
    <t xml:space="preserve">Kode_Pos_Lokasi </t>
  </si>
  <si>
    <t>Propinsi_Lokasi</t>
  </si>
  <si>
    <t>Negara_Lokasi</t>
  </si>
  <si>
    <t>Map_Location_Lokasi</t>
  </si>
  <si>
    <t>cempaka putih</t>
  </si>
  <si>
    <t>sinyaliti.service@gmail.com</t>
  </si>
  <si>
    <t>komplek cempaka putih indah no 38</t>
  </si>
  <si>
    <t>jakarta pusat</t>
  </si>
  <si>
    <t>DKI jakarta</t>
  </si>
  <si>
    <t>komplek timah</t>
  </si>
  <si>
    <t>sinyaliti@gmail.com</t>
  </si>
  <si>
    <t>komplek ex timah no. 14</t>
  </si>
  <si>
    <t>skema 1</t>
  </si>
  <si>
    <t>skema 2</t>
  </si>
  <si>
    <t>skema 3</t>
  </si>
  <si>
    <t>penawaran</t>
  </si>
  <si>
    <t>order penjualan</t>
  </si>
  <si>
    <t>sales order</t>
  </si>
  <si>
    <t>berita acara</t>
  </si>
  <si>
    <t>term of sales</t>
  </si>
  <si>
    <t>notes</t>
  </si>
  <si>
    <t>others</t>
  </si>
  <si>
    <t>Nama_Proyek</t>
  </si>
  <si>
    <t>PIC</t>
  </si>
  <si>
    <t>Status</t>
  </si>
  <si>
    <t xml:space="preserve">Keterangan </t>
  </si>
  <si>
    <t>Nama_Departemen</t>
  </si>
  <si>
    <t>Sub_Departemen_Dari</t>
  </si>
  <si>
    <t>id_kontak</t>
  </si>
  <si>
    <t>Penanggung_Jawab(nama kontak)</t>
  </si>
  <si>
    <t>deskripsi</t>
  </si>
  <si>
    <t>kantor pusat</t>
  </si>
  <si>
    <t>service departemen</t>
  </si>
  <si>
    <t>jual beli departemen</t>
  </si>
  <si>
    <t>id_PA</t>
  </si>
  <si>
    <t>id_permintaan_barang</t>
  </si>
  <si>
    <t>no_permintaan_barang</t>
  </si>
  <si>
    <t>nama_manajer</t>
  </si>
  <si>
    <t>tanggal_dibuat</t>
  </si>
  <si>
    <t>tanggal_digunakan</t>
  </si>
  <si>
    <t>id_permintaan_penawaran_harga</t>
  </si>
  <si>
    <t>no_permintaan_penawaran_harga</t>
  </si>
  <si>
    <t>id_vendor</t>
  </si>
  <si>
    <t>nama_vendor</t>
  </si>
  <si>
    <t>tanggal_permintaan_penawaran_harga</t>
  </si>
  <si>
    <t>id_order_pembelian</t>
  </si>
  <si>
    <t>no_order_pembelian</t>
  </si>
  <si>
    <t>id_pengiriman_barang_pembelian</t>
  </si>
  <si>
    <t>no_pengiriman_barang_pembelian</t>
  </si>
  <si>
    <t>tanggal_pengiriman_barang_pembelian</t>
  </si>
  <si>
    <t>akun_pengiriman_beli_produk</t>
  </si>
  <si>
    <t>total_debit_akun_pengiriman_beli_produk</t>
  </si>
  <si>
    <t>total_kredit_akun_pengiriman_beli_produk</t>
  </si>
  <si>
    <t>id_order</t>
  </si>
  <si>
    <t>harga_beli</t>
  </si>
  <si>
    <t>no_order</t>
  </si>
  <si>
    <t>no_referensi_dokumen_NI</t>
  </si>
  <si>
    <t>tanggal_order</t>
  </si>
  <si>
    <t>total_debit_pembelian_jasa</t>
  </si>
  <si>
    <t>total_kredit_pembelian_jasa</t>
  </si>
  <si>
    <t>total_debit_pembelian_custom</t>
  </si>
  <si>
    <t>total_kredit_pembelian_custom</t>
  </si>
  <si>
    <t>total_debit_akun_hutang_pembelian</t>
  </si>
  <si>
    <t>total_kredit_akun_hutang_pembelian</t>
  </si>
  <si>
    <t>tanggal_pengiriman</t>
  </si>
  <si>
    <t>dibayar_uang_muka</t>
  </si>
  <si>
    <t>saldo_terhutang</t>
  </si>
  <si>
    <t>cicilan_per_bulan</t>
  </si>
  <si>
    <t>angsuran</t>
  </si>
  <si>
    <t>due_date</t>
  </si>
  <si>
    <t>sin-dlv-iphone</t>
  </si>
  <si>
    <t>djayakusuma</t>
  </si>
  <si>
    <t>dodi kusuma</t>
  </si>
  <si>
    <t>supriatna</t>
  </si>
  <si>
    <t>djayakusuma@gmail.com</t>
  </si>
  <si>
    <t>dodikusuma@yahoo.co.id</t>
  </si>
  <si>
    <t>supriatna@rocketmail.com</t>
  </si>
  <si>
    <t>jln. Bungur no. 21</t>
  </si>
  <si>
    <t>jln. Komplek timah no. 14</t>
  </si>
  <si>
    <t>jln. Tandu Raya no.3</t>
  </si>
  <si>
    <t>jakarta barat</t>
  </si>
  <si>
    <t>depok</t>
  </si>
  <si>
    <t>CIMB NIAGA</t>
  </si>
  <si>
    <t xml:space="preserve">uang_muka </t>
  </si>
  <si>
    <t>id_penawaran_harga</t>
  </si>
  <si>
    <t>klasifikasi_rekening_perkiraan</t>
  </si>
  <si>
    <t>nama_type_produk</t>
  </si>
  <si>
    <t>Upload_Image0</t>
  </si>
  <si>
    <t>Mata_Uang</t>
  </si>
  <si>
    <t>harga_custom</t>
  </si>
  <si>
    <t>diskon_custom</t>
  </si>
  <si>
    <t>id_proyek_custom</t>
  </si>
  <si>
    <t>id_departemen_custom</t>
  </si>
  <si>
    <t>nama_jasa</t>
  </si>
  <si>
    <t>total_order_jasa</t>
  </si>
  <si>
    <t>id_proyek_jasa</t>
  </si>
  <si>
    <t>id_departemen_jasa</t>
  </si>
  <si>
    <t>jumlah_produk</t>
  </si>
  <si>
    <t>type_produk</t>
  </si>
  <si>
    <t>id_proyek_produk</t>
  </si>
  <si>
    <t>id_departemen_produk</t>
  </si>
  <si>
    <t>Nama_Lokasi</t>
  </si>
  <si>
    <t>Persentase</t>
  </si>
  <si>
    <t>pajak</t>
  </si>
  <si>
    <t>id_akun_jual</t>
  </si>
  <si>
    <t>nama_produk</t>
  </si>
  <si>
    <t>harga_pokok</t>
  </si>
  <si>
    <t>tanggal_invoice</t>
  </si>
  <si>
    <t>id_akun_penjualan_jasa</t>
  </si>
  <si>
    <t>id_akun_penjualan_custom</t>
  </si>
  <si>
    <t>id_akun_harga_pokok_produk</t>
  </si>
  <si>
    <t>id_akun_penjualan_produk</t>
  </si>
  <si>
    <t>id_akun_persediaan_produk</t>
  </si>
  <si>
    <t>id_akun_piutang_penjualan</t>
  </si>
  <si>
    <t>id_akun_pengiriman_jual_produk</t>
  </si>
  <si>
    <t>tanggal</t>
  </si>
  <si>
    <t>debit</t>
  </si>
  <si>
    <t>kredit</t>
  </si>
  <si>
    <t>saldo</t>
  </si>
  <si>
    <t>id_biaya</t>
  </si>
  <si>
    <t>sales order manual</t>
  </si>
  <si>
    <t>total_sebelum_pajak</t>
  </si>
  <si>
    <t>id_PD</t>
  </si>
  <si>
    <t>no_PD</t>
  </si>
  <si>
    <t>internal office memo</t>
  </si>
  <si>
    <t>DKM00003</t>
  </si>
  <si>
    <t>id_akun_pajak_jual</t>
  </si>
  <si>
    <t>id_pembayaran_bank</t>
  </si>
  <si>
    <t>id_hutang_usaha</t>
  </si>
  <si>
    <t>id_piutang_usaha</t>
  </si>
  <si>
    <t>Kurs_Tukar</t>
  </si>
  <si>
    <t>nama_mata_uang</t>
  </si>
  <si>
    <t>id_pembayaran_tunai</t>
  </si>
  <si>
    <t>id_uang_muka_pembelian</t>
  </si>
  <si>
    <t>id_uang_muka_penjualan</t>
  </si>
  <si>
    <t>nama_lokasi</t>
  </si>
  <si>
    <t>nama_dari_lokasi</t>
  </si>
  <si>
    <t>nama_ke_lokasi</t>
  </si>
  <si>
    <t>id_order_inventori</t>
  </si>
  <si>
    <t>id_lokasi_dari</t>
  </si>
  <si>
    <t>id_lokasi_ke</t>
  </si>
  <si>
    <t>satuan_dasar</t>
  </si>
  <si>
    <t>disable</t>
  </si>
  <si>
    <t>jumlah_stok</t>
  </si>
  <si>
    <t>masuk</t>
  </si>
  <si>
    <t>keluar</t>
  </si>
  <si>
    <t>terjual</t>
  </si>
  <si>
    <t>surat pindah</t>
  </si>
  <si>
    <t>id_order_produk_beli</t>
  </si>
  <si>
    <t>id_order_produk_jual</t>
  </si>
  <si>
    <t>biaya lain</t>
  </si>
  <si>
    <t>1.18</t>
  </si>
  <si>
    <t>15.16</t>
  </si>
  <si>
    <t>7.8</t>
  </si>
  <si>
    <t>10.11</t>
  </si>
  <si>
    <t>1.13</t>
  </si>
  <si>
    <t>1.2</t>
  </si>
  <si>
    <t>10.21</t>
  </si>
  <si>
    <t>10.21.22</t>
  </si>
  <si>
    <t>kerusakan dan kegagalan material</t>
  </si>
  <si>
    <t>id_penerimaan_barang_konsinyasi</t>
  </si>
  <si>
    <t>no_penerimaan_barang_konsinyasi</t>
  </si>
  <si>
    <t>sin-iphone4S-16Gb</t>
  </si>
  <si>
    <t>sin-iphone6-16Gb</t>
  </si>
  <si>
    <t>iphone4S-16gb-hitam</t>
  </si>
  <si>
    <t>id_Pajak</t>
  </si>
  <si>
    <t>checkbox_Mengurangi_HPP</t>
  </si>
  <si>
    <t>id_akun_beli</t>
  </si>
  <si>
    <t>Akun_Beli</t>
  </si>
  <si>
    <t>Akun_Jual</t>
  </si>
  <si>
    <t>Persentase_pajak</t>
  </si>
  <si>
    <t>id_retur_barang_konsinyasi</t>
  </si>
  <si>
    <t>no_retur_barang_konsinyasi</t>
  </si>
  <si>
    <t>id_akun_pajak</t>
  </si>
  <si>
    <t>nama_kontak</t>
  </si>
  <si>
    <t>id_rekening_perkiraan</t>
  </si>
  <si>
    <t>nama_rekening_perkiraan</t>
  </si>
  <si>
    <t>id_akun_kas</t>
  </si>
  <si>
    <t>X</t>
  </si>
  <si>
    <t>id_akun_dari</t>
  </si>
  <si>
    <t>id_akun_ke</t>
  </si>
  <si>
    <t>id_pem_peny_dan_transfer_barang</t>
  </si>
  <si>
    <t>no_pem_peny_dan_transfer_barang</t>
  </si>
  <si>
    <t>total_debit_dari</t>
  </si>
  <si>
    <t>total_kredit_ke</t>
  </si>
  <si>
    <t>total_debit_ke</t>
  </si>
  <si>
    <t>total_kredit_dari</t>
  </si>
  <si>
    <t>id_akun_rekonsiliasi_bank</t>
  </si>
  <si>
    <t>tanggal_rekening_koran</t>
  </si>
  <si>
    <t>saldo_rekening_koran</t>
  </si>
  <si>
    <t>checkbox_giro</t>
  </si>
  <si>
    <t>nama_bank</t>
  </si>
  <si>
    <t>nomor_rekening_giro</t>
  </si>
  <si>
    <t>id_piutang_giro</t>
  </si>
  <si>
    <t>id_hutang_giro</t>
  </si>
  <si>
    <t>piutang giro</t>
  </si>
  <si>
    <t>hutang giro</t>
  </si>
  <si>
    <t>BNI</t>
  </si>
  <si>
    <t>id_transaksi_jurnal_umum</t>
  </si>
  <si>
    <t>no_transaksi_jurnal_umum</t>
  </si>
  <si>
    <t>balance</t>
  </si>
  <si>
    <t>total_debit</t>
  </si>
  <si>
    <t>total_kredit</t>
  </si>
  <si>
    <t>id_order_jurnal_umum</t>
  </si>
  <si>
    <t>GJ</t>
  </si>
  <si>
    <t>General Journal</t>
  </si>
  <si>
    <t>CD</t>
  </si>
  <si>
    <t>Write Check</t>
  </si>
  <si>
    <t>CR</t>
  </si>
  <si>
    <t>Cash Deposit</t>
  </si>
  <si>
    <t>SJ</t>
  </si>
  <si>
    <t>Sales</t>
  </si>
  <si>
    <t>PJ</t>
  </si>
  <si>
    <t>Purchase</t>
  </si>
  <si>
    <t>IJ</t>
  </si>
  <si>
    <t>Inventory</t>
  </si>
  <si>
    <t>SD</t>
  </si>
  <si>
    <t>Sales Discount</t>
  </si>
  <si>
    <t>PD</t>
  </si>
  <si>
    <t>Purchase Discount</t>
  </si>
  <si>
    <t>SF</t>
  </si>
  <si>
    <t>Late Charges (sales)</t>
  </si>
  <si>
    <t>PF</t>
  </si>
  <si>
    <t>Late Charges (buy)</t>
  </si>
  <si>
    <t>MR</t>
  </si>
  <si>
    <t>Material Requisition</t>
  </si>
  <si>
    <t>SQ</t>
  </si>
  <si>
    <t>Sales Quotation</t>
  </si>
  <si>
    <t>RQ</t>
  </si>
  <si>
    <t>Request of Quotation</t>
  </si>
  <si>
    <t>PO</t>
  </si>
  <si>
    <t>Purchase Order</t>
  </si>
  <si>
    <t>SO</t>
  </si>
  <si>
    <t>Sales Order</t>
  </si>
  <si>
    <t>CI</t>
  </si>
  <si>
    <t>Consignment In</t>
  </si>
  <si>
    <t>CO</t>
  </si>
  <si>
    <t>Consignment Return</t>
  </si>
  <si>
    <t>PR</t>
  </si>
  <si>
    <t>Purchase Return</t>
  </si>
  <si>
    <t>Sales Return</t>
  </si>
  <si>
    <t>PA</t>
  </si>
  <si>
    <t>Purchase Advance</t>
  </si>
  <si>
    <t>SA</t>
  </si>
  <si>
    <t>Sales Advance</t>
  </si>
  <si>
    <t>DO</t>
  </si>
  <si>
    <t>Sales Delevery Order</t>
  </si>
  <si>
    <t>Purchase Delivery Order</t>
  </si>
  <si>
    <t>kode_transaksi</t>
  </si>
  <si>
    <t>no_rekening_perkiraan</t>
  </si>
  <si>
    <t>denda</t>
  </si>
  <si>
    <t>id_kode_transaksi</t>
  </si>
  <si>
    <t>no_referensi_transaksi</t>
  </si>
  <si>
    <t>id_role_employee</t>
  </si>
  <si>
    <t>role</t>
  </si>
  <si>
    <t>admin</t>
  </si>
  <si>
    <t>user</t>
  </si>
  <si>
    <t>kasir</t>
  </si>
  <si>
    <t>id_user_id</t>
  </si>
  <si>
    <t>user_id</t>
  </si>
  <si>
    <t>password</t>
  </si>
  <si>
    <t>pin</t>
  </si>
  <si>
    <t>penawaran harga</t>
  </si>
  <si>
    <t>tabel</t>
  </si>
  <si>
    <t>pengiriman barang jual</t>
  </si>
  <si>
    <t>penjualan</t>
  </si>
  <si>
    <t>permintaan barang</t>
  </si>
  <si>
    <t>permintaan penawaran harga</t>
  </si>
  <si>
    <t>order pembelian</t>
  </si>
  <si>
    <t>pengiriman barang beli</t>
  </si>
  <si>
    <t>pembelian</t>
  </si>
  <si>
    <t>transaksi jurnal umum, transfer kas</t>
  </si>
  <si>
    <t>penerimaaan barang konsinyasi</t>
  </si>
  <si>
    <t>retur barang konsinyasi</t>
  </si>
  <si>
    <t>pem/peny, transfer barang</t>
  </si>
  <si>
    <t>nilai</t>
  </si>
  <si>
    <t>no_penawaran_harga</t>
  </si>
  <si>
    <t>tanggal_penawaran_harga</t>
  </si>
  <si>
    <t>total_pembayaran</t>
  </si>
  <si>
    <t>id_retur_penjualan</t>
  </si>
  <si>
    <t>no_retur_penjualan</t>
  </si>
  <si>
    <t>tanggal_retur_penjualan</t>
  </si>
  <si>
    <t>total_debit_id_akun_pengiriman_jual</t>
  </si>
  <si>
    <t>total_kredit_id_akun_pengiriman_jual</t>
  </si>
  <si>
    <t>id_akun_pengiriman_beli_produk</t>
  </si>
  <si>
    <t>id_akun_pembelian_jasa</t>
  </si>
  <si>
    <t>id_akun_pembelian_custom</t>
  </si>
  <si>
    <t>id_akun_hutang_pembelian</t>
  </si>
  <si>
    <t>akun_pengiriman_beli</t>
  </si>
  <si>
    <t>id_referal_transaksi</t>
  </si>
  <si>
    <t>nama_akun_kas</t>
  </si>
  <si>
    <t>checkbox_lock</t>
  </si>
  <si>
    <t>pembayaran piutang</t>
  </si>
  <si>
    <t>pembayaran hutang</t>
  </si>
  <si>
    <t>retur pembelian</t>
  </si>
  <si>
    <t>retur penjualan</t>
  </si>
  <si>
    <t>rekper</t>
  </si>
  <si>
    <t>transfer</t>
  </si>
  <si>
    <t>id_pulldown_kas</t>
  </si>
  <si>
    <t>kategori_transaksi</t>
  </si>
  <si>
    <t>headnumber</t>
  </si>
  <si>
    <t>-</t>
  </si>
  <si>
    <t>id_klasifikasi_rekening_perkiraan</t>
  </si>
  <si>
    <t>nama</t>
  </si>
  <si>
    <t>id_list_produk</t>
  </si>
  <si>
    <t>nilai total</t>
  </si>
  <si>
    <t>id_list_kontak</t>
  </si>
  <si>
    <t>id_list_kurs_mata_uang</t>
  </si>
  <si>
    <t>id_list_pajak</t>
  </si>
  <si>
    <t>kode_Pajak</t>
  </si>
  <si>
    <t>nama_pajak</t>
  </si>
  <si>
    <t>pajak pertambahan nilai</t>
  </si>
  <si>
    <t>pajak penghasilan</t>
  </si>
  <si>
    <t>id_list_dokumen</t>
  </si>
  <si>
    <t>id_list_satuan_dasar</t>
  </si>
  <si>
    <t>id_list_rekening_perkiraan</t>
  </si>
  <si>
    <t>id_list_lokasi</t>
  </si>
  <si>
    <t>id_list_departemen</t>
  </si>
  <si>
    <t>id_harta_tetap</t>
  </si>
  <si>
    <t>nama_harta_tetap</t>
  </si>
  <si>
    <t>tanggal_beli</t>
  </si>
  <si>
    <t>nilai_residu</t>
  </si>
  <si>
    <t>umur_ekonomis</t>
  </si>
  <si>
    <t>lokasi</t>
  </si>
  <si>
    <t>departemen</t>
  </si>
  <si>
    <t>akumulasi_beban</t>
  </si>
  <si>
    <t>terhitung_tanggal</t>
  </si>
  <si>
    <t>nilai_buku</t>
  </si>
  <si>
    <t>beban_perbulan</t>
  </si>
  <si>
    <t>id_akun_asset</t>
  </si>
  <si>
    <t>id_akun_depresiasi</t>
  </si>
  <si>
    <t>id_kelompok_harta_tetap</t>
  </si>
  <si>
    <t>id_tabel_penyusutan</t>
  </si>
  <si>
    <t>total</t>
  </si>
  <si>
    <t>tahun_1</t>
  </si>
  <si>
    <t>tahun_2</t>
  </si>
  <si>
    <t>tahun_3</t>
  </si>
  <si>
    <t>tahun_4</t>
  </si>
  <si>
    <t>tahun_5</t>
  </si>
  <si>
    <t>tahun_6</t>
  </si>
  <si>
    <t>tahun_7</t>
  </si>
  <si>
    <t>tahun_8</t>
  </si>
  <si>
    <t>tahun_9</t>
  </si>
  <si>
    <t>tahun_10</t>
  </si>
  <si>
    <t>tahun_11</t>
  </si>
  <si>
    <t>tahun_12</t>
  </si>
  <si>
    <t>tahun_13</t>
  </si>
  <si>
    <t>tahun_14</t>
  </si>
  <si>
    <t>tahun_15</t>
  </si>
  <si>
    <t>tahun_16</t>
  </si>
  <si>
    <t>tahun_17</t>
  </si>
  <si>
    <t>tahun_18</t>
  </si>
  <si>
    <t>tahun_19</t>
  </si>
  <si>
    <t>tahun_20</t>
  </si>
  <si>
    <t>nama_penyusutan</t>
  </si>
  <si>
    <t>kendaraan</t>
  </si>
  <si>
    <t>harta tetap berwujud</t>
  </si>
  <si>
    <t>1.23</t>
  </si>
  <si>
    <t>1.23.24</t>
  </si>
  <si>
    <t>pengeluaran operasional</t>
  </si>
  <si>
    <t>biaya non operasional</t>
  </si>
  <si>
    <t>akumulasi penyusutan kendaraan</t>
  </si>
  <si>
    <t>penyusutan kendaraan</t>
  </si>
  <si>
    <t>bangunan</t>
  </si>
  <si>
    <t>akumulasi penyusutan bangunan</t>
  </si>
  <si>
    <t>penyusutan bangunan</t>
  </si>
  <si>
    <t>id_akun_akumulasi_depresiasi</t>
  </si>
  <si>
    <t>TIMAH building</t>
  </si>
  <si>
    <t>AVANZA</t>
  </si>
  <si>
    <t xml:space="preserve">id_kelompok_harta_tetap_parent </t>
  </si>
  <si>
    <t>hotel</t>
  </si>
  <si>
    <t>kode_kelompok_harta_tetap</t>
  </si>
  <si>
    <t>umur</t>
  </si>
  <si>
    <t>Checkbox_awalmingguke3</t>
  </si>
  <si>
    <t>no_harta_tetap</t>
  </si>
  <si>
    <t>mobil</t>
  </si>
  <si>
    <t>tahun_21</t>
  </si>
  <si>
    <t>tahun_22</t>
  </si>
  <si>
    <t>tahun_23</t>
  </si>
  <si>
    <t>tahun_24</t>
  </si>
  <si>
    <t>tahun_25</t>
  </si>
  <si>
    <t>tahun_26</t>
  </si>
  <si>
    <t>tahun_27</t>
  </si>
  <si>
    <t>tahun_28</t>
  </si>
  <si>
    <t>tahun_29</t>
  </si>
  <si>
    <t>tahun_30</t>
  </si>
  <si>
    <t>beban_per_tahun_ini</t>
  </si>
  <si>
    <t>ibis</t>
  </si>
  <si>
    <t>toyota agya</t>
  </si>
  <si>
    <t>suzuki alya</t>
  </si>
  <si>
    <t>isuzu panther</t>
  </si>
  <si>
    <t>id_list_data_harta_tetap</t>
  </si>
  <si>
    <t>nama_kelompok_harta_tetap</t>
  </si>
  <si>
    <t>nilai_perolehan</t>
  </si>
  <si>
    <t>beban_per_bulan</t>
  </si>
  <si>
    <t>total pendapatan usaha</t>
  </si>
  <si>
    <t>total pendapatan</t>
  </si>
  <si>
    <t>total biaya produksi</t>
  </si>
  <si>
    <t>total biaya atas pendapatan</t>
  </si>
  <si>
    <t>laba/rugi kotor</t>
  </si>
  <si>
    <t>pendapatan lain</t>
  </si>
  <si>
    <t>pendapatan luar usaha</t>
  </si>
  <si>
    <t>pengeluaran lain</t>
  </si>
  <si>
    <t>pengeluaran luar usaha</t>
  </si>
  <si>
    <t>hasil sewa</t>
  </si>
  <si>
    <t>biaya bunga</t>
  </si>
  <si>
    <t>total pengeluaran operasional</t>
  </si>
  <si>
    <t>total pendapatan lain</t>
  </si>
  <si>
    <t>total pengeluaran lain</t>
  </si>
  <si>
    <t>laba/rugi operasi</t>
  </si>
  <si>
    <t>laba/rugi bersih</t>
  </si>
  <si>
    <t>anggaran</t>
  </si>
  <si>
    <t>Laba Rugi</t>
  </si>
  <si>
    <t>september 2018 - oktober 2018</t>
  </si>
  <si>
    <t>Kewajiban</t>
  </si>
  <si>
    <t>Modal</t>
  </si>
  <si>
    <t>total biaya dibayar dimuka</t>
  </si>
  <si>
    <t>total investasi jangka panjang</t>
  </si>
  <si>
    <t>total harta tetap berwujud</t>
  </si>
  <si>
    <t>kode rekening</t>
  </si>
  <si>
    <t>diskon</t>
  </si>
  <si>
    <t>id_rekening perkiraan</t>
  </si>
  <si>
    <t>nama_akun</t>
  </si>
  <si>
    <t>tanggal_awal</t>
  </si>
  <si>
    <t>tanggal_akhir</t>
  </si>
  <si>
    <t>no_referensi</t>
  </si>
  <si>
    <t>mobil 5thn</t>
  </si>
  <si>
    <t>mobil 4thn</t>
  </si>
  <si>
    <t>kode_rekening</t>
  </si>
  <si>
    <t>modal</t>
  </si>
  <si>
    <t>pengeluaran non operasional</t>
  </si>
  <si>
    <t>laba</t>
  </si>
  <si>
    <t>piutang dagang</t>
  </si>
  <si>
    <t>harta tetap tidak berwujud</t>
  </si>
  <si>
    <t>1.25</t>
  </si>
  <si>
    <t>1.25.26</t>
  </si>
  <si>
    <t>harta lainnya</t>
  </si>
  <si>
    <t>1.27</t>
  </si>
  <si>
    <t>1.27.28</t>
  </si>
  <si>
    <t>pendapatan yg diterima dimuka</t>
  </si>
  <si>
    <t>15.44</t>
  </si>
  <si>
    <t>15.46</t>
  </si>
  <si>
    <t>15.44.45</t>
  </si>
  <si>
    <t>hutang jangka panjang</t>
  </si>
  <si>
    <t>15.46.47</t>
  </si>
  <si>
    <t>38.48</t>
  </si>
  <si>
    <t>38.48.49</t>
  </si>
  <si>
    <t>38.50</t>
  </si>
  <si>
    <t>38.50.51</t>
  </si>
  <si>
    <t>7.52</t>
  </si>
  <si>
    <t>7.52.53</t>
  </si>
  <si>
    <t>10.54</t>
  </si>
  <si>
    <t>10.54.55</t>
  </si>
  <si>
    <t>biaya operasional</t>
  </si>
  <si>
    <t>29.56</t>
  </si>
  <si>
    <t>29.56.57</t>
  </si>
  <si>
    <t>investasi jangka panjang</t>
  </si>
  <si>
    <t>1.58</t>
  </si>
  <si>
    <t>1.58.59</t>
  </si>
  <si>
    <t>debit_mata_uang</t>
  </si>
  <si>
    <t>kredit_mata_uang</t>
  </si>
  <si>
    <t>penyesuaian</t>
  </si>
  <si>
    <t>kurs_tukar</t>
  </si>
  <si>
    <t>id_tipe_harga_pokok</t>
  </si>
  <si>
    <t>FIFO</t>
  </si>
  <si>
    <t>LIFO</t>
  </si>
  <si>
    <t>tipe_harga_pokok</t>
  </si>
  <si>
    <t>Average</t>
  </si>
  <si>
    <t>id_akun_tunai_penjualan</t>
  </si>
  <si>
    <t>total_debit_akun_tunai_penjualan</t>
  </si>
  <si>
    <t>total_kredit_akun_tunai_penjualan</t>
  </si>
  <si>
    <t>AVERAGE</t>
  </si>
  <si>
    <t xml:space="preserve">harga beli </t>
  </si>
  <si>
    <t>harga pokok</t>
  </si>
  <si>
    <t>L</t>
  </si>
  <si>
    <t>F</t>
  </si>
  <si>
    <t>A</t>
  </si>
  <si>
    <t>sin-iphone5S-32Gb</t>
  </si>
  <si>
    <t>iphone5S-32gb-GOLD</t>
  </si>
  <si>
    <t>total_debit_akun_tunai_pembelian</t>
  </si>
  <si>
    <t>total_kredit_akun_tunai_pembelian</t>
  </si>
  <si>
    <t>id_akun_tunai_pembelian</t>
  </si>
  <si>
    <t>real recording time</t>
  </si>
  <si>
    <t>harga pokok (us)</t>
  </si>
  <si>
    <t>id_referal_SA</t>
  </si>
  <si>
    <t>no_pembayaran</t>
  </si>
  <si>
    <t>tanggal_transaksi</t>
  </si>
  <si>
    <t>id_referal_transaksi_2</t>
  </si>
  <si>
    <t>id_akun_hutang_piutang_referensi</t>
  </si>
  <si>
    <t>id_opsi_pembayaran</t>
  </si>
  <si>
    <t>annual</t>
  </si>
  <si>
    <t>harian</t>
  </si>
  <si>
    <t>mingguan</t>
  </si>
  <si>
    <t>bulanan</t>
  </si>
  <si>
    <t>grace_period</t>
  </si>
  <si>
    <t>nama_skema</t>
  </si>
  <si>
    <t>id_term_pembayaran</t>
  </si>
  <si>
    <t>term_pembayaran</t>
  </si>
  <si>
    <t>bunga_per_bulan</t>
  </si>
  <si>
    <t>id_kalender</t>
  </si>
  <si>
    <t>value</t>
  </si>
  <si>
    <t>id_dropdown_berulang</t>
  </si>
  <si>
    <t>term</t>
  </si>
  <si>
    <t>id_opsi_annual</t>
  </si>
  <si>
    <t>id_group_diskon</t>
  </si>
  <si>
    <t>nama_group_diskon</t>
  </si>
  <si>
    <t>diskon a</t>
  </si>
  <si>
    <t>diskon b</t>
  </si>
  <si>
    <t>diskon c</t>
  </si>
  <si>
    <t>dropdown_term_pembayaran</t>
  </si>
  <si>
    <t>durasi_berulang</t>
  </si>
  <si>
    <t>durasi_cicilan</t>
  </si>
  <si>
    <t>status</t>
  </si>
  <si>
    <t>dropdown_bank_kas</t>
  </si>
  <si>
    <t>id_dropdown_bank_kas</t>
  </si>
  <si>
    <t>Bank</t>
  </si>
  <si>
    <t>position_a</t>
  </si>
  <si>
    <t>position_b</t>
  </si>
  <si>
    <t>position_c</t>
  </si>
  <si>
    <t>position_d</t>
  </si>
  <si>
    <t>employee_id</t>
  </si>
  <si>
    <t>id_golongan</t>
  </si>
  <si>
    <t>nama_golongan</t>
  </si>
  <si>
    <t>gaji_pokok</t>
  </si>
  <si>
    <t>tunjangan</t>
  </si>
  <si>
    <t>laba_rugi</t>
  </si>
  <si>
    <t>Kg</t>
  </si>
  <si>
    <t>Dz</t>
  </si>
  <si>
    <t>gram</t>
  </si>
  <si>
    <t>kilogram</t>
  </si>
  <si>
    <t>dozen</t>
  </si>
  <si>
    <t>jumlah_satuan</t>
  </si>
  <si>
    <t>satuan</t>
  </si>
  <si>
    <t>kode_mata_uang</t>
  </si>
  <si>
    <t>simbol_mata_uang</t>
  </si>
  <si>
    <t>id_radiobutton_rekper</t>
  </si>
  <si>
    <t>nama_radiobutton</t>
  </si>
  <si>
    <t>standar</t>
  </si>
  <si>
    <t>kas/bank</t>
  </si>
  <si>
    <t>debt/loan</t>
  </si>
  <si>
    <t>radiobutton_standar_kas/bank_debtloan</t>
  </si>
  <si>
    <t>upload_foto</t>
  </si>
  <si>
    <t>kode_departemen</t>
  </si>
  <si>
    <t>HQ</t>
  </si>
  <si>
    <t>BR 1</t>
  </si>
  <si>
    <t>BR 2</t>
  </si>
  <si>
    <t>no anggaran</t>
  </si>
  <si>
    <t>customer / id</t>
  </si>
  <si>
    <t>mobile phone</t>
  </si>
  <si>
    <t>currency</t>
  </si>
  <si>
    <t>Document Reference No.</t>
  </si>
  <si>
    <t>Sales Quotation No.</t>
  </si>
  <si>
    <t>Sales Quotation Date</t>
  </si>
  <si>
    <t>Location</t>
  </si>
  <si>
    <t>Note</t>
  </si>
  <si>
    <t>Complete</t>
  </si>
  <si>
    <t>Inclusive Tax</t>
  </si>
  <si>
    <t>Validity Date</t>
  </si>
  <si>
    <t>Staff / id</t>
  </si>
  <si>
    <t>skema 4</t>
  </si>
  <si>
    <t>location</t>
  </si>
  <si>
    <t>Mandatory field</t>
  </si>
  <si>
    <t>id / custumer : di search di field yg sama returnny adalah id &amp; customer + otomatis mengisi field mobile dan email</t>
  </si>
  <si>
    <t>mobile &amp; email : pencarian di field mobile dan email menghasilkan return yg sama dgn pencarian di customer/id</t>
  </si>
  <si>
    <t>produk / service / custom : nama dan jumlah harus ada, khusus custom account harus ada</t>
  </si>
  <si>
    <t>payment terms / cash : default payment terms, harus pilih dropdown</t>
  </si>
  <si>
    <t>autofill field</t>
  </si>
  <si>
    <t>sales quotation date : auto fill (current date), bisa overwrite by user</t>
  </si>
  <si>
    <t>currency : default currency, bisa ubah pilih dropdown</t>
  </si>
  <si>
    <t>sales quotation number : id form 8 digit, start 0 ex : 00000001, bisa overwrite dengan text apapun selama itu unique</t>
  </si>
  <si>
    <t>setting menu</t>
  </si>
  <si>
    <t>cek setting menu apakah ada default tax transaction *tambah di menu setting untuk default tax transaction</t>
  </si>
  <si>
    <t>Document Type</t>
  </si>
  <si>
    <t>Description</t>
  </si>
  <si>
    <t>document type id</t>
  </si>
  <si>
    <t>document type : harus diisi</t>
  </si>
  <si>
    <t>create new</t>
  </si>
  <si>
    <t>delete action</t>
  </si>
  <si>
    <t xml:space="preserve">document type replacement : harus dicarikan "document type" pengganti apabila user menghapus "document type" sebelumnya </t>
  </si>
  <si>
    <t>auto fill field</t>
  </si>
  <si>
    <t>document type id : nomor urut by system berdasarkan urutan id</t>
  </si>
  <si>
    <t>document type</t>
  </si>
  <si>
    <t>document no</t>
  </si>
  <si>
    <t>date</t>
  </si>
  <si>
    <t>contact name</t>
  </si>
  <si>
    <t>description</t>
  </si>
  <si>
    <t>uploaded file</t>
  </si>
  <si>
    <t>document no : no urut dr system, bisa overwrite asal unique</t>
  </si>
  <si>
    <t>date : Current date by system, bisa overwrite</t>
  </si>
  <si>
    <t>id_internal_note</t>
  </si>
  <si>
    <t>note_type</t>
  </si>
  <si>
    <t>judul</t>
  </si>
  <si>
    <t>tanggal pengingat</t>
  </si>
  <si>
    <t>konten</t>
  </si>
  <si>
    <t>id_note_type</t>
  </si>
  <si>
    <t>invoice</t>
  </si>
  <si>
    <t>template</t>
  </si>
  <si>
    <t>contact type</t>
  </si>
  <si>
    <t>karyawan</t>
  </si>
  <si>
    <t>checkbox_gender</t>
  </si>
  <si>
    <t>checkbox_position</t>
  </si>
  <si>
    <t>checkbox_PIC1</t>
  </si>
  <si>
    <t>Nama_PIC1</t>
  </si>
  <si>
    <t>Nama_PIC3</t>
  </si>
  <si>
    <t>checkbox_PIC3</t>
  </si>
  <si>
    <t>checkbox_PIC2</t>
  </si>
  <si>
    <t>Nama_PIC2</t>
  </si>
  <si>
    <t>Umum</t>
  </si>
  <si>
    <t>Finance</t>
  </si>
  <si>
    <t>Prokurmen</t>
  </si>
  <si>
    <t>KontakID</t>
  </si>
  <si>
    <t>Custumer ID</t>
  </si>
  <si>
    <t>Name</t>
  </si>
  <si>
    <t>Phone Number</t>
  </si>
  <si>
    <t>Email</t>
  </si>
  <si>
    <t>Country</t>
  </si>
  <si>
    <t>Gender</t>
  </si>
  <si>
    <t>Address</t>
  </si>
  <si>
    <t>City</t>
  </si>
  <si>
    <t>State</t>
  </si>
  <si>
    <t>Name (PIC1)</t>
  </si>
  <si>
    <t>Name (PIC2)</t>
  </si>
  <si>
    <t>Name (PIC3)</t>
  </si>
  <si>
    <t>Phone Number (PIC1)</t>
  </si>
  <si>
    <t>Phone Number (PIC2)</t>
  </si>
  <si>
    <t>Phone Number (PIC3)</t>
  </si>
  <si>
    <t>Email (PIC1)</t>
  </si>
  <si>
    <t>Email (PIC2)</t>
  </si>
  <si>
    <t>Email (PIC3)</t>
  </si>
  <si>
    <t>Gender (PIC1)</t>
  </si>
  <si>
    <t>Gender (PIC2)</t>
  </si>
  <si>
    <t>Gender (PIC3)</t>
  </si>
  <si>
    <t>Country (PIC3)</t>
  </si>
  <si>
    <t>Country (PIC2)</t>
  </si>
  <si>
    <t>Country (PIC1)</t>
  </si>
  <si>
    <t>Position</t>
  </si>
  <si>
    <t>Position (PIC1)</t>
  </si>
  <si>
    <t>Position (PIC2)</t>
  </si>
  <si>
    <t>Position (PIC3)</t>
  </si>
  <si>
    <t>Customer Group</t>
  </si>
  <si>
    <t>Tax ID</t>
  </si>
  <si>
    <t>Credit Limit</t>
  </si>
  <si>
    <t>Bank Name</t>
  </si>
  <si>
    <t>Bank Account</t>
  </si>
  <si>
    <t>nama_buku_rekening</t>
  </si>
  <si>
    <t>Remarks</t>
  </si>
  <si>
    <t>Remarks (PIC1)</t>
  </si>
  <si>
    <t>Remarks (PIC2)</t>
  </si>
  <si>
    <t>Remarks (PIC3)</t>
  </si>
  <si>
    <t>Photo</t>
  </si>
  <si>
    <t>Photo (PIC1)</t>
  </si>
  <si>
    <t>Photo (PIC2)</t>
  </si>
  <si>
    <t>Photo (PIC3)</t>
  </si>
  <si>
    <t>Salary Group</t>
  </si>
  <si>
    <t>manager</t>
  </si>
  <si>
    <t>Department</t>
  </si>
  <si>
    <t>Proyek</t>
  </si>
  <si>
    <t>Project</t>
  </si>
  <si>
    <t>Address (PIC1)</t>
  </si>
  <si>
    <t>Address (PIC2)</t>
  </si>
  <si>
    <t>Address (PIC3)</t>
  </si>
  <si>
    <t>City (PIC1)</t>
  </si>
  <si>
    <t>City (PIC2)</t>
  </si>
  <si>
    <t>City (PIC3)</t>
  </si>
  <si>
    <t>State (PIC1)</t>
  </si>
  <si>
    <t>State (PIC2)</t>
  </si>
  <si>
    <t>State (PIC3)</t>
  </si>
  <si>
    <t>ZIP Code</t>
  </si>
  <si>
    <t>ZIP Code (PIC1)</t>
  </si>
  <si>
    <t>ZIP Code (PIC2)</t>
  </si>
  <si>
    <t>ZIP Code (PIC3)</t>
  </si>
  <si>
    <t>Map Location</t>
  </si>
  <si>
    <t>Map Location (PIC1)</t>
  </si>
  <si>
    <t>Map Location (PIC2)</t>
  </si>
  <si>
    <t>Map Location (PIC3)</t>
  </si>
  <si>
    <t>CS0001</t>
  </si>
  <si>
    <t>EM0001</t>
  </si>
  <si>
    <t>VD0001</t>
  </si>
  <si>
    <t>list Negara</t>
  </si>
  <si>
    <t>list base on country</t>
  </si>
  <si>
    <t>link</t>
  </si>
  <si>
    <t>pegawai</t>
  </si>
  <si>
    <t>GM</t>
  </si>
  <si>
    <t>id_grup_diskon</t>
  </si>
  <si>
    <t>nama_grup_diskon</t>
  </si>
  <si>
    <t>id_propinsi_b</t>
  </si>
  <si>
    <t>id_propinsi_a</t>
  </si>
  <si>
    <t>id_propinsi_c</t>
  </si>
  <si>
    <t>id_propinsi_d</t>
  </si>
  <si>
    <t>id_negara_a</t>
  </si>
  <si>
    <t>id_negara_b</t>
  </si>
  <si>
    <t>id_negara_c</t>
  </si>
  <si>
    <t>id_negara_d</t>
  </si>
  <si>
    <t>staff</t>
  </si>
  <si>
    <t>VD0002</t>
  </si>
  <si>
    <t>VD0003</t>
  </si>
  <si>
    <t>EM0002</t>
  </si>
  <si>
    <t>EM0003</t>
  </si>
  <si>
    <t>CS0002</t>
  </si>
  <si>
    <t>CS0003</t>
  </si>
  <si>
    <t>id_negara</t>
  </si>
  <si>
    <t>wholesale</t>
  </si>
  <si>
    <t>retail</t>
  </si>
  <si>
    <t>Account Name</t>
  </si>
  <si>
    <t>overtime/hour</t>
  </si>
  <si>
    <t>nominal</t>
  </si>
  <si>
    <t>Customer/Vendor/Employee clasification</t>
  </si>
  <si>
    <t>phone Number atau Email</t>
  </si>
  <si>
    <t>nama_a : tanpa koma dianggap semua nama depan</t>
  </si>
  <si>
    <t>kontak id : defaultny type-urutan, bisa overwrite (unique) (8 digit), ex : 1-000001</t>
  </si>
  <si>
    <t>created date</t>
  </si>
  <si>
    <t>diskon selalu berlaku untuk angka diskon yg terbesar</t>
  </si>
  <si>
    <t>by list tree</t>
  </si>
  <si>
    <t>account name</t>
  </si>
  <si>
    <t>account code</t>
  </si>
  <si>
    <t>Account name</t>
  </si>
  <si>
    <t>radio button : defaultny pada "button standar"</t>
  </si>
  <si>
    <t>Account code : defaultny 3 digit per level</t>
  </si>
  <si>
    <t>Account code : defaultny 3 digit per level.</t>
  </si>
  <si>
    <t>radiobutton</t>
  </si>
  <si>
    <t>checkbox not active</t>
  </si>
  <si>
    <t>aktif</t>
  </si>
  <si>
    <t>tidak aktif</t>
  </si>
  <si>
    <t>selesai</t>
  </si>
  <si>
    <t>id_status_proyek</t>
  </si>
  <si>
    <t>status_proyek</t>
  </si>
  <si>
    <t>nomor_proyek</t>
  </si>
  <si>
    <t>project No</t>
  </si>
  <si>
    <t>project name</t>
  </si>
  <si>
    <t>customer</t>
  </si>
  <si>
    <t>Contract Price</t>
  </si>
  <si>
    <t>Tanggal_mulai</t>
  </si>
  <si>
    <t>Tanggal_berakhir</t>
  </si>
  <si>
    <t>start project</t>
  </si>
  <si>
    <t>end Project</t>
  </si>
  <si>
    <t>Remark</t>
  </si>
  <si>
    <t>id_status</t>
  </si>
  <si>
    <t>end project</t>
  </si>
  <si>
    <t>project no</t>
  </si>
  <si>
    <t>tax code</t>
  </si>
  <si>
    <t>tax name</t>
  </si>
  <si>
    <t>percentage</t>
  </si>
  <si>
    <t>account buy</t>
  </si>
  <si>
    <t>sell account</t>
  </si>
  <si>
    <t>by date</t>
  </si>
  <si>
    <t>ex rate</t>
  </si>
  <si>
    <t>account receivable</t>
  </si>
  <si>
    <t>Account Payable</t>
  </si>
  <si>
    <t>Bank Payment</t>
  </si>
  <si>
    <t>Cash Payment</t>
  </si>
  <si>
    <t>Purchase Down Payment</t>
  </si>
  <si>
    <t>error message</t>
  </si>
  <si>
    <t>email format : harus ada "@" dan "."</t>
  </si>
  <si>
    <t>hp : ga boleh ada kode negara (tanda +)</t>
  </si>
  <si>
    <t>id_data_mata_Uang</t>
  </si>
  <si>
    <t>exrate</t>
  </si>
  <si>
    <t>kurs</t>
  </si>
  <si>
    <t>Budget code</t>
  </si>
  <si>
    <t>title</t>
  </si>
  <si>
    <t>budget</t>
  </si>
  <si>
    <t>project</t>
  </si>
  <si>
    <t>departmen</t>
  </si>
  <si>
    <t>month</t>
  </si>
  <si>
    <t>id_periode_akuntansi</t>
  </si>
  <si>
    <t>category</t>
  </si>
  <si>
    <t>product name</t>
  </si>
  <si>
    <t>purchasing price</t>
  </si>
  <si>
    <t>selling price</t>
  </si>
  <si>
    <t>COGS</t>
  </si>
  <si>
    <t>Checkbox_inactive</t>
  </si>
  <si>
    <t>Base Unit</t>
  </si>
  <si>
    <t>checkbox unit dasar</t>
  </si>
  <si>
    <t>gr</t>
  </si>
  <si>
    <t>unit total</t>
  </si>
  <si>
    <t>unit detail</t>
  </si>
  <si>
    <t>checkbox_base_unit</t>
  </si>
  <si>
    <t>unit_code</t>
  </si>
  <si>
    <t>unit_name</t>
  </si>
  <si>
    <t>parent_id</t>
  </si>
  <si>
    <t>Currency</t>
  </si>
  <si>
    <t>checkbox discount</t>
  </si>
  <si>
    <t>Minimum Order</t>
  </si>
  <si>
    <t>periode</t>
  </si>
  <si>
    <t>Min Stock</t>
  </si>
  <si>
    <t>Checkbox_Manage_Stock</t>
  </si>
  <si>
    <t>Stock</t>
  </si>
  <si>
    <t>Product Type</t>
  </si>
  <si>
    <t>checkbox_taxable</t>
  </si>
  <si>
    <t>Price inclusive tax</t>
  </si>
  <si>
    <t>checkbox_pajak</t>
  </si>
  <si>
    <t>tax</t>
  </si>
  <si>
    <t>uploaded image</t>
  </si>
  <si>
    <t>Vendors Primary</t>
  </si>
  <si>
    <t>Suplier_A</t>
  </si>
  <si>
    <t>Suplier_C</t>
  </si>
  <si>
    <t>Suplier_D</t>
  </si>
  <si>
    <t>Suplier_B</t>
  </si>
  <si>
    <t>Vendor 2</t>
  </si>
  <si>
    <t>Vendor 3</t>
  </si>
  <si>
    <t>Vendor 4</t>
  </si>
  <si>
    <t>Product Group</t>
  </si>
  <si>
    <t>Group Name</t>
  </si>
  <si>
    <t>Category</t>
  </si>
  <si>
    <t>checkbox_diskon</t>
  </si>
  <si>
    <t>Checkbox Discount</t>
  </si>
  <si>
    <t>Discount</t>
  </si>
  <si>
    <t>Periode</t>
  </si>
  <si>
    <t>Group ID</t>
  </si>
  <si>
    <t>length</t>
  </si>
  <si>
    <t>wide</t>
  </si>
  <si>
    <t>tall</t>
  </si>
  <si>
    <t>weight</t>
  </si>
  <si>
    <t>mandatory field</t>
  </si>
  <si>
    <t>Product Name</t>
  </si>
  <si>
    <t>type product</t>
  </si>
  <si>
    <t>SKU, overwrite (unique)</t>
  </si>
  <si>
    <t>minimum order : 1</t>
  </si>
  <si>
    <t>menu setting</t>
  </si>
  <si>
    <t>klo ga pake manage stock, berubah grey (disable)</t>
  </si>
  <si>
    <t>ikut grup produk/overwrite</t>
  </si>
  <si>
    <t>service_option</t>
  </si>
  <si>
    <t>id_akun_service</t>
  </si>
  <si>
    <t>id_tipe_produk</t>
  </si>
  <si>
    <t>Unit Cost Type</t>
  </si>
  <si>
    <t>Unit cost type : average</t>
  </si>
  <si>
    <t>type produk untuk service otomatis terpilih "service" pada backround</t>
  </si>
  <si>
    <t>checkbox stock</t>
  </si>
  <si>
    <t>Harga_Pokok(average)</t>
  </si>
  <si>
    <t>tanggal_masuk</t>
  </si>
  <si>
    <t>tanggal_keluar_terjual</t>
  </si>
  <si>
    <t>life</t>
  </si>
  <si>
    <t>custom field</t>
  </si>
  <si>
    <t>total %</t>
  </si>
  <si>
    <t>1st year</t>
  </si>
  <si>
    <t>2nd year</t>
  </si>
  <si>
    <t>3rd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</si>
  <si>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</si>
  <si>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</si>
  <si>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</si>
  <si>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</si>
  <si>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</si>
  <si>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</si>
  <si>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</si>
  <si>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</si>
  <si>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</si>
  <si>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13th year</t>
  </si>
  <si>
    <t>14th year</t>
  </si>
  <si>
    <t>15th year</t>
  </si>
  <si>
    <t>16th year</t>
  </si>
  <si>
    <t>17th year</t>
  </si>
  <si>
    <t>18th year</t>
  </si>
  <si>
    <t>19th year</t>
  </si>
  <si>
    <t>20th year</t>
  </si>
  <si>
    <t>21st year</t>
  </si>
  <si>
    <t>22nd year</t>
  </si>
  <si>
    <t>23rd year</t>
  </si>
  <si>
    <t>24th year</t>
  </si>
  <si>
    <t>25th year</t>
  </si>
  <si>
    <t>26th year</t>
  </si>
  <si>
    <t>27th year</t>
  </si>
  <si>
    <t>28th year</t>
  </si>
  <si>
    <t>29th year</t>
  </si>
  <si>
    <t>30th year</t>
  </si>
  <si>
    <t>note</t>
  </si>
  <si>
    <t>depreciation method</t>
  </si>
  <si>
    <t>parent category</t>
  </si>
  <si>
    <t>asset account</t>
  </si>
  <si>
    <t>Depreciation</t>
  </si>
  <si>
    <t>Accumulation Depr Acct</t>
  </si>
  <si>
    <t>name</t>
  </si>
  <si>
    <t>purcahed date</t>
  </si>
  <si>
    <t>buying price</t>
  </si>
  <si>
    <t>salvage</t>
  </si>
  <si>
    <t>asset no</t>
  </si>
  <si>
    <t>department</t>
  </si>
  <si>
    <t>book value</t>
  </si>
  <si>
    <t>checkbox after 15th</t>
  </si>
  <si>
    <t>upload picture</t>
  </si>
  <si>
    <t>Life to Date Depr</t>
  </si>
  <si>
    <t>Monthly Depr</t>
  </si>
  <si>
    <t>saat sudah transaksi menggunakan DO, invoice tidak posting ke sini lagi</t>
  </si>
  <si>
    <t>view/hide inactive &amp; deleted</t>
  </si>
  <si>
    <t>MARCS</t>
  </si>
  <si>
    <t>custom name</t>
  </si>
  <si>
    <t>id_nama_penyusutan</t>
  </si>
  <si>
    <t>rumus</t>
  </si>
  <si>
    <t>depreciation type</t>
  </si>
  <si>
    <t>LINIER</t>
  </si>
  <si>
    <t>straighline method</t>
  </si>
  <si>
    <t>klo ga diisi otomatis menggunakan nama penyusutan+life</t>
  </si>
  <si>
    <t>?</t>
  </si>
  <si>
    <t>id_closing</t>
  </si>
  <si>
    <t>tanggal_closing(end of month)</t>
  </si>
  <si>
    <t>kode transaksi</t>
  </si>
  <si>
    <t>tanggal penghitung</t>
  </si>
  <si>
    <t>debit_akun_akumulasi_depresiasi</t>
  </si>
  <si>
    <t>kredit_akun_akumulasi_depresiasi</t>
  </si>
  <si>
    <t>debit_akun_depresiasi</t>
  </si>
  <si>
    <t>kredit_akun_depresiasi</t>
  </si>
  <si>
    <t>CL</t>
  </si>
  <si>
    <t>closing book</t>
  </si>
  <si>
    <t>closing</t>
  </si>
  <si>
    <t>no_closing</t>
  </si>
  <si>
    <t>laba tahun berjalan</t>
  </si>
  <si>
    <t>laba ditahan</t>
  </si>
  <si>
    <t>by tutup buku</t>
  </si>
  <si>
    <t>id_diperoleh</t>
  </si>
  <si>
    <t>diperoleh</t>
  </si>
  <si>
    <t>id_akun</t>
  </si>
  <si>
    <t>earned by</t>
  </si>
  <si>
    <t>account</t>
  </si>
  <si>
    <t>hutang</t>
  </si>
  <si>
    <t>default</t>
  </si>
  <si>
    <t>option</t>
  </si>
  <si>
    <t>ex : 44</t>
  </si>
  <si>
    <t>hutang modal</t>
  </si>
  <si>
    <t>jumlah hari</t>
  </si>
  <si>
    <t>tahun depresiasi</t>
  </si>
  <si>
    <t>bulan depresiasi</t>
  </si>
  <si>
    <t>31/01/2018</t>
  </si>
  <si>
    <t>31/01/2019</t>
  </si>
  <si>
    <t>31/03/2018</t>
  </si>
  <si>
    <t>31/05/2018</t>
  </si>
  <si>
    <t>31/07/2018</t>
  </si>
  <si>
    <t>31/08/2018</t>
  </si>
  <si>
    <t>31/10/2018</t>
  </si>
  <si>
    <t>30/09/2018</t>
  </si>
  <si>
    <t>30/06/2018</t>
  </si>
  <si>
    <t>30/04/2018</t>
  </si>
  <si>
    <t>28/02/2018</t>
  </si>
  <si>
    <t>1st year - end</t>
  </si>
  <si>
    <t>1st year - end, bisa over write</t>
  </si>
  <si>
    <t>depreciation</t>
  </si>
  <si>
    <t>purchased date</t>
  </si>
  <si>
    <t>life, based on category</t>
  </si>
  <si>
    <t>asset no, bisa overwrite</t>
  </si>
  <si>
    <t>earned by (default : modal)</t>
  </si>
  <si>
    <t>default : linier</t>
  </si>
  <si>
    <t>cut off first period</t>
  </si>
  <si>
    <t>1 sampai 11</t>
  </si>
  <si>
    <t>udah ada default, overwrite</t>
  </si>
  <si>
    <t>default : modal</t>
  </si>
  <si>
    <t>default : default vendor</t>
  </si>
  <si>
    <t>default : akun modal, akun kas, akun hutang usaha</t>
  </si>
  <si>
    <t>entry date (current date), bisa overwrite</t>
  </si>
  <si>
    <t>id_production</t>
  </si>
  <si>
    <t>id_document_reference</t>
  </si>
  <si>
    <t>dokumen_reference</t>
  </si>
  <si>
    <t>production_number</t>
  </si>
  <si>
    <t>id_order_production</t>
  </si>
  <si>
    <t>konsinyasi</t>
  </si>
  <si>
    <t>21/01/19</t>
  </si>
  <si>
    <t>fusion</t>
  </si>
  <si>
    <t>production</t>
  </si>
  <si>
    <t>id_production_custom</t>
  </si>
  <si>
    <t>satuan_custom</t>
  </si>
  <si>
    <t>rakit</t>
  </si>
  <si>
    <t>kali</t>
  </si>
  <si>
    <t>id_akun_production_custom</t>
  </si>
  <si>
    <t>total_debit_production_custom</t>
  </si>
  <si>
    <t>total_kredit_production_custom</t>
  </si>
  <si>
    <t>id_department</t>
  </si>
  <si>
    <t>id_order_finish_produk</t>
  </si>
  <si>
    <t>dr produk</t>
  </si>
  <si>
    <t>total_biaya</t>
  </si>
  <si>
    <t>location name</t>
  </si>
  <si>
    <t>phone</t>
  </si>
  <si>
    <t>address</t>
  </si>
  <si>
    <t>nama_negara</t>
  </si>
  <si>
    <t>city</t>
  </si>
  <si>
    <t>state</t>
  </si>
  <si>
    <t>zipcode</t>
  </si>
  <si>
    <t>map location</t>
  </si>
  <si>
    <t>embed</t>
  </si>
  <si>
    <t>country</t>
  </si>
  <si>
    <t>checkbox_default</t>
  </si>
  <si>
    <t>checkbox_not_active</t>
  </si>
  <si>
    <t>not active</t>
  </si>
  <si>
    <t>tipe_unit</t>
  </si>
  <si>
    <t>unit_type</t>
  </si>
  <si>
    <t>mandatory</t>
  </si>
  <si>
    <t>menu seting</t>
  </si>
  <si>
    <t>warehouse id</t>
  </si>
  <si>
    <t>action</t>
  </si>
  <si>
    <t>Refference Number</t>
  </si>
  <si>
    <t>No. Referensi Dokumen</t>
  </si>
  <si>
    <t>location A</t>
  </si>
  <si>
    <t>location B</t>
  </si>
  <si>
    <t>staff / ID</t>
  </si>
  <si>
    <t>dropdown_Pemakaian/transafer_barang</t>
  </si>
  <si>
    <t>pemakaian/penyesuaian</t>
  </si>
  <si>
    <t>action : 0=usage ; 1=transfer</t>
  </si>
  <si>
    <t>action = default -&gt; usage</t>
  </si>
  <si>
    <t>Refference Number, bisa overwrite</t>
  </si>
  <si>
    <t>location B (transfer)</t>
  </si>
  <si>
    <t>date : Current date, bisa overwrite</t>
  </si>
  <si>
    <t>stock opname</t>
  </si>
  <si>
    <t>id_action</t>
  </si>
  <si>
    <t>mandatori</t>
  </si>
  <si>
    <t>0 = measurement</t>
  </si>
  <si>
    <t>1= time</t>
  </si>
  <si>
    <t>n+1 calculation = klo "cek" jadi +1</t>
  </si>
  <si>
    <t>unit code</t>
  </si>
  <si>
    <t>unit name</t>
  </si>
  <si>
    <t>radiobutton = default pada measurement</t>
  </si>
  <si>
    <t>id_Asset</t>
  </si>
  <si>
    <t>id_asset</t>
  </si>
  <si>
    <t>delivery/start date</t>
  </si>
  <si>
    <t>nama_asset</t>
  </si>
  <si>
    <t>checkbox_service</t>
  </si>
  <si>
    <t>delivery date</t>
  </si>
  <si>
    <t>checkbox_Included on Service Assignment</t>
  </si>
  <si>
    <t>Checkbox Included on Service Assignment</t>
  </si>
  <si>
    <t>backround</t>
  </si>
  <si>
    <t>rental</t>
  </si>
  <si>
    <t>rental01</t>
  </si>
  <si>
    <t>rental mobil</t>
  </si>
  <si>
    <t>d</t>
  </si>
  <si>
    <t>day</t>
  </si>
  <si>
    <t>Consigment Number</t>
  </si>
  <si>
    <t>Vendor  / ID</t>
  </si>
  <si>
    <t>Mobile Phone</t>
  </si>
  <si>
    <t>Consigment Date</t>
  </si>
  <si>
    <t>Annual</t>
  </si>
  <si>
    <t>Annual Frequency</t>
  </si>
  <si>
    <t>Choose Schedule</t>
  </si>
  <si>
    <t>Annual Date</t>
  </si>
  <si>
    <t>receiving date</t>
  </si>
  <si>
    <t>tanggal penerimaan</t>
  </si>
  <si>
    <t>harus create produk dengan type produk konsinyasi</t>
  </si>
  <si>
    <t>Shipping Date</t>
  </si>
  <si>
    <t>Manager / Id</t>
  </si>
  <si>
    <t>Issued Date</t>
  </si>
  <si>
    <t>Required Date</t>
  </si>
  <si>
    <t>Request No.</t>
  </si>
  <si>
    <t>id_budget</t>
  </si>
  <si>
    <t>Quotation Request Date</t>
  </si>
  <si>
    <t>Quotation No.</t>
  </si>
  <si>
    <t>Vendor / Id</t>
  </si>
  <si>
    <t>Choose Terms</t>
  </si>
  <si>
    <t>Payment Terms/Cash</t>
  </si>
  <si>
    <t>Purchase Order No.</t>
  </si>
  <si>
    <t>Purchase Order Date</t>
  </si>
  <si>
    <t>Delivery Date</t>
  </si>
  <si>
    <t>Hide Price</t>
  </si>
  <si>
    <t>checkbox_hideprice</t>
  </si>
  <si>
    <t>klo bikin order pembelian dengan ada barang dan jasa, tidak bisa lanjut ke PD, langsung ke new order</t>
  </si>
  <si>
    <t>id_pembayaran_gaji</t>
  </si>
  <si>
    <t>order_id_pembayaran_gaji</t>
  </si>
  <si>
    <t>total_salary_payment</t>
  </si>
  <si>
    <t>id_periode_akuntasi</t>
  </si>
  <si>
    <t>nama_employee</t>
  </si>
  <si>
    <t>no_pembayaran_gaji</t>
  </si>
  <si>
    <t>overtime</t>
  </si>
  <si>
    <t>total overtime</t>
  </si>
  <si>
    <t>lain2</t>
  </si>
  <si>
    <t>bank_data</t>
  </si>
  <si>
    <t>Purchase Delivery No.</t>
  </si>
  <si>
    <t>Delivery Order Date</t>
  </si>
  <si>
    <t>Received Number</t>
  </si>
  <si>
    <t>PO Number</t>
  </si>
  <si>
    <t>PD Number</t>
  </si>
  <si>
    <t>Received Date</t>
  </si>
  <si>
    <t>Cash / Bank</t>
  </si>
  <si>
    <t>grace period</t>
  </si>
  <si>
    <t>uang_muka</t>
  </si>
  <si>
    <t>duration</t>
  </si>
  <si>
    <t>Grace Periode</t>
  </si>
  <si>
    <t>Down Payment</t>
  </si>
  <si>
    <t>Anuality</t>
  </si>
  <si>
    <t>Duration</t>
  </si>
  <si>
    <t>Non Cash/Make a Term Payment</t>
  </si>
  <si>
    <t>Nominal</t>
  </si>
  <si>
    <t>id_referal_PA</t>
  </si>
  <si>
    <t>Receive Number</t>
  </si>
  <si>
    <t>Purchase Return Number</t>
  </si>
  <si>
    <t>Customer / Id</t>
  </si>
  <si>
    <t>Sales Order Date</t>
  </si>
  <si>
    <t>Sales Order No.</t>
  </si>
  <si>
    <t>Payment Terms / Cash</t>
  </si>
  <si>
    <t>Delivery Order No.</t>
  </si>
  <si>
    <t>SO Number</t>
  </si>
  <si>
    <t>DO Number</t>
  </si>
  <si>
    <t>Invoice Number</t>
  </si>
  <si>
    <t>Invoice Date</t>
  </si>
  <si>
    <t>Manual</t>
  </si>
  <si>
    <t>Sales Return Number</t>
  </si>
  <si>
    <t>Sales Return Date</t>
  </si>
  <si>
    <t>Group_SKU</t>
  </si>
  <si>
    <t>Overwrite Selling Price</t>
  </si>
  <si>
    <t>Checkbox_ubah_harga</t>
  </si>
  <si>
    <t>checkbox ubah harga = defaultny 0</t>
  </si>
  <si>
    <t>Purchased_balance</t>
  </si>
  <si>
    <t>Total Tax</t>
  </si>
  <si>
    <t>Total After Tax</t>
  </si>
  <si>
    <t>Paid/Down Payment</t>
  </si>
  <si>
    <t>Installment</t>
  </si>
  <si>
    <t>Due Date</t>
  </si>
  <si>
    <t>Unposted</t>
  </si>
  <si>
    <t>dropdown_term_payment</t>
  </si>
  <si>
    <t>lunas/uang_muka</t>
  </si>
  <si>
    <t>outstanding balance</t>
  </si>
  <si>
    <t>Installment/Annual</t>
  </si>
  <si>
    <t>checkbox_unposted</t>
  </si>
  <si>
    <t>Checkbox_Manual</t>
  </si>
  <si>
    <t>After Total Tax</t>
  </si>
  <si>
    <t>lunas/dibayar_uang_muka</t>
  </si>
  <si>
    <t>Incluvise_tax</t>
  </si>
  <si>
    <t>inactive</t>
  </si>
  <si>
    <t>checkbox_inactive</t>
  </si>
  <si>
    <t>Custom Account</t>
  </si>
  <si>
    <t>paid/down payment</t>
  </si>
  <si>
    <t>sales_balance</t>
  </si>
  <si>
    <t>id_form</t>
  </si>
  <si>
    <t>Payment Type</t>
  </si>
  <si>
    <t>Payment Number</t>
  </si>
  <si>
    <t>Contact / Id</t>
  </si>
  <si>
    <t>Payment Date</t>
  </si>
  <si>
    <t>Post-Dated Cheque</t>
  </si>
  <si>
    <t>Total Payment Value</t>
  </si>
  <si>
    <t>id_RP&amp;P</t>
  </si>
  <si>
    <t>jatuh_tempo_giro</t>
  </si>
  <si>
    <t>nomor_giro</t>
  </si>
  <si>
    <t>check flag = meniadakan perhitungan</t>
  </si>
  <si>
    <t>id_data_giro</t>
  </si>
  <si>
    <t>id_akun_pemb_gaji</t>
  </si>
  <si>
    <t>debit_akun_pemb_gaji</t>
  </si>
  <si>
    <t>kredit_akun_pemb_gaji</t>
  </si>
  <si>
    <t>debit_akun_biaya_gaji</t>
  </si>
  <si>
    <t>kredit_akun_biaya_gaji</t>
  </si>
  <si>
    <t>id_akun_biaya_gaji</t>
  </si>
  <si>
    <t>gaji</t>
  </si>
  <si>
    <t>include/exclude pajak</t>
  </si>
  <si>
    <t>id_akun_pajak_gaji</t>
  </si>
  <si>
    <t>debit_akun_pajak_gaji</t>
  </si>
  <si>
    <t>kredit_akun_pajak_gaji</t>
  </si>
  <si>
    <t>SP</t>
  </si>
  <si>
    <t>Salary Payment</t>
  </si>
  <si>
    <t>pembayaran Gaji</t>
  </si>
  <si>
    <t>rekonsiliasi</t>
  </si>
  <si>
    <t>NERACA</t>
  </si>
  <si>
    <t>total kas</t>
  </si>
  <si>
    <t>total bank</t>
  </si>
  <si>
    <t>total piutang dagang</t>
  </si>
  <si>
    <t>total persediaan</t>
  </si>
  <si>
    <t>total harta tetap tidak berwujud</t>
  </si>
  <si>
    <t>total harta lainnya</t>
  </si>
  <si>
    <t>total hutang lancar</t>
  </si>
  <si>
    <t>total pendapatan yg diterima dimuka</t>
  </si>
  <si>
    <t>total hutang jangka panjang</t>
  </si>
  <si>
    <t>total modal</t>
  </si>
  <si>
    <t>total laba</t>
  </si>
  <si>
    <t>TOTAL HARTA</t>
  </si>
  <si>
    <t>TOTAL KEWAJIBAN</t>
  </si>
  <si>
    <t>TOTAL MODAL</t>
  </si>
  <si>
    <t>TOTAL KEWAJIBAN DAN MODAL</t>
  </si>
  <si>
    <t>id_sub_departemen</t>
  </si>
  <si>
    <t>Cash Activities Type</t>
  </si>
  <si>
    <t>Cash Activities No</t>
  </si>
  <si>
    <t>Cash Activities Date</t>
  </si>
  <si>
    <t>Cash Account</t>
  </si>
  <si>
    <t>company</t>
  </si>
  <si>
    <t>pembayaran gaji</t>
  </si>
  <si>
    <t>checkbox_pajak_gaji</t>
  </si>
  <si>
    <t>id_Proyek</t>
  </si>
  <si>
    <t>Pemesan_kontak</t>
  </si>
  <si>
    <t>id_kontak_PIC</t>
  </si>
  <si>
    <t>id_kontak_pemesan</t>
  </si>
  <si>
    <t>PIC_kontak</t>
  </si>
  <si>
    <t>nilai_proyek</t>
  </si>
  <si>
    <t>Sales Down Payment</t>
  </si>
  <si>
    <t>Received Post-Dated Cheque</t>
  </si>
  <si>
    <t>Post-Dated Cheque Issuance</t>
  </si>
  <si>
    <t>type unit</t>
  </si>
  <si>
    <t>ARUS KAS</t>
  </si>
  <si>
    <t>klasifikasi_akun</t>
  </si>
  <si>
    <t>id_default_mata_uang</t>
  </si>
  <si>
    <t>penjualan service 1</t>
  </si>
  <si>
    <t>biaya custom 1</t>
  </si>
  <si>
    <t>skenario saldo awal</t>
  </si>
  <si>
    <t>perusahaan buka per 1 jan 2018, mulai transaksi 1 jun 2018</t>
  </si>
  <si>
    <t>id_type_produk</t>
  </si>
  <si>
    <t>tanggal_order_pembelian</t>
  </si>
  <si>
    <t>saldo_item</t>
  </si>
  <si>
    <t>pembayaran beli barang</t>
  </si>
  <si>
    <t>beli iPhone</t>
  </si>
  <si>
    <t>beli casing</t>
  </si>
  <si>
    <t>beli iPhone II</t>
  </si>
  <si>
    <t>jual iPhone</t>
  </si>
  <si>
    <t>beli iPhone III</t>
  </si>
  <si>
    <t>pembayaran beli barang 3</t>
  </si>
  <si>
    <t>id_retur_pembelian</t>
  </si>
  <si>
    <t>no_retur_pembelian</t>
  </si>
  <si>
    <t>tanggal_retur_pembelian</t>
  </si>
  <si>
    <t>retur iPhone III</t>
  </si>
  <si>
    <t>checkbox_transaksi</t>
  </si>
  <si>
    <t>checkbox_outstanding</t>
  </si>
  <si>
    <t>hidden</t>
  </si>
  <si>
    <t>checkbox_transaksi dan checkbox_outstanding hanya ada utk pelanggan</t>
  </si>
  <si>
    <t>saldo_hutang</t>
  </si>
  <si>
    <t>saldo_piutang</t>
  </si>
  <si>
    <t>pengembalian retur</t>
  </si>
  <si>
    <t>pembayaran invoice</t>
  </si>
  <si>
    <t>jual casing</t>
  </si>
  <si>
    <t>transaksi SO</t>
  </si>
  <si>
    <t>pembayaran SJ000003</t>
  </si>
  <si>
    <t>pembayaran SJ000003 (part 2 pake giro)</t>
  </si>
  <si>
    <t>BCA</t>
  </si>
  <si>
    <t>pembayaran beli barang 2 (pake giro)</t>
  </si>
  <si>
    <t>cashflow flag</t>
  </si>
  <si>
    <t>pada programming, di set up memfilter flag bank/kas, mendarat disini udah ada flag ny</t>
  </si>
  <si>
    <t>total_beli</t>
  </si>
  <si>
    <t>total_jual</t>
  </si>
  <si>
    <t>vendor no 1</t>
  </si>
  <si>
    <t>real_record_time</t>
  </si>
  <si>
    <t>Closing Type</t>
  </si>
  <si>
    <t>id_order_penyusutan</t>
  </si>
  <si>
    <t>id_periode_akutansi</t>
  </si>
  <si>
    <t>dep monthly</t>
  </si>
  <si>
    <t>closing type : 0=monthly ; 1=yearly</t>
  </si>
  <si>
    <t>id_dropdown_payment_cash activity</t>
  </si>
  <si>
    <t>Debit</t>
  </si>
  <si>
    <t>Kredit</t>
  </si>
  <si>
    <t>Saldo Debit</t>
  </si>
  <si>
    <t>Saldo Kredit</t>
  </si>
  <si>
    <t>Completed</t>
  </si>
  <si>
    <t>real reconging time</t>
  </si>
  <si>
    <t>id_periode_transaksi</t>
  </si>
  <si>
    <t>id_dropdown_payment_cash_activity</t>
  </si>
  <si>
    <t>.000001</t>
  </si>
  <si>
    <t>.000002</t>
  </si>
  <si>
    <t>.000003</t>
  </si>
  <si>
    <t>.000004</t>
  </si>
  <si>
    <t>.000005</t>
  </si>
  <si>
    <t>id_Cash Activities</t>
  </si>
  <si>
    <t>no_Cash Activities</t>
  </si>
  <si>
    <t>real record time</t>
  </si>
  <si>
    <t>dari form</t>
  </si>
  <si>
    <t>dari order</t>
  </si>
  <si>
    <t xml:space="preserve">id_referal_transaksi
</t>
  </si>
  <si>
    <t>CIn</t>
  </si>
  <si>
    <t>Cout</t>
  </si>
  <si>
    <t>TR</t>
  </si>
  <si>
    <t>Cash In</t>
  </si>
  <si>
    <t>Cash Out</t>
  </si>
  <si>
    <t>Transfer</t>
  </si>
  <si>
    <t>kas keluar</t>
  </si>
  <si>
    <t>kas masuk</t>
  </si>
  <si>
    <t>transfer dana</t>
  </si>
  <si>
    <t>id_order_transaksi_cash</t>
  </si>
  <si>
    <t>pulldown_Cash_Activities</t>
  </si>
  <si>
    <t>memberikan pinjaman 1</t>
  </si>
  <si>
    <t>memberikan pinjaman 2</t>
  </si>
  <si>
    <t>memberikan pinjaman 3</t>
  </si>
  <si>
    <t>id_modul</t>
  </si>
  <si>
    <t>v</t>
  </si>
  <si>
    <t>NIAGA</t>
  </si>
  <si>
    <t>bayar pinjaman</t>
  </si>
  <si>
    <t>beri pinjaman giro</t>
  </si>
  <si>
    <t>NAGARI</t>
  </si>
  <si>
    <t>pembayaran pinjaman dgn giro</t>
  </si>
  <si>
    <t>pencairan giro masuk</t>
  </si>
  <si>
    <t>pencairan giro keluar</t>
  </si>
  <si>
    <t>membayar dana pinjaman</t>
  </si>
  <si>
    <t>mendapat dana pinjaman</t>
  </si>
  <si>
    <t>.000006</t>
  </si>
  <si>
    <t>CIMORI</t>
  </si>
  <si>
    <t>mendapat pinjaman dgn giro</t>
  </si>
  <si>
    <t>DUBAI</t>
  </si>
  <si>
    <t>membayar pinjaman dgn giro</t>
  </si>
  <si>
    <t>transfer bank ke kas</t>
  </si>
  <si>
    <t>pulldown_RP&amp;P</t>
  </si>
  <si>
    <t>pembayaran SJ.000001</t>
  </si>
  <si>
    <t>pembayaran SJ.000003 dgn giro</t>
  </si>
  <si>
    <t>retur penjualan SJ.000003</t>
  </si>
  <si>
    <t>current date</t>
  </si>
  <si>
    <t>umur hutang / piutang (bulan)</t>
  </si>
  <si>
    <t>hari</t>
  </si>
  <si>
    <t>real_recording_time</t>
  </si>
  <si>
    <t>terima pembayaran pinjaman 2 (part 2)</t>
  </si>
  <si>
    <t>terima pembayaran pinjaman 2 (part 1)</t>
  </si>
  <si>
    <t>pembayaran PJ.000004</t>
  </si>
  <si>
    <t>pembayaran bertahap SJ.000003</t>
  </si>
  <si>
    <t>pembayaran bertahap PJ.000001</t>
  </si>
  <si>
    <t>pembayaran PJ.000001 dgn giro</t>
  </si>
  <si>
    <t>pengembalian retur PR.000001</t>
  </si>
  <si>
    <t>memberikan pinjaman dr akun bank</t>
  </si>
  <si>
    <t>pengembalian retur SJ.000003</t>
  </si>
  <si>
    <t>sales berurut</t>
  </si>
  <si>
    <t>biaya tambahan</t>
  </si>
  <si>
    <t>beli tambahan casing</t>
  </si>
  <si>
    <t>DO-SJ</t>
  </si>
  <si>
    <t>transaksi dollar</t>
  </si>
  <si>
    <t>.000007</t>
  </si>
  <si>
    <t>term pembayaran</t>
  </si>
  <si>
    <t>???</t>
  </si>
  <si>
    <t>.000008</t>
  </si>
  <si>
    <t>.000009</t>
  </si>
  <si>
    <t>beli konsinyasi</t>
  </si>
  <si>
    <t>retur konsinyasi</t>
  </si>
  <si>
    <t>.000010</t>
  </si>
  <si>
    <t>sewa mobil</t>
  </si>
  <si>
    <t>transfer barang</t>
  </si>
  <si>
    <t>Calendar_type</t>
  </si>
  <si>
    <t>terima jadi dr itungan vendor</t>
  </si>
  <si>
    <t>cicilan 1</t>
  </si>
  <si>
    <t>cicilan 2</t>
  </si>
  <si>
    <t>barang rusak</t>
  </si>
  <si>
    <t>FIELD</t>
  </si>
  <si>
    <t>FORM RELATED FIELD</t>
  </si>
  <si>
    <t>SAMPLE</t>
  </si>
  <si>
    <t>15.1</t>
  </si>
  <si>
    <t>ORDER FIELD</t>
  </si>
  <si>
    <t>18.2</t>
  </si>
  <si>
    <t>Delivery Order</t>
  </si>
  <si>
    <t>25.1</t>
  </si>
  <si>
    <t>Invoice</t>
  </si>
  <si>
    <t>DO.000001</t>
  </si>
  <si>
    <t>7.4</t>
  </si>
  <si>
    <t>id_transaksi</t>
  </si>
  <si>
    <t>DK</t>
  </si>
  <si>
    <t>DebitKredit</t>
  </si>
  <si>
    <t>order hutang &amp; piutang</t>
  </si>
  <si>
    <t>id_modul_transaksi</t>
  </si>
  <si>
    <t>id_origin</t>
  </si>
  <si>
    <t>id_transaksi_payment_cash_activity</t>
  </si>
  <si>
    <t>id_nomor_transaksi</t>
  </si>
  <si>
    <t>id_asset_category</t>
  </si>
  <si>
    <t>time based unit</t>
  </si>
  <si>
    <t>n+1 calculation</t>
  </si>
  <si>
    <t>Calendar</t>
  </si>
  <si>
    <t>check_box_kalender</t>
  </si>
  <si>
    <t xml:space="preserve"> </t>
  </si>
  <si>
    <t>None</t>
  </si>
  <si>
    <t>entry date</t>
  </si>
  <si>
    <t>tanggal entry</t>
  </si>
  <si>
    <t>no_transaksi</t>
  </si>
  <si>
    <t>OPERATING ACTIVITIES</t>
  </si>
  <si>
    <t>FINANCING ACTIVITIES</t>
  </si>
  <si>
    <t>total pendapatan luar usaha</t>
  </si>
  <si>
    <t>total pengeluaran luar usaha</t>
  </si>
  <si>
    <t>TOTAL OPERATING ACTIVITIES</t>
  </si>
  <si>
    <t>TOTAL FINANCING ACTIVITIES</t>
  </si>
  <si>
    <t>TOTAL KELUAR/MASUK KAS</t>
  </si>
  <si>
    <t>SALDO AWAL</t>
  </si>
  <si>
    <t>SALDO AKHIR</t>
  </si>
  <si>
    <t>pendapatan lainnya</t>
  </si>
  <si>
    <t>32.33</t>
  </si>
  <si>
    <t>32.33.34</t>
  </si>
  <si>
    <t>35.36</t>
  </si>
  <si>
    <t>35.36.37</t>
  </si>
  <si>
    <t>29.30</t>
  </si>
  <si>
    <t>29.30.31</t>
  </si>
  <si>
    <t>38.40</t>
  </si>
  <si>
    <t>38.40.41</t>
  </si>
  <si>
    <t>38.42</t>
  </si>
  <si>
    <t>38.42.43</t>
  </si>
  <si>
    <t>total biaya lain</t>
  </si>
  <si>
    <t>total biaya non operasional</t>
  </si>
  <si>
    <t>arus kas merupakan kumpulan data rekening perkiraan yg berhadapan/bersinggungan dengan semua akun yg bersifat "kas/bank" (ini dapat ditentukan saat create akun rekening perkiraan (level 4), dengan cara memilih radio button "kas/bank"</t>
  </si>
  <si>
    <t>Laba Rugi merupakan kumpulan rekening perkiraan (level 4) yg dikelompokan berdasarkan akun indukny (level 1) (yaitu : pendapatan, biaya atas pendapatan, pengeluaran operasional, pendapatan lain, pengeluaran lain) yg kemudian "dijumlah" yg kemudian akan menghasilkan angka yg disebut dengan "laba tahun berjalan" pada laporan neraca.</t>
  </si>
  <si>
    <t>Neraca merupakan kumpulan rekening perkiraan (level 4) yg dikelompokan berdasarkan akun indukny (level 1) (yaitu : harta VS kewajiban + modal), yg mana total "harta" akan memiliki jumlah yg sama dengan "kewajiban + modal"</t>
  </si>
  <si>
    <t>iphone11s</t>
  </si>
  <si>
    <t>pais</t>
  </si>
  <si>
    <t>purchase</t>
  </si>
  <si>
    <t>retun</t>
  </si>
  <si>
    <t>outstanding</t>
  </si>
  <si>
    <t>paid-out</t>
  </si>
  <si>
    <t xml:space="preserve">aktif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</si>
</sst>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164" formatCode="&quot;Rp&quot;#,##0.00;[Red]\-&quot;Rp&quot;#,##0.00"/>
    <numFmt numFmtId="165" formatCode="dd/mm/yyyy;@"/>
    <numFmt numFmtId="166" formatCode="&quot;Rp&quot;#,##0"/>
    <numFmt numFmtId="167" formatCode="[$IDR]\ #,##0.00"/>
    <numFmt numFmtId="168" formatCode="0.0"/>
    <numFmt numFmtId="169" formatCode="[$-421]dd\ mmmm\ yyyy;@"/>
    <numFmt numFmtId="170" formatCode="[$-13809]dd/mm/yyyy;@"/>
    <numFmt numFmtId="171" formatCode="[$$-409]#,##0"/>
    <numFmt numFmtId="172" formatCode="[$-F800]dddd\,\ mmmm\ dd\,\ yyyy"/>
  </numFmts>
  <fonts count="21" x14ac:knownFonts="1"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sz val="11"/>
      <color rgb="FF22222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4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0" borderId="0" xfId="0" applyFont="1"/>
    <xf numFmtId="0" fontId="10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9" fillId="8" borderId="0" xfId="0" applyFont="1" applyFill="1"/>
    <xf numFmtId="0" fontId="0" fillId="8" borderId="0" xfId="0" applyFill="1"/>
    <xf numFmtId="0" fontId="9" fillId="8" borderId="2" xfId="0" applyFont="1" applyFill="1" applyBorder="1" applyAlignment="1">
      <alignment horizontal="right" vertical="center"/>
    </xf>
    <xf numFmtId="0" fontId="9" fillId="8" borderId="0" xfId="0" applyFont="1" applyFill="1" applyAlignment="1">
      <alignment horizontal="right" vertical="center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9" fillId="9" borderId="0" xfId="0" applyFont="1" applyFill="1"/>
    <xf numFmtId="0" fontId="9" fillId="9" borderId="2" xfId="0" applyFont="1" applyFill="1" applyBorder="1" applyAlignment="1">
      <alignment horizontal="right" vertical="center"/>
    </xf>
    <xf numFmtId="0" fontId="9" fillId="9" borderId="0" xfId="0" applyFont="1" applyFill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0" borderId="0" xfId="0" applyFont="1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12" borderId="0" xfId="0" applyFill="1"/>
    <xf numFmtId="0" fontId="5" fillId="0" borderId="0" xfId="0" applyFont="1"/>
    <xf numFmtId="0" fontId="13" fillId="0" borderId="0" xfId="0" applyFont="1"/>
    <xf numFmtId="0" fontId="14" fillId="0" borderId="0" xfId="0" applyFont="1"/>
    <xf numFmtId="0" fontId="4" fillId="0" borderId="0" xfId="0" applyFont="1"/>
    <xf numFmtId="0" fontId="12" fillId="8" borderId="0" xfId="0" applyFont="1" applyFill="1"/>
    <xf numFmtId="0" fontId="12" fillId="9" borderId="0" xfId="0" applyFont="1" applyFill="1"/>
    <xf numFmtId="0" fontId="4" fillId="13" borderId="0" xfId="0" applyFont="1" applyFill="1"/>
    <xf numFmtId="0" fontId="0" fillId="13" borderId="0" xfId="0" applyFill="1" applyAlignment="1">
      <alignment horizontal="right" vertical="center"/>
    </xf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1" fillId="0" borderId="0" xfId="0" applyFont="1"/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166" fontId="0" fillId="17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6" fontId="0" fillId="18" borderId="1" xfId="0" applyNumberFormat="1" applyFill="1" applyBorder="1" applyAlignment="1">
      <alignment horizontal="center" vertical="center"/>
    </xf>
    <xf numFmtId="14" fontId="0" fillId="18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4" fontId="5" fillId="1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left" vertical="center"/>
    </xf>
    <xf numFmtId="166" fontId="5" fillId="1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166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14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166" fontId="5" fillId="18" borderId="1" xfId="0" applyNumberFormat="1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14" fontId="5" fillId="20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left" vertical="center"/>
    </xf>
    <xf numFmtId="166" fontId="5" fillId="20" borderId="1" xfId="0" applyNumberFormat="1" applyFont="1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4" fontId="0" fillId="2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66" fontId="0" fillId="21" borderId="1" xfId="0" applyNumberFormat="1" applyFill="1" applyBorder="1" applyAlignment="1">
      <alignment horizontal="center" vertical="center"/>
    </xf>
    <xf numFmtId="14" fontId="0" fillId="21" borderId="1" xfId="0" applyNumberForma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166" fontId="0" fillId="21" borderId="0" xfId="0" applyNumberFormat="1" applyFill="1" applyAlignment="1">
      <alignment horizontal="center" vertical="center"/>
    </xf>
    <xf numFmtId="14" fontId="0" fillId="21" borderId="0" xfId="0" applyNumberFormat="1" applyFill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14" fontId="5" fillId="21" borderId="1" xfId="0" applyNumberFormat="1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/>
    </xf>
    <xf numFmtId="166" fontId="5" fillId="21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1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6" fontId="0" fillId="2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14" fontId="0" fillId="21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166" fontId="0" fillId="20" borderId="0" xfId="0" applyNumberFormat="1" applyFont="1" applyFill="1" applyAlignment="1">
      <alignment horizontal="center" vertical="center"/>
    </xf>
    <xf numFmtId="14" fontId="0" fillId="2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6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20" borderId="9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20" borderId="0" xfId="0" applyNumberFormat="1" applyFill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14" fontId="5" fillId="20" borderId="8" xfId="0" applyNumberFormat="1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left" vertical="center"/>
    </xf>
    <xf numFmtId="166" fontId="5" fillId="20" borderId="8" xfId="0" applyNumberFormat="1" applyFont="1" applyFill="1" applyBorder="1" applyAlignment="1">
      <alignment horizontal="center" vertical="center"/>
    </xf>
    <xf numFmtId="0" fontId="5" fillId="20" borderId="11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66" fontId="0" fillId="10" borderId="7" xfId="0" applyNumberForma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166" fontId="0" fillId="14" borderId="7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66" fontId="0" fillId="22" borderId="1" xfId="0" applyNumberFormat="1" applyFill="1" applyBorder="1" applyAlignment="1">
      <alignment horizontal="center" vertical="center"/>
    </xf>
    <xf numFmtId="14" fontId="0" fillId="2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166" fontId="5" fillId="0" borderId="8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9" fontId="0" fillId="2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171" fontId="5" fillId="20" borderId="1" xfId="0" applyNumberFormat="1" applyFont="1" applyFill="1" applyBorder="1" applyAlignment="1">
      <alignment horizontal="center" vertical="center"/>
    </xf>
    <xf numFmtId="171" fontId="5" fillId="2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166" fontId="5" fillId="10" borderId="1" xfId="0" applyNumberFormat="1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0" fillId="16" borderId="0" xfId="0" applyNumberForma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0" fillId="9" borderId="0" xfId="0" applyNumberFormat="1" applyFill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9" fillId="9" borderId="0" xfId="0" applyFont="1" applyFill="1" applyBorder="1" applyAlignment="1">
      <alignment horizontal="right" vertical="center"/>
    </xf>
    <xf numFmtId="0" fontId="19" fillId="9" borderId="0" xfId="0" applyFont="1" applyFill="1"/>
    <xf numFmtId="0" fontId="19" fillId="8" borderId="0" xfId="0" applyFont="1" applyFill="1"/>
    <xf numFmtId="0" fontId="20" fillId="9" borderId="0" xfId="0" applyFont="1" applyFill="1"/>
    <xf numFmtId="0" fontId="20" fillId="8" borderId="0" xfId="0" applyFont="1" applyFill="1"/>
    <xf numFmtId="0" fontId="0" fillId="9" borderId="3" xfId="0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0" borderId="0" xfId="0" applyFill="1"/>
    <xf numFmtId="166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7B7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415637</xdr:colOff>
      <xdr:row>10</xdr:row>
      <xdr:rowOff>86590</xdr:rowOff>
    </xdr:from>
    <xdr:to>
      <xdr:col>3</xdr:col>
      <xdr:colOff>467591</xdr:colOff>
      <xdr:row>89</xdr:row>
      <xdr:rowOff>121227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FCC91CF-A0CE-40CF-B6CB-F243ECAEF08C}"/>
            </a:ext>
          </a:extLst>
        </xdr:cNvPr>
        <xdr:cNvCxnSpPr/>
      </xdr:nvCxnSpPr>
      <xdr:spPr>
        <a:xfrm>
          <a:off x="4779819" y="2043545"/>
          <a:ext cx="51954" cy="1508413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602674</xdr:colOff>
      <xdr:row>7</xdr:row>
      <xdr:rowOff>83126</xdr:rowOff>
    </xdr:from>
    <xdr:to>
      <xdr:col>3</xdr:col>
      <xdr:colOff>658091</xdr:colOff>
      <xdr:row>88</xdr:row>
      <xdr:rowOff>121227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37E2DA1A-8F4F-4A4A-86A7-58ADE3140340}"/>
            </a:ext>
          </a:extLst>
        </xdr:cNvPr>
        <xdr:cNvCxnSpPr/>
      </xdr:nvCxnSpPr>
      <xdr:spPr>
        <a:xfrm>
          <a:off x="4966856" y="1468581"/>
          <a:ext cx="55417" cy="15468601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703120</xdr:colOff>
      <xdr:row>6</xdr:row>
      <xdr:rowOff>62344</xdr:rowOff>
    </xdr:from>
    <xdr:to>
      <xdr:col>3</xdr:col>
      <xdr:colOff>779318</xdr:colOff>
      <xdr:row>88</xdr:row>
      <xdr:rowOff>121227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81A3BCC-2D72-4C84-932D-F199BFC822B5}"/>
            </a:ext>
          </a:extLst>
        </xdr:cNvPr>
        <xdr:cNvCxnSpPr/>
      </xdr:nvCxnSpPr>
      <xdr:spPr>
        <a:xfrm>
          <a:off x="5067302" y="1257299"/>
          <a:ext cx="76198" cy="1567988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398318</xdr:colOff>
      <xdr:row>16</xdr:row>
      <xdr:rowOff>103909</xdr:rowOff>
    </xdr:from>
    <xdr:to>
      <xdr:col>8</xdr:col>
      <xdr:colOff>446809</xdr:colOff>
      <xdr:row>89</xdr:row>
      <xdr:rowOff>100446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7C2BE97-489E-44BD-9152-3984EEB6E0F4}"/>
            </a:ext>
          </a:extLst>
        </xdr:cNvPr>
        <xdr:cNvCxnSpPr/>
      </xdr:nvCxnSpPr>
      <xdr:spPr>
        <a:xfrm>
          <a:off x="10564091" y="3203864"/>
          <a:ext cx="48491" cy="1390303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581892</xdr:colOff>
      <xdr:row>7</xdr:row>
      <xdr:rowOff>79663</xdr:rowOff>
    </xdr:from>
    <xdr:to>
      <xdr:col>8</xdr:col>
      <xdr:colOff>623454</xdr:colOff>
      <xdr:row>88</xdr:row>
      <xdr:rowOff>103909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A787BDA4-48C2-4941-813F-DCC0C2039E34}"/>
            </a:ext>
          </a:extLst>
        </xdr:cNvPr>
        <xdr:cNvCxnSpPr/>
      </xdr:nvCxnSpPr>
      <xdr:spPr>
        <a:xfrm>
          <a:off x="10747665" y="1465118"/>
          <a:ext cx="41562" cy="15454746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682338</xdr:colOff>
      <xdr:row>6</xdr:row>
      <xdr:rowOff>58881</xdr:rowOff>
    </xdr:from>
    <xdr:to>
      <xdr:col>8</xdr:col>
      <xdr:colOff>758536</xdr:colOff>
      <xdr:row>88</xdr:row>
      <xdr:rowOff>117764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EB0669A-0CFB-4145-B0C6-0A90DC7D6584}"/>
            </a:ext>
          </a:extLst>
        </xdr:cNvPr>
        <xdr:cNvCxnSpPr/>
      </xdr:nvCxnSpPr>
      <xdr:spPr>
        <a:xfrm>
          <a:off x="10848111" y="1253836"/>
          <a:ext cx="76198" cy="1567988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432954</xdr:colOff>
      <xdr:row>10</xdr:row>
      <xdr:rowOff>103909</xdr:rowOff>
    </xdr:from>
    <xdr:to>
      <xdr:col>7</xdr:col>
      <xdr:colOff>1558637</xdr:colOff>
      <xdr:row>16</xdr:row>
      <xdr:rowOff>103909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7786D45-5CB0-482B-B40B-205A17CE932E}"/>
            </a:ext>
          </a:extLst>
        </xdr:cNvPr>
        <xdr:cNvCxnSpPr/>
      </xdr:nvCxnSpPr>
      <xdr:spPr>
        <a:xfrm>
          <a:off x="4797136" y="2060864"/>
          <a:ext cx="5351319" cy="114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377535</xdr:colOff>
      <xdr:row>16</xdr:row>
      <xdr:rowOff>103909</xdr:rowOff>
    </xdr:from>
    <xdr:to>
      <xdr:col>11</xdr:col>
      <xdr:colOff>1662545</xdr:colOff>
      <xdr:row>16</xdr:row>
      <xdr:rowOff>117764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C74B24F-0DDB-4329-8D19-1ED8A4BC235B}"/>
            </a:ext>
          </a:extLst>
        </xdr:cNvPr>
        <xdr:cNvCxnSpPr/>
      </xdr:nvCxnSpPr>
      <xdr:spPr>
        <a:xfrm flipV="1">
          <a:off x="10543308" y="3203864"/>
          <a:ext cx="6238010" cy="1385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1166750</xdr:colOff>
      <xdr:row>6</xdr:row>
      <xdr:rowOff>111579</xdr:rowOff>
    </xdr:from>
    <xdr:to>
      <xdr:col>7</xdr:col>
      <xdr:colOff>1496786</xdr:colOff>
      <xdr:row>14</xdr:row>
      <xdr:rowOff>108857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35AD7051-8B21-4A1F-A2E6-C40AAD933940}"/>
            </a:ext>
          </a:extLst>
        </xdr:cNvPr>
        <xdr:cNvCxnSpPr/>
      </xdr:nvCxnSpPr>
      <xdr:spPr>
        <a:xfrm>
          <a:off x="5534643" y="1309008"/>
          <a:ext cx="5419107" cy="1521278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1033399</xdr:colOff>
      <xdr:row>6</xdr:row>
      <xdr:rowOff>114301</xdr:rowOff>
    </xdr:from>
    <xdr:to>
      <xdr:col>11</xdr:col>
      <xdr:colOff>1605643</xdr:colOff>
      <xdr:row>14</xdr:row>
      <xdr:rowOff>108857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20A1CEB4-8F4D-4DCF-A572-41BD232E0BF3}"/>
            </a:ext>
          </a:extLst>
        </xdr:cNvPr>
        <xdr:cNvCxnSpPr/>
      </xdr:nvCxnSpPr>
      <xdr:spPr>
        <a:xfrm>
          <a:off x="12068792" y="1311730"/>
          <a:ext cx="5538851" cy="1518556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75456</xdr:colOff>
      <xdr:row>89</xdr:row>
      <xdr:rowOff>93010</xdr:rowOff>
    </xdr:from>
    <xdr:to>
      <xdr:col>7</xdr:col>
      <xdr:colOff>1574529</xdr:colOff>
      <xdr:row>89</xdr:row>
      <xdr:rowOff>101436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FF724BB-AFF1-41EC-8ADE-99CD277218AD}"/>
            </a:ext>
          </a:extLst>
        </xdr:cNvPr>
        <xdr:cNvCxnSpPr/>
      </xdr:nvCxnSpPr>
      <xdr:spPr>
        <a:xfrm flipV="1">
          <a:off x="5885706" y="17101939"/>
          <a:ext cx="5145787" cy="84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64570</xdr:colOff>
      <xdr:row>89</xdr:row>
      <xdr:rowOff>82124</xdr:rowOff>
    </xdr:from>
    <xdr:to>
      <xdr:col>11</xdr:col>
      <xdr:colOff>1686107</xdr:colOff>
      <xdr:row>89</xdr:row>
      <xdr:rowOff>90550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672428D-A1C1-4C2F-9424-8DD68BADA7EF}"/>
            </a:ext>
          </a:extLst>
        </xdr:cNvPr>
        <xdr:cNvCxnSpPr/>
      </xdr:nvCxnSpPr>
      <xdr:spPr>
        <a:xfrm flipV="1">
          <a:off x="12542320" y="17091053"/>
          <a:ext cx="5145787" cy="84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610344</xdr:colOff>
      <xdr:row>7</xdr:row>
      <xdr:rowOff>77189</xdr:rowOff>
    </xdr:from>
    <xdr:to>
      <xdr:col>12</xdr:col>
      <xdr:colOff>651906</xdr:colOff>
      <xdr:row>88</xdr:row>
      <xdr:rowOff>101435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97B7C5D0-5C60-4E15-B1DA-D6234A4F1419}"/>
            </a:ext>
          </a:extLst>
        </xdr:cNvPr>
        <xdr:cNvCxnSpPr/>
      </xdr:nvCxnSpPr>
      <xdr:spPr>
        <a:xfrm>
          <a:off x="18299630" y="1465118"/>
          <a:ext cx="41562" cy="15454746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710790</xdr:colOff>
      <xdr:row>6</xdr:row>
      <xdr:rowOff>56407</xdr:rowOff>
    </xdr:from>
    <xdr:to>
      <xdr:col>12</xdr:col>
      <xdr:colOff>786988</xdr:colOff>
      <xdr:row>88</xdr:row>
      <xdr:rowOff>115290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E554B4B2-1C8C-4A4F-B597-475D1EFD2294}"/>
            </a:ext>
          </a:extLst>
        </xdr:cNvPr>
        <xdr:cNvCxnSpPr/>
      </xdr:nvCxnSpPr>
      <xdr:spPr>
        <a:xfrm>
          <a:off x="18400076" y="1253836"/>
          <a:ext cx="76198" cy="1567988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405987</xdr:colOff>
      <xdr:row>16</xdr:row>
      <xdr:rowOff>115291</xdr:rowOff>
    </xdr:from>
    <xdr:to>
      <xdr:col>15</xdr:col>
      <xdr:colOff>1632857</xdr:colOff>
      <xdr:row>18</xdr:row>
      <xdr:rowOff>108857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2BC6B6D4-90AC-4816-9F0C-E3BFA2A8687D}"/>
            </a:ext>
          </a:extLst>
        </xdr:cNvPr>
        <xdr:cNvCxnSpPr/>
      </xdr:nvCxnSpPr>
      <xdr:spPr>
        <a:xfrm>
          <a:off x="18095273" y="3217720"/>
          <a:ext cx="6098227" cy="374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1061851</xdr:colOff>
      <xdr:row>6</xdr:row>
      <xdr:rowOff>111827</xdr:rowOff>
    </xdr:from>
    <xdr:to>
      <xdr:col>15</xdr:col>
      <xdr:colOff>1619250</xdr:colOff>
      <xdr:row>16</xdr:row>
      <xdr:rowOff>95250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73BBDD1C-C890-43CE-8425-A4C044502311}"/>
            </a:ext>
          </a:extLst>
        </xdr:cNvPr>
        <xdr:cNvCxnSpPr/>
      </xdr:nvCxnSpPr>
      <xdr:spPr>
        <a:xfrm>
          <a:off x="18751137" y="1309256"/>
          <a:ext cx="5428756" cy="1888423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112195</xdr:colOff>
      <xdr:row>89</xdr:row>
      <xdr:rowOff>97354</xdr:rowOff>
    </xdr:from>
    <xdr:to>
      <xdr:col>15</xdr:col>
      <xdr:colOff>1571625</xdr:colOff>
      <xdr:row>89</xdr:row>
      <xdr:rowOff>119062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7AD1350-63C6-45BE-9826-1DD1009617CF}"/>
            </a:ext>
          </a:extLst>
        </xdr:cNvPr>
        <xdr:cNvCxnSpPr/>
      </xdr:nvCxnSpPr>
      <xdr:spPr>
        <a:xfrm>
          <a:off x="19352695" y="17099479"/>
          <a:ext cx="4793180" cy="2170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997261</xdr:colOff>
      <xdr:row>7</xdr:row>
      <xdr:rowOff>81922</xdr:rowOff>
    </xdr:from>
    <xdr:to>
      <xdr:col>16</xdr:col>
      <xdr:colOff>1038823</xdr:colOff>
      <xdr:row>88</xdr:row>
      <xdr:rowOff>106168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973A298-CA3A-418F-80A5-DF035930890E}"/>
            </a:ext>
          </a:extLst>
        </xdr:cNvPr>
        <xdr:cNvCxnSpPr/>
      </xdr:nvCxnSpPr>
      <xdr:spPr>
        <a:xfrm>
          <a:off x="25273587" y="1465118"/>
          <a:ext cx="41562" cy="15454746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1097707</xdr:colOff>
      <xdr:row>6</xdr:row>
      <xdr:rowOff>61140</xdr:rowOff>
    </xdr:from>
    <xdr:to>
      <xdr:col>16</xdr:col>
      <xdr:colOff>1173905</xdr:colOff>
      <xdr:row>88</xdr:row>
      <xdr:rowOff>120023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17579E80-619B-40B0-88FC-FF298E9F2551}"/>
            </a:ext>
          </a:extLst>
        </xdr:cNvPr>
        <xdr:cNvCxnSpPr/>
      </xdr:nvCxnSpPr>
      <xdr:spPr>
        <a:xfrm>
          <a:off x="25374033" y="1253836"/>
          <a:ext cx="76198" cy="15679883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121228</xdr:colOff>
      <xdr:row>2</xdr:row>
      <xdr:rowOff>0</xdr:rowOff>
    </xdr:from>
    <xdr:to>
      <xdr:col>6</xdr:col>
      <xdr:colOff>2008909</xdr:colOff>
      <xdr:row>2</xdr:row>
      <xdr:rowOff>17318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2E5B167-A51A-45CC-8E58-9AAAAB042ECD}"/>
            </a:ext>
          </a:extLst>
        </xdr:cNvPr>
        <xdr:cNvCxnSpPr/>
      </xdr:nvCxnSpPr>
      <xdr:spPr>
        <a:xfrm flipV="1">
          <a:off x="4485410" y="381000"/>
          <a:ext cx="4797135" cy="17318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103909</xdr:colOff>
      <xdr:row>2</xdr:row>
      <xdr:rowOff>0</xdr:rowOff>
    </xdr:from>
    <xdr:to>
      <xdr:col>10</xdr:col>
      <xdr:colOff>2857499</xdr:colOff>
      <xdr:row>2</xdr:row>
      <xdr:rowOff>17318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64F1959A-A8FC-48B8-AAED-BEB8CD0836E3}"/>
            </a:ext>
          </a:extLst>
        </xdr:cNvPr>
        <xdr:cNvCxnSpPr/>
      </xdr:nvCxnSpPr>
      <xdr:spPr>
        <a:xfrm flipV="1">
          <a:off x="11135591" y="381000"/>
          <a:ext cx="4797135" cy="17318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277091</xdr:colOff>
      <xdr:row>2</xdr:row>
      <xdr:rowOff>0</xdr:rowOff>
    </xdr:from>
    <xdr:to>
      <xdr:col>14</xdr:col>
      <xdr:colOff>2632362</xdr:colOff>
      <xdr:row>2</xdr:row>
      <xdr:rowOff>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5CDE7FF4-C481-4CBA-81FA-3A12314078AA}"/>
            </a:ext>
          </a:extLst>
        </xdr:cNvPr>
        <xdr:cNvCxnSpPr/>
      </xdr:nvCxnSpPr>
      <xdr:spPr>
        <a:xfrm>
          <a:off x="17941636" y="381000"/>
          <a:ext cx="4520044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dodikusuma@yahoo.co.id" TargetMode="External"/><Relationship Id="rId3" Type="http://schemas.openxmlformats.org/officeDocument/2006/relationships/hyperlink" Target="mailto:rahmat.ph@gmail.com" TargetMode="External"/><Relationship Id="rId7" Type="http://schemas.openxmlformats.org/officeDocument/2006/relationships/hyperlink" Target="mailto:djayakusuma@gmail.com" TargetMode="External"/><Relationship Id="rId2" Type="http://schemas.openxmlformats.org/officeDocument/2006/relationships/hyperlink" Target="mailto:yuli_hendarto@yahoo.com" TargetMode="External"/><Relationship Id="rId1" Type="http://schemas.openxmlformats.org/officeDocument/2006/relationships/hyperlink" Target="mailto:dhadan33@gmail.com" TargetMode="External"/><Relationship Id="rId6" Type="http://schemas.openxmlformats.org/officeDocument/2006/relationships/hyperlink" Target="mailto:yusril@gmail.com" TargetMode="External"/><Relationship Id="rId5" Type="http://schemas.openxmlformats.org/officeDocument/2006/relationships/hyperlink" Target="mailto:giselatria91@yahoo.com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mailto:maharani.deafitri@yahoo.com" TargetMode="External"/><Relationship Id="rId9" Type="http://schemas.openxmlformats.org/officeDocument/2006/relationships/hyperlink" Target="mailto:supriatna@rocket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mailto:sinyaliti@gmail.com" TargetMode="External"/><Relationship Id="rId1" Type="http://schemas.openxmlformats.org/officeDocument/2006/relationships/hyperlink" Target="mailto:sinyaliti.service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>
    <tabColor rgb="FF00B050"/>
  </sheetPr>
  <dimension ref="A1:V4"/>
  <sheetViews>
    <sheetView topLeftCell="L1" zoomScale="115" zoomScaleNormal="115" workbookViewId="0">
      <selection activeCell="N2" sqref="N2"/>
    </sheetView>
  </sheetViews>
  <sheetFormatPr defaultColWidth="9.140625" defaultRowHeight="15" x14ac:dyDescent="0.25"/>
  <cols>
    <col min="1" max="1" width="13.42578125" style="1" bestFit="1" customWidth="1"/>
    <col min="2" max="2" width="22.85546875" style="1" bestFit="1" customWidth="1"/>
    <col min="3" max="3" width="19.42578125" style="1" bestFit="1" customWidth="1"/>
    <col min="4" max="4" width="9.42578125" style="1" bestFit="1" customWidth="1"/>
    <col min="5" max="5" width="8.85546875" style="1" bestFit="1" customWidth="1"/>
    <col min="6" max="6" width="14.140625" style="1" bestFit="1" customWidth="1"/>
    <col min="7" max="7" width="6.42578125" style="1" bestFit="1" customWidth="1"/>
    <col min="8" max="8" width="19" style="1" bestFit="1" customWidth="1"/>
    <col min="9" max="9" width="26.7109375" style="1" bestFit="1" customWidth="1"/>
    <col min="10" max="10" width="35.140625" style="1" bestFit="1" customWidth="1"/>
    <col min="11" max="11" width="35.7109375" style="1" bestFit="1" customWidth="1"/>
    <col min="12" max="12" width="26.7109375" style="1" bestFit="1" customWidth="1"/>
    <col min="13" max="13" width="29.7109375" style="1" bestFit="1" customWidth="1"/>
    <col min="14" max="14" width="30.28515625" style="1" bestFit="1" customWidth="1"/>
    <col min="15" max="15" width="9.7109375" style="1" bestFit="1" customWidth="1"/>
    <col min="16" max="16" width="16.85546875" style="1" bestFit="1" customWidth="1"/>
    <col min="17" max="17" width="17.28515625" style="1" bestFit="1" customWidth="1"/>
    <col min="18" max="18" width="11.42578125" style="1" bestFit="1" customWidth="1"/>
    <col min="19" max="19" width="9.85546875" style="1" bestFit="1" customWidth="1"/>
    <col min="20" max="20" width="14.42578125" style="1" bestFit="1" customWidth="1"/>
    <col min="21" max="22" width="10.140625" style="1" bestFit="1" customWidth="1"/>
    <col min="23" max="16384" width="9.140625" style="1"/>
  </cols>
  <sheetData>
    <row r="1" spans="1:22" x14ac:dyDescent="0.25">
      <c r="A1" s="1" t="s">
        <v>1311</v>
      </c>
      <c r="B1" s="1" t="s">
        <v>1312</v>
      </c>
      <c r="C1" s="1" t="s">
        <v>1313</v>
      </c>
      <c r="D1" s="1" t="s">
        <v>481</v>
      </c>
      <c r="E1" s="1" t="s">
        <v>24</v>
      </c>
      <c r="F1" s="1" t="s">
        <v>926</v>
      </c>
      <c r="G1" s="1" t="s">
        <v>920</v>
      </c>
      <c r="H1" s="1" t="s">
        <v>1314</v>
      </c>
      <c r="I1" s="1" t="s">
        <v>478</v>
      </c>
      <c r="J1" s="1" t="s">
        <v>57</v>
      </c>
      <c r="K1" s="1" t="s">
        <v>58</v>
      </c>
      <c r="L1" s="1" t="s">
        <v>1324</v>
      </c>
      <c r="M1" s="1" t="s">
        <v>1325</v>
      </c>
      <c r="N1" s="1" t="s">
        <v>1326</v>
      </c>
      <c r="O1" s="1" t="s">
        <v>394</v>
      </c>
      <c r="P1" s="1" t="s">
        <v>36</v>
      </c>
      <c r="Q1" s="1" t="s">
        <v>617</v>
      </c>
      <c r="R1" s="1" t="s">
        <v>1685</v>
      </c>
      <c r="S1" s="1" t="s">
        <v>46</v>
      </c>
      <c r="T1" s="1" t="s">
        <v>1327</v>
      </c>
      <c r="U1" s="1" t="s">
        <v>699</v>
      </c>
      <c r="V1" s="1" t="s">
        <v>566</v>
      </c>
    </row>
    <row r="2" spans="1:22" x14ac:dyDescent="0.25">
      <c r="A2" s="1">
        <v>1</v>
      </c>
      <c r="D2" s="1" t="s">
        <v>1317</v>
      </c>
      <c r="E2" s="1">
        <f>lokasi!A3</f>
        <v>1</v>
      </c>
      <c r="F2" s="1" t="str">
        <f>lokasi!B3</f>
        <v>cempaka putih</v>
      </c>
      <c r="G2" s="1" t="s">
        <v>1318</v>
      </c>
      <c r="H2" s="1">
        <v>89000001</v>
      </c>
      <c r="I2" s="1">
        <f>'order production input'!N2</f>
        <v>3</v>
      </c>
      <c r="J2" s="1">
        <f>'order finished produk'!L2</f>
        <v>14300000</v>
      </c>
      <c r="K2" s="1">
        <f>SUM('order production input'!M2+'order production input'!M3)</f>
        <v>14100000</v>
      </c>
      <c r="L2" s="1">
        <f>'order production custom'!K2</f>
        <v>26</v>
      </c>
      <c r="N2" s="1">
        <f>SUM('order production custom'!J2)</f>
        <v>200000</v>
      </c>
      <c r="O2" s="1">
        <f>kontak!A6</f>
        <v>4</v>
      </c>
      <c r="P2" s="1" t="str">
        <f>kontak!G6</f>
        <v>dea fitri maharani</v>
      </c>
      <c r="Q2" s="1">
        <f>'kode transaksi'!A29</f>
        <v>28</v>
      </c>
      <c r="R2" s="1" t="str">
        <f>CONCATENATE(Q2,".",A2)</f>
        <v>28.1</v>
      </c>
      <c r="U2" s="1">
        <f>K2+N2</f>
        <v>14300000</v>
      </c>
      <c r="V2" s="1">
        <f>J2</f>
        <v>14300000</v>
      </c>
    </row>
    <row r="3" spans="1:22" x14ac:dyDescent="0.25">
      <c r="A3" s="1">
        <v>2</v>
      </c>
    </row>
    <row r="4" spans="1:22" x14ac:dyDescent="0.25">
      <c r="A4" s="1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B13"/>
  <sheetViews>
    <sheetView zoomScaleNormal="100" workbookViewId="0">
      <selection activeCell="G15" sqref="G15"/>
    </sheetView>
  </sheetViews>
  <sheetFormatPr defaultColWidth="9.140625" defaultRowHeight="15" x14ac:dyDescent="0.25"/>
  <cols>
    <col min="1" max="1" width="11" style="1" bestFit="1" customWidth="1"/>
    <col min="2" max="2" width="18.7109375" style="1" bestFit="1" customWidth="1"/>
    <col min="3" max="3" width="12.42578125" style="256" bestFit="1" customWidth="1"/>
    <col min="4" max="4" width="15.7109375" style="1" bestFit="1" customWidth="1"/>
    <col min="5" max="5" width="15.85546875" style="1" bestFit="1" customWidth="1"/>
    <col min="6" max="6" width="14.42578125" style="1" bestFit="1" customWidth="1"/>
    <col min="7" max="7" width="18.28515625" style="1" bestFit="1" customWidth="1"/>
    <col min="8" max="8" width="14.85546875" style="1" bestFit="1" customWidth="1"/>
    <col min="9" max="9" width="27.42578125" style="1" bestFit="1" customWidth="1"/>
    <col min="10" max="10" width="20" style="1" bestFit="1" customWidth="1"/>
    <col min="11" max="11" width="20.7109375" style="1" bestFit="1" customWidth="1"/>
    <col min="12" max="12" width="7.28515625" style="1" bestFit="1" customWidth="1"/>
    <col min="13" max="13" width="12" style="1" bestFit="1" customWidth="1"/>
    <col min="14" max="14" width="20" style="1" bestFit="1" customWidth="1"/>
    <col min="15" max="15" width="15" style="1" bestFit="1" customWidth="1"/>
    <col min="16" max="16" width="12.140625" style="1" bestFit="1" customWidth="1"/>
    <col min="17" max="17" width="11.140625" style="1" bestFit="1" customWidth="1"/>
    <col min="18" max="18" width="16.7109375" style="13" bestFit="1" customWidth="1"/>
    <col min="19" max="19" width="26.7109375" style="1" bestFit="1" customWidth="1"/>
    <col min="20" max="20" width="23.42578125" style="1" bestFit="1" customWidth="1"/>
    <col min="21" max="21" width="9.42578125" style="1" bestFit="1" customWidth="1"/>
    <col min="22" max="22" width="15.28515625" style="1" bestFit="1" customWidth="1"/>
    <col min="23" max="23" width="13.140625" style="1" bestFit="1" customWidth="1"/>
    <col min="24" max="24" width="10.42578125" style="1" bestFit="1" customWidth="1"/>
    <col min="25" max="25" width="15.7109375" style="1" bestFit="1" customWidth="1"/>
    <col min="26" max="26" width="24.42578125" style="1" bestFit="1" customWidth="1"/>
    <col min="27" max="27" width="20.28515625" style="1" bestFit="1" customWidth="1"/>
    <col min="28" max="28" width="12" style="1" bestFit="1" customWidth="1"/>
    <col min="29" max="29" width="17.85546875" style="1" bestFit="1" customWidth="1"/>
    <col min="30" max="30" width="21.42578125" style="1" bestFit="1" customWidth="1"/>
    <col min="31" max="31" width="35.28515625" style="1" bestFit="1" customWidth="1"/>
    <col min="32" max="32" width="29.7109375" style="1" bestFit="1" customWidth="1"/>
    <col min="33" max="33" width="21.42578125" style="1" bestFit="1" customWidth="1"/>
    <col min="34" max="35" width="20.42578125" style="1" bestFit="1" customWidth="1"/>
    <col min="36" max="36" width="18.85546875" style="1" bestFit="1" customWidth="1"/>
    <col min="37" max="37" width="18.28515625" style="1" bestFit="1" customWidth="1"/>
    <col min="38" max="38" width="31" style="1" bestFit="1" customWidth="1"/>
    <col min="39" max="39" width="39.7109375" style="41" bestFit="1" customWidth="1"/>
    <col min="40" max="40" width="40.140625" style="41" bestFit="1" customWidth="1"/>
    <col min="41" max="41" width="27.85546875" style="1" bestFit="1" customWidth="1"/>
    <col min="42" max="42" width="36.7109375" style="1" bestFit="1" customWidth="1"/>
    <col min="43" max="43" width="37.140625" style="1" bestFit="1" customWidth="1"/>
    <col min="44" max="44" width="29.140625" style="1" bestFit="1" customWidth="1"/>
    <col min="45" max="45" width="37.85546875" style="1" bestFit="1" customWidth="1"/>
    <col min="46" max="46" width="38.28515625" style="1" bestFit="1" customWidth="1"/>
    <col min="47" max="47" width="25.42578125" style="1" bestFit="1" customWidth="1"/>
    <col min="48" max="48" width="37.28515625" style="1" bestFit="1" customWidth="1"/>
    <col min="49" max="49" width="37.7109375" style="1" bestFit="1" customWidth="1"/>
    <col min="50" max="50" width="25" style="1" bestFit="1" customWidth="1"/>
    <col min="51" max="51" width="27.7109375" style="1" bestFit="1" customWidth="1"/>
    <col min="52" max="52" width="28.140625" style="1" bestFit="1" customWidth="1"/>
    <col min="53" max="53" width="28.28515625" style="1" bestFit="1" customWidth="1"/>
    <col min="54" max="54" width="30.7109375" style="1" bestFit="1" customWidth="1"/>
    <col min="55" max="55" width="31.140625" style="1" bestFit="1" customWidth="1"/>
    <col min="56" max="56" width="23.42578125" style="1" bestFit="1" customWidth="1"/>
    <col min="57" max="57" width="32.140625" style="1" bestFit="1" customWidth="1"/>
    <col min="58" max="58" width="32.42578125" style="1" bestFit="1" customWidth="1"/>
    <col min="59" max="59" width="20.42578125" style="1" bestFit="1" customWidth="1"/>
    <col min="60" max="60" width="29.28515625" style="1" bestFit="1" customWidth="1"/>
    <col min="61" max="61" width="29.7109375" style="1" bestFit="1" customWidth="1"/>
    <col min="62" max="62" width="25.85546875" style="1" bestFit="1" customWidth="1"/>
    <col min="63" max="63" width="34.42578125" style="1" bestFit="1" customWidth="1"/>
    <col min="64" max="64" width="35" style="1" bestFit="1" customWidth="1"/>
    <col min="65" max="65" width="28.42578125" style="1" bestFit="1" customWidth="1"/>
    <col min="66" max="66" width="37.28515625" style="1" bestFit="1" customWidth="1"/>
    <col min="67" max="67" width="37.7109375" style="1" bestFit="1" customWidth="1"/>
    <col min="68" max="68" width="21.42578125" style="41" bestFit="1" customWidth="1"/>
    <col min="69" max="69" width="13.85546875" style="41" bestFit="1" customWidth="1"/>
    <col min="70" max="70" width="20.140625" style="41" bestFit="1" customWidth="1"/>
    <col min="71" max="71" width="19.28515625" style="1" bestFit="1" customWidth="1"/>
    <col min="72" max="72" width="14.28515625" style="1" bestFit="1" customWidth="1"/>
    <col min="73" max="73" width="27.140625" style="1" bestFit="1" customWidth="1"/>
    <col min="74" max="74" width="21" style="1" bestFit="1" customWidth="1"/>
    <col min="75" max="75" width="18.85546875" style="1" bestFit="1" customWidth="1"/>
    <col min="76" max="77" width="11.42578125" style="1" bestFit="1" customWidth="1"/>
    <col min="78" max="78" width="11.140625" style="1" bestFit="1" customWidth="1"/>
    <col min="79" max="79" width="22.140625" style="1" bestFit="1" customWidth="1"/>
    <col min="80" max="80" width="18.7109375" style="1" bestFit="1" customWidth="1"/>
    <col min="81" max="87" width="19.7109375" style="1" customWidth="1"/>
    <col min="88" max="16384" width="9.140625" style="1"/>
  </cols>
  <sheetData>
    <row r="1" spans="1:80" s="44" customFormat="1" x14ac:dyDescent="0.25">
      <c r="C1" s="255"/>
      <c r="E1" s="44" t="s">
        <v>1449</v>
      </c>
      <c r="F1" s="297" t="s">
        <v>1442</v>
      </c>
      <c r="G1" s="297"/>
      <c r="H1" s="44" t="s">
        <v>1387</v>
      </c>
      <c r="I1" s="44" t="s">
        <v>980</v>
      </c>
      <c r="J1" s="297" t="s">
        <v>1447</v>
      </c>
      <c r="K1" s="297"/>
      <c r="L1" s="297" t="s">
        <v>1448</v>
      </c>
      <c r="M1" s="297"/>
      <c r="O1" s="297" t="s">
        <v>1145</v>
      </c>
      <c r="P1" s="297"/>
      <c r="Q1" s="297"/>
      <c r="R1" s="63" t="s">
        <v>1450</v>
      </c>
      <c r="S1" s="297" t="s">
        <v>916</v>
      </c>
      <c r="T1" s="297"/>
      <c r="U1" s="297" t="s">
        <v>919</v>
      </c>
      <c r="V1" s="297"/>
      <c r="W1" s="44" t="s">
        <v>920</v>
      </c>
      <c r="X1" s="44" t="s">
        <v>1023</v>
      </c>
      <c r="Y1" s="44" t="s">
        <v>1021</v>
      </c>
      <c r="Z1" s="44" t="s">
        <v>1473</v>
      </c>
      <c r="AA1" s="44" t="s">
        <v>1409</v>
      </c>
      <c r="AB1" s="297" t="s">
        <v>924</v>
      </c>
      <c r="AC1" s="297"/>
      <c r="AD1" s="44" t="s">
        <v>1464</v>
      </c>
      <c r="AE1" s="44" t="s">
        <v>1445</v>
      </c>
      <c r="AF1" s="44" t="s">
        <v>1405</v>
      </c>
      <c r="AG1" s="44" t="s">
        <v>1429</v>
      </c>
      <c r="AH1" s="44" t="s">
        <v>1389</v>
      </c>
      <c r="AI1" s="44" t="s">
        <v>1391</v>
      </c>
      <c r="AJ1" s="44" t="s">
        <v>1390</v>
      </c>
      <c r="AK1" s="44" t="s">
        <v>1392</v>
      </c>
      <c r="AM1" s="79"/>
      <c r="AN1" s="79"/>
      <c r="BA1" s="44" t="s">
        <v>1476</v>
      </c>
      <c r="BP1" s="79"/>
      <c r="BQ1" s="79" t="s">
        <v>1459</v>
      </c>
      <c r="BR1" s="79" t="s">
        <v>1471</v>
      </c>
      <c r="BS1" s="44" t="s">
        <v>1451</v>
      </c>
      <c r="BU1" s="44" t="s">
        <v>1461</v>
      </c>
      <c r="BV1" s="44" t="s">
        <v>1467</v>
      </c>
      <c r="BW1" s="44" t="s">
        <v>1468</v>
      </c>
      <c r="BX1" s="44" t="s">
        <v>1462</v>
      </c>
      <c r="BY1" s="44" t="s">
        <v>1463</v>
      </c>
    </row>
    <row r="2" spans="1:80" x14ac:dyDescent="0.25">
      <c r="A2" s="1" t="s">
        <v>77</v>
      </c>
      <c r="B2" s="1" t="s">
        <v>617</v>
      </c>
      <c r="C2" s="256" t="s">
        <v>1685</v>
      </c>
      <c r="D2" s="1" t="s">
        <v>614</v>
      </c>
      <c r="E2" s="1" t="s">
        <v>84</v>
      </c>
      <c r="F2" s="1" t="s">
        <v>2</v>
      </c>
      <c r="G2" s="1" t="s">
        <v>18</v>
      </c>
      <c r="H2" s="1" t="s">
        <v>19</v>
      </c>
      <c r="I2" s="1" t="s">
        <v>20</v>
      </c>
      <c r="J2" s="1" t="s">
        <v>48</v>
      </c>
      <c r="K2" s="1" t="s">
        <v>49</v>
      </c>
      <c r="L2" s="1" t="s">
        <v>52</v>
      </c>
      <c r="M2" s="1" t="s">
        <v>53</v>
      </c>
      <c r="N2" s="1" t="s">
        <v>655</v>
      </c>
      <c r="O2" s="1" t="s">
        <v>115</v>
      </c>
      <c r="P2" s="1" t="s">
        <v>21</v>
      </c>
      <c r="Q2" s="1" t="s">
        <v>828</v>
      </c>
      <c r="R2" s="13" t="s">
        <v>473</v>
      </c>
      <c r="S2" s="1" t="s">
        <v>22</v>
      </c>
      <c r="T2" s="1" t="s">
        <v>23</v>
      </c>
      <c r="U2" s="1" t="s">
        <v>24</v>
      </c>
      <c r="V2" s="1" t="s">
        <v>467</v>
      </c>
      <c r="W2" s="1" t="s">
        <v>26</v>
      </c>
      <c r="X2" s="1" t="s">
        <v>46</v>
      </c>
      <c r="Y2" s="1" t="s">
        <v>47</v>
      </c>
      <c r="Z2" s="1" t="s">
        <v>33</v>
      </c>
      <c r="AA2" s="1" t="s">
        <v>430</v>
      </c>
      <c r="AB2" s="1" t="s">
        <v>35</v>
      </c>
      <c r="AC2" s="1" t="s">
        <v>36</v>
      </c>
      <c r="AD2" s="1" t="s">
        <v>1469</v>
      </c>
      <c r="AE2" s="1" t="s">
        <v>37</v>
      </c>
      <c r="AF2" s="1" t="s">
        <v>875</v>
      </c>
      <c r="AG2" s="1" t="s">
        <v>879</v>
      </c>
      <c r="AH2" s="1" t="s">
        <v>38</v>
      </c>
      <c r="AI2" s="1" t="s">
        <v>39</v>
      </c>
      <c r="AJ2" s="1" t="s">
        <v>876</v>
      </c>
      <c r="AK2" s="1" t="s">
        <v>40</v>
      </c>
      <c r="AL2" s="9" t="s">
        <v>476</v>
      </c>
      <c r="AM2" s="41" t="s">
        <v>61</v>
      </c>
      <c r="AN2" s="41" t="s">
        <v>62</v>
      </c>
      <c r="AO2" s="9" t="s">
        <v>477</v>
      </c>
      <c r="AP2" s="1" t="s">
        <v>63</v>
      </c>
      <c r="AQ2" s="1" t="s">
        <v>64</v>
      </c>
      <c r="AR2" s="9" t="s">
        <v>478</v>
      </c>
      <c r="AS2" s="1" t="s">
        <v>57</v>
      </c>
      <c r="AT2" s="1" t="s">
        <v>58</v>
      </c>
      <c r="AU2" s="9" t="s">
        <v>107</v>
      </c>
      <c r="AV2" s="1" t="s">
        <v>648</v>
      </c>
      <c r="AW2" s="1" t="s">
        <v>649</v>
      </c>
      <c r="AX2" s="10" t="s">
        <v>474</v>
      </c>
      <c r="AY2" s="1" t="s">
        <v>65</v>
      </c>
      <c r="AZ2" s="1" t="s">
        <v>66</v>
      </c>
      <c r="BA2" s="10" t="s">
        <v>475</v>
      </c>
      <c r="BB2" s="1" t="s">
        <v>67</v>
      </c>
      <c r="BC2" s="1" t="s">
        <v>68</v>
      </c>
      <c r="BD2" s="11" t="s">
        <v>69</v>
      </c>
      <c r="BE2" s="1" t="s">
        <v>70</v>
      </c>
      <c r="BF2" s="1" t="s">
        <v>71</v>
      </c>
      <c r="BG2" s="11" t="s">
        <v>72</v>
      </c>
      <c r="BH2" s="1" t="s">
        <v>73</v>
      </c>
      <c r="BI2" s="1" t="s">
        <v>74</v>
      </c>
      <c r="BJ2" s="12" t="s">
        <v>834</v>
      </c>
      <c r="BK2" s="1" t="s">
        <v>835</v>
      </c>
      <c r="BL2" s="1" t="s">
        <v>836</v>
      </c>
      <c r="BM2" s="12" t="s">
        <v>479</v>
      </c>
      <c r="BN2" s="1" t="s">
        <v>75</v>
      </c>
      <c r="BO2" s="1" t="s">
        <v>76</v>
      </c>
      <c r="BP2" s="41" t="s">
        <v>487</v>
      </c>
      <c r="BQ2" s="41" t="s">
        <v>41</v>
      </c>
      <c r="BR2" s="41" t="s">
        <v>42</v>
      </c>
      <c r="BS2" s="1" t="s">
        <v>1470</v>
      </c>
      <c r="BT2" s="1" t="s">
        <v>850</v>
      </c>
      <c r="BU2" s="1" t="s">
        <v>1472</v>
      </c>
      <c r="BV2" s="1" t="s">
        <v>432</v>
      </c>
      <c r="BW2" s="1" t="s">
        <v>433</v>
      </c>
      <c r="BX2" s="1" t="s">
        <v>434</v>
      </c>
      <c r="BY2" s="1" t="s">
        <v>435</v>
      </c>
      <c r="BZ2" s="1" t="s">
        <v>624</v>
      </c>
      <c r="CA2" s="1" t="s">
        <v>1129</v>
      </c>
      <c r="CB2" s="1" t="s">
        <v>848</v>
      </c>
    </row>
    <row r="3" spans="1:80" x14ac:dyDescent="0.25">
      <c r="A3" s="1">
        <v>1</v>
      </c>
      <c r="B3" s="1">
        <f>'kode transaksi'!A8</f>
        <v>7</v>
      </c>
      <c r="C3" s="256" t="str">
        <f>CONCATENATE(B3,".",A3)</f>
        <v>7.1</v>
      </c>
      <c r="D3" s="1" t="str">
        <f>'kode transaksi'!B8</f>
        <v>SJ</v>
      </c>
      <c r="E3" s="1" t="s">
        <v>1595</v>
      </c>
      <c r="F3" s="1">
        <f>kontak!A4</f>
        <v>2</v>
      </c>
      <c r="G3" s="1" t="str">
        <f>kontak!G4</f>
        <v>yuli hendarto</v>
      </c>
      <c r="H3" s="1">
        <f>kontak!K4</f>
        <v>8551003553</v>
      </c>
      <c r="I3" s="1" t="str">
        <f>kontak!O4</f>
        <v>yuli_hendarto@yahoo.com</v>
      </c>
      <c r="J3" s="1">
        <v>0</v>
      </c>
      <c r="K3" s="1">
        <v>0</v>
      </c>
      <c r="L3" s="1">
        <v>0</v>
      </c>
      <c r="M3" s="1">
        <v>0</v>
      </c>
      <c r="N3" s="1" t="str">
        <f>CONCATENATE(B3,".",A3)</f>
        <v>7.1</v>
      </c>
      <c r="O3" s="1">
        <f>'data mata uang'!A3</f>
        <v>1</v>
      </c>
      <c r="P3" s="1" t="str">
        <f>'data mata uang'!D3</f>
        <v>IDR</v>
      </c>
      <c r="Q3" s="1">
        <f>'data mata uang'!G3</f>
        <v>1</v>
      </c>
      <c r="R3" s="13">
        <v>43259</v>
      </c>
      <c r="S3" s="1">
        <v>0</v>
      </c>
      <c r="T3" s="1">
        <v>0</v>
      </c>
      <c r="U3" s="1">
        <f>lokasi!A4</f>
        <v>2</v>
      </c>
      <c r="V3" s="1" t="str">
        <f>lokasi!B4</f>
        <v>komplek timah</v>
      </c>
      <c r="W3" s="1" t="s">
        <v>1569</v>
      </c>
      <c r="X3" s="1">
        <v>0</v>
      </c>
      <c r="Y3" s="1">
        <v>0</v>
      </c>
      <c r="Z3" s="1">
        <v>0</v>
      </c>
      <c r="AA3" s="6">
        <v>43260</v>
      </c>
      <c r="AB3" s="1">
        <f>kontak!A8</f>
        <v>6</v>
      </c>
      <c r="AC3" s="1" t="str">
        <f>kontak!G8</f>
        <v>yusril</v>
      </c>
      <c r="AD3" s="1">
        <v>0</v>
      </c>
      <c r="AE3" s="1">
        <v>1</v>
      </c>
      <c r="AF3" s="1" t="s">
        <v>667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f>'order produk jual'!Y2</f>
        <v>1</v>
      </c>
      <c r="AM3" s="41">
        <f>SUM('order produk jual'!O2*'order produk jual'!N2)</f>
        <v>50000</v>
      </c>
      <c r="AO3" s="1">
        <f>'order produk jual'!Z2</f>
        <v>2</v>
      </c>
      <c r="AQ3" s="1">
        <f>SUM('order produk jual'!Q2)</f>
        <v>500000</v>
      </c>
      <c r="AR3" s="1">
        <f>'order produk jual'!AA2</f>
        <v>3</v>
      </c>
      <c r="AT3" s="1">
        <f>SUM('order produk jual'!O2*'order produk jual'!N2)</f>
        <v>50000</v>
      </c>
      <c r="BD3" s="1">
        <f>'order produk jual'!V2</f>
        <v>18</v>
      </c>
      <c r="BF3" s="1">
        <f>SUM('order produk jual'!U2)</f>
        <v>50000</v>
      </c>
      <c r="BJ3" s="1">
        <f>'default akun mata uang'!E3</f>
        <v>9</v>
      </c>
      <c r="BK3" s="1">
        <f>SUM('order produk jual'!Q2+'order produk jual'!U2)</f>
        <v>550000</v>
      </c>
      <c r="BP3" s="41">
        <f>SUM('order produk jual'!Q2)</f>
        <v>500000</v>
      </c>
      <c r="BQ3" s="41">
        <f>SUM('order produk jual'!U2)</f>
        <v>50000</v>
      </c>
      <c r="BR3" s="41">
        <f>SUM('order produk jual'!Q2+'order produk jual'!U2)</f>
        <v>550000</v>
      </c>
      <c r="BZ3" s="1">
        <f>'user id'!A4</f>
        <v>3</v>
      </c>
      <c r="CA3" s="1">
        <f>'periode akuntansi'!A2</f>
        <v>1</v>
      </c>
    </row>
    <row r="4" spans="1:80" x14ac:dyDescent="0.25">
      <c r="A4" s="1">
        <v>2</v>
      </c>
      <c r="B4" s="1">
        <f>'kode transaksi'!A8</f>
        <v>7</v>
      </c>
      <c r="C4" s="256" t="str">
        <f t="shared" ref="C4:C12" si="0">CONCATENATE(B4,".",A4)</f>
        <v>7.2</v>
      </c>
      <c r="D4" s="1" t="str">
        <f>'kode transaksi'!B8</f>
        <v>SJ</v>
      </c>
      <c r="E4" s="1" t="s">
        <v>1596</v>
      </c>
      <c r="F4" s="1">
        <f>kontak!A3</f>
        <v>1</v>
      </c>
      <c r="G4" s="1" t="str">
        <f>kontak!G3</f>
        <v>dimas dhaniarso</v>
      </c>
      <c r="H4" s="1">
        <f>kontak!K3</f>
        <v>81273845323</v>
      </c>
      <c r="I4" s="1" t="str">
        <f>kontak!O3</f>
        <v>dhadan33@gmail.com</v>
      </c>
      <c r="J4" s="1">
        <v>0</v>
      </c>
      <c r="K4" s="1">
        <v>0</v>
      </c>
      <c r="L4" s="1">
        <v>0</v>
      </c>
      <c r="M4" s="1">
        <v>0</v>
      </c>
      <c r="N4" s="1" t="str">
        <f>CONCATENATE(B4,".",A4)</f>
        <v>7.2</v>
      </c>
      <c r="O4" s="1">
        <f>'data mata uang'!A3</f>
        <v>1</v>
      </c>
      <c r="P4" s="1" t="str">
        <f>'data mata uang'!D3</f>
        <v>IDR</v>
      </c>
      <c r="Q4" s="1">
        <f>'data mata uang'!G3</f>
        <v>1</v>
      </c>
      <c r="R4" s="13">
        <v>43258</v>
      </c>
      <c r="S4" s="1">
        <v>0</v>
      </c>
      <c r="T4" s="1">
        <v>0</v>
      </c>
      <c r="U4" s="1">
        <f>lokasi!A3</f>
        <v>1</v>
      </c>
      <c r="V4" s="1" t="str">
        <f>lokasi!B3</f>
        <v>cempaka putih</v>
      </c>
      <c r="W4" s="1" t="s">
        <v>1554</v>
      </c>
      <c r="X4" s="1">
        <v>0</v>
      </c>
      <c r="Y4" s="1">
        <v>0</v>
      </c>
      <c r="Z4" s="1">
        <v>0</v>
      </c>
      <c r="AA4" s="6">
        <v>43258</v>
      </c>
      <c r="AB4" s="1">
        <f>kontak!A7</f>
        <v>5</v>
      </c>
      <c r="AC4" s="1" t="str">
        <f>kontak!G7</f>
        <v>gisela tria canitha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f>'order produk jual'!Y3</f>
        <v>1</v>
      </c>
      <c r="AM4" s="41">
        <f>SUM('order produk jual'!O3*'order produk jual'!N3)</f>
        <v>62500000</v>
      </c>
      <c r="AO4" s="1">
        <f>'order produk jual'!Z3</f>
        <v>2</v>
      </c>
      <c r="AQ4" s="1">
        <f>SUM('order produk jual'!Q3)</f>
        <v>90000000</v>
      </c>
      <c r="AR4" s="1">
        <f>'order produk jual'!AA3</f>
        <v>3</v>
      </c>
      <c r="AT4" s="1">
        <f>SUM('order produk jual'!O3*'order produk jual'!N3)</f>
        <v>62500000</v>
      </c>
      <c r="BD4" s="1">
        <f>'order produk jual'!V3</f>
        <v>18</v>
      </c>
      <c r="BF4" s="1">
        <f>SUM('order produk jual'!U3)</f>
        <v>9000000</v>
      </c>
      <c r="BM4" s="1">
        <f>'default akun mata uang'!B3</f>
        <v>7</v>
      </c>
      <c r="BN4" s="1">
        <f>SUM('order produk jual'!Q3+'order produk jual'!U3)</f>
        <v>99000000</v>
      </c>
      <c r="BP4" s="41">
        <f>SUM('order produk jual'!Q3)</f>
        <v>90000000</v>
      </c>
      <c r="BQ4" s="41">
        <f>SUM('order produk jual'!U3)</f>
        <v>9000000</v>
      </c>
      <c r="BR4" s="41">
        <f>SUM('order produk jual'!Q3+'order produk jual'!U3)</f>
        <v>99000000</v>
      </c>
      <c r="BZ4" s="1">
        <f>'user id'!A3</f>
        <v>2</v>
      </c>
      <c r="CA4" s="1">
        <f>'periode akuntansi'!A2</f>
        <v>1</v>
      </c>
    </row>
    <row r="5" spans="1:80" x14ac:dyDescent="0.25">
      <c r="A5" s="1">
        <v>3</v>
      </c>
      <c r="B5" s="1">
        <f>'kode transaksi'!A8</f>
        <v>7</v>
      </c>
      <c r="C5" s="256" t="str">
        <f t="shared" si="0"/>
        <v>7.3</v>
      </c>
      <c r="D5" s="1" t="str">
        <f>'kode transaksi'!B8</f>
        <v>SJ</v>
      </c>
      <c r="E5" s="1" t="s">
        <v>1597</v>
      </c>
      <c r="F5" s="1">
        <f>kontak!A3</f>
        <v>1</v>
      </c>
      <c r="G5" s="1" t="str">
        <f>kontak!G3</f>
        <v>dimas dhaniarso</v>
      </c>
      <c r="H5" s="1">
        <f>kontak!K3</f>
        <v>81273845323</v>
      </c>
      <c r="I5" s="1" t="str">
        <f>kontak!O3</f>
        <v>dhadan33@gmail.com</v>
      </c>
      <c r="J5" s="1">
        <f>'Sales Order'!A3</f>
        <v>1</v>
      </c>
      <c r="K5" s="134" t="str">
        <f>'Sales Order'!E3</f>
        <v>.000001</v>
      </c>
      <c r="L5" s="1">
        <v>0</v>
      </c>
      <c r="M5" s="1">
        <v>0</v>
      </c>
      <c r="N5" s="1" t="str">
        <f>'Sales Order'!L3</f>
        <v>18.1</v>
      </c>
      <c r="O5" s="1">
        <f>'Sales Order'!M3</f>
        <v>1</v>
      </c>
      <c r="P5" s="1" t="str">
        <f>'data mata uang'!D3</f>
        <v>IDR</v>
      </c>
      <c r="Q5" s="1">
        <f>'data mata uang'!G3</f>
        <v>1</v>
      </c>
      <c r="R5" s="13">
        <v>43259</v>
      </c>
      <c r="S5" s="1">
        <f>'Sales Order'!Q3</f>
        <v>0</v>
      </c>
      <c r="T5" s="1">
        <v>0</v>
      </c>
      <c r="U5" s="1">
        <f>'Sales Order'!S3</f>
        <v>1</v>
      </c>
      <c r="V5" s="1" t="str">
        <f>lokasi!B3</f>
        <v>cempaka putih</v>
      </c>
      <c r="W5" s="1" t="str">
        <f>'Sales Order'!U3</f>
        <v>transaksi SO</v>
      </c>
      <c r="X5" s="1">
        <f>'Sales Order'!V3</f>
        <v>0</v>
      </c>
      <c r="Y5" s="1">
        <f>'Sales Order'!W3</f>
        <v>0</v>
      </c>
      <c r="Z5" s="206">
        <f>'Sales Order'!X3</f>
        <v>0</v>
      </c>
      <c r="AA5" s="6">
        <v>43260</v>
      </c>
      <c r="AB5" s="1">
        <f>kontak!A7</f>
        <v>5</v>
      </c>
      <c r="AC5" s="1" t="str">
        <f>kontak!G7</f>
        <v>gisela tria canitha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f>'order produk jual'!Y5</f>
        <v>1</v>
      </c>
      <c r="AM5" s="41">
        <f>SUM('order produk jual'!O5*'order produk jual'!N5)</f>
        <v>4866666.666666667</v>
      </c>
      <c r="AO5" s="1">
        <f>'order produk jual'!Z5</f>
        <v>2</v>
      </c>
      <c r="AQ5" s="1">
        <f>SUM('order produk jual'!Q5)</f>
        <v>6000000</v>
      </c>
      <c r="AR5" s="1">
        <f>'order produk jual'!AA5</f>
        <v>3</v>
      </c>
      <c r="AT5" s="1">
        <f>SUM('order produk jual'!O5*'order produk jual'!N5)</f>
        <v>4866666.666666667</v>
      </c>
      <c r="BD5" s="1">
        <f>'order produk jual'!V5</f>
        <v>18</v>
      </c>
      <c r="BF5" s="1">
        <f>SUM('order produk jual'!U5)</f>
        <v>600000</v>
      </c>
      <c r="BM5" s="1">
        <f>'default akun mata uang'!B3</f>
        <v>7</v>
      </c>
      <c r="BN5" s="1">
        <f>SUM('order produk jual'!Q5+'order produk jual'!U5)</f>
        <v>6600000</v>
      </c>
      <c r="BP5" s="41">
        <f>SUM('order produk jual'!Q5)</f>
        <v>6000000</v>
      </c>
      <c r="BQ5" s="41">
        <f>SUM('order produk jual'!U5)</f>
        <v>600000</v>
      </c>
      <c r="BR5" s="41">
        <f>SUM('order produk jual'!Q5+'order produk jual'!U5)</f>
        <v>6600000</v>
      </c>
      <c r="BZ5" s="1">
        <f>'user id'!A3</f>
        <v>2</v>
      </c>
      <c r="CA5" s="1">
        <f>'periode akuntansi'!A2</f>
        <v>1</v>
      </c>
    </row>
    <row r="6" spans="1:80" x14ac:dyDescent="0.25">
      <c r="A6" s="1">
        <v>4</v>
      </c>
      <c r="B6" s="206">
        <f>'kode transaksi'!A8</f>
        <v>7</v>
      </c>
      <c r="C6" s="256" t="str">
        <f t="shared" si="0"/>
        <v>7.4</v>
      </c>
      <c r="D6" s="206" t="str">
        <f>'kode transaksi'!B8</f>
        <v>SJ</v>
      </c>
      <c r="E6" s="206" t="s">
        <v>1598</v>
      </c>
      <c r="F6" s="1">
        <f>'Delivery Order'!F3</f>
        <v>3</v>
      </c>
      <c r="G6" s="206" t="str">
        <f>kontak!G5</f>
        <v>rahmat handono</v>
      </c>
      <c r="H6" s="206">
        <f>kontak!K5</f>
        <v>8551434991</v>
      </c>
      <c r="I6" s="206" t="str">
        <f>kontak!O5</f>
        <v>rahmat.ph@gmail.com</v>
      </c>
      <c r="J6" s="1">
        <v>0</v>
      </c>
      <c r="K6" s="1">
        <v>0</v>
      </c>
      <c r="L6" s="1">
        <f>'Delivery Order'!A3</f>
        <v>1</v>
      </c>
      <c r="M6" s="206" t="str">
        <f>'Delivery Order'!E3</f>
        <v>.000001</v>
      </c>
      <c r="N6" s="1" t="str">
        <f>'Delivery Order'!L3</f>
        <v>15.1</v>
      </c>
      <c r="O6" s="1">
        <f>'Delivery Order'!M3</f>
        <v>1</v>
      </c>
      <c r="P6" s="206" t="str">
        <f>'data mata uang'!D3</f>
        <v>IDR</v>
      </c>
      <c r="Q6" s="206">
        <f>'data mata uang'!G3</f>
        <v>1</v>
      </c>
      <c r="R6" s="13">
        <v>43263</v>
      </c>
      <c r="S6" s="1">
        <v>0</v>
      </c>
      <c r="T6" s="1">
        <v>0</v>
      </c>
      <c r="U6" s="1">
        <f>'Delivery Order'!S3</f>
        <v>1</v>
      </c>
      <c r="V6" s="206" t="str">
        <f>lokasi!B3</f>
        <v>cempaka putih</v>
      </c>
      <c r="W6" s="1" t="str">
        <f>'Delivery Order'!U3</f>
        <v>sales berurut</v>
      </c>
      <c r="X6" s="1">
        <f>'Delivery Order'!V3</f>
        <v>0</v>
      </c>
      <c r="Y6" s="206">
        <f>'Delivery Order'!W3</f>
        <v>0</v>
      </c>
      <c r="Z6" s="206">
        <f>'Delivery Order'!X3</f>
        <v>0</v>
      </c>
      <c r="AA6" s="6">
        <f>'Delivery Order'!Y3</f>
        <v>43263</v>
      </c>
      <c r="AB6" s="206">
        <f>kontak!A8</f>
        <v>6</v>
      </c>
      <c r="AC6" s="206" t="str">
        <f>kontak!G8</f>
        <v>yusril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206">
        <f>'order produk jual'!Y11</f>
        <v>1</v>
      </c>
      <c r="AM6" s="41">
        <f>SUM('order produk jual'!O11*'order produk jual'!N11)</f>
        <v>7296610.1694915248</v>
      </c>
      <c r="AO6" s="206">
        <f>'order produk jual'!Z11</f>
        <v>2</v>
      </c>
      <c r="AP6" s="206"/>
      <c r="AQ6" s="206">
        <f>SUM('order produk jual'!Q11)</f>
        <v>9000000</v>
      </c>
      <c r="AR6" s="206"/>
      <c r="AS6" s="206"/>
      <c r="AU6" s="1">
        <f>'order produk jual'!AB11</f>
        <v>5</v>
      </c>
      <c r="AW6" s="206">
        <f>SUM('order produk jual'!O11*'order produk jual'!N11)</f>
        <v>7296610.1694915248</v>
      </c>
      <c r="BA6" s="1">
        <f>'rekening perkiraan'!A40</f>
        <v>38</v>
      </c>
      <c r="BC6" s="1">
        <f>SUM('order custom jual'!K2)</f>
        <v>300000</v>
      </c>
      <c r="BD6" s="206">
        <f>'order produk jual'!V11</f>
        <v>18</v>
      </c>
      <c r="BF6" s="206">
        <f>SUM('order produk jual'!U11)</f>
        <v>900000</v>
      </c>
      <c r="BM6" s="206">
        <f>'default akun mata uang'!B3</f>
        <v>7</v>
      </c>
      <c r="BN6" s="1">
        <f>SUM('order produk jual'!Q11+'order produk jual'!U11+'order custom jual'!K2)</f>
        <v>10200000</v>
      </c>
      <c r="BP6" s="41">
        <f>SUM('order produk jual'!Q11+'order custom jual'!K2)</f>
        <v>9300000</v>
      </c>
      <c r="BQ6" s="41">
        <f>SUM('order produk jual'!U11)</f>
        <v>900000</v>
      </c>
      <c r="BR6" s="41">
        <f>SUM('order produk jual'!Q11+'order produk jual'!U11+'order custom jual'!K2)</f>
        <v>10200000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206">
        <f>'user id'!A4</f>
        <v>3</v>
      </c>
      <c r="CA6" s="206">
        <f>'periode akuntansi'!A2</f>
        <v>1</v>
      </c>
    </row>
    <row r="7" spans="1:80" x14ac:dyDescent="0.25">
      <c r="A7" s="1">
        <v>5</v>
      </c>
      <c r="B7" s="211">
        <f>'kode transaksi'!A8</f>
        <v>7</v>
      </c>
      <c r="C7" s="256" t="str">
        <f t="shared" si="0"/>
        <v>7.5</v>
      </c>
      <c r="D7" s="211" t="str">
        <f>'kode transaksi'!B8</f>
        <v>SJ</v>
      </c>
      <c r="E7" s="211" t="s">
        <v>1599</v>
      </c>
      <c r="F7" s="211">
        <f>'Delivery Order'!F4</f>
        <v>2</v>
      </c>
      <c r="G7" s="211" t="str">
        <f>kontak!G4</f>
        <v>yuli hendarto</v>
      </c>
      <c r="H7" s="211">
        <f>kontak!K4</f>
        <v>8551003553</v>
      </c>
      <c r="I7" s="211" t="str">
        <f>kontak!O4</f>
        <v>yuli_hendarto@yahoo.com</v>
      </c>
      <c r="J7" s="1">
        <v>0</v>
      </c>
      <c r="K7" s="1">
        <v>0</v>
      </c>
      <c r="L7" s="216">
        <f>'Delivery Order'!A4</f>
        <v>2</v>
      </c>
      <c r="M7" s="211" t="str">
        <f>'Delivery Order'!E4</f>
        <v>.000002</v>
      </c>
      <c r="N7" s="211" t="str">
        <f>'Delivery Order'!L4</f>
        <v>25.2</v>
      </c>
      <c r="O7" s="211">
        <f>'Delivery Order'!M4</f>
        <v>1</v>
      </c>
      <c r="P7" s="211" t="str">
        <f>'data mata uang'!D3</f>
        <v>IDR</v>
      </c>
      <c r="Q7" s="211">
        <f>'data mata uang'!G3</f>
        <v>1</v>
      </c>
      <c r="R7" s="13">
        <v>43263</v>
      </c>
      <c r="S7" s="1">
        <v>0</v>
      </c>
      <c r="T7" s="1">
        <v>0</v>
      </c>
      <c r="U7" s="211">
        <f>'Delivery Order'!S4</f>
        <v>1</v>
      </c>
      <c r="V7" s="211" t="str">
        <f>lokasi!B3</f>
        <v>cempaka putih</v>
      </c>
      <c r="W7" s="211" t="str">
        <f>'Delivery Order'!U4</f>
        <v>DO-SJ</v>
      </c>
      <c r="X7" s="211">
        <f>'Delivery Order'!V4</f>
        <v>0</v>
      </c>
      <c r="Y7" s="211">
        <f>'Delivery Order'!W4</f>
        <v>0</v>
      </c>
      <c r="Z7" s="211">
        <f>'Delivery Order'!X4</f>
        <v>0</v>
      </c>
      <c r="AA7" s="6">
        <v>43263</v>
      </c>
      <c r="AB7" s="211">
        <f>kontak!A7</f>
        <v>5</v>
      </c>
      <c r="AC7" s="211" t="str">
        <f>kontak!G7</f>
        <v>gisela tria canitha</v>
      </c>
      <c r="AD7" s="211">
        <v>0</v>
      </c>
      <c r="AE7" s="211">
        <v>0</v>
      </c>
      <c r="AF7" s="211">
        <v>0</v>
      </c>
      <c r="AG7" s="211">
        <v>0</v>
      </c>
      <c r="AH7" s="211">
        <v>0</v>
      </c>
      <c r="AI7" s="211">
        <v>0</v>
      </c>
      <c r="AJ7" s="211">
        <v>0</v>
      </c>
      <c r="AK7" s="211">
        <v>0</v>
      </c>
      <c r="AL7" s="211">
        <f>'order produk jual'!Y12</f>
        <v>1</v>
      </c>
      <c r="AM7" s="41">
        <f>SUM('order produk jual'!O12*'order produk jual'!N12)</f>
        <v>12142857.142857144</v>
      </c>
      <c r="AO7" s="211">
        <f>'order produk jual'!Z12</f>
        <v>2</v>
      </c>
      <c r="AP7" s="206"/>
      <c r="AQ7" s="211">
        <f>SUM('order produk jual'!Q12)</f>
        <v>15000000</v>
      </c>
      <c r="AR7" s="206"/>
      <c r="AS7" s="206"/>
      <c r="AT7" s="206"/>
      <c r="AU7" s="211">
        <f>'order produk jual'!AB12</f>
        <v>5</v>
      </c>
      <c r="AW7" s="211">
        <f>SUM('order produk jual'!O12*'order produk jual'!N12)</f>
        <v>12142857.142857144</v>
      </c>
      <c r="BA7" s="211"/>
      <c r="BC7" s="211"/>
      <c r="BD7" s="211">
        <f>'order produk jual'!V12</f>
        <v>18</v>
      </c>
      <c r="BF7" s="211">
        <f>SUM('order produk jual'!U12)</f>
        <v>1500000</v>
      </c>
      <c r="BM7" s="211">
        <f>'default akun mata uang'!B3</f>
        <v>7</v>
      </c>
      <c r="BN7" s="211">
        <f>SUM('order produk jual'!Q12+'order produk jual'!U12)</f>
        <v>16500000</v>
      </c>
      <c r="BP7" s="41">
        <f>SUM('order produk jual'!Q12)</f>
        <v>15000000</v>
      </c>
      <c r="BQ7" s="41">
        <f>SUM('order produk jual'!U12)</f>
        <v>1500000</v>
      </c>
      <c r="BR7" s="41">
        <f>SUM('order produk jual'!Q12+'order produk jual'!U12)</f>
        <v>16500000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211">
        <f>'user id'!A3</f>
        <v>2</v>
      </c>
      <c r="CA7" s="211">
        <f>'periode akuntansi'!A2</f>
        <v>1</v>
      </c>
    </row>
    <row r="8" spans="1:80" x14ac:dyDescent="0.25">
      <c r="A8" s="1">
        <v>6</v>
      </c>
      <c r="B8" s="216">
        <f>'kode transaksi'!A8</f>
        <v>7</v>
      </c>
      <c r="C8" s="256" t="str">
        <f t="shared" si="0"/>
        <v>7.6</v>
      </c>
      <c r="D8" s="216" t="str">
        <f>'kode transaksi'!B8</f>
        <v>SJ</v>
      </c>
      <c r="E8" s="216" t="s">
        <v>1631</v>
      </c>
      <c r="F8" s="216">
        <f>kontak!A3</f>
        <v>1</v>
      </c>
      <c r="G8" s="216" t="str">
        <f>kontak!G3</f>
        <v>dimas dhaniarso</v>
      </c>
      <c r="H8" s="216">
        <f>kontak!K3</f>
        <v>81273845323</v>
      </c>
      <c r="I8" s="216" t="str">
        <f>kontak!O3</f>
        <v>dhadan33@gmail.com</v>
      </c>
      <c r="J8" s="1">
        <v>0</v>
      </c>
      <c r="K8" s="1">
        <v>0</v>
      </c>
      <c r="L8" s="1">
        <v>0</v>
      </c>
      <c r="M8" s="1">
        <v>0</v>
      </c>
      <c r="N8" s="1" t="str">
        <f>CONCATENATE(B8,".",A8)</f>
        <v>7.6</v>
      </c>
      <c r="O8" s="216">
        <f>'data mata uang'!A4</f>
        <v>2</v>
      </c>
      <c r="P8" s="216" t="str">
        <f>'data mata uang'!D4</f>
        <v>USD</v>
      </c>
      <c r="Q8" s="216">
        <f>'data mata uang'!G4</f>
        <v>14000</v>
      </c>
      <c r="R8" s="13">
        <v>43264</v>
      </c>
      <c r="S8" s="1">
        <v>0</v>
      </c>
      <c r="T8" s="1">
        <v>0</v>
      </c>
      <c r="U8" s="216">
        <f>lokasi!A3</f>
        <v>1</v>
      </c>
      <c r="V8" s="216" t="str">
        <f>lokasi!B3</f>
        <v>cempaka putih</v>
      </c>
      <c r="W8" s="1" t="s">
        <v>1658</v>
      </c>
      <c r="X8" s="1">
        <v>0</v>
      </c>
      <c r="Y8" s="1">
        <v>0</v>
      </c>
      <c r="Z8" s="1">
        <v>0</v>
      </c>
      <c r="AA8" s="6">
        <v>43264</v>
      </c>
      <c r="AB8" s="224">
        <f>kontak!A8</f>
        <v>6</v>
      </c>
      <c r="AC8" s="216" t="str">
        <f>kontak!G8</f>
        <v>yusril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216">
        <f>'order produk jual'!Y13</f>
        <v>1</v>
      </c>
      <c r="AM8" s="225">
        <f>SUM('order produk jual'!O13*'order produk jual'!N13)</f>
        <v>346.9387755102041</v>
      </c>
      <c r="AO8" s="216">
        <f>'order produk jual'!Z13</f>
        <v>2</v>
      </c>
      <c r="AP8" s="206"/>
      <c r="AQ8" s="216">
        <f>SUM('order produk jual'!Q13)</f>
        <v>428.57142857142856</v>
      </c>
      <c r="AR8" s="216">
        <f>'order produk jual'!AA13</f>
        <v>3</v>
      </c>
      <c r="AS8" s="206"/>
      <c r="AT8" s="216">
        <f>SUM('order produk jual'!O13*'order produk jual'!N13)</f>
        <v>346.9387755102041</v>
      </c>
      <c r="BD8" s="216">
        <f>'order produk jual'!V13</f>
        <v>18</v>
      </c>
      <c r="BF8" s="216">
        <f>SUM('order produk jual'!U13)</f>
        <v>42.857142857142861</v>
      </c>
      <c r="BM8" s="216">
        <f>'default akun mata uang'!B4</f>
        <v>12</v>
      </c>
      <c r="BN8" s="216">
        <f>SUM('order produk jual'!Q13+'order produk jual'!U13)</f>
        <v>471.42857142857144</v>
      </c>
      <c r="BP8" s="225">
        <f>SUM('order produk jual'!Q13)</f>
        <v>428.57142857142856</v>
      </c>
      <c r="BQ8" s="225">
        <f>SUM('order produk jual'!U13)</f>
        <v>42.857142857142861</v>
      </c>
      <c r="BR8" s="225">
        <f>SUM('order produk jual'!Q13+'order produk jual'!U13)</f>
        <v>471.42857142857144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216">
        <f>'user id'!A4</f>
        <v>3</v>
      </c>
      <c r="CA8" s="216">
        <f>'periode akuntansi'!A2</f>
        <v>1</v>
      </c>
    </row>
    <row r="9" spans="1:80" s="224" customFormat="1" x14ac:dyDescent="0.25">
      <c r="A9" s="224">
        <v>7</v>
      </c>
      <c r="B9" s="224">
        <f>'kode transaksi'!A8</f>
        <v>7</v>
      </c>
      <c r="C9" s="256" t="str">
        <f t="shared" si="0"/>
        <v>7.7</v>
      </c>
      <c r="D9" s="224" t="str">
        <f>'kode transaksi'!B8</f>
        <v>SJ</v>
      </c>
      <c r="E9" s="224" t="s">
        <v>1659</v>
      </c>
      <c r="F9" s="224">
        <f>kontak!A3</f>
        <v>1</v>
      </c>
      <c r="G9" s="224" t="str">
        <f>kontak!G3</f>
        <v>dimas dhaniarso</v>
      </c>
      <c r="H9" s="224">
        <f>kontak!K3</f>
        <v>81273845323</v>
      </c>
      <c r="I9" s="224" t="str">
        <f>kontak!O3</f>
        <v>dhadan33@gmail.com</v>
      </c>
      <c r="J9" s="224">
        <v>0</v>
      </c>
      <c r="K9" s="224">
        <v>0</v>
      </c>
      <c r="L9" s="224">
        <v>0</v>
      </c>
      <c r="M9" s="224">
        <v>0</v>
      </c>
      <c r="N9" s="224" t="str">
        <f>CONCATENATE(B9,".",A9)</f>
        <v>7.7</v>
      </c>
      <c r="O9" s="224">
        <f>'data mata uang'!A3</f>
        <v>1</v>
      </c>
      <c r="P9" s="224" t="str">
        <f>'data mata uang'!D3</f>
        <v>IDR</v>
      </c>
      <c r="Q9" s="224">
        <f>'data mata uang'!G3</f>
        <v>1</v>
      </c>
      <c r="R9" s="13">
        <v>43265</v>
      </c>
      <c r="S9" s="224">
        <v>0</v>
      </c>
      <c r="T9" s="224">
        <v>0</v>
      </c>
      <c r="U9" s="224">
        <f>lokasi!A3</f>
        <v>1</v>
      </c>
      <c r="V9" s="224" t="str">
        <f>lokasi!B3</f>
        <v>cempaka putih</v>
      </c>
      <c r="W9" s="224" t="s">
        <v>1660</v>
      </c>
      <c r="X9" s="224">
        <v>0</v>
      </c>
      <c r="Y9" s="224">
        <v>0</v>
      </c>
      <c r="Z9" s="224">
        <v>0</v>
      </c>
      <c r="AA9" s="6">
        <v>43265</v>
      </c>
      <c r="AB9" s="224">
        <f>kontak!A8</f>
        <v>6</v>
      </c>
      <c r="AC9" s="224" t="str">
        <f>kontak!G8</f>
        <v>yusril</v>
      </c>
      <c r="AD9" s="224">
        <v>0</v>
      </c>
      <c r="AE9" s="224">
        <v>1</v>
      </c>
      <c r="AF9" s="224">
        <f>'term pembayaran'!A3</f>
        <v>1</v>
      </c>
      <c r="AG9" s="224">
        <v>0</v>
      </c>
      <c r="AH9" s="224">
        <v>0</v>
      </c>
      <c r="AI9" s="224">
        <v>0</v>
      </c>
      <c r="AJ9" s="224">
        <v>0</v>
      </c>
      <c r="AK9" s="224">
        <v>0</v>
      </c>
      <c r="AL9" s="224">
        <f>'order produk jual'!Y14</f>
        <v>1</v>
      </c>
      <c r="AM9" s="41">
        <f>SUM('order produk jual'!O14*'order produk jual'!N14)</f>
        <v>4857142.8571428573</v>
      </c>
      <c r="AN9" s="41"/>
      <c r="AO9" s="224">
        <f>'order produk jual'!Z14</f>
        <v>2</v>
      </c>
      <c r="AQ9" s="224">
        <f>SUM('order produk jual'!Q14)</f>
        <v>6000000</v>
      </c>
      <c r="AR9" s="224">
        <f>'order produk jual'!AA14</f>
        <v>3</v>
      </c>
      <c r="AT9" s="224">
        <f>SUM('order produk jual'!O14*'order produk jual'!N14)</f>
        <v>4857142.8571428573</v>
      </c>
      <c r="BD9" s="224">
        <f>'order produk jual'!V14</f>
        <v>18</v>
      </c>
      <c r="BF9" s="224">
        <f>SUM('order produk jual'!U14)</f>
        <v>600000</v>
      </c>
      <c r="BJ9" s="232">
        <f>'default akun mata uang'!E3</f>
        <v>9</v>
      </c>
      <c r="BK9" s="41">
        <f>BU9</f>
        <v>1320000</v>
      </c>
      <c r="BM9" s="224">
        <f>'default akun mata uang'!B3</f>
        <v>7</v>
      </c>
      <c r="BN9" s="230">
        <f>BW9</f>
        <v>3042285.7142857146</v>
      </c>
      <c r="BP9" s="41">
        <f>SUM('order produk jual'!Q14)</f>
        <v>6000000</v>
      </c>
      <c r="BQ9" s="41">
        <f>SUM('order produk jual'!U14)</f>
        <v>600000</v>
      </c>
      <c r="BR9" s="41">
        <f>SUM('order produk jual'!Q14+'order produk jual'!U14)</f>
        <v>6600000</v>
      </c>
      <c r="BS9" s="224">
        <v>0</v>
      </c>
      <c r="BT9" s="224">
        <v>0</v>
      </c>
      <c r="BU9" s="41">
        <f>BV9*'term pembayaran'!E3</f>
        <v>1320000</v>
      </c>
      <c r="BV9" s="41">
        <f>BR9</f>
        <v>6600000</v>
      </c>
      <c r="BW9" s="230">
        <f>-PMT('term pembayaran'!G3,'term pembayaran'!F3,Invoice!BV9-Invoice!BU9)</f>
        <v>3042285.7142857146</v>
      </c>
      <c r="BX9" s="224">
        <f>'term pembayaran'!F3</f>
        <v>2</v>
      </c>
      <c r="BY9" s="13">
        <f>R9+'term pembayaran'!C3</f>
        <v>43295</v>
      </c>
      <c r="BZ9" s="224">
        <f>'user id'!A4</f>
        <v>3</v>
      </c>
      <c r="CA9" s="224">
        <f>'periode akuntansi'!A2</f>
        <v>1</v>
      </c>
    </row>
    <row r="10" spans="1:80" x14ac:dyDescent="0.25">
      <c r="A10" s="1">
        <v>8</v>
      </c>
      <c r="B10" s="224">
        <f>'kode transaksi'!A8</f>
        <v>7</v>
      </c>
      <c r="C10" s="256" t="str">
        <f t="shared" si="0"/>
        <v>7.8</v>
      </c>
      <c r="D10" s="224" t="str">
        <f>'kode transaksi'!B8</f>
        <v>SJ</v>
      </c>
      <c r="E10" s="224" t="s">
        <v>1662</v>
      </c>
      <c r="F10" s="224">
        <f>kontak!A3</f>
        <v>1</v>
      </c>
      <c r="G10" s="224" t="str">
        <f>kontak!G3</f>
        <v>dimas dhaniarso</v>
      </c>
      <c r="H10" s="224">
        <f>kontak!K3</f>
        <v>81273845323</v>
      </c>
      <c r="I10" s="224" t="str">
        <f>kontak!O3</f>
        <v>dhadan33@gmail.com</v>
      </c>
      <c r="J10" s="1">
        <v>0</v>
      </c>
      <c r="K10" s="1">
        <v>0</v>
      </c>
      <c r="L10" s="1">
        <v>0</v>
      </c>
      <c r="M10" s="1">
        <v>0</v>
      </c>
      <c r="N10" s="224" t="str">
        <f>CONCATENATE(B10,".",A10)</f>
        <v>7.8</v>
      </c>
      <c r="O10" s="224">
        <f>'data mata uang'!A3</f>
        <v>1</v>
      </c>
      <c r="P10" s="224" t="str">
        <f>'data mata uang'!D3</f>
        <v>IDR</v>
      </c>
      <c r="Q10" s="224">
        <f>'data mata uang'!G3</f>
        <v>1</v>
      </c>
      <c r="R10" s="13">
        <v>43266</v>
      </c>
      <c r="S10" s="1">
        <v>0</v>
      </c>
      <c r="T10" s="1">
        <v>0</v>
      </c>
      <c r="U10" s="224">
        <f>lokasi!A3</f>
        <v>1</v>
      </c>
      <c r="V10" s="224" t="str">
        <f>lokasi!B3</f>
        <v>cempaka putih</v>
      </c>
      <c r="W10" s="1" t="s">
        <v>1389</v>
      </c>
      <c r="X10" s="1">
        <v>0</v>
      </c>
      <c r="Y10" s="1">
        <v>0</v>
      </c>
      <c r="Z10" s="1">
        <v>0</v>
      </c>
      <c r="AA10" s="6">
        <v>43266</v>
      </c>
      <c r="AB10" s="224">
        <f>kontak!A7</f>
        <v>5</v>
      </c>
      <c r="AC10" s="224" t="str">
        <f>kontak!G7</f>
        <v>gisela tria canitha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>
        <f>dropdown_berulang!A4</f>
        <v>3</v>
      </c>
      <c r="AJ10" s="1">
        <v>3</v>
      </c>
      <c r="AK10" s="6">
        <v>43268</v>
      </c>
      <c r="AL10" s="224">
        <f>'order produk jual'!Y15</f>
        <v>1</v>
      </c>
      <c r="AM10" s="41">
        <f>SUM('order produk jual'!O15*'order produk jual'!N15)</f>
        <v>2428571.4285714286</v>
      </c>
      <c r="AO10" s="224">
        <f>'order produk jual'!Z15</f>
        <v>2</v>
      </c>
      <c r="AP10" s="206"/>
      <c r="AQ10" s="224">
        <f>SUM('order produk jual'!Q15)</f>
        <v>3000000</v>
      </c>
      <c r="AR10" s="224">
        <f>'order produk jual'!AA15</f>
        <v>3</v>
      </c>
      <c r="AS10" s="206"/>
      <c r="AT10" s="224">
        <f>SUM('order produk jual'!O15*'order produk jual'!N15)</f>
        <v>2428571.4285714286</v>
      </c>
      <c r="BD10" s="224">
        <f>'order produk jual'!V15</f>
        <v>18</v>
      </c>
      <c r="BF10" s="224">
        <f>SUM('order produk jual'!U15)</f>
        <v>300000</v>
      </c>
      <c r="BM10" s="224">
        <f>'default akun mata uang'!B3</f>
        <v>7</v>
      </c>
      <c r="BN10" s="224">
        <f>SUM('order produk jual'!Q15+'order produk jual'!U15)</f>
        <v>3300000</v>
      </c>
      <c r="BP10" s="41">
        <f>SUM('order produk jual'!Q15)</f>
        <v>3000000</v>
      </c>
      <c r="BQ10" s="41">
        <f>SUM('order produk jual'!U15)</f>
        <v>300000</v>
      </c>
      <c r="BR10" s="41">
        <f>SUM('order produk jual'!Q15+'order produk jual'!U15)</f>
        <v>3300000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224">
        <f>'user id'!A3</f>
        <v>2</v>
      </c>
      <c r="CA10" s="224">
        <f>'periode akuntansi'!A2</f>
        <v>1</v>
      </c>
    </row>
    <row r="11" spans="1:80" x14ac:dyDescent="0.25">
      <c r="A11" s="1">
        <v>9</v>
      </c>
      <c r="B11" s="224">
        <f>'kode transaksi'!A8</f>
        <v>7</v>
      </c>
      <c r="C11" s="256" t="str">
        <f t="shared" si="0"/>
        <v>7.9</v>
      </c>
      <c r="D11" s="224" t="str">
        <f>'kode transaksi'!B8</f>
        <v>SJ</v>
      </c>
      <c r="E11" s="224" t="s">
        <v>1663</v>
      </c>
      <c r="F11" s="224">
        <f>kontak!A4</f>
        <v>2</v>
      </c>
      <c r="G11" s="224" t="str">
        <f>kontak!G4</f>
        <v>yuli hendarto</v>
      </c>
      <c r="H11" s="224">
        <f>kontak!K4</f>
        <v>8551003553</v>
      </c>
      <c r="I11" s="224" t="str">
        <f>kontak!O4</f>
        <v>yuli_hendarto@yahoo.com</v>
      </c>
      <c r="J11" s="1">
        <v>0</v>
      </c>
      <c r="K11" s="1">
        <v>0</v>
      </c>
      <c r="L11" s="1">
        <v>0</v>
      </c>
      <c r="M11" s="1">
        <v>0</v>
      </c>
      <c r="N11" s="224" t="str">
        <f>CONCATENATE(B11,".",A11)</f>
        <v>7.9</v>
      </c>
      <c r="O11" s="224">
        <f>'data mata uang'!A3</f>
        <v>1</v>
      </c>
      <c r="P11" s="224" t="str">
        <f>'data mata uang'!D3</f>
        <v>IDR</v>
      </c>
      <c r="Q11" s="224">
        <f>'data mata uang'!G3</f>
        <v>1</v>
      </c>
      <c r="R11" s="13">
        <v>43267</v>
      </c>
      <c r="S11" s="1">
        <v>0</v>
      </c>
      <c r="T11" s="1">
        <v>0</v>
      </c>
      <c r="U11" s="224">
        <f>lokasi!A3</f>
        <v>1</v>
      </c>
      <c r="V11" s="224" t="str">
        <f>lokasi!B3</f>
        <v>cempaka putih</v>
      </c>
      <c r="W11" s="1" t="s">
        <v>1316</v>
      </c>
      <c r="X11" s="1">
        <v>0</v>
      </c>
      <c r="Y11" s="1">
        <v>0</v>
      </c>
      <c r="Z11" s="1">
        <v>0</v>
      </c>
      <c r="AA11" s="6">
        <v>43267</v>
      </c>
      <c r="AB11" s="224">
        <f>kontak!A8</f>
        <v>6</v>
      </c>
      <c r="AC11" s="224" t="str">
        <f>kontak!G8</f>
        <v>yusril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224">
        <f>'order produk jual'!Y16</f>
        <v>1</v>
      </c>
      <c r="AM11" s="41">
        <f>SUM('order produk jual'!O16*'order produk jual'!N16)</f>
        <v>10000000</v>
      </c>
      <c r="AO11" s="224">
        <f>'order produk jual'!Z16</f>
        <v>2</v>
      </c>
      <c r="AQ11" s="224">
        <f>SUM('order produk jual'!Q16)</f>
        <v>10000000</v>
      </c>
      <c r="AR11" s="224">
        <f>'order produk jual'!AA16</f>
        <v>22</v>
      </c>
      <c r="AT11" s="224">
        <f>SUM('order produk jual'!O16*'order produk jual'!N16)</f>
        <v>10000000</v>
      </c>
      <c r="BD11" s="224">
        <f>'order produk jual'!V16</f>
        <v>18</v>
      </c>
      <c r="BF11" s="224">
        <f>SUM('order produk jual'!U16)</f>
        <v>1000000</v>
      </c>
      <c r="BM11" s="224">
        <f>'default akun mata uang'!B3</f>
        <v>7</v>
      </c>
      <c r="BN11" s="224">
        <f>SUM('order produk jual'!Q16+'order produk jual'!U16)</f>
        <v>11000000</v>
      </c>
      <c r="BP11" s="41">
        <f>SUM('order produk jual'!Q16)</f>
        <v>10000000</v>
      </c>
      <c r="BQ11" s="41">
        <f>SUM('order produk jual'!U16)</f>
        <v>1000000</v>
      </c>
      <c r="BR11" s="41">
        <f>SUM('order produk jual'!Q16+'order produk jual'!U16)</f>
        <v>11000000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224">
        <f>'user id'!A4</f>
        <v>3</v>
      </c>
      <c r="CA11" s="224">
        <f>'periode akuntansi'!A2</f>
        <v>1</v>
      </c>
    </row>
    <row r="12" spans="1:80" x14ac:dyDescent="0.25">
      <c r="A12" s="1">
        <v>10</v>
      </c>
      <c r="B12" s="224">
        <f>'kode transaksi'!A8</f>
        <v>7</v>
      </c>
      <c r="C12" s="256" t="str">
        <f t="shared" si="0"/>
        <v>7.10</v>
      </c>
      <c r="D12" s="224" t="str">
        <f>'kode transaksi'!B8</f>
        <v>SJ</v>
      </c>
      <c r="E12" s="224" t="s">
        <v>1666</v>
      </c>
      <c r="F12" s="224">
        <f>kontak!A5</f>
        <v>3</v>
      </c>
      <c r="G12" s="224" t="str">
        <f>kontak!G5</f>
        <v>rahmat handono</v>
      </c>
      <c r="H12" s="224">
        <f>kontak!K5</f>
        <v>8551434991</v>
      </c>
      <c r="I12" s="224" t="str">
        <f>kontak!O5</f>
        <v>rahmat.ph@gmail.com</v>
      </c>
      <c r="J12" s="1">
        <v>0</v>
      </c>
      <c r="K12" s="1">
        <v>0</v>
      </c>
      <c r="L12" s="1">
        <v>0</v>
      </c>
      <c r="M12" s="1">
        <v>0</v>
      </c>
      <c r="N12" s="224" t="str">
        <f>CONCATENATE(B12,".",A12)</f>
        <v>7.10</v>
      </c>
      <c r="O12" s="224">
        <f>'data mata uang'!A3</f>
        <v>1</v>
      </c>
      <c r="P12" s="224" t="str">
        <f>'data mata uang'!D3</f>
        <v>IDR</v>
      </c>
      <c r="Q12" s="224">
        <f>'data mata uang'!G3</f>
        <v>1</v>
      </c>
      <c r="R12" s="13">
        <v>43268</v>
      </c>
      <c r="S12" s="1">
        <v>0</v>
      </c>
      <c r="T12" s="1">
        <v>0</v>
      </c>
      <c r="U12" s="224">
        <f>lokasi!A3</f>
        <v>1</v>
      </c>
      <c r="V12" s="224" t="str">
        <f>lokasi!B3</f>
        <v>cempaka putih</v>
      </c>
      <c r="W12" s="1" t="s">
        <v>1667</v>
      </c>
      <c r="X12" s="1">
        <v>0</v>
      </c>
      <c r="Y12" s="1">
        <v>0</v>
      </c>
      <c r="Z12" s="1">
        <v>0</v>
      </c>
      <c r="AA12" s="6">
        <v>43268</v>
      </c>
      <c r="AB12" s="224">
        <f>kontak!A6</f>
        <v>4</v>
      </c>
      <c r="AC12" s="224" t="str">
        <f>kontak!G6</f>
        <v>dea fitri maharani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206"/>
      <c r="AO12" s="206"/>
      <c r="AP12" s="206"/>
      <c r="AQ12" s="206"/>
      <c r="AR12" s="206"/>
      <c r="AS12" s="206"/>
      <c r="AT12" s="206"/>
    </row>
    <row r="13" spans="1:80" x14ac:dyDescent="0.25">
      <c r="AL13" s="206"/>
      <c r="AO13" s="206"/>
      <c r="AP13" s="206"/>
      <c r="AQ13" s="206"/>
      <c r="AR13" s="206"/>
      <c r="AS13" s="206"/>
      <c r="AT13" s="206"/>
    </row>
  </sheetData>
  <mergeCells count="7">
    <mergeCell ref="F1:G1"/>
    <mergeCell ref="O1:Q1"/>
    <mergeCell ref="S1:T1"/>
    <mergeCell ref="U1:V1"/>
    <mergeCell ref="AB1:AC1"/>
    <mergeCell ref="J1:K1"/>
    <mergeCell ref="L1:M1"/>
  </mergeCells>
  <pageMargins left="0.7" right="0.7" top="0.75" bottom="0.75" header="0.3" footer="0.3"/>
  <pageSetup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I11"/>
  <sheetViews>
    <sheetView topLeftCell="B1" zoomScale="130" zoomScaleNormal="130" workbookViewId="0">
      <selection activeCell="F3" sqref="F3"/>
    </sheetView>
  </sheetViews>
  <sheetFormatPr defaultColWidth="9.140625" defaultRowHeight="15" x14ac:dyDescent="0.25"/>
  <cols>
    <col min="1" max="1" width="23.28515625" style="1" bestFit="1" customWidth="1"/>
    <col min="2" max="3" width="15.42578125" style="1" bestFit="1" customWidth="1"/>
    <col min="4" max="4" width="15.42578125" style="1" customWidth="1"/>
    <col min="5" max="5" width="11.28515625" style="1" bestFit="1" customWidth="1"/>
    <col min="6" max="6" width="20.42578125" style="1" bestFit="1" customWidth="1"/>
    <col min="7" max="7" width="22" style="1" bestFit="1" customWidth="1"/>
    <col min="8" max="16" width="22.140625" style="1" customWidth="1"/>
    <col min="17" max="16384" width="9.140625" style="1"/>
  </cols>
  <sheetData>
    <row r="1" spans="1:9" x14ac:dyDescent="0.25">
      <c r="I1" s="1" t="s">
        <v>1474</v>
      </c>
    </row>
    <row r="2" spans="1:9" x14ac:dyDescent="0.25">
      <c r="A2" s="1" t="s">
        <v>862</v>
      </c>
      <c r="B2" s="1" t="s">
        <v>861</v>
      </c>
      <c r="C2" s="1" t="s">
        <v>860</v>
      </c>
      <c r="D2" s="1" t="s">
        <v>856</v>
      </c>
      <c r="E2" s="1" t="s">
        <v>449</v>
      </c>
      <c r="F2" s="1" t="s">
        <v>863</v>
      </c>
      <c r="G2" s="1" t="s">
        <v>864</v>
      </c>
      <c r="H2" s="1" t="s">
        <v>433</v>
      </c>
      <c r="I2" s="1" t="s">
        <v>1475</v>
      </c>
    </row>
    <row r="3" spans="1:9" x14ac:dyDescent="0.25">
      <c r="A3" s="1">
        <v>1</v>
      </c>
      <c r="B3" s="1" t="s">
        <v>378</v>
      </c>
      <c r="C3" s="1">
        <v>30</v>
      </c>
      <c r="D3" s="1">
        <f>'opsi annual'!A2</f>
        <v>1</v>
      </c>
      <c r="E3" s="3">
        <v>0.2</v>
      </c>
      <c r="F3" s="1">
        <v>2</v>
      </c>
      <c r="G3" s="3">
        <v>0.1</v>
      </c>
      <c r="H3" s="47">
        <f>-PMT('term pembayaran'!G3,'term pembayaran'!F3,Invoice!BV9-Invoice!BU9)</f>
        <v>3042285.7142857146</v>
      </c>
      <c r="I3" s="1">
        <v>0</v>
      </c>
    </row>
    <row r="4" spans="1:9" x14ac:dyDescent="0.25">
      <c r="A4" s="1">
        <v>2</v>
      </c>
      <c r="B4" s="1" t="s">
        <v>379</v>
      </c>
      <c r="C4" s="1">
        <v>30</v>
      </c>
      <c r="D4" s="1">
        <f>'opsi annual'!A3</f>
        <v>2</v>
      </c>
      <c r="E4" s="3">
        <v>0.3</v>
      </c>
      <c r="F4" s="1">
        <v>2</v>
      </c>
      <c r="G4" s="3">
        <v>0.1</v>
      </c>
      <c r="I4" s="1">
        <v>0</v>
      </c>
    </row>
    <row r="5" spans="1:9" x14ac:dyDescent="0.25">
      <c r="A5" s="1">
        <v>3</v>
      </c>
      <c r="B5" s="1" t="s">
        <v>380</v>
      </c>
      <c r="C5" s="1">
        <v>30</v>
      </c>
      <c r="D5" s="1">
        <f>'opsi annual'!A4</f>
        <v>3</v>
      </c>
      <c r="E5" s="3">
        <v>0.4</v>
      </c>
      <c r="F5" s="1">
        <v>2</v>
      </c>
      <c r="G5" s="3">
        <v>0.1</v>
      </c>
      <c r="I5" s="1">
        <v>0</v>
      </c>
    </row>
    <row r="6" spans="1:9" x14ac:dyDescent="0.25">
      <c r="A6" s="1">
        <v>4</v>
      </c>
      <c r="B6" s="1" t="s">
        <v>925</v>
      </c>
      <c r="C6" s="1">
        <v>30</v>
      </c>
      <c r="D6" s="1">
        <v>1</v>
      </c>
      <c r="E6" s="1">
        <v>0</v>
      </c>
      <c r="F6" s="1">
        <v>1</v>
      </c>
      <c r="G6" s="1">
        <v>0</v>
      </c>
      <c r="I6" s="1">
        <v>0</v>
      </c>
    </row>
    <row r="8" spans="1:9" x14ac:dyDescent="0.25">
      <c r="H8" s="230">
        <f>-PMT(G3,F3,Invoice!BV9-Invoice!BU9)</f>
        <v>3042285.7142857146</v>
      </c>
    </row>
    <row r="11" spans="1:9" x14ac:dyDescent="0.25">
      <c r="F11" s="62"/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B4"/>
  <sheetViews>
    <sheetView workbookViewId="0">
      <selection activeCell="A2" sqref="A2"/>
    </sheetView>
  </sheetViews>
  <sheetFormatPr defaultColWidth="9.140625" defaultRowHeight="15" x14ac:dyDescent="0.25"/>
  <cols>
    <col min="1" max="1" width="14.42578125" style="1" bestFit="1" customWidth="1"/>
    <col min="2" max="2" width="9.7109375" style="1" bestFit="1" customWidth="1"/>
    <col min="3" max="16384" width="9.140625" style="1"/>
  </cols>
  <sheetData>
    <row r="1" spans="1:2" x14ac:dyDescent="0.25">
      <c r="A1" s="1" t="s">
        <v>869</v>
      </c>
      <c r="B1" s="1" t="s">
        <v>856</v>
      </c>
    </row>
    <row r="2" spans="1:2" x14ac:dyDescent="0.25">
      <c r="A2" s="1">
        <v>1</v>
      </c>
      <c r="B2" s="1" t="s">
        <v>857</v>
      </c>
    </row>
    <row r="3" spans="1:2" x14ac:dyDescent="0.25">
      <c r="A3" s="1">
        <v>2</v>
      </c>
      <c r="B3" s="1" t="s">
        <v>858</v>
      </c>
    </row>
    <row r="4" spans="1:2" x14ac:dyDescent="0.25">
      <c r="A4" s="1">
        <v>3</v>
      </c>
      <c r="B4" s="1" t="s">
        <v>859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00B050"/>
  </sheetPr>
  <dimension ref="A1:AJ15"/>
  <sheetViews>
    <sheetView topLeftCell="B1" zoomScale="85" zoomScaleNormal="85" workbookViewId="0">
      <selection activeCell="C3" sqref="C3"/>
    </sheetView>
  </sheetViews>
  <sheetFormatPr defaultColWidth="9.140625" defaultRowHeight="15" x14ac:dyDescent="0.25"/>
  <cols>
    <col min="1" max="1" width="34.42578125" style="1" bestFit="1" customWidth="1"/>
    <col min="2" max="2" width="18.42578125" style="1" bestFit="1" customWidth="1"/>
    <col min="3" max="3" width="12.42578125" style="256" bestFit="1" customWidth="1"/>
    <col min="4" max="4" width="15.42578125" style="224" bestFit="1" customWidth="1"/>
    <col min="5" max="5" width="50" style="1" bestFit="1" customWidth="1"/>
    <col min="6" max="6" width="10.28515625" style="1" bestFit="1" customWidth="1"/>
    <col min="7" max="7" width="13.7109375" style="1" bestFit="1" customWidth="1"/>
    <col min="8" max="8" width="14.140625" style="1" bestFit="1" customWidth="1"/>
    <col min="9" max="9" width="25" style="1" bestFit="1" customWidth="1"/>
    <col min="10" max="10" width="20.140625" style="224" bestFit="1" customWidth="1"/>
    <col min="11" max="11" width="14.42578125" style="1" bestFit="1" customWidth="1"/>
    <col min="12" max="12" width="11.42578125" style="1" bestFit="1" customWidth="1"/>
    <col min="13" max="13" width="10.7109375" style="224" customWidth="1"/>
    <col min="14" max="14" width="26" style="1" bestFit="1" customWidth="1"/>
    <col min="15" max="15" width="23" style="1" bestFit="1" customWidth="1"/>
    <col min="16" max="16" width="17" style="1" bestFit="1" customWidth="1"/>
    <col min="17" max="17" width="9.7109375" style="1" bestFit="1" customWidth="1"/>
    <col min="18" max="18" width="15" style="1" bestFit="1" customWidth="1"/>
    <col min="19" max="19" width="15.42578125" style="1" bestFit="1" customWidth="1"/>
    <col min="20" max="20" width="10" style="1" bestFit="1" customWidth="1"/>
    <col min="21" max="21" width="15.42578125" style="1" bestFit="1" customWidth="1"/>
    <col min="22" max="22" width="22.85546875" style="1" bestFit="1" customWidth="1"/>
    <col min="23" max="23" width="20.140625" style="1" bestFit="1" customWidth="1"/>
    <col min="24" max="24" width="11.42578125" style="1" bestFit="1" customWidth="1"/>
    <col min="25" max="25" width="15" style="1" bestFit="1" customWidth="1"/>
    <col min="26" max="26" width="19.42578125" style="1" bestFit="1" customWidth="1"/>
    <col min="27" max="27" width="19" style="1" bestFit="1" customWidth="1"/>
    <col min="28" max="28" width="20" style="1" bestFit="1" customWidth="1"/>
    <col min="29" max="29" width="17.85546875" style="1" bestFit="1" customWidth="1"/>
    <col min="30" max="30" width="17.42578125" style="1" bestFit="1" customWidth="1"/>
    <col min="31" max="31" width="21" style="1" bestFit="1" customWidth="1"/>
    <col min="32" max="32" width="11.42578125" style="1" bestFit="1" customWidth="1"/>
    <col min="33" max="33" width="20" style="1" bestFit="1" customWidth="1"/>
    <col min="34" max="34" width="10.85546875" style="1" bestFit="1" customWidth="1"/>
    <col min="35" max="35" width="22" style="1" bestFit="1" customWidth="1"/>
    <col min="36" max="36" width="19" style="1" bestFit="1" customWidth="1"/>
    <col min="37" max="16384" width="9.140625" style="1"/>
  </cols>
  <sheetData>
    <row r="1" spans="1:36" s="44" customFormat="1" x14ac:dyDescent="0.25">
      <c r="C1" s="255"/>
      <c r="D1" s="223"/>
      <c r="E1" s="44" t="s">
        <v>1385</v>
      </c>
      <c r="F1" s="297" t="s">
        <v>1386</v>
      </c>
      <c r="G1" s="297"/>
      <c r="H1" s="44" t="s">
        <v>1387</v>
      </c>
      <c r="I1" s="44" t="s">
        <v>980</v>
      </c>
      <c r="J1" s="223"/>
      <c r="K1" s="297" t="s">
        <v>1145</v>
      </c>
      <c r="L1" s="297"/>
      <c r="M1" s="223"/>
      <c r="N1" s="297" t="s">
        <v>1351</v>
      </c>
      <c r="O1" s="297"/>
      <c r="P1" s="44" t="s">
        <v>1388</v>
      </c>
      <c r="Q1" s="297" t="s">
        <v>919</v>
      </c>
      <c r="R1" s="297"/>
      <c r="S1" s="44" t="s">
        <v>920</v>
      </c>
      <c r="V1" s="44" t="s">
        <v>922</v>
      </c>
      <c r="W1" s="44" t="s">
        <v>1393</v>
      </c>
      <c r="X1" s="297" t="s">
        <v>924</v>
      </c>
      <c r="Y1" s="297"/>
      <c r="AA1" s="44" t="s">
        <v>1389</v>
      </c>
      <c r="AB1" s="44" t="s">
        <v>1391</v>
      </c>
      <c r="AC1" s="44" t="s">
        <v>1390</v>
      </c>
      <c r="AD1" s="44" t="s">
        <v>1392</v>
      </c>
    </row>
    <row r="2" spans="1:36" x14ac:dyDescent="0.25">
      <c r="A2" s="1" t="s">
        <v>526</v>
      </c>
      <c r="B2" s="1" t="s">
        <v>617</v>
      </c>
      <c r="C2" s="256" t="s">
        <v>1685</v>
      </c>
      <c r="D2" s="224" t="s">
        <v>614</v>
      </c>
      <c r="E2" s="1" t="s">
        <v>527</v>
      </c>
      <c r="F2" s="1" t="s">
        <v>408</v>
      </c>
      <c r="G2" s="1" t="s">
        <v>409</v>
      </c>
      <c r="H2" s="1" t="s">
        <v>19</v>
      </c>
      <c r="I2" s="1" t="s">
        <v>20</v>
      </c>
      <c r="J2" s="224" t="s">
        <v>655</v>
      </c>
      <c r="K2" s="1" t="s">
        <v>115</v>
      </c>
      <c r="L2" s="1" t="s">
        <v>21</v>
      </c>
      <c r="M2" s="224" t="s">
        <v>828</v>
      </c>
      <c r="N2" s="1" t="s">
        <v>22</v>
      </c>
      <c r="O2" s="1" t="s">
        <v>23</v>
      </c>
      <c r="P2" s="1" t="s">
        <v>481</v>
      </c>
      <c r="Q2" s="1" t="s">
        <v>24</v>
      </c>
      <c r="R2" s="1" t="s">
        <v>467</v>
      </c>
      <c r="S2" s="1" t="s">
        <v>26</v>
      </c>
      <c r="T2" s="1" t="s">
        <v>46</v>
      </c>
      <c r="U2" s="1" t="s">
        <v>47</v>
      </c>
      <c r="V2" s="1" t="s">
        <v>33</v>
      </c>
      <c r="W2" s="1" t="s">
        <v>1394</v>
      </c>
      <c r="X2" s="1" t="s">
        <v>35</v>
      </c>
      <c r="Y2" s="1" t="s">
        <v>36</v>
      </c>
      <c r="Z2" s="224" t="s">
        <v>1469</v>
      </c>
      <c r="AA2" s="1" t="s">
        <v>38</v>
      </c>
      <c r="AB2" s="1" t="s">
        <v>39</v>
      </c>
      <c r="AC2" s="1" t="s">
        <v>876</v>
      </c>
      <c r="AD2" s="1" t="s">
        <v>40</v>
      </c>
      <c r="AE2" s="1" t="s">
        <v>487</v>
      </c>
      <c r="AF2" s="1" t="s">
        <v>41</v>
      </c>
      <c r="AG2" s="1" t="s">
        <v>42</v>
      </c>
      <c r="AH2" s="224" t="s">
        <v>624</v>
      </c>
      <c r="AI2" s="224" t="s">
        <v>1129</v>
      </c>
      <c r="AJ2" s="224" t="s">
        <v>848</v>
      </c>
    </row>
    <row r="3" spans="1:36" x14ac:dyDescent="0.25">
      <c r="A3" s="1">
        <v>1</v>
      </c>
      <c r="B3" s="1">
        <f>'kode transaksi'!A20</f>
        <v>19</v>
      </c>
      <c r="C3" s="256" t="str">
        <f>CONCATENATE(B3,".",A3)</f>
        <v>19.1</v>
      </c>
      <c r="D3" s="224" t="str">
        <f>'kode transaksi'!B20</f>
        <v>CI</v>
      </c>
      <c r="E3" s="1" t="s">
        <v>1595</v>
      </c>
      <c r="F3" s="1">
        <f>kontak!A9</f>
        <v>7</v>
      </c>
      <c r="G3" s="1" t="str">
        <f>kontak!G9</f>
        <v>djayakusuma</v>
      </c>
      <c r="H3" s="1">
        <f>kontak!K9</f>
        <v>8170175139</v>
      </c>
      <c r="I3" s="1" t="str">
        <f>kontak!O9</f>
        <v>djayakusuma@gmail.com</v>
      </c>
      <c r="J3" s="224" t="str">
        <f>CONCATENATE(B3,".",A3)</f>
        <v>19.1</v>
      </c>
      <c r="K3" s="224">
        <f>'data mata uang'!A3</f>
        <v>1</v>
      </c>
      <c r="L3" s="224" t="str">
        <f>'data mata uang'!D3</f>
        <v>IDR</v>
      </c>
      <c r="M3" s="224">
        <f>'data mata uang'!G3</f>
        <v>1</v>
      </c>
      <c r="N3" s="1">
        <v>0</v>
      </c>
      <c r="O3" s="1">
        <v>0</v>
      </c>
      <c r="P3" s="6">
        <v>43256</v>
      </c>
      <c r="Q3" s="1">
        <f>lokasi!A3</f>
        <v>1</v>
      </c>
      <c r="R3" s="1" t="str">
        <f>lokasi!B3</f>
        <v>cempaka putih</v>
      </c>
      <c r="S3" s="1" t="s">
        <v>1664</v>
      </c>
      <c r="T3" s="1">
        <v>0</v>
      </c>
      <c r="U3" s="1">
        <v>0</v>
      </c>
      <c r="V3" s="1">
        <v>0</v>
      </c>
      <c r="W3" s="6">
        <v>43256</v>
      </c>
      <c r="X3" s="1">
        <f>kontak!A8</f>
        <v>6</v>
      </c>
      <c r="Y3" s="1" t="str">
        <f>kontak!G8</f>
        <v>yusril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f>SUM('order inventori'!L17*'order inventori'!P17)</f>
        <v>100000000</v>
      </c>
      <c r="AF3" s="224">
        <f>SUM(('order inventori'!L17*'order inventori'!P17)*'order inventori'!W17)</f>
        <v>10000000</v>
      </c>
      <c r="AG3" s="224">
        <f>SUM('order inventori'!L17*'order inventori'!P17)+SUM(('order inventori'!L17*'order inventori'!P17)*'order inventori'!W17)</f>
        <v>110000000</v>
      </c>
      <c r="AH3" s="1">
        <f>'user id'!A4</f>
        <v>3</v>
      </c>
      <c r="AI3" s="208">
        <f>'periode akuntansi'!A2</f>
        <v>1</v>
      </c>
      <c r="AJ3" s="6"/>
    </row>
    <row r="7" spans="1:36" x14ac:dyDescent="0.25">
      <c r="A7" s="40" t="s">
        <v>1346</v>
      </c>
      <c r="E7" s="40"/>
    </row>
    <row r="8" spans="1:36" x14ac:dyDescent="0.25">
      <c r="A8" s="40"/>
      <c r="E8" s="40"/>
    </row>
    <row r="9" spans="1:36" x14ac:dyDescent="0.25">
      <c r="A9" s="40"/>
      <c r="E9" s="40"/>
    </row>
    <row r="10" spans="1:36" x14ac:dyDescent="0.25">
      <c r="A10" s="40"/>
      <c r="E10" s="40"/>
    </row>
    <row r="11" spans="1:36" x14ac:dyDescent="0.25">
      <c r="A11" s="40" t="s">
        <v>932</v>
      </c>
      <c r="E11" s="40"/>
    </row>
    <row r="12" spans="1:36" x14ac:dyDescent="0.25">
      <c r="A12" s="40"/>
      <c r="E12" s="40"/>
    </row>
    <row r="13" spans="1:36" x14ac:dyDescent="0.25">
      <c r="A13" s="40"/>
      <c r="E13" s="40"/>
    </row>
    <row r="14" spans="1:36" x14ac:dyDescent="0.25">
      <c r="A14" s="40"/>
      <c r="E14" s="40"/>
    </row>
    <row r="15" spans="1:36" x14ac:dyDescent="0.25">
      <c r="A15" s="40" t="s">
        <v>1347</v>
      </c>
      <c r="E15" s="40" t="s">
        <v>1395</v>
      </c>
    </row>
  </sheetData>
  <mergeCells count="5">
    <mergeCell ref="F1:G1"/>
    <mergeCell ref="K1:L1"/>
    <mergeCell ref="N1:O1"/>
    <mergeCell ref="Q1:R1"/>
    <mergeCell ref="X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00B050"/>
  </sheetPr>
  <dimension ref="A1:AJ20"/>
  <sheetViews>
    <sheetView zoomScale="85" zoomScaleNormal="85" workbookViewId="0">
      <selection activeCell="E3" sqref="E3"/>
    </sheetView>
  </sheetViews>
  <sheetFormatPr defaultColWidth="9.140625" defaultRowHeight="15" x14ac:dyDescent="0.25"/>
  <cols>
    <col min="1" max="1" width="27.42578125" style="1" bestFit="1" customWidth="1"/>
    <col min="2" max="2" width="18.42578125" style="1" bestFit="1" customWidth="1"/>
    <col min="3" max="3" width="12.42578125" style="256" bestFit="1" customWidth="1"/>
    <col min="4" max="4" width="15.42578125" style="224" bestFit="1" customWidth="1"/>
    <col min="5" max="5" width="27.85546875" style="1" bestFit="1" customWidth="1"/>
    <col min="6" max="6" width="10.28515625" style="1" bestFit="1" customWidth="1"/>
    <col min="7" max="7" width="13.7109375" style="1" bestFit="1" customWidth="1"/>
    <col min="8" max="8" width="14.140625" style="1" bestFit="1" customWidth="1"/>
    <col min="9" max="9" width="6.42578125" style="1" bestFit="1" customWidth="1"/>
    <col min="10" max="10" width="20.140625" style="224" bestFit="1" customWidth="1"/>
    <col min="11" max="11" width="14.42578125" style="1" bestFit="1" customWidth="1"/>
    <col min="12" max="12" width="11.42578125" style="1" bestFit="1" customWidth="1"/>
    <col min="13" max="13" width="10.7109375" style="224" customWidth="1"/>
    <col min="14" max="14" width="26" style="1" bestFit="1" customWidth="1"/>
    <col min="15" max="15" width="23" style="1" bestFit="1" customWidth="1"/>
    <col min="16" max="16" width="17" style="1" bestFit="1" customWidth="1"/>
    <col min="17" max="17" width="9.7109375" style="1" bestFit="1" customWidth="1"/>
    <col min="18" max="18" width="13.42578125" style="1" bestFit="1" customWidth="1"/>
    <col min="19" max="19" width="11.42578125" style="1" bestFit="1" customWidth="1"/>
    <col min="20" max="20" width="10" style="1" bestFit="1" customWidth="1"/>
    <col min="21" max="21" width="15.42578125" style="1" bestFit="1" customWidth="1"/>
    <col min="22" max="22" width="22.85546875" style="1" bestFit="1" customWidth="1"/>
    <col min="23" max="23" width="21.140625" style="1" bestFit="1" customWidth="1"/>
    <col min="24" max="24" width="11.42578125" style="1" bestFit="1" customWidth="1"/>
    <col min="25" max="25" width="15" style="1" bestFit="1" customWidth="1"/>
    <col min="26" max="26" width="17" style="1" bestFit="1" customWidth="1"/>
    <col min="27" max="27" width="19" style="1" bestFit="1" customWidth="1"/>
    <col min="28" max="28" width="20" style="1" bestFit="1" customWidth="1"/>
    <col min="29" max="29" width="17.85546875" style="1" bestFit="1" customWidth="1"/>
    <col min="30" max="30" width="17.42578125" style="1" bestFit="1" customWidth="1"/>
    <col min="31" max="31" width="21" style="1" bestFit="1" customWidth="1"/>
    <col min="32" max="32" width="11.42578125" style="1" bestFit="1" customWidth="1"/>
    <col min="33" max="33" width="20" style="1" bestFit="1" customWidth="1"/>
    <col min="34" max="34" width="10.85546875" style="1" bestFit="1" customWidth="1"/>
    <col min="35" max="35" width="22" style="1" bestFit="1" customWidth="1"/>
    <col min="36" max="36" width="19" style="1" bestFit="1" customWidth="1"/>
    <col min="37" max="16384" width="9.140625" style="1"/>
  </cols>
  <sheetData>
    <row r="1" spans="1:36" s="44" customFormat="1" x14ac:dyDescent="0.25">
      <c r="C1" s="255"/>
      <c r="D1" s="223"/>
      <c r="E1" s="44" t="s">
        <v>1385</v>
      </c>
      <c r="F1" s="297" t="s">
        <v>1386</v>
      </c>
      <c r="G1" s="297"/>
      <c r="H1" s="44" t="s">
        <v>1387</v>
      </c>
      <c r="I1" s="44" t="s">
        <v>980</v>
      </c>
      <c r="J1" s="223"/>
      <c r="K1" s="297" t="s">
        <v>1145</v>
      </c>
      <c r="L1" s="297"/>
      <c r="M1" s="297"/>
      <c r="N1" s="297" t="s">
        <v>1351</v>
      </c>
      <c r="O1" s="297"/>
      <c r="P1" s="44" t="s">
        <v>1388</v>
      </c>
      <c r="Q1" s="297" t="s">
        <v>919</v>
      </c>
      <c r="R1" s="297"/>
      <c r="S1" s="44" t="s">
        <v>920</v>
      </c>
      <c r="V1" s="44" t="s">
        <v>922</v>
      </c>
      <c r="W1" s="44" t="s">
        <v>1396</v>
      </c>
      <c r="X1" s="297" t="s">
        <v>924</v>
      </c>
      <c r="Y1" s="297"/>
      <c r="AA1" s="44" t="s">
        <v>1389</v>
      </c>
      <c r="AB1" s="44" t="s">
        <v>1391</v>
      </c>
      <c r="AC1" s="44" t="s">
        <v>1390</v>
      </c>
      <c r="AD1" s="44" t="s">
        <v>1392</v>
      </c>
    </row>
    <row r="2" spans="1:36" x14ac:dyDescent="0.25">
      <c r="A2" s="1" t="s">
        <v>537</v>
      </c>
      <c r="B2" s="1" t="s">
        <v>617</v>
      </c>
      <c r="C2" s="256" t="s">
        <v>1685</v>
      </c>
      <c r="D2" s="224" t="s">
        <v>614</v>
      </c>
      <c r="E2" s="1" t="s">
        <v>538</v>
      </c>
      <c r="F2" s="1" t="s">
        <v>408</v>
      </c>
      <c r="G2" s="1" t="s">
        <v>409</v>
      </c>
      <c r="H2" s="1" t="s">
        <v>19</v>
      </c>
      <c r="I2" s="1" t="s">
        <v>20</v>
      </c>
      <c r="J2" s="224" t="s">
        <v>655</v>
      </c>
      <c r="K2" s="224" t="s">
        <v>115</v>
      </c>
      <c r="L2" s="224" t="s">
        <v>21</v>
      </c>
      <c r="M2" s="224" t="s">
        <v>828</v>
      </c>
      <c r="N2" s="1" t="s">
        <v>22</v>
      </c>
      <c r="O2" s="1" t="s">
        <v>23</v>
      </c>
      <c r="P2" s="1" t="s">
        <v>481</v>
      </c>
      <c r="Q2" s="1" t="s">
        <v>24</v>
      </c>
      <c r="R2" s="1" t="s">
        <v>467</v>
      </c>
      <c r="S2" s="1" t="s">
        <v>26</v>
      </c>
      <c r="T2" s="1" t="s">
        <v>46</v>
      </c>
      <c r="U2" s="1" t="s">
        <v>47</v>
      </c>
      <c r="V2" s="1" t="s">
        <v>33</v>
      </c>
      <c r="W2" s="1" t="s">
        <v>51</v>
      </c>
      <c r="X2" s="1" t="s">
        <v>35</v>
      </c>
      <c r="Y2" s="1" t="s">
        <v>36</v>
      </c>
      <c r="Z2" s="224" t="s">
        <v>1469</v>
      </c>
      <c r="AA2" s="1" t="s">
        <v>38</v>
      </c>
      <c r="AB2" s="1" t="s">
        <v>39</v>
      </c>
      <c r="AC2" s="1" t="s">
        <v>876</v>
      </c>
      <c r="AD2" s="1" t="s">
        <v>40</v>
      </c>
      <c r="AE2" s="1" t="s">
        <v>487</v>
      </c>
      <c r="AF2" s="1" t="s">
        <v>41</v>
      </c>
      <c r="AG2" s="1" t="s">
        <v>42</v>
      </c>
      <c r="AH2" s="224" t="s">
        <v>624</v>
      </c>
      <c r="AI2" s="224" t="s">
        <v>1129</v>
      </c>
      <c r="AJ2" s="224" t="s">
        <v>848</v>
      </c>
    </row>
    <row r="3" spans="1:36" x14ac:dyDescent="0.25">
      <c r="A3" s="1">
        <v>1</v>
      </c>
      <c r="B3" s="1">
        <f>'kode transaksi'!A21</f>
        <v>20</v>
      </c>
      <c r="C3" s="256" t="str">
        <f>CONCATENATE(B3,".",A3)</f>
        <v>20.1</v>
      </c>
      <c r="D3" s="224" t="str">
        <f>'kode transaksi'!B21</f>
        <v>CO</v>
      </c>
      <c r="E3" s="1" t="s">
        <v>1595</v>
      </c>
      <c r="F3" s="224">
        <f>kontak!A9</f>
        <v>7</v>
      </c>
      <c r="G3" s="224" t="str">
        <f>kontak!G9</f>
        <v>djayakusuma</v>
      </c>
      <c r="H3" s="224">
        <f>kontak!K9</f>
        <v>8170175139</v>
      </c>
      <c r="I3" s="224" t="str">
        <f>kontak!O9</f>
        <v>djayakusuma@gmail.com</v>
      </c>
      <c r="J3" s="224" t="str">
        <f>CONCATENATE(B3,".",A3)</f>
        <v>20.1</v>
      </c>
      <c r="K3" s="224">
        <f>'data mata uang'!A3</f>
        <v>1</v>
      </c>
      <c r="L3" s="224" t="str">
        <f>'data mata uang'!D3</f>
        <v>IDR</v>
      </c>
      <c r="M3" s="224">
        <f>'data mata uang'!G3</f>
        <v>1</v>
      </c>
      <c r="N3" s="1">
        <v>0</v>
      </c>
      <c r="O3" s="1">
        <v>0</v>
      </c>
      <c r="P3" s="6">
        <v>43258</v>
      </c>
      <c r="Q3" s="224">
        <f>lokasi!A3</f>
        <v>1</v>
      </c>
      <c r="R3" s="224" t="str">
        <f>lokasi!B3</f>
        <v>cempaka putih</v>
      </c>
      <c r="S3" s="1" t="s">
        <v>1665</v>
      </c>
      <c r="T3" s="1">
        <v>0</v>
      </c>
      <c r="U3" s="1">
        <v>0</v>
      </c>
      <c r="V3" s="1">
        <v>0</v>
      </c>
      <c r="W3" s="6">
        <v>43257</v>
      </c>
      <c r="X3" s="224">
        <f>kontak!A8</f>
        <v>6</v>
      </c>
      <c r="Y3" s="224" t="str">
        <f>kontak!G8</f>
        <v>yusril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f>SUM('order inventori'!M18*'order inventori'!P18)</f>
        <v>50000000</v>
      </c>
      <c r="AF3" s="1">
        <f>SUM(('order inventori'!M18*'order inventori'!P18)*'order inventori'!W18)</f>
        <v>5000000</v>
      </c>
      <c r="AG3" s="1">
        <f>SUM('order inventori'!M18*'order inventori'!P18)+SUM(('order inventori'!M18*'order inventori'!P18)*'order inventori'!W18)</f>
        <v>55000000</v>
      </c>
      <c r="AH3" s="224">
        <f>'user id'!A4</f>
        <v>3</v>
      </c>
      <c r="AI3" s="224">
        <f>'periode akuntansi'!A2</f>
        <v>1</v>
      </c>
    </row>
    <row r="4" spans="1:36" s="224" customFormat="1" x14ac:dyDescent="0.25">
      <c r="C4" s="256"/>
    </row>
    <row r="5" spans="1:36" s="224" customFormat="1" x14ac:dyDescent="0.25">
      <c r="C5" s="256"/>
    </row>
    <row r="6" spans="1:36" s="224" customFormat="1" x14ac:dyDescent="0.25">
      <c r="C6" s="256"/>
    </row>
    <row r="7" spans="1:36" s="224" customFormat="1" x14ac:dyDescent="0.25">
      <c r="C7" s="256"/>
    </row>
    <row r="8" spans="1:36" s="224" customFormat="1" x14ac:dyDescent="0.25">
      <c r="C8" s="256"/>
    </row>
    <row r="9" spans="1:36" s="224" customFormat="1" x14ac:dyDescent="0.25">
      <c r="C9" s="256"/>
    </row>
    <row r="10" spans="1:36" s="224" customFormat="1" x14ac:dyDescent="0.25">
      <c r="C10" s="256"/>
    </row>
    <row r="12" spans="1:36" x14ac:dyDescent="0.25">
      <c r="A12" s="1" t="s">
        <v>1346</v>
      </c>
    </row>
    <row r="16" spans="1:36" x14ac:dyDescent="0.25">
      <c r="A16" s="1" t="s">
        <v>932</v>
      </c>
    </row>
    <row r="20" spans="1:1" x14ac:dyDescent="0.25">
      <c r="A20" s="1" t="s">
        <v>1347</v>
      </c>
    </row>
  </sheetData>
  <mergeCells count="5">
    <mergeCell ref="Q1:R1"/>
    <mergeCell ref="N1:O1"/>
    <mergeCell ref="F1:G1"/>
    <mergeCell ref="X1:Y1"/>
    <mergeCell ref="K1:M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R3"/>
  <sheetViews>
    <sheetView topLeftCell="BF1" zoomScale="70" zoomScaleNormal="70" workbookViewId="0">
      <selection activeCell="BR3" sqref="BR3"/>
    </sheetView>
  </sheetViews>
  <sheetFormatPr defaultColWidth="9.140625" defaultRowHeight="15" x14ac:dyDescent="0.25"/>
  <cols>
    <col min="1" max="1" width="19.140625" style="1" bestFit="1" customWidth="1"/>
    <col min="2" max="2" width="18.42578125" style="1" bestFit="1" customWidth="1"/>
    <col min="3" max="3" width="12.42578125" style="256" bestFit="1" customWidth="1"/>
    <col min="4" max="4" width="15.42578125" style="1" bestFit="1" customWidth="1"/>
    <col min="5" max="5" width="20.85546875" style="1" bestFit="1" customWidth="1"/>
    <col min="6" max="6" width="13.85546875" style="1" bestFit="1" customWidth="1"/>
    <col min="7" max="7" width="17.28515625" style="1" bestFit="1" customWidth="1"/>
    <col min="8" max="8" width="14.140625" style="1" bestFit="1" customWidth="1"/>
    <col min="9" max="9" width="22" style="1" bestFit="1" customWidth="1"/>
    <col min="10" max="10" width="20.140625" style="1" bestFit="1" customWidth="1"/>
    <col min="11" max="11" width="23" style="1" bestFit="1" customWidth="1"/>
    <col min="12" max="12" width="14.42578125" style="1" bestFit="1" customWidth="1"/>
    <col min="13" max="13" width="11.42578125" style="1" bestFit="1" customWidth="1"/>
    <col min="14" max="14" width="10.7109375" style="1" bestFit="1" customWidth="1"/>
    <col min="15" max="15" width="24.28515625" style="1" bestFit="1" customWidth="1"/>
    <col min="16" max="16" width="26" style="1" bestFit="1" customWidth="1"/>
    <col min="17" max="17" width="23" style="1" bestFit="1" customWidth="1"/>
    <col min="18" max="18" width="9.7109375" style="1" bestFit="1" customWidth="1"/>
    <col min="19" max="19" width="15" style="1" bestFit="1" customWidth="1"/>
    <col min="20" max="20" width="15.42578125" style="1" bestFit="1" customWidth="1"/>
    <col min="21" max="21" width="10" style="1" bestFit="1" customWidth="1"/>
    <col min="22" max="22" width="15.42578125" style="1" bestFit="1" customWidth="1"/>
    <col min="23" max="23" width="22.85546875" style="1" bestFit="1" customWidth="1"/>
    <col min="24" max="24" width="20" style="1" bestFit="1" customWidth="1"/>
    <col min="25" max="25" width="11.42578125" style="1" bestFit="1" customWidth="1"/>
    <col min="26" max="26" width="18.28515625" style="1" bestFit="1" customWidth="1"/>
    <col min="27" max="27" width="19.42578125" style="1" bestFit="1" customWidth="1"/>
    <col min="28" max="28" width="33.42578125" style="1" bestFit="1" customWidth="1"/>
    <col min="29" max="29" width="28.7109375" style="1" customWidth="1"/>
    <col min="30" max="30" width="20.42578125" style="1" bestFit="1" customWidth="1"/>
    <col min="31" max="31" width="29.42578125" style="1" bestFit="1" customWidth="1"/>
    <col min="32" max="32" width="38.140625" style="1" bestFit="1" customWidth="1"/>
    <col min="33" max="33" width="38.85546875" style="1" bestFit="1" customWidth="1"/>
    <col min="34" max="34" width="27" style="1" bestFit="1" customWidth="1"/>
    <col min="35" max="35" width="35.7109375" style="1" bestFit="1" customWidth="1"/>
    <col min="36" max="36" width="36.28515625" style="1" bestFit="1" customWidth="1"/>
    <col min="37" max="37" width="28.140625" style="1" bestFit="1" customWidth="1"/>
    <col min="38" max="38" width="37" style="1" bestFit="1" customWidth="1"/>
    <col min="39" max="39" width="37.42578125" style="1" bestFit="1" customWidth="1"/>
    <col min="40" max="40" width="24.28515625" style="1" bestFit="1" customWidth="1"/>
    <col min="41" max="41" width="27.42578125" style="1" bestFit="1" customWidth="1"/>
    <col min="42" max="42" width="27.85546875" style="1" bestFit="1" customWidth="1"/>
    <col min="43" max="43" width="27.140625" style="1" bestFit="1" customWidth="1"/>
    <col min="44" max="44" width="30.28515625" style="1" bestFit="1" customWidth="1"/>
    <col min="45" max="45" width="30.7109375" style="1" bestFit="1" customWidth="1"/>
    <col min="46" max="46" width="22.42578125" style="1" bestFit="1" customWidth="1"/>
    <col min="47" max="47" width="31.28515625" style="1" bestFit="1" customWidth="1"/>
    <col min="48" max="48" width="31.7109375" style="1" bestFit="1" customWidth="1"/>
    <col min="49" max="49" width="19.85546875" style="1" bestFit="1" customWidth="1"/>
    <col min="50" max="50" width="28.42578125" style="1" bestFit="1" customWidth="1"/>
    <col min="51" max="51" width="29" style="1" bestFit="1" customWidth="1"/>
    <col min="52" max="52" width="25.28515625" style="1" bestFit="1" customWidth="1"/>
    <col min="53" max="53" width="34.140625" style="1" bestFit="1" customWidth="1"/>
    <col min="54" max="54" width="34.7109375" style="1" bestFit="1" customWidth="1"/>
    <col min="55" max="55" width="27.7109375" style="1" bestFit="1" customWidth="1"/>
    <col min="56" max="56" width="36.42578125" style="1" bestFit="1" customWidth="1"/>
    <col min="57" max="57" width="37" style="1" bestFit="1" customWidth="1"/>
    <col min="58" max="58" width="21" style="1" bestFit="1" customWidth="1"/>
    <col min="59" max="59" width="11.42578125" style="1" bestFit="1" customWidth="1"/>
    <col min="60" max="60" width="20" style="1" bestFit="1" customWidth="1"/>
    <col min="61" max="61" width="18" style="1" bestFit="1" customWidth="1"/>
    <col min="62" max="62" width="13.42578125" style="1" bestFit="1" customWidth="1"/>
    <col min="63" max="63" width="26.42578125" style="1" bestFit="1" customWidth="1"/>
    <col min="64" max="64" width="20.42578125" style="1" bestFit="1" customWidth="1"/>
    <col min="65" max="65" width="19.42578125" style="1" bestFit="1" customWidth="1"/>
    <col min="66" max="66" width="11.85546875" style="1" bestFit="1" customWidth="1"/>
    <col min="67" max="67" width="9.85546875" style="1" bestFit="1" customWidth="1"/>
    <col min="68" max="68" width="10.85546875" style="1" bestFit="1" customWidth="1"/>
    <col min="69" max="69" width="22" style="1" bestFit="1" customWidth="1"/>
    <col min="70" max="70" width="19.28515625" style="1" bestFit="1" customWidth="1"/>
    <col min="71" max="16384" width="9.140625" style="1"/>
  </cols>
  <sheetData>
    <row r="1" spans="1:70" s="44" customFormat="1" x14ac:dyDescent="0.25">
      <c r="C1" s="255"/>
      <c r="E1" s="44" t="s">
        <v>1452</v>
      </c>
      <c r="F1" s="297" t="s">
        <v>1442</v>
      </c>
      <c r="G1" s="297"/>
      <c r="H1" s="44" t="s">
        <v>1387</v>
      </c>
      <c r="I1" s="44" t="s">
        <v>980</v>
      </c>
      <c r="J1" s="297" t="s">
        <v>1449</v>
      </c>
      <c r="K1" s="297"/>
      <c r="L1" s="297" t="s">
        <v>1145</v>
      </c>
      <c r="M1" s="297"/>
      <c r="N1" s="297"/>
      <c r="O1" s="44" t="s">
        <v>1453</v>
      </c>
      <c r="P1" s="297" t="s">
        <v>916</v>
      </c>
      <c r="Q1" s="297"/>
      <c r="R1" s="297" t="s">
        <v>919</v>
      </c>
      <c r="S1" s="297"/>
      <c r="T1" s="44" t="s">
        <v>920</v>
      </c>
      <c r="U1" s="44" t="s">
        <v>1023</v>
      </c>
      <c r="V1" s="44" t="s">
        <v>1021</v>
      </c>
      <c r="W1" s="44" t="s">
        <v>922</v>
      </c>
      <c r="X1" s="44" t="s">
        <v>1409</v>
      </c>
      <c r="Y1" s="297" t="s">
        <v>924</v>
      </c>
      <c r="Z1" s="297"/>
      <c r="AA1" s="44" t="s">
        <v>1464</v>
      </c>
      <c r="AB1" s="44" t="s">
        <v>1445</v>
      </c>
      <c r="AC1" s="44" t="s">
        <v>1405</v>
      </c>
      <c r="AD1" s="44" t="s">
        <v>1429</v>
      </c>
      <c r="BG1" s="44" t="s">
        <v>1459</v>
      </c>
      <c r="BH1" s="44" t="s">
        <v>1471</v>
      </c>
      <c r="BI1" s="44" t="s">
        <v>1451</v>
      </c>
      <c r="BL1" s="44" t="s">
        <v>1467</v>
      </c>
      <c r="BM1" s="44" t="s">
        <v>1468</v>
      </c>
      <c r="BN1" s="44" t="s">
        <v>1462</v>
      </c>
      <c r="BO1" s="44" t="s">
        <v>1463</v>
      </c>
    </row>
    <row r="2" spans="1:70" x14ac:dyDescent="0.25">
      <c r="A2" s="1" t="s">
        <v>645</v>
      </c>
      <c r="B2" s="1" t="s">
        <v>617</v>
      </c>
      <c r="C2" s="256" t="s">
        <v>1685</v>
      </c>
      <c r="D2" s="1" t="s">
        <v>614</v>
      </c>
      <c r="E2" s="1" t="s">
        <v>646</v>
      </c>
      <c r="F2" s="1" t="s">
        <v>2</v>
      </c>
      <c r="G2" s="1" t="s">
        <v>18</v>
      </c>
      <c r="H2" s="1" t="s">
        <v>19</v>
      </c>
      <c r="I2" s="1" t="s">
        <v>20</v>
      </c>
      <c r="J2" s="1" t="s">
        <v>655</v>
      </c>
      <c r="K2" s="1" t="s">
        <v>618</v>
      </c>
      <c r="L2" s="1" t="s">
        <v>115</v>
      </c>
      <c r="M2" s="1" t="s">
        <v>21</v>
      </c>
      <c r="N2" s="1" t="s">
        <v>828</v>
      </c>
      <c r="O2" s="13" t="s">
        <v>647</v>
      </c>
      <c r="P2" s="1" t="s">
        <v>22</v>
      </c>
      <c r="Q2" s="1" t="s">
        <v>23</v>
      </c>
      <c r="R2" s="1" t="s">
        <v>24</v>
      </c>
      <c r="S2" s="1" t="s">
        <v>467</v>
      </c>
      <c r="T2" s="1" t="s">
        <v>26</v>
      </c>
      <c r="U2" s="1" t="s">
        <v>46</v>
      </c>
      <c r="V2" s="1" t="s">
        <v>47</v>
      </c>
      <c r="W2" s="1" t="s">
        <v>33</v>
      </c>
      <c r="X2" s="1" t="s">
        <v>430</v>
      </c>
      <c r="Y2" s="1" t="s">
        <v>35</v>
      </c>
      <c r="Z2" s="1" t="s">
        <v>36</v>
      </c>
      <c r="AA2" s="1" t="s">
        <v>1469</v>
      </c>
      <c r="AB2" s="1" t="s">
        <v>37</v>
      </c>
      <c r="AC2" s="1" t="s">
        <v>875</v>
      </c>
      <c r="AD2" s="1" t="s">
        <v>879</v>
      </c>
      <c r="AE2" s="9" t="s">
        <v>476</v>
      </c>
      <c r="AF2" s="1" t="s">
        <v>61</v>
      </c>
      <c r="AG2" s="1" t="s">
        <v>62</v>
      </c>
      <c r="AH2" s="9" t="s">
        <v>477</v>
      </c>
      <c r="AI2" s="1" t="s">
        <v>63</v>
      </c>
      <c r="AJ2" s="1" t="s">
        <v>64</v>
      </c>
      <c r="AK2" s="9" t="s">
        <v>478</v>
      </c>
      <c r="AL2" s="1" t="s">
        <v>57</v>
      </c>
      <c r="AM2" s="1" t="s">
        <v>58</v>
      </c>
      <c r="AN2" s="10" t="s">
        <v>474</v>
      </c>
      <c r="AO2" s="1" t="s">
        <v>65</v>
      </c>
      <c r="AP2" s="1" t="s">
        <v>66</v>
      </c>
      <c r="AQ2" s="10" t="s">
        <v>475</v>
      </c>
      <c r="AR2" s="1" t="s">
        <v>67</v>
      </c>
      <c r="AS2" s="1" t="s">
        <v>68</v>
      </c>
      <c r="AT2" s="11" t="s">
        <v>69</v>
      </c>
      <c r="AU2" s="1" t="s">
        <v>70</v>
      </c>
      <c r="AV2" s="1" t="s">
        <v>71</v>
      </c>
      <c r="AW2" s="11" t="s">
        <v>72</v>
      </c>
      <c r="AX2" s="1" t="s">
        <v>73</v>
      </c>
      <c r="AY2" s="1" t="s">
        <v>74</v>
      </c>
      <c r="AZ2" s="12" t="s">
        <v>834</v>
      </c>
      <c r="BA2" s="1" t="s">
        <v>835</v>
      </c>
      <c r="BB2" s="1" t="s">
        <v>836</v>
      </c>
      <c r="BC2" s="12" t="s">
        <v>479</v>
      </c>
      <c r="BD2" s="1" t="s">
        <v>75</v>
      </c>
      <c r="BE2" s="1" t="s">
        <v>76</v>
      </c>
      <c r="BF2" s="1" t="s">
        <v>487</v>
      </c>
      <c r="BG2" s="1" t="s">
        <v>41</v>
      </c>
      <c r="BH2" s="1" t="s">
        <v>42</v>
      </c>
      <c r="BI2" s="1" t="s">
        <v>1470</v>
      </c>
      <c r="BJ2" s="1" t="s">
        <v>1439</v>
      </c>
      <c r="BK2" s="1" t="s">
        <v>1472</v>
      </c>
      <c r="BL2" s="1" t="s">
        <v>1565</v>
      </c>
      <c r="BM2" s="1" t="s">
        <v>433</v>
      </c>
      <c r="BN2" s="1" t="s">
        <v>434</v>
      </c>
      <c r="BO2" s="1" t="s">
        <v>435</v>
      </c>
      <c r="BP2" s="1" t="s">
        <v>624</v>
      </c>
      <c r="BQ2" s="1" t="s">
        <v>1129</v>
      </c>
      <c r="BR2" s="1" t="s">
        <v>1592</v>
      </c>
    </row>
    <row r="3" spans="1:70" x14ac:dyDescent="0.25">
      <c r="A3" s="1">
        <v>1</v>
      </c>
      <c r="B3" s="1">
        <f>'kode transaksi'!A23</f>
        <v>22</v>
      </c>
      <c r="C3" s="256" t="str">
        <f>CONCATENATE(B3,".",A3)</f>
        <v>22.1</v>
      </c>
      <c r="D3" s="1" t="str">
        <f>'kode transaksi'!B23</f>
        <v>SR</v>
      </c>
      <c r="E3" s="1" t="s">
        <v>1595</v>
      </c>
      <c r="F3" s="1">
        <f>kontak!A3</f>
        <v>1</v>
      </c>
      <c r="G3" s="1" t="str">
        <f>kontak!G3</f>
        <v>dimas dhaniarso</v>
      </c>
      <c r="H3" s="1">
        <f>kontak!K3</f>
        <v>81273845323</v>
      </c>
      <c r="I3" s="1" t="str">
        <f>kontak!O3</f>
        <v>dhadan33@gmail.com</v>
      </c>
      <c r="J3" s="1" t="str">
        <f>'order produk jual'!B5</f>
        <v>7.3</v>
      </c>
      <c r="K3" s="1" t="str">
        <f>Invoice!E5</f>
        <v>.000003</v>
      </c>
      <c r="L3" s="1">
        <f>Invoice!O5</f>
        <v>1</v>
      </c>
      <c r="M3" s="1" t="str">
        <f>Invoice!P5</f>
        <v>IDR</v>
      </c>
      <c r="N3" s="1">
        <f>Invoice!Q5</f>
        <v>1</v>
      </c>
      <c r="O3" s="6">
        <v>43261</v>
      </c>
      <c r="P3" s="1">
        <f>Invoice!S5</f>
        <v>0</v>
      </c>
      <c r="Q3" s="1">
        <f>Invoice!T5</f>
        <v>0</v>
      </c>
      <c r="R3" s="1">
        <f>Invoice!U5</f>
        <v>1</v>
      </c>
      <c r="S3" s="1" t="str">
        <f>Invoice!V5</f>
        <v>cempaka putih</v>
      </c>
      <c r="T3" s="1" t="s">
        <v>1640</v>
      </c>
      <c r="U3" s="1">
        <f>Invoice!X5</f>
        <v>0</v>
      </c>
      <c r="V3" s="1">
        <f>Invoice!Y5</f>
        <v>0</v>
      </c>
      <c r="W3" s="1">
        <v>0</v>
      </c>
      <c r="X3" s="6">
        <v>43262</v>
      </c>
      <c r="Y3" s="1">
        <f>kontak!A7</f>
        <v>5</v>
      </c>
      <c r="Z3" s="1" t="str">
        <f>kontak!G7</f>
        <v>gisela tria canitha</v>
      </c>
      <c r="AA3" s="1">
        <v>0</v>
      </c>
      <c r="AB3" s="1">
        <v>0</v>
      </c>
      <c r="AC3" s="1">
        <v>0</v>
      </c>
      <c r="AD3" s="1">
        <v>0</v>
      </c>
      <c r="AE3" s="1">
        <f>'order produk jual'!Y6</f>
        <v>1</v>
      </c>
      <c r="AG3" s="1">
        <f>SUM('order produk jual'!N6*'order produk jual'!O6)</f>
        <v>2433333.3333333335</v>
      </c>
      <c r="AH3" s="1">
        <f>'order produk jual'!Z6</f>
        <v>2</v>
      </c>
      <c r="AI3" s="1">
        <f>SUM('order produk jual'!Q6)</f>
        <v>3000000</v>
      </c>
      <c r="AK3" s="1">
        <f>'order produk jual'!AA6</f>
        <v>3</v>
      </c>
      <c r="AL3" s="1">
        <f>SUM('order produk jual'!N6*'order produk jual'!O6)</f>
        <v>2433333.3333333335</v>
      </c>
      <c r="AT3" s="1">
        <f>'order produk jual'!V6</f>
        <v>18</v>
      </c>
      <c r="AU3" s="1">
        <f>SUM('order produk jual'!U6)</f>
        <v>300000</v>
      </c>
      <c r="BC3" s="1">
        <f>'default akun mata uang'!B3</f>
        <v>7</v>
      </c>
      <c r="BE3" s="1">
        <f>SUM('order produk jual'!Q6+'order produk jual'!U6)</f>
        <v>3300000</v>
      </c>
      <c r="BF3" s="1">
        <f>SUM('order produk jual'!Q6)</f>
        <v>3000000</v>
      </c>
      <c r="BG3" s="1">
        <f>SUM('order produk jual'!U6)</f>
        <v>300000</v>
      </c>
      <c r="BH3" s="1">
        <f>SUM('order produk jual'!Q6+'order produk jual'!U6)</f>
        <v>3300000</v>
      </c>
      <c r="BL3" s="1">
        <f>SUM('order produk jual'!Q6+'order produk jual'!U6)</f>
        <v>3300000</v>
      </c>
      <c r="BP3" s="1">
        <f>'user id'!A4</f>
        <v>3</v>
      </c>
      <c r="BQ3" s="1">
        <f>'periode akuntansi'!A2</f>
        <v>1</v>
      </c>
    </row>
  </sheetData>
  <mergeCells count="6">
    <mergeCell ref="L1:N1"/>
    <mergeCell ref="P1:Q1"/>
    <mergeCell ref="F1:G1"/>
    <mergeCell ref="R1:S1"/>
    <mergeCell ref="Y1:Z1"/>
    <mergeCell ref="J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AH25"/>
  <sheetViews>
    <sheetView zoomScale="115" zoomScaleNormal="115" workbookViewId="0">
      <pane ySplit="1" topLeftCell="A2" activePane="bottomLeft" state="frozen"/>
      <selection activeCell="K3" sqref="K3"/>
      <selection pane="bottomLeft" activeCell="G1" sqref="G1"/>
    </sheetView>
  </sheetViews>
  <sheetFormatPr defaultColWidth="9.140625" defaultRowHeight="15" x14ac:dyDescent="0.25"/>
  <cols>
    <col min="1" max="1" width="20.42578125" style="1" bestFit="1" customWidth="1"/>
    <col min="2" max="2" width="11.42578125" style="1" bestFit="1" customWidth="1"/>
    <col min="3" max="3" width="18.85546875" style="1" bestFit="1" customWidth="1"/>
    <col min="4" max="4" width="11.85546875" style="13" bestFit="1" customWidth="1"/>
    <col min="5" max="5" width="8.85546875" style="1" bestFit="1" customWidth="1"/>
    <col min="6" max="6" width="14.42578125" style="1" bestFit="1" customWidth="1"/>
    <col min="7" max="7" width="10" style="1" customWidth="1"/>
    <col min="8" max="8" width="15.7109375" style="1" customWidth="1"/>
    <col min="9" max="9" width="18" style="1" bestFit="1" customWidth="1"/>
    <col min="10" max="10" width="20.28515625" style="1" bestFit="1" customWidth="1"/>
    <col min="11" max="11" width="12.7109375" style="1" bestFit="1" customWidth="1"/>
    <col min="12" max="12" width="14.28515625" style="1" customWidth="1"/>
    <col min="13" max="13" width="12.140625" style="41" bestFit="1" customWidth="1"/>
    <col min="14" max="14" width="12.28515625" style="41" bestFit="1" customWidth="1"/>
    <col min="15" max="15" width="14.42578125" style="1" bestFit="1" customWidth="1"/>
    <col min="16" max="16" width="13.42578125" style="1" bestFit="1" customWidth="1"/>
    <col min="17" max="17" width="18.42578125" style="1" bestFit="1" customWidth="1"/>
    <col min="18" max="18" width="8.42578125" style="1" bestFit="1" customWidth="1"/>
    <col min="19" max="19" width="5.7109375" style="1" bestFit="1" customWidth="1"/>
    <col min="20" max="20" width="10.85546875" style="3" bestFit="1" customWidth="1"/>
    <col min="21" max="21" width="12.140625" style="1" bestFit="1" customWidth="1"/>
    <col min="22" max="22" width="18.28515625" style="1" bestFit="1" customWidth="1"/>
    <col min="23" max="23" width="15.140625" style="1" bestFit="1" customWidth="1"/>
    <col min="24" max="24" width="21.7109375" style="1" bestFit="1" customWidth="1"/>
    <col min="25" max="25" width="20.42578125" style="1" bestFit="1" customWidth="1"/>
    <col min="26" max="26" width="18.140625" style="1" bestFit="1" customWidth="1"/>
    <col min="27" max="27" width="19.140625" style="1" bestFit="1" customWidth="1"/>
    <col min="28" max="28" width="23.85546875" style="1" bestFit="1" customWidth="1"/>
    <col min="29" max="29" width="23.7109375" style="1" bestFit="1" customWidth="1"/>
    <col min="30" max="30" width="17.42578125" style="1" bestFit="1" customWidth="1"/>
    <col min="31" max="31" width="22.42578125" style="1" bestFit="1" customWidth="1"/>
    <col min="32" max="32" width="8.28515625" style="1" bestFit="1" customWidth="1"/>
    <col min="33" max="33" width="11.42578125" style="1" bestFit="1" customWidth="1"/>
    <col min="34" max="34" width="12.7109375" style="1" bestFit="1" customWidth="1"/>
    <col min="35" max="38" width="18.140625" style="1" customWidth="1"/>
    <col min="39" max="16384" width="9.140625" style="1"/>
  </cols>
  <sheetData>
    <row r="1" spans="1:34" x14ac:dyDescent="0.25">
      <c r="A1" s="1" t="s">
        <v>515</v>
      </c>
      <c r="B1" s="1" t="s">
        <v>1685</v>
      </c>
      <c r="C1" s="1" t="s">
        <v>655</v>
      </c>
      <c r="D1" s="13" t="s">
        <v>481</v>
      </c>
      <c r="E1" s="1" t="s">
        <v>24</v>
      </c>
      <c r="F1" s="1" t="s">
        <v>501</v>
      </c>
      <c r="G1" s="1" t="s">
        <v>78</v>
      </c>
      <c r="H1" s="1" t="s">
        <v>87</v>
      </c>
      <c r="I1" s="1" t="s">
        <v>88</v>
      </c>
      <c r="J1" s="1" t="s">
        <v>471</v>
      </c>
      <c r="K1" s="1" t="s">
        <v>507</v>
      </c>
      <c r="L1" s="1" t="s">
        <v>80</v>
      </c>
      <c r="M1" s="41" t="s">
        <v>81</v>
      </c>
      <c r="N1" s="41" t="s">
        <v>472</v>
      </c>
      <c r="O1" s="1" t="s">
        <v>463</v>
      </c>
      <c r="P1" s="1" t="s">
        <v>1478</v>
      </c>
      <c r="Q1" s="1" t="s">
        <v>27</v>
      </c>
      <c r="R1" s="1" t="s">
        <v>82</v>
      </c>
      <c r="S1" s="1" t="s">
        <v>469</v>
      </c>
      <c r="T1" s="3" t="s">
        <v>468</v>
      </c>
      <c r="U1" s="1" t="s">
        <v>41</v>
      </c>
      <c r="V1" s="1" t="s">
        <v>492</v>
      </c>
      <c r="W1" s="1" t="s">
        <v>1547</v>
      </c>
      <c r="X1" s="1" t="s">
        <v>464</v>
      </c>
      <c r="Y1" s="1" t="s">
        <v>103</v>
      </c>
      <c r="Z1" s="1" t="s">
        <v>104</v>
      </c>
      <c r="AA1" s="1" t="s">
        <v>105</v>
      </c>
      <c r="AB1" s="1" t="s">
        <v>107</v>
      </c>
      <c r="AC1" s="1" t="s">
        <v>108</v>
      </c>
      <c r="AD1" s="1" t="s">
        <v>465</v>
      </c>
      <c r="AE1" s="1" t="s">
        <v>466</v>
      </c>
      <c r="AF1" s="1" t="s">
        <v>1372</v>
      </c>
      <c r="AG1" s="1" t="s">
        <v>1374</v>
      </c>
      <c r="AH1" s="1" t="s">
        <v>1376</v>
      </c>
    </row>
    <row r="2" spans="1:34" x14ac:dyDescent="0.25">
      <c r="A2" s="1">
        <v>1</v>
      </c>
      <c r="B2" s="1" t="str">
        <f>Invoice!C3</f>
        <v>7.1</v>
      </c>
      <c r="C2" s="1" t="str">
        <f>Invoice!N3</f>
        <v>7.1</v>
      </c>
      <c r="D2" s="13">
        <f>Invoice!R3</f>
        <v>43259</v>
      </c>
      <c r="E2" s="1">
        <f>Invoice!U3</f>
        <v>2</v>
      </c>
      <c r="F2" s="1" t="str">
        <f>lokasi!B4</f>
        <v>komplek timah</v>
      </c>
      <c r="G2" s="1">
        <f>produk!A5</f>
        <v>3</v>
      </c>
      <c r="H2" s="224" t="str">
        <f>produk!E5</f>
        <v>casing iphone</v>
      </c>
      <c r="I2" s="1" t="str">
        <f>produk!F5</f>
        <v>sin-csg-iphone</v>
      </c>
      <c r="J2" s="1" t="str">
        <f>produk!I5</f>
        <v>hardcase-iphone6</v>
      </c>
      <c r="K2" s="1" t="str">
        <f>produk!S5</f>
        <v>piece</v>
      </c>
      <c r="M2" s="41">
        <f>produk!L5</f>
        <v>100000</v>
      </c>
      <c r="N2" s="41">
        <f>SUM('order inventori'!Q6)/('order inventori'!N6)</f>
        <v>10000</v>
      </c>
      <c r="O2" s="1">
        <v>5</v>
      </c>
      <c r="Q2" s="41">
        <f t="shared" ref="Q2:Q7" si="0">M2*O2</f>
        <v>500000</v>
      </c>
      <c r="R2" s="1">
        <f>produk!AO5</f>
        <v>1</v>
      </c>
      <c r="S2" s="1" t="str">
        <f>'data pajak'!B3</f>
        <v>PPn</v>
      </c>
      <c r="T2" s="3">
        <f>'data pajak'!D3</f>
        <v>0.1</v>
      </c>
      <c r="U2" s="41">
        <f t="shared" ref="U2:U7" si="1">Q2*T2</f>
        <v>50000</v>
      </c>
      <c r="V2" s="1">
        <f>'data pajak'!E3</f>
        <v>18</v>
      </c>
      <c r="W2" s="1">
        <f>produk!AD5</f>
        <v>2</v>
      </c>
      <c r="X2" s="1" t="str">
        <f>'type produk'!B4</f>
        <v>dijual_dibeli_disimpan</v>
      </c>
      <c r="Y2" s="1">
        <f>'type produk'!G4</f>
        <v>1</v>
      </c>
      <c r="Z2" s="1">
        <f>'type produk'!I4</f>
        <v>2</v>
      </c>
      <c r="AA2" s="1">
        <f>'type produk'!K4</f>
        <v>3</v>
      </c>
      <c r="AB2" s="1">
        <f>'type produk'!O4</f>
        <v>5</v>
      </c>
      <c r="AC2" s="1">
        <f>'type produk'!Q4</f>
        <v>2</v>
      </c>
      <c r="AD2" s="1">
        <f>Invoice!X3</f>
        <v>0</v>
      </c>
      <c r="AE2" s="1">
        <f>Invoice!Y3</f>
        <v>0</v>
      </c>
      <c r="AF2" s="1">
        <v>0</v>
      </c>
      <c r="AG2" s="1">
        <v>0</v>
      </c>
      <c r="AH2" s="1">
        <v>0</v>
      </c>
    </row>
    <row r="3" spans="1:34" x14ac:dyDescent="0.25">
      <c r="A3" s="1">
        <v>2</v>
      </c>
      <c r="B3" s="256" t="str">
        <f>Invoice!C4</f>
        <v>7.2</v>
      </c>
      <c r="C3" s="1" t="str">
        <f>Invoice!N4</f>
        <v>7.2</v>
      </c>
      <c r="D3" s="13">
        <f>Invoice!R4</f>
        <v>43258</v>
      </c>
      <c r="E3" s="1">
        <f>Invoice!U4</f>
        <v>1</v>
      </c>
      <c r="F3" s="1" t="str">
        <f>lokasi!B3</f>
        <v>cempaka putih</v>
      </c>
      <c r="G3" s="1">
        <f>produk!A3</f>
        <v>1</v>
      </c>
      <c r="H3" s="224" t="str">
        <f>produk!E3</f>
        <v>iphone</v>
      </c>
      <c r="I3" s="1" t="str">
        <f>produk!F3</f>
        <v>sin-iphone6-16Gb</v>
      </c>
      <c r="J3" s="1" t="str">
        <f>produk!I3</f>
        <v>iphone6-16gb-putih</v>
      </c>
      <c r="K3" s="1" t="str">
        <f>produk!S3</f>
        <v>unit</v>
      </c>
      <c r="M3" s="41">
        <f>produk!L3</f>
        <v>3000000</v>
      </c>
      <c r="N3" s="41">
        <f>SUM(('order inventori'!N7*'order inventori'!Q7)+('order inventori'!N8*'order inventori'!Q8))/('order inventori'!N7+'order inventori'!N8)</f>
        <v>2083333.3333333333</v>
      </c>
      <c r="O3" s="1">
        <v>30</v>
      </c>
      <c r="Q3" s="41">
        <f t="shared" si="0"/>
        <v>90000000</v>
      </c>
      <c r="R3" s="1">
        <f>produk!AO3</f>
        <v>1</v>
      </c>
      <c r="S3" s="1" t="str">
        <f>'data pajak'!B3</f>
        <v>PPn</v>
      </c>
      <c r="T3" s="3">
        <f>'data pajak'!D3</f>
        <v>0.1</v>
      </c>
      <c r="U3" s="41">
        <f t="shared" si="1"/>
        <v>9000000</v>
      </c>
      <c r="V3" s="1">
        <f>'data pajak'!E3</f>
        <v>18</v>
      </c>
      <c r="W3" s="1">
        <f>produk!AD3</f>
        <v>2</v>
      </c>
      <c r="X3" s="1" t="str">
        <f>'type produk'!B4</f>
        <v>dijual_dibeli_disimpan</v>
      </c>
      <c r="Y3" s="1">
        <f>'type produk'!G4</f>
        <v>1</v>
      </c>
      <c r="Z3" s="1">
        <f>'type produk'!I4</f>
        <v>2</v>
      </c>
      <c r="AA3" s="1">
        <f>'type produk'!K4</f>
        <v>3</v>
      </c>
      <c r="AB3" s="1">
        <f>'type produk'!O4</f>
        <v>5</v>
      </c>
      <c r="AC3" s="1">
        <f>'type produk'!Q4</f>
        <v>2</v>
      </c>
      <c r="AD3" s="1">
        <f>Invoice!X4</f>
        <v>0</v>
      </c>
      <c r="AE3" s="1">
        <f>Invoice!Y4</f>
        <v>0</v>
      </c>
      <c r="AF3" s="1">
        <v>0</v>
      </c>
      <c r="AG3" s="1">
        <v>0</v>
      </c>
      <c r="AH3" s="1">
        <v>0</v>
      </c>
    </row>
    <row r="4" spans="1:34" x14ac:dyDescent="0.25">
      <c r="A4" s="1">
        <v>3</v>
      </c>
      <c r="B4" s="1" t="str">
        <f>'Sales Order'!C3</f>
        <v>18.1</v>
      </c>
      <c r="C4" s="1" t="str">
        <f>'Sales Order'!L3</f>
        <v>18.1</v>
      </c>
      <c r="D4" s="13">
        <f>'Sales Order'!P3</f>
        <v>43258</v>
      </c>
      <c r="E4" s="1">
        <f>'Sales Order'!S3</f>
        <v>1</v>
      </c>
      <c r="F4" s="1" t="str">
        <f>lokasi!B3</f>
        <v>cempaka putih</v>
      </c>
      <c r="G4" s="1">
        <f>produk!A3</f>
        <v>1</v>
      </c>
      <c r="H4" s="224" t="str">
        <f>produk!E3</f>
        <v>iphone</v>
      </c>
      <c r="I4" s="1" t="str">
        <f>produk!F3</f>
        <v>sin-iphone6-16Gb</v>
      </c>
      <c r="J4" s="1" t="str">
        <f>produk!I3</f>
        <v>iphone6-16gb-putih</v>
      </c>
      <c r="K4" s="1" t="str">
        <f>produk!S3</f>
        <v>unit</v>
      </c>
      <c r="M4" s="41">
        <f>produk!L3</f>
        <v>3000000</v>
      </c>
      <c r="N4" s="41" t="s">
        <v>667</v>
      </c>
      <c r="O4" s="1">
        <v>2</v>
      </c>
      <c r="Q4" s="41">
        <f t="shared" si="0"/>
        <v>6000000</v>
      </c>
      <c r="R4" s="1">
        <f>produk!AO3</f>
        <v>1</v>
      </c>
      <c r="S4" s="1" t="str">
        <f>'data pajak'!B3</f>
        <v>PPn</v>
      </c>
      <c r="T4" s="3">
        <f>'data pajak'!D3</f>
        <v>0.1</v>
      </c>
      <c r="U4" s="41">
        <f t="shared" si="1"/>
        <v>600000</v>
      </c>
      <c r="V4" s="1">
        <f>'data pajak'!E3</f>
        <v>18</v>
      </c>
      <c r="W4" s="1">
        <f>produk!AD3</f>
        <v>2</v>
      </c>
      <c r="X4" s="1" t="str">
        <f>'type produk'!B4</f>
        <v>dijual_dibeli_disimpan</v>
      </c>
      <c r="Y4" s="1">
        <f>'type produk'!G4</f>
        <v>1</v>
      </c>
      <c r="Z4" s="1">
        <f>'type produk'!I4</f>
        <v>2</v>
      </c>
      <c r="AA4" s="1">
        <f>'type produk'!K4</f>
        <v>3</v>
      </c>
      <c r="AB4" s="1">
        <f>'type produk'!O4</f>
        <v>5</v>
      </c>
      <c r="AC4" s="1">
        <f>'type produk'!Q4</f>
        <v>2</v>
      </c>
      <c r="AD4" s="1">
        <f>'Sales Order'!V3</f>
        <v>0</v>
      </c>
      <c r="AE4" s="1">
        <f>'Sales Order'!W3</f>
        <v>0</v>
      </c>
      <c r="AF4" s="1">
        <v>0</v>
      </c>
      <c r="AG4" s="1">
        <v>0</v>
      </c>
      <c r="AH4" s="1">
        <v>0</v>
      </c>
    </row>
    <row r="5" spans="1:34" x14ac:dyDescent="0.25">
      <c r="A5" s="1">
        <v>4</v>
      </c>
      <c r="B5" s="1" t="str">
        <f>Invoice!C5</f>
        <v>7.3</v>
      </c>
      <c r="C5" s="1" t="str">
        <f>Invoice!N5</f>
        <v>18.1</v>
      </c>
      <c r="D5" s="13">
        <f>Invoice!R5</f>
        <v>43259</v>
      </c>
      <c r="E5" s="1">
        <f>Invoice!U5</f>
        <v>1</v>
      </c>
      <c r="F5" s="1" t="str">
        <f>lokasi!B3</f>
        <v>cempaka putih</v>
      </c>
      <c r="G5" s="1">
        <f>G4</f>
        <v>1</v>
      </c>
      <c r="H5" s="224" t="str">
        <f>produk!E3</f>
        <v>iphone</v>
      </c>
      <c r="I5" s="1" t="str">
        <f>produk!F3</f>
        <v>sin-iphone6-16Gb</v>
      </c>
      <c r="J5" s="1" t="str">
        <f>produk!I3</f>
        <v>iphone6-16gb-putih</v>
      </c>
      <c r="K5" s="1" t="str">
        <f>produk!S3</f>
        <v>unit</v>
      </c>
      <c r="M5" s="41">
        <f>produk!L3</f>
        <v>3000000</v>
      </c>
      <c r="N5" s="41">
        <f>SUM(('order inventori'!O8*'order inventori'!P8)+('order inventori'!O10*'order inventori'!P10))/('order inventori'!O8+'order inventori'!O10)</f>
        <v>2433333.3333333335</v>
      </c>
      <c r="O5" s="1">
        <f>O4</f>
        <v>2</v>
      </c>
      <c r="Q5" s="41">
        <f t="shared" si="0"/>
        <v>6000000</v>
      </c>
      <c r="R5" s="1">
        <f>produk!AO3</f>
        <v>1</v>
      </c>
      <c r="S5" s="1" t="str">
        <f>'data pajak'!B3</f>
        <v>PPn</v>
      </c>
      <c r="T5" s="3">
        <f>'data pajak'!D3</f>
        <v>0.1</v>
      </c>
      <c r="U5" s="41">
        <f t="shared" si="1"/>
        <v>600000</v>
      </c>
      <c r="V5" s="1">
        <f>'data pajak'!E3</f>
        <v>18</v>
      </c>
      <c r="W5" s="1">
        <f>produk!AD3</f>
        <v>2</v>
      </c>
      <c r="X5" s="1" t="str">
        <f>'type produk'!B4</f>
        <v>dijual_dibeli_disimpan</v>
      </c>
      <c r="Y5" s="1">
        <f>'type produk'!G4</f>
        <v>1</v>
      </c>
      <c r="Z5" s="1">
        <f>'type produk'!I4</f>
        <v>2</v>
      </c>
      <c r="AA5" s="1">
        <f>'type produk'!K4</f>
        <v>3</v>
      </c>
      <c r="AB5" s="1">
        <f>'type produk'!O4</f>
        <v>5</v>
      </c>
      <c r="AC5" s="1">
        <f>'type produk'!Q4</f>
        <v>2</v>
      </c>
      <c r="AD5" s="1">
        <f>Invoice!X5</f>
        <v>0</v>
      </c>
      <c r="AE5" s="1">
        <f>Invoice!Y5</f>
        <v>0</v>
      </c>
      <c r="AF5" s="1">
        <v>0</v>
      </c>
      <c r="AG5" s="1">
        <v>0</v>
      </c>
      <c r="AH5" s="1">
        <v>0</v>
      </c>
    </row>
    <row r="6" spans="1:34" x14ac:dyDescent="0.25">
      <c r="A6" s="1">
        <v>5</v>
      </c>
      <c r="B6" s="1" t="str">
        <f>'Sales Return'!C3</f>
        <v>22.1</v>
      </c>
      <c r="C6" s="1" t="str">
        <f>C5</f>
        <v>18.1</v>
      </c>
      <c r="D6" s="13">
        <f>'Sales Return'!O3</f>
        <v>43261</v>
      </c>
      <c r="E6" s="1">
        <f>'Sales Return'!R3</f>
        <v>1</v>
      </c>
      <c r="F6" s="1" t="str">
        <f>lokasi!B3</f>
        <v>cempaka putih</v>
      </c>
      <c r="G6" s="1">
        <f>G5</f>
        <v>1</v>
      </c>
      <c r="H6" s="224" t="str">
        <f t="shared" ref="H6" si="2">H5</f>
        <v>iphone</v>
      </c>
      <c r="I6" s="1" t="str">
        <f t="shared" ref="I6:K6" si="3">I5</f>
        <v>sin-iphone6-16Gb</v>
      </c>
      <c r="J6" s="1" t="str">
        <f t="shared" si="3"/>
        <v>iphone6-16gb-putih</v>
      </c>
      <c r="K6" s="1" t="str">
        <f t="shared" si="3"/>
        <v>unit</v>
      </c>
      <c r="M6" s="41">
        <f>M5</f>
        <v>3000000</v>
      </c>
      <c r="N6" s="41">
        <f>N5</f>
        <v>2433333.3333333335</v>
      </c>
      <c r="O6" s="1">
        <v>1</v>
      </c>
      <c r="P6" s="1">
        <f>O5-O6</f>
        <v>1</v>
      </c>
      <c r="Q6" s="41">
        <f t="shared" si="0"/>
        <v>3000000</v>
      </c>
      <c r="R6" s="1">
        <f>R5</f>
        <v>1</v>
      </c>
      <c r="S6" s="1" t="str">
        <f t="shared" ref="S6" si="4">S5</f>
        <v>PPn</v>
      </c>
      <c r="T6" s="3">
        <f>T5</f>
        <v>0.1</v>
      </c>
      <c r="U6" s="41">
        <f t="shared" si="1"/>
        <v>300000</v>
      </c>
      <c r="V6" s="1">
        <f>V5</f>
        <v>18</v>
      </c>
      <c r="W6" s="1">
        <f t="shared" ref="W6:AE6" si="5">W5</f>
        <v>2</v>
      </c>
      <c r="X6" s="1" t="str">
        <f t="shared" si="5"/>
        <v>dijual_dibeli_disimpan</v>
      </c>
      <c r="Y6" s="1">
        <f t="shared" si="5"/>
        <v>1</v>
      </c>
      <c r="Z6" s="1">
        <f t="shared" si="5"/>
        <v>2</v>
      </c>
      <c r="AA6" s="1">
        <f t="shared" si="5"/>
        <v>3</v>
      </c>
      <c r="AB6" s="1">
        <f t="shared" si="5"/>
        <v>5</v>
      </c>
      <c r="AC6" s="1">
        <f t="shared" si="5"/>
        <v>2</v>
      </c>
      <c r="AD6" s="1">
        <f t="shared" si="5"/>
        <v>0</v>
      </c>
      <c r="AE6" s="1">
        <f t="shared" si="5"/>
        <v>0</v>
      </c>
      <c r="AF6" s="1">
        <f t="shared" ref="AF6" si="6">AF5</f>
        <v>0</v>
      </c>
      <c r="AG6" s="1">
        <f t="shared" ref="AG6" si="7">AG5</f>
        <v>0</v>
      </c>
      <c r="AH6" s="1">
        <v>0</v>
      </c>
    </row>
    <row r="7" spans="1:34" x14ac:dyDescent="0.25">
      <c r="A7" s="1">
        <v>6</v>
      </c>
      <c r="B7" s="206" t="str">
        <f>'Sales Quotation'!C3</f>
        <v>15.1</v>
      </c>
      <c r="C7" s="1" t="str">
        <f>'Sales Quotation'!F3</f>
        <v>15.1</v>
      </c>
      <c r="D7" s="6">
        <f>'Sales Quotation'!N3</f>
        <v>43260</v>
      </c>
      <c r="E7" s="206">
        <f>'Sales Quotation'!Q3</f>
        <v>1</v>
      </c>
      <c r="F7" s="206" t="str">
        <f>lokasi!B3</f>
        <v>cempaka putih</v>
      </c>
      <c r="G7" s="1">
        <f>produk!A3</f>
        <v>1</v>
      </c>
      <c r="H7" s="224" t="str">
        <f>produk!E3</f>
        <v>iphone</v>
      </c>
      <c r="I7" s="206" t="str">
        <f>produk!F3</f>
        <v>sin-iphone6-16Gb</v>
      </c>
      <c r="J7" s="206" t="str">
        <f>produk!I3</f>
        <v>iphone6-16gb-putih</v>
      </c>
      <c r="K7" s="206" t="str">
        <f>produk!S3</f>
        <v>unit</v>
      </c>
      <c r="M7" s="41">
        <f>produk!L3</f>
        <v>3000000</v>
      </c>
      <c r="N7" s="41" t="s">
        <v>667</v>
      </c>
      <c r="O7" s="1">
        <v>3</v>
      </c>
      <c r="Q7" s="41">
        <f t="shared" si="0"/>
        <v>9000000</v>
      </c>
      <c r="R7" s="1">
        <f>produk!AO3</f>
        <v>1</v>
      </c>
      <c r="S7" s="1" t="str">
        <f>'data pajak'!B3</f>
        <v>PPn</v>
      </c>
      <c r="T7" s="3">
        <f>'data pajak'!D3</f>
        <v>0.1</v>
      </c>
      <c r="U7" s="41">
        <f t="shared" si="1"/>
        <v>900000</v>
      </c>
      <c r="V7" s="1">
        <f>'data pajak'!E3</f>
        <v>18</v>
      </c>
      <c r="W7" s="1">
        <f>produk!AD3</f>
        <v>2</v>
      </c>
      <c r="X7" s="1" t="str">
        <f>'type produk'!B4</f>
        <v>dijual_dibeli_disimpan</v>
      </c>
      <c r="Y7" s="206">
        <f>'type produk'!G4</f>
        <v>1</v>
      </c>
      <c r="Z7" s="206">
        <f>'type produk'!I4</f>
        <v>2</v>
      </c>
      <c r="AA7" s="206">
        <f>'type produk'!K4</f>
        <v>3</v>
      </c>
      <c r="AB7" s="206">
        <f>'type produk'!O4</f>
        <v>5</v>
      </c>
      <c r="AC7" s="1">
        <f>'type produk'!Q4</f>
        <v>2</v>
      </c>
      <c r="AD7" s="1">
        <f>'Sales Quotation'!T3</f>
        <v>0</v>
      </c>
      <c r="AE7" s="206">
        <f>'Sales Quotation'!U3</f>
        <v>0</v>
      </c>
      <c r="AF7" s="1">
        <v>0</v>
      </c>
      <c r="AG7" s="1">
        <v>0</v>
      </c>
      <c r="AH7" s="1">
        <v>0</v>
      </c>
    </row>
    <row r="8" spans="1:34" x14ac:dyDescent="0.25">
      <c r="A8" s="1">
        <v>7</v>
      </c>
      <c r="B8" s="206" t="str">
        <f>'Sales Order'!C4</f>
        <v>18.2</v>
      </c>
      <c r="C8" s="1" t="str">
        <f>'Sales Order'!L4</f>
        <v>15.1</v>
      </c>
      <c r="D8" s="13">
        <f>'Sales Order'!P4</f>
        <v>43261</v>
      </c>
      <c r="E8" s="1">
        <f>'Sales Order'!S4</f>
        <v>1</v>
      </c>
      <c r="F8" s="1" t="str">
        <f>lokasi!B3</f>
        <v>cempaka putih</v>
      </c>
      <c r="G8" s="1">
        <f>G7</f>
        <v>1</v>
      </c>
      <c r="H8" s="224" t="str">
        <f>produk!E3</f>
        <v>iphone</v>
      </c>
      <c r="I8" s="1" t="str">
        <f>produk!F3</f>
        <v>sin-iphone6-16Gb</v>
      </c>
      <c r="J8" s="1" t="str">
        <f>produk!I3</f>
        <v>iphone6-16gb-putih</v>
      </c>
      <c r="K8" s="1" t="str">
        <f>produk!S3</f>
        <v>unit</v>
      </c>
      <c r="M8" s="41">
        <f>produk!L3</f>
        <v>3000000</v>
      </c>
      <c r="N8" s="41" t="s">
        <v>667</v>
      </c>
      <c r="O8" s="1">
        <f>O7</f>
        <v>3</v>
      </c>
      <c r="Q8" s="41">
        <f t="shared" ref="Q8:Q12" si="8">M8*O8</f>
        <v>9000000</v>
      </c>
      <c r="R8" s="1">
        <f>produk!AO3</f>
        <v>1</v>
      </c>
      <c r="S8" s="1" t="str">
        <f>'data pajak'!B3</f>
        <v>PPn</v>
      </c>
      <c r="T8" s="3">
        <f>'data pajak'!D3</f>
        <v>0.1</v>
      </c>
      <c r="U8" s="41">
        <f t="shared" ref="U8:U12" si="9">Q8*T8</f>
        <v>900000</v>
      </c>
      <c r="V8" s="1">
        <f>'data pajak'!E3</f>
        <v>18</v>
      </c>
      <c r="W8" s="1">
        <f>produk!AD3</f>
        <v>2</v>
      </c>
      <c r="X8" s="1" t="str">
        <f>'type produk'!B4</f>
        <v>dijual_dibeli_disimpan</v>
      </c>
      <c r="Y8" s="1">
        <f>'type produk'!G4</f>
        <v>1</v>
      </c>
      <c r="Z8" s="1">
        <f>'type produk'!I4</f>
        <v>2</v>
      </c>
      <c r="AA8" s="1">
        <f>'type produk'!K4</f>
        <v>3</v>
      </c>
      <c r="AB8" s="1">
        <f>'type produk'!O4</f>
        <v>5</v>
      </c>
      <c r="AC8" s="1">
        <f>'type produk'!Q4</f>
        <v>2</v>
      </c>
      <c r="AD8" s="1">
        <f>'Sales Order'!V4</f>
        <v>0</v>
      </c>
      <c r="AE8" s="206">
        <f>'Sales Order'!W4</f>
        <v>0</v>
      </c>
      <c r="AF8" s="1">
        <v>0</v>
      </c>
      <c r="AG8" s="1">
        <v>0</v>
      </c>
      <c r="AH8" s="1">
        <v>0</v>
      </c>
    </row>
    <row r="9" spans="1:34" x14ac:dyDescent="0.25">
      <c r="A9" s="1">
        <v>8</v>
      </c>
      <c r="B9" s="1" t="str">
        <f>'Delivery Order'!C3</f>
        <v>25.1</v>
      </c>
      <c r="C9" s="1" t="str">
        <f>'Delivery Order'!L3</f>
        <v>15.1</v>
      </c>
      <c r="D9" s="13">
        <f>'Delivery Order'!P3</f>
        <v>43262</v>
      </c>
      <c r="E9" s="1">
        <f>'Delivery Order'!S3</f>
        <v>1</v>
      </c>
      <c r="F9" s="1" t="str">
        <f>lokasi!B3</f>
        <v>cempaka putih</v>
      </c>
      <c r="G9" s="1">
        <f>G8</f>
        <v>1</v>
      </c>
      <c r="H9" s="224" t="str">
        <f>produk!E3</f>
        <v>iphone</v>
      </c>
      <c r="I9" s="206" t="str">
        <f>produk!F3</f>
        <v>sin-iphone6-16Gb</v>
      </c>
      <c r="J9" s="206" t="str">
        <f>produk!I3</f>
        <v>iphone6-16gb-putih</v>
      </c>
      <c r="K9" s="206" t="str">
        <f>produk!S3</f>
        <v>unit</v>
      </c>
      <c r="M9" s="41">
        <f>produk!L3</f>
        <v>3000000</v>
      </c>
      <c r="N9" s="41">
        <f>SUM(('order inventori'!O11*'order inventori'!P11)+('order inventori'!O10*'order inventori'!P10)+('order inventori'!O12*'order inventori'!P12))/('order inventori'!O11+'order inventori'!O10+'order inventori'!O12)</f>
        <v>2432203.3898305083</v>
      </c>
      <c r="O9" s="1">
        <f>O8</f>
        <v>3</v>
      </c>
      <c r="Q9" s="41">
        <f t="shared" si="8"/>
        <v>9000000</v>
      </c>
      <c r="R9" s="1">
        <f>produk!AO3</f>
        <v>1</v>
      </c>
      <c r="S9" s="1" t="str">
        <f>'data pajak'!B3</f>
        <v>PPn</v>
      </c>
      <c r="T9" s="3">
        <f>'data pajak'!D3</f>
        <v>0.1</v>
      </c>
      <c r="U9" s="41">
        <f t="shared" si="9"/>
        <v>900000</v>
      </c>
      <c r="V9" s="1">
        <f>'data pajak'!E3</f>
        <v>18</v>
      </c>
      <c r="W9" s="1">
        <f>produk!AD3</f>
        <v>2</v>
      </c>
      <c r="X9" s="1" t="str">
        <f>'type produk'!B4</f>
        <v>dijual_dibeli_disimpan</v>
      </c>
      <c r="Y9" s="1">
        <f>'type produk'!G4</f>
        <v>1</v>
      </c>
      <c r="Z9" s="1">
        <f>'type produk'!I4</f>
        <v>2</v>
      </c>
      <c r="AA9" s="1">
        <f>'type produk'!K4</f>
        <v>3</v>
      </c>
      <c r="AB9" s="1">
        <f>'type produk'!O4</f>
        <v>5</v>
      </c>
      <c r="AC9" s="1">
        <f>'type produk'!Q4</f>
        <v>2</v>
      </c>
      <c r="AD9" s="1">
        <f>'Delivery Order'!V3</f>
        <v>0</v>
      </c>
      <c r="AE9" s="206">
        <f>'Delivery Order'!W3</f>
        <v>0</v>
      </c>
      <c r="AF9" s="1">
        <v>0</v>
      </c>
      <c r="AG9" s="1">
        <v>0</v>
      </c>
      <c r="AH9" s="1">
        <v>0</v>
      </c>
    </row>
    <row r="10" spans="1:34" s="211" customFormat="1" x14ac:dyDescent="0.25">
      <c r="A10" s="211">
        <v>9</v>
      </c>
      <c r="B10" s="211" t="str">
        <f>'Delivery Order'!C4</f>
        <v>25.2</v>
      </c>
      <c r="C10" s="211" t="str">
        <f>'Delivery Order'!L4</f>
        <v>25.2</v>
      </c>
      <c r="D10" s="13">
        <f>'Delivery Order'!P4</f>
        <v>43262</v>
      </c>
      <c r="E10" s="211">
        <f>'Delivery Order'!S4</f>
        <v>1</v>
      </c>
      <c r="F10" s="211" t="str">
        <f>lokasi!B3</f>
        <v>cempaka putih</v>
      </c>
      <c r="G10" s="211">
        <f>produk!A3</f>
        <v>1</v>
      </c>
      <c r="H10" s="224" t="str">
        <f>produk!E3</f>
        <v>iphone</v>
      </c>
      <c r="I10" s="211" t="str">
        <f>produk!F3</f>
        <v>sin-iphone6-16Gb</v>
      </c>
      <c r="J10" s="211" t="str">
        <f>produk!I3</f>
        <v>iphone6-16gb-putih</v>
      </c>
      <c r="K10" s="211" t="str">
        <f>produk!S3</f>
        <v>unit</v>
      </c>
      <c r="M10" s="41">
        <f>produk!L3</f>
        <v>3000000</v>
      </c>
      <c r="N10" s="41">
        <f>SUM(('order inventori'!O13*'order inventori'!P13)+('order inventori'!O10*'order inventori'!P10)+('order inventori'!O12*'order inventori'!P12))/('order inventori'!O13+'order inventori'!O10+'order inventori'!O12)</f>
        <v>2428571.4285714286</v>
      </c>
      <c r="O10" s="211">
        <v>5</v>
      </c>
      <c r="Q10" s="41">
        <f t="shared" ref="Q10" si="10">M10*O10</f>
        <v>15000000</v>
      </c>
      <c r="R10" s="211">
        <f>produk!AO3</f>
        <v>1</v>
      </c>
      <c r="S10" s="211" t="str">
        <f>'data pajak'!B3</f>
        <v>PPn</v>
      </c>
      <c r="T10" s="3">
        <f>'data pajak'!D3</f>
        <v>0.1</v>
      </c>
      <c r="U10" s="225">
        <f t="shared" ref="U10" si="11">Q10*T10</f>
        <v>1500000</v>
      </c>
      <c r="V10" s="211">
        <f>'data pajak'!E3</f>
        <v>18</v>
      </c>
      <c r="W10" s="211">
        <f>produk!AD3</f>
        <v>2</v>
      </c>
      <c r="X10" s="211" t="str">
        <f>'type produk'!B4</f>
        <v>dijual_dibeli_disimpan</v>
      </c>
      <c r="Y10" s="211">
        <f>'type produk'!G4</f>
        <v>1</v>
      </c>
      <c r="Z10" s="211">
        <f>'type produk'!I4</f>
        <v>2</v>
      </c>
      <c r="AA10" s="211">
        <f>'type produk'!K4</f>
        <v>3</v>
      </c>
      <c r="AB10" s="211">
        <f>'type produk'!O4</f>
        <v>5</v>
      </c>
      <c r="AC10" s="211">
        <f>'type produk'!Q4</f>
        <v>2</v>
      </c>
      <c r="AD10" s="211">
        <f>'Delivery Order'!V4</f>
        <v>0</v>
      </c>
      <c r="AE10" s="211">
        <f>'Delivery Order'!W4</f>
        <v>0</v>
      </c>
      <c r="AF10" s="211">
        <v>0</v>
      </c>
      <c r="AG10" s="211">
        <v>0</v>
      </c>
      <c r="AH10" s="211">
        <v>0</v>
      </c>
    </row>
    <row r="11" spans="1:34" x14ac:dyDescent="0.25">
      <c r="A11" s="1">
        <v>10</v>
      </c>
      <c r="B11" s="1" t="str">
        <f>Invoice!C6</f>
        <v>7.4</v>
      </c>
      <c r="C11" s="1" t="str">
        <f>Invoice!N6</f>
        <v>15.1</v>
      </c>
      <c r="D11" s="13">
        <f>Invoice!R6</f>
        <v>43263</v>
      </c>
      <c r="E11" s="1">
        <f>Invoice!U6</f>
        <v>1</v>
      </c>
      <c r="F11" s="1" t="str">
        <f>lokasi!B3</f>
        <v>cempaka putih</v>
      </c>
      <c r="G11" s="1">
        <f>G9</f>
        <v>1</v>
      </c>
      <c r="H11" s="224" t="str">
        <f>produk!E3</f>
        <v>iphone</v>
      </c>
      <c r="I11" s="1" t="str">
        <f>produk!F3</f>
        <v>sin-iphone6-16Gb</v>
      </c>
      <c r="J11" s="1" t="str">
        <f>produk!I3</f>
        <v>iphone6-16gb-putih</v>
      </c>
      <c r="K11" s="1" t="str">
        <f>produk!S3</f>
        <v>unit</v>
      </c>
      <c r="M11" s="41">
        <f>produk!L3</f>
        <v>3000000</v>
      </c>
      <c r="N11" s="41">
        <f>N9</f>
        <v>2432203.3898305083</v>
      </c>
      <c r="O11" s="1">
        <f>O9</f>
        <v>3</v>
      </c>
      <c r="Q11" s="41">
        <f t="shared" si="8"/>
        <v>9000000</v>
      </c>
      <c r="R11" s="1">
        <f>R9</f>
        <v>1</v>
      </c>
      <c r="S11" s="1" t="str">
        <f>'data pajak'!B3</f>
        <v>PPn</v>
      </c>
      <c r="T11" s="3">
        <f>'data pajak'!D3</f>
        <v>0.1</v>
      </c>
      <c r="U11" s="41">
        <f t="shared" si="9"/>
        <v>900000</v>
      </c>
      <c r="V11" s="1">
        <f>'data pajak'!E3</f>
        <v>18</v>
      </c>
      <c r="W11" s="1">
        <f>produk!AD3</f>
        <v>2</v>
      </c>
      <c r="X11" s="1" t="str">
        <f>'type produk'!B4</f>
        <v>dijual_dibeli_disimpan</v>
      </c>
      <c r="Y11" s="1">
        <f>'type produk'!G4</f>
        <v>1</v>
      </c>
      <c r="Z11" s="1">
        <f>'type produk'!I4</f>
        <v>2</v>
      </c>
      <c r="AA11" s="1">
        <f>'type produk'!K4</f>
        <v>3</v>
      </c>
      <c r="AB11" s="1">
        <f>'type produk'!O4</f>
        <v>5</v>
      </c>
      <c r="AC11" s="1">
        <f>'type produk'!Q4</f>
        <v>2</v>
      </c>
      <c r="AD11" s="1">
        <f>Invoice!X6</f>
        <v>0</v>
      </c>
      <c r="AE11" s="206">
        <f>Invoice!Y6</f>
        <v>0</v>
      </c>
      <c r="AF11" s="1">
        <v>0</v>
      </c>
      <c r="AG11" s="1">
        <v>0</v>
      </c>
      <c r="AH11" s="1">
        <v>0</v>
      </c>
    </row>
    <row r="12" spans="1:34" x14ac:dyDescent="0.25">
      <c r="A12" s="1">
        <v>11</v>
      </c>
      <c r="B12" s="211" t="str">
        <f>Invoice!C7</f>
        <v>7.5</v>
      </c>
      <c r="C12" s="211" t="str">
        <f>Invoice!N7</f>
        <v>25.2</v>
      </c>
      <c r="D12" s="13">
        <f>Invoice!R7</f>
        <v>43263</v>
      </c>
      <c r="E12" s="211">
        <f>Invoice!U7</f>
        <v>1</v>
      </c>
      <c r="F12" s="1" t="str">
        <f>lokasi!B3</f>
        <v>cempaka putih</v>
      </c>
      <c r="G12" s="1">
        <f>G11</f>
        <v>1</v>
      </c>
      <c r="H12" s="224" t="str">
        <f>produk!E3</f>
        <v>iphone</v>
      </c>
      <c r="I12" s="1" t="str">
        <f>produk!F3</f>
        <v>sin-iphone6-16Gb</v>
      </c>
      <c r="J12" s="1" t="str">
        <f>produk!I3</f>
        <v>iphone6-16gb-putih</v>
      </c>
      <c r="K12" s="1" t="str">
        <f>produk!S3</f>
        <v>unit</v>
      </c>
      <c r="M12" s="41">
        <f>produk!L3</f>
        <v>3000000</v>
      </c>
      <c r="N12" s="41">
        <f>N10</f>
        <v>2428571.4285714286</v>
      </c>
      <c r="O12" s="208">
        <f>O10</f>
        <v>5</v>
      </c>
      <c r="Q12" s="41">
        <f t="shared" si="8"/>
        <v>15000000</v>
      </c>
      <c r="R12" s="1">
        <f>R10</f>
        <v>1</v>
      </c>
      <c r="S12" s="1" t="str">
        <f>'data pajak'!B3</f>
        <v>PPn</v>
      </c>
      <c r="T12" s="3">
        <f>'data pajak'!D3</f>
        <v>0.1</v>
      </c>
      <c r="U12" s="41">
        <f t="shared" si="9"/>
        <v>1500000</v>
      </c>
      <c r="V12" s="1">
        <f>'data pajak'!E3</f>
        <v>18</v>
      </c>
      <c r="W12" s="1">
        <f>produk!AD3</f>
        <v>2</v>
      </c>
      <c r="X12" s="1" t="str">
        <f>'type produk'!B4</f>
        <v>dijual_dibeli_disimpan</v>
      </c>
      <c r="Y12" s="1">
        <f>'type produk'!G4</f>
        <v>1</v>
      </c>
      <c r="Z12" s="1">
        <f>'type produk'!I4</f>
        <v>2</v>
      </c>
      <c r="AA12" s="1">
        <f>'type produk'!K4</f>
        <v>3</v>
      </c>
      <c r="AB12" s="1">
        <f>'type produk'!O4</f>
        <v>5</v>
      </c>
      <c r="AC12" s="1">
        <f>'type produk'!Q4</f>
        <v>2</v>
      </c>
      <c r="AD12" s="211">
        <f>Invoice!X7</f>
        <v>0</v>
      </c>
      <c r="AE12" s="211">
        <f>Invoice!Y7</f>
        <v>0</v>
      </c>
      <c r="AF12" s="1">
        <v>0</v>
      </c>
      <c r="AG12" s="1">
        <v>0</v>
      </c>
      <c r="AH12" s="1">
        <v>0</v>
      </c>
    </row>
    <row r="13" spans="1:34" x14ac:dyDescent="0.25">
      <c r="A13" s="1">
        <v>12</v>
      </c>
      <c r="B13" s="216" t="str">
        <f>Invoice!C8</f>
        <v>7.6</v>
      </c>
      <c r="C13" s="216" t="str">
        <f>Invoice!N8</f>
        <v>7.6</v>
      </c>
      <c r="D13" s="13">
        <f>Invoice!R8</f>
        <v>43264</v>
      </c>
      <c r="E13" s="216">
        <f>Invoice!U8</f>
        <v>1</v>
      </c>
      <c r="F13" s="1" t="str">
        <f>lokasi!B3</f>
        <v>cempaka putih</v>
      </c>
      <c r="G13" s="1">
        <f>produk!A3</f>
        <v>1</v>
      </c>
      <c r="H13" s="224" t="str">
        <f>produk!E3</f>
        <v>iphone</v>
      </c>
      <c r="I13" s="216" t="str">
        <f>produk!F3</f>
        <v>sin-iphone6-16Gb</v>
      </c>
      <c r="J13" s="216" t="str">
        <f>produk!I3</f>
        <v>iphone6-16gb-putih</v>
      </c>
      <c r="K13" s="216" t="str">
        <f>produk!S3</f>
        <v>unit</v>
      </c>
      <c r="M13" s="225">
        <f>produk!L3/Invoice!Q8</f>
        <v>214.28571428571428</v>
      </c>
      <c r="N13" s="225">
        <f>SUM((('order inventori'!O13*'order inventori'!P13)+('order inventori'!O10*'order inventori'!P10)+('order inventori'!O12*'order inventori'!P12))/('order inventori'!O13+'order inventori'!O10+'order inventori'!O12))/Invoice!Q8</f>
        <v>173.46938775510205</v>
      </c>
      <c r="O13" s="1">
        <v>2</v>
      </c>
      <c r="Q13" s="225">
        <f>M13*O13</f>
        <v>428.57142857142856</v>
      </c>
      <c r="R13" s="216">
        <f>produk!AO3</f>
        <v>1</v>
      </c>
      <c r="S13" s="216" t="str">
        <f>'data pajak'!B3</f>
        <v>PPn</v>
      </c>
      <c r="T13" s="3">
        <f>'data pajak'!D3</f>
        <v>0.1</v>
      </c>
      <c r="U13" s="225">
        <f>Q13*T13</f>
        <v>42.857142857142861</v>
      </c>
      <c r="V13" s="1">
        <f>'data pajak'!E3</f>
        <v>18</v>
      </c>
      <c r="W13" s="216">
        <f>produk!AD3</f>
        <v>2</v>
      </c>
      <c r="X13" s="1" t="str">
        <f>'type produk'!B4</f>
        <v>dijual_dibeli_disimpan</v>
      </c>
      <c r="Y13" s="216">
        <f>'type produk'!G4</f>
        <v>1</v>
      </c>
      <c r="Z13" s="216">
        <f>'type produk'!I4</f>
        <v>2</v>
      </c>
      <c r="AA13" s="216">
        <f>'type produk'!K4</f>
        <v>3</v>
      </c>
      <c r="AB13" s="216">
        <f>'type produk'!O4</f>
        <v>5</v>
      </c>
      <c r="AC13" s="216">
        <f>'type produk'!Q4</f>
        <v>2</v>
      </c>
      <c r="AD13" s="216">
        <f>Invoice!X8</f>
        <v>0</v>
      </c>
      <c r="AE13" s="216">
        <f>Invoice!Y8</f>
        <v>0</v>
      </c>
      <c r="AF13" s="216">
        <v>0</v>
      </c>
      <c r="AG13" s="216">
        <v>0</v>
      </c>
      <c r="AH13" s="216">
        <v>0</v>
      </c>
    </row>
    <row r="14" spans="1:34" s="224" customFormat="1" x14ac:dyDescent="0.25">
      <c r="A14" s="224">
        <v>13</v>
      </c>
      <c r="B14" s="224" t="str">
        <f>Invoice!C9</f>
        <v>7.7</v>
      </c>
      <c r="C14" s="224" t="str">
        <f>Invoice!N9</f>
        <v>7.7</v>
      </c>
      <c r="D14" s="13">
        <f>Invoice!R9</f>
        <v>43265</v>
      </c>
      <c r="E14" s="224">
        <f>Invoice!U9</f>
        <v>1</v>
      </c>
      <c r="F14" s="224" t="str">
        <f>lokasi!B3</f>
        <v>cempaka putih</v>
      </c>
      <c r="G14" s="224">
        <f>produk!A3</f>
        <v>1</v>
      </c>
      <c r="H14" s="224" t="str">
        <f>produk!E3</f>
        <v>iphone</v>
      </c>
      <c r="I14" s="224" t="str">
        <f>produk!F3</f>
        <v>sin-iphone6-16Gb</v>
      </c>
      <c r="J14" s="224" t="str">
        <f>produk!I3</f>
        <v>iphone6-16gb-putih</v>
      </c>
      <c r="K14" s="224" t="str">
        <f>produk!S3</f>
        <v>unit</v>
      </c>
      <c r="M14" s="41">
        <f>produk!L3</f>
        <v>3000000</v>
      </c>
      <c r="N14" s="41">
        <f>SUM((('order inventori'!O13*'order inventori'!P13)+('order inventori'!O10*'order inventori'!P10)+('order inventori'!O12*'order inventori'!P12))/('order inventori'!O13+'order inventori'!O10+'order inventori'!O12))</f>
        <v>2428571.4285714286</v>
      </c>
      <c r="O14" s="224">
        <v>2</v>
      </c>
      <c r="Q14" s="41">
        <f>M14*O14</f>
        <v>6000000</v>
      </c>
      <c r="R14" s="224">
        <f>produk!AO3</f>
        <v>1</v>
      </c>
      <c r="S14" s="224" t="str">
        <f>'data pajak'!B3</f>
        <v>PPn</v>
      </c>
      <c r="T14" s="3">
        <f>'data pajak'!D3</f>
        <v>0.1</v>
      </c>
      <c r="U14" s="41">
        <f>Q14*T14</f>
        <v>600000</v>
      </c>
      <c r="V14" s="224">
        <f>'data pajak'!E3</f>
        <v>18</v>
      </c>
      <c r="W14" s="224">
        <f>produk!AD3</f>
        <v>2</v>
      </c>
      <c r="X14" s="224" t="str">
        <f>'type produk'!B4</f>
        <v>dijual_dibeli_disimpan</v>
      </c>
      <c r="Y14" s="224">
        <f>'type produk'!G4</f>
        <v>1</v>
      </c>
      <c r="Z14" s="224">
        <f>'type produk'!I4</f>
        <v>2</v>
      </c>
      <c r="AA14" s="224">
        <f>'type produk'!K4</f>
        <v>3</v>
      </c>
      <c r="AB14" s="224">
        <f>'type produk'!O4</f>
        <v>5</v>
      </c>
      <c r="AC14" s="224">
        <f>'type produk'!Q4</f>
        <v>2</v>
      </c>
      <c r="AD14" s="224">
        <f>Invoice!X9</f>
        <v>0</v>
      </c>
      <c r="AE14" s="224">
        <f>Invoice!Y9</f>
        <v>0</v>
      </c>
      <c r="AF14" s="224">
        <v>0</v>
      </c>
      <c r="AG14" s="224">
        <v>0</v>
      </c>
      <c r="AH14" s="224">
        <v>0</v>
      </c>
    </row>
    <row r="15" spans="1:34" x14ac:dyDescent="0.25">
      <c r="A15" s="1">
        <v>14</v>
      </c>
      <c r="B15" s="224" t="str">
        <f>Invoice!C10</f>
        <v>7.8</v>
      </c>
      <c r="C15" s="224" t="str">
        <f>Invoice!N10</f>
        <v>7.8</v>
      </c>
      <c r="D15" s="13">
        <f>Invoice!R10</f>
        <v>43266</v>
      </c>
      <c r="E15" s="224">
        <f>Invoice!U10</f>
        <v>1</v>
      </c>
      <c r="F15" s="1" t="str">
        <f>lokasi!B3</f>
        <v>cempaka putih</v>
      </c>
      <c r="G15" s="1">
        <f>produk!A3</f>
        <v>1</v>
      </c>
      <c r="H15" s="224" t="str">
        <f>produk!E3</f>
        <v>iphone</v>
      </c>
      <c r="I15" s="224" t="str">
        <f>produk!F3</f>
        <v>sin-iphone6-16Gb</v>
      </c>
      <c r="J15" s="224" t="str">
        <f>produk!I3</f>
        <v>iphone6-16gb-putih</v>
      </c>
      <c r="K15" s="224" t="str">
        <f>produk!S3</f>
        <v>unit</v>
      </c>
      <c r="M15" s="41">
        <f>produk!L3</f>
        <v>3000000</v>
      </c>
      <c r="N15" s="41">
        <f>SUM((('order inventori'!O13*'order inventori'!P13)+('order inventori'!O10*'order inventori'!P10)+('order inventori'!O12*'order inventori'!P12))/('order inventori'!O13+'order inventori'!O10+'order inventori'!O12))</f>
        <v>2428571.4285714286</v>
      </c>
      <c r="O15" s="1">
        <v>1</v>
      </c>
      <c r="Q15" s="41">
        <f>M15*O15</f>
        <v>3000000</v>
      </c>
      <c r="R15" s="1">
        <f>produk!AO3</f>
        <v>1</v>
      </c>
      <c r="S15" s="1" t="str">
        <f>'data pajak'!B3</f>
        <v>PPn</v>
      </c>
      <c r="T15" s="3">
        <f>'data pajak'!D3</f>
        <v>0.1</v>
      </c>
      <c r="U15" s="41">
        <f>Q15*T15</f>
        <v>300000</v>
      </c>
      <c r="V15" s="1">
        <f>'data pajak'!E3</f>
        <v>18</v>
      </c>
      <c r="W15" s="1">
        <f>produk!AD3</f>
        <v>2</v>
      </c>
      <c r="X15" s="1" t="str">
        <f>'type produk'!B4</f>
        <v>dijual_dibeli_disimpan</v>
      </c>
      <c r="Y15" s="1">
        <f>'type produk'!G4</f>
        <v>1</v>
      </c>
      <c r="Z15" s="1">
        <f>'type produk'!I4</f>
        <v>2</v>
      </c>
      <c r="AA15" s="1">
        <f>'type produk'!K4</f>
        <v>3</v>
      </c>
      <c r="AB15" s="1">
        <f>'type produk'!O4</f>
        <v>5</v>
      </c>
      <c r="AC15" s="1">
        <f>'type produk'!Q4</f>
        <v>2</v>
      </c>
      <c r="AD15" s="224">
        <f>Invoice!X10</f>
        <v>0</v>
      </c>
      <c r="AE15" s="224">
        <f>Invoice!Y10</f>
        <v>0</v>
      </c>
      <c r="AF15" s="1">
        <v>0</v>
      </c>
      <c r="AG15" s="1">
        <v>0</v>
      </c>
      <c r="AH15" s="1">
        <v>0</v>
      </c>
    </row>
    <row r="16" spans="1:34" x14ac:dyDescent="0.25">
      <c r="A16" s="1">
        <v>15</v>
      </c>
      <c r="B16" s="224" t="str">
        <f>Invoice!C11</f>
        <v>7.9</v>
      </c>
      <c r="C16" s="224" t="str">
        <f>Invoice!N11</f>
        <v>7.9</v>
      </c>
      <c r="D16" s="13">
        <f>Invoice!R11</f>
        <v>43267</v>
      </c>
      <c r="E16" s="224">
        <f>Invoice!U11</f>
        <v>1</v>
      </c>
      <c r="F16" s="1" t="str">
        <f>lokasi!B3</f>
        <v>cempaka putih</v>
      </c>
      <c r="G16" s="1">
        <f>produk!A7</f>
        <v>5</v>
      </c>
      <c r="H16" s="224" t="str">
        <f>produk!E7</f>
        <v>iphone</v>
      </c>
      <c r="I16" s="224" t="str">
        <f>produk!F7</f>
        <v>sin-iphone4S-16Gb</v>
      </c>
      <c r="J16" s="224" t="str">
        <f>produk!I7</f>
        <v>iphone4S-16gb-hitam</v>
      </c>
      <c r="K16" s="224" t="str">
        <f>produk!S7</f>
        <v>unit</v>
      </c>
      <c r="M16" s="41">
        <v>2000000</v>
      </c>
      <c r="N16" s="41">
        <v>2000000</v>
      </c>
      <c r="O16" s="1">
        <v>5</v>
      </c>
      <c r="Q16" s="41">
        <f>M16*O16</f>
        <v>10000000</v>
      </c>
      <c r="R16" s="224">
        <f>produk!AO7</f>
        <v>1</v>
      </c>
      <c r="S16" s="1" t="str">
        <f>'data pajak'!B3</f>
        <v>PPn</v>
      </c>
      <c r="T16" s="3">
        <f>'data pajak'!D3</f>
        <v>0.1</v>
      </c>
      <c r="U16" s="41">
        <f>Q16*T16</f>
        <v>1000000</v>
      </c>
      <c r="V16" s="1">
        <f>'data pajak'!E3</f>
        <v>18</v>
      </c>
      <c r="W16" s="1">
        <f>produk!AD7</f>
        <v>2</v>
      </c>
      <c r="X16" s="1" t="str">
        <f>'type produk'!B10</f>
        <v>konsinyasi</v>
      </c>
      <c r="Y16" s="224">
        <f>'type produk'!G10</f>
        <v>1</v>
      </c>
      <c r="Z16" s="224">
        <f>'type produk'!I10</f>
        <v>2</v>
      </c>
      <c r="AA16" s="224">
        <f>'type produk'!K10</f>
        <v>22</v>
      </c>
      <c r="AB16" s="224">
        <f>'type produk'!O10</f>
        <v>5</v>
      </c>
      <c r="AC16" s="224">
        <f>'type produk'!Q10</f>
        <v>2</v>
      </c>
      <c r="AD16" s="224">
        <f>Invoice!X11</f>
        <v>0</v>
      </c>
      <c r="AE16" s="224">
        <f>Invoice!Y11</f>
        <v>0</v>
      </c>
      <c r="AF16" s="1">
        <v>0</v>
      </c>
      <c r="AG16" s="1">
        <v>0</v>
      </c>
      <c r="AH16" s="1">
        <v>0</v>
      </c>
    </row>
    <row r="17" spans="2:30" x14ac:dyDescent="0.25">
      <c r="B17" s="224"/>
      <c r="C17" s="224"/>
      <c r="E17" s="224"/>
      <c r="Y17" s="224"/>
      <c r="Z17" s="224"/>
      <c r="AA17" s="224"/>
      <c r="AB17" s="224"/>
      <c r="AC17" s="224"/>
      <c r="AD17" s="224"/>
    </row>
    <row r="18" spans="2:30" x14ac:dyDescent="0.25">
      <c r="Y18" s="224"/>
      <c r="Z18" s="224"/>
      <c r="AA18" s="224"/>
      <c r="AB18" s="224"/>
      <c r="AC18" s="224"/>
      <c r="AD18" s="224"/>
    </row>
    <row r="19" spans="2:30" x14ac:dyDescent="0.25">
      <c r="Y19" s="224"/>
      <c r="Z19" s="224"/>
      <c r="AA19" s="224"/>
      <c r="AB19" s="224"/>
      <c r="AC19" s="224"/>
      <c r="AD19" s="224"/>
    </row>
    <row r="20" spans="2:30" x14ac:dyDescent="0.25">
      <c r="Y20" s="224"/>
      <c r="Z20" s="224"/>
      <c r="AA20" s="224"/>
      <c r="AB20" s="224"/>
      <c r="AC20" s="224"/>
      <c r="AD20" s="224"/>
    </row>
    <row r="22" spans="2:30" x14ac:dyDescent="0.25">
      <c r="Y22" s="224"/>
      <c r="Z22" s="224"/>
      <c r="AA22" s="224"/>
      <c r="AB22" s="224"/>
      <c r="AC22" s="224"/>
      <c r="AD22" s="224"/>
    </row>
    <row r="23" spans="2:30" x14ac:dyDescent="0.25">
      <c r="Y23" s="224"/>
      <c r="Z23" s="224"/>
      <c r="AA23" s="224"/>
      <c r="AB23" s="224"/>
      <c r="AC23" s="224"/>
      <c r="AD23" s="224"/>
    </row>
    <row r="24" spans="2:30" x14ac:dyDescent="0.25">
      <c r="Y24" s="224"/>
      <c r="Z24" s="224"/>
      <c r="AA24" s="224"/>
      <c r="AB24" s="224"/>
      <c r="AC24" s="224"/>
      <c r="AD24" s="224"/>
    </row>
    <row r="25" spans="2:30" x14ac:dyDescent="0.25">
      <c r="Y25" s="224"/>
      <c r="Z25" s="224"/>
      <c r="AA25" s="224"/>
      <c r="AB25" s="224"/>
      <c r="AC25" s="224"/>
      <c r="AD25" s="22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Y3"/>
  <sheetViews>
    <sheetView topLeftCell="M1" workbookViewId="0">
      <selection activeCell="Y2" sqref="Y2"/>
    </sheetView>
  </sheetViews>
  <sheetFormatPr defaultColWidth="9.140625" defaultRowHeight="15" x14ac:dyDescent="0.25"/>
  <cols>
    <col min="1" max="1" width="13.42578125" style="1" bestFit="1" customWidth="1"/>
    <col min="2" max="2" width="13.42578125" style="287" customWidth="1"/>
    <col min="3" max="3" width="18.85546875" style="1" bestFit="1" customWidth="1"/>
    <col min="4" max="4" width="10.7109375" style="13" bestFit="1" customWidth="1"/>
    <col min="5" max="5" width="8.85546875" style="1" bestFit="1" customWidth="1"/>
    <col min="6" max="6" width="14.140625" style="1" bestFit="1" customWidth="1"/>
    <col min="7" max="7" width="10" style="1" bestFit="1" customWidth="1"/>
    <col min="8" max="8" width="15.7109375" style="224" bestFit="1" customWidth="1"/>
    <col min="9" max="9" width="8.28515625" style="1" bestFit="1" customWidth="1"/>
    <col min="10" max="10" width="11.85546875" style="1" bestFit="1" customWidth="1"/>
    <col min="11" max="11" width="11.42578125" style="1" bestFit="1" customWidth="1"/>
    <col min="12" max="12" width="10.28515625" style="1" bestFit="1" customWidth="1"/>
    <col min="13" max="13" width="11.28515625" style="1" bestFit="1" customWidth="1"/>
    <col min="14" max="14" width="15.42578125" style="1" bestFit="1" customWidth="1"/>
    <col min="15" max="15" width="8.42578125" style="1" bestFit="1" customWidth="1"/>
    <col min="16" max="16" width="5.7109375" style="1" bestFit="1" customWidth="1"/>
    <col min="17" max="18" width="10.85546875" style="1" bestFit="1" customWidth="1"/>
    <col min="19" max="19" width="18.28515625" style="1" bestFit="1" customWidth="1"/>
    <col min="20" max="20" width="9.7109375" style="1" bestFit="1" customWidth="1"/>
    <col min="21" max="21" width="9.85546875" style="1" bestFit="1" customWidth="1"/>
    <col min="22" max="22" width="14.85546875" style="1" bestFit="1" customWidth="1"/>
    <col min="23" max="23" width="8.28515625" style="1" bestFit="1" customWidth="1"/>
    <col min="24" max="24" width="11.42578125" style="1" bestFit="1" customWidth="1"/>
    <col min="25" max="25" width="17.85546875" style="1" bestFit="1" customWidth="1"/>
    <col min="26" max="31" width="15.140625" style="1" customWidth="1"/>
    <col min="32" max="16384" width="9.140625" style="1"/>
  </cols>
  <sheetData>
    <row r="1" spans="1:25" x14ac:dyDescent="0.25">
      <c r="A1" s="1" t="s">
        <v>144</v>
      </c>
      <c r="B1" s="287" t="s">
        <v>1685</v>
      </c>
      <c r="C1" s="1" t="s">
        <v>655</v>
      </c>
      <c r="D1" s="13" t="s">
        <v>481</v>
      </c>
      <c r="E1" s="1" t="s">
        <v>24</v>
      </c>
      <c r="F1" s="1" t="s">
        <v>501</v>
      </c>
      <c r="G1" s="1" t="s">
        <v>78</v>
      </c>
      <c r="H1" s="224" t="s">
        <v>87</v>
      </c>
      <c r="I1" s="1" t="s">
        <v>88</v>
      </c>
      <c r="J1" s="1" t="s">
        <v>459</v>
      </c>
      <c r="K1" s="1" t="s">
        <v>145</v>
      </c>
      <c r="L1" s="1" t="s">
        <v>146</v>
      </c>
      <c r="M1" s="1" t="s">
        <v>147</v>
      </c>
      <c r="N1" s="1" t="s">
        <v>460</v>
      </c>
      <c r="O1" s="1" t="s">
        <v>82</v>
      </c>
      <c r="P1" s="1" t="s">
        <v>469</v>
      </c>
      <c r="Q1" s="1" t="s">
        <v>468</v>
      </c>
      <c r="R1" s="1" t="s">
        <v>41</v>
      </c>
      <c r="S1" s="1" t="s">
        <v>492</v>
      </c>
      <c r="T1" s="1" t="s">
        <v>148</v>
      </c>
      <c r="U1" s="1" t="s">
        <v>46</v>
      </c>
      <c r="V1" s="1" t="s">
        <v>47</v>
      </c>
      <c r="W1" s="1" t="s">
        <v>1372</v>
      </c>
      <c r="X1" s="1" t="s">
        <v>1374</v>
      </c>
      <c r="Y1" s="1" t="s">
        <v>1373</v>
      </c>
    </row>
    <row r="2" spans="1:25" x14ac:dyDescent="0.25">
      <c r="A2" s="1">
        <v>1</v>
      </c>
      <c r="B2" s="1" t="str">
        <f>Invoice!C12</f>
        <v>7.10</v>
      </c>
      <c r="C2" s="287" t="str">
        <f>Invoice!N12</f>
        <v>7.10</v>
      </c>
      <c r="D2" s="13">
        <f>Invoice!AA12</f>
        <v>43268</v>
      </c>
      <c r="E2" s="1">
        <f>Invoice!U12</f>
        <v>1</v>
      </c>
      <c r="F2" s="13" t="str">
        <f>lokasi!B3</f>
        <v>cempaka putih</v>
      </c>
      <c r="G2" s="208">
        <f>produk!A9</f>
        <v>8</v>
      </c>
      <c r="H2" s="13" t="str">
        <f>produk!E9</f>
        <v>rental</v>
      </c>
      <c r="I2" s="13" t="str">
        <f>produk!F9</f>
        <v>rental01</v>
      </c>
      <c r="J2" s="1" t="str">
        <f>produk!I9</f>
        <v>rental mobil</v>
      </c>
      <c r="K2" s="1">
        <v>1</v>
      </c>
      <c r="L2" s="1">
        <v>350000</v>
      </c>
      <c r="N2" s="1">
        <f>K2*L2</f>
        <v>350000</v>
      </c>
      <c r="O2" s="1">
        <f>produk!AO9</f>
        <v>2</v>
      </c>
      <c r="P2" s="224" t="str">
        <f>produk!AP9</f>
        <v>pph</v>
      </c>
      <c r="Q2" s="3">
        <f>produk!AQ9</f>
        <v>0.02</v>
      </c>
      <c r="R2" s="1">
        <f>N2*Q2</f>
        <v>7000</v>
      </c>
      <c r="S2" s="1">
        <f>produk!AR9</f>
        <v>21</v>
      </c>
      <c r="T2" s="1">
        <f>produk!AL9</f>
        <v>37</v>
      </c>
      <c r="U2" s="1">
        <f>Invoice!X12</f>
        <v>0</v>
      </c>
      <c r="V2" s="224">
        <f>Invoice!Y12</f>
        <v>0</v>
      </c>
      <c r="W2" s="1">
        <f>'data harta tetap'!A6</f>
        <v>4</v>
      </c>
      <c r="X2" s="224" t="str">
        <f>'data harta tetap'!G6</f>
        <v>toyota agya</v>
      </c>
      <c r="Y2" s="13">
        <f>K2+D2</f>
        <v>43269</v>
      </c>
    </row>
    <row r="3" spans="1:25" x14ac:dyDescent="0.25">
      <c r="F3" s="13"/>
      <c r="G3" s="13"/>
      <c r="H3" s="13"/>
      <c r="I3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9"/>
  <sheetViews>
    <sheetView workbookViewId="0">
      <selection activeCell="B2" sqref="B2"/>
    </sheetView>
  </sheetViews>
  <sheetFormatPr defaultColWidth="9.140625" defaultRowHeight="15" x14ac:dyDescent="0.25"/>
  <cols>
    <col min="1" max="1" width="16.140625" style="1" customWidth="1"/>
    <col min="2" max="2" width="16.140625" style="287" customWidth="1"/>
    <col min="3" max="3" width="18.85546875" style="1" bestFit="1" customWidth="1"/>
    <col min="4" max="4" width="10.7109375" style="13" bestFit="1" customWidth="1"/>
    <col min="5" max="5" width="8.85546875" style="1" bestFit="1" customWidth="1"/>
    <col min="6" max="6" width="14.42578125" style="1" bestFit="1" customWidth="1"/>
    <col min="7" max="7" width="15.140625" style="1" bestFit="1" customWidth="1"/>
    <col min="8" max="8" width="14.7109375" style="1" bestFit="1" customWidth="1"/>
    <col min="9" max="9" width="13.85546875" style="1" bestFit="1" customWidth="1"/>
    <col min="10" max="10" width="14.42578125" style="1" bestFit="1" customWidth="1"/>
    <col min="11" max="11" width="12.42578125" style="1" bestFit="1" customWidth="1"/>
    <col min="12" max="12" width="17.42578125" style="1" bestFit="1" customWidth="1"/>
    <col min="13" max="13" width="22.42578125" style="1" bestFit="1" customWidth="1"/>
    <col min="14" max="21" width="16.140625" style="1" customWidth="1"/>
    <col min="22" max="16384" width="9.140625" style="1"/>
  </cols>
  <sheetData>
    <row r="1" spans="1:13" x14ac:dyDescent="0.25">
      <c r="A1" s="1" t="s">
        <v>149</v>
      </c>
      <c r="B1" s="287" t="s">
        <v>1685</v>
      </c>
      <c r="C1" s="1" t="s">
        <v>655</v>
      </c>
      <c r="D1" s="13" t="s">
        <v>481</v>
      </c>
      <c r="E1" s="1" t="s">
        <v>24</v>
      </c>
      <c r="F1" s="1" t="s">
        <v>501</v>
      </c>
      <c r="G1" s="1" t="s">
        <v>150</v>
      </c>
      <c r="H1" s="1" t="s">
        <v>151</v>
      </c>
      <c r="I1" s="1" t="s">
        <v>152</v>
      </c>
      <c r="J1" s="1" t="s">
        <v>456</v>
      </c>
      <c r="K1" s="1" t="s">
        <v>31</v>
      </c>
      <c r="L1" s="1" t="s">
        <v>457</v>
      </c>
      <c r="M1" s="1" t="s">
        <v>458</v>
      </c>
    </row>
    <row r="2" spans="1:13" x14ac:dyDescent="0.25">
      <c r="A2" s="1">
        <v>1</v>
      </c>
      <c r="B2" s="1" t="str">
        <f>Invoice!C6</f>
        <v>7.4</v>
      </c>
      <c r="C2" s="287" t="str">
        <f>Invoice!N6</f>
        <v>15.1</v>
      </c>
      <c r="D2" s="13">
        <f>Invoice!R6</f>
        <v>43263</v>
      </c>
      <c r="E2" s="1">
        <f>Invoice!U6</f>
        <v>1</v>
      </c>
      <c r="F2" s="1" t="str">
        <f>lokasi!B3</f>
        <v>cempaka putih</v>
      </c>
      <c r="G2" s="1" t="s">
        <v>1655</v>
      </c>
      <c r="H2" s="1">
        <v>1</v>
      </c>
      <c r="I2" s="1">
        <v>300000</v>
      </c>
      <c r="J2" s="1">
        <v>0</v>
      </c>
      <c r="K2" s="1">
        <f>H2*I2</f>
        <v>300000</v>
      </c>
      <c r="L2" s="1">
        <f>Invoice!X6</f>
        <v>0</v>
      </c>
      <c r="M2" s="206">
        <f>Invoice!Y6</f>
        <v>0</v>
      </c>
    </row>
    <row r="5" spans="1:13" x14ac:dyDescent="0.25">
      <c r="F5" s="13"/>
    </row>
    <row r="6" spans="1:13" x14ac:dyDescent="0.25">
      <c r="F6" s="13"/>
    </row>
    <row r="8" spans="1:13" x14ac:dyDescent="0.25">
      <c r="F8" s="13"/>
    </row>
    <row r="9" spans="1:13" x14ac:dyDescent="0.25">
      <c r="F9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AG3"/>
  <sheetViews>
    <sheetView topLeftCell="Q1" zoomScale="115" zoomScaleNormal="115" workbookViewId="0">
      <selection activeCell="Q1" sqref="Q1:R1"/>
    </sheetView>
  </sheetViews>
  <sheetFormatPr defaultColWidth="9.140625" defaultRowHeight="15" x14ac:dyDescent="0.25"/>
  <cols>
    <col min="1" max="1" width="21.42578125" style="1" bestFit="1" customWidth="1"/>
    <col min="2" max="2" width="17.28515625" style="1" bestFit="1" customWidth="1"/>
    <col min="3" max="3" width="11.42578125" style="256" bestFit="1" customWidth="1"/>
    <col min="4" max="4" width="17.28515625" style="1" customWidth="1"/>
    <col min="5" max="5" width="22" style="1" bestFit="1" customWidth="1"/>
    <col min="6" max="6" width="18.85546875" style="1" bestFit="1" customWidth="1"/>
    <col min="7" max="7" width="12.7109375" style="1" bestFit="1" customWidth="1"/>
    <col min="8" max="8" width="14.28515625" style="1" bestFit="1" customWidth="1"/>
    <col min="9" max="9" width="13.42578125" style="1" bestFit="1" customWidth="1"/>
    <col min="10" max="10" width="17" style="1" bestFit="1" customWidth="1"/>
    <col min="11" max="11" width="13.42578125" style="1" bestFit="1" customWidth="1"/>
    <col min="12" max="12" width="10.7109375" style="1" bestFit="1" customWidth="1"/>
    <col min="13" max="13" width="10.28515625" style="1" bestFit="1" customWidth="1"/>
    <col min="14" max="14" width="14.28515625" style="1" bestFit="1" customWidth="1"/>
    <col min="15" max="15" width="25" style="1" bestFit="1" customWidth="1"/>
    <col min="16" max="16" width="22.28515625" style="1" bestFit="1" customWidth="1"/>
    <col min="17" max="17" width="8.85546875" style="1" bestFit="1" customWidth="1"/>
    <col min="18" max="18" width="14.140625" style="1" bestFit="1" customWidth="1"/>
    <col min="19" max="19" width="11" style="1" bestFit="1" customWidth="1"/>
    <col min="20" max="20" width="9.85546875" style="1" bestFit="1" customWidth="1"/>
    <col min="21" max="21" width="14.85546875" style="1" bestFit="1" customWidth="1"/>
    <col min="22" max="22" width="17.85546875" style="1" bestFit="1" customWidth="1"/>
    <col min="23" max="23" width="10.7109375" style="1" bestFit="1" customWidth="1"/>
    <col min="24" max="24" width="16.85546875" style="1" bestFit="1" customWidth="1"/>
    <col min="25" max="25" width="18.42578125" style="1" bestFit="1" customWidth="1"/>
    <col min="26" max="26" width="19.28515625" style="1" bestFit="1" customWidth="1"/>
    <col min="27" max="27" width="17.28515625" style="1" bestFit="1" customWidth="1"/>
    <col min="28" max="28" width="16.42578125" style="1" bestFit="1" customWidth="1"/>
    <col min="29" max="29" width="13.28515625" style="41" bestFit="1" customWidth="1"/>
    <col min="30" max="30" width="10.28515625" style="1" bestFit="1" customWidth="1"/>
    <col min="31" max="31" width="20.42578125" style="1" bestFit="1" customWidth="1"/>
    <col min="32" max="32" width="19.28515625" style="1" bestFit="1" customWidth="1"/>
    <col min="33" max="33" width="16.42578125" style="1" bestFit="1" customWidth="1"/>
    <col min="34" max="16384" width="9.140625" style="1"/>
  </cols>
  <sheetData>
    <row r="1" spans="1:33" s="44" customFormat="1" x14ac:dyDescent="0.25">
      <c r="C1" s="255"/>
      <c r="E1" s="44" t="s">
        <v>1400</v>
      </c>
      <c r="G1" s="297" t="s">
        <v>1397</v>
      </c>
      <c r="H1" s="297"/>
      <c r="I1" s="44" t="s">
        <v>1387</v>
      </c>
      <c r="J1" s="44" t="s">
        <v>980</v>
      </c>
      <c r="K1" s="297" t="s">
        <v>1145</v>
      </c>
      <c r="L1" s="297"/>
      <c r="M1" s="297"/>
      <c r="N1" s="44" t="s">
        <v>1398</v>
      </c>
      <c r="O1" s="297" t="s">
        <v>916</v>
      </c>
      <c r="P1" s="297"/>
      <c r="Q1" s="297" t="s">
        <v>919</v>
      </c>
      <c r="R1" s="297"/>
      <c r="S1" s="44" t="s">
        <v>920</v>
      </c>
      <c r="T1" s="44" t="s">
        <v>1023</v>
      </c>
      <c r="U1" s="44" t="s">
        <v>1021</v>
      </c>
      <c r="V1" s="44" t="s">
        <v>1399</v>
      </c>
      <c r="W1" s="297" t="s">
        <v>924</v>
      </c>
      <c r="X1" s="297"/>
      <c r="Y1" s="44" t="s">
        <v>1389</v>
      </c>
      <c r="Z1" s="44" t="s">
        <v>1391</v>
      </c>
      <c r="AA1" s="44" t="s">
        <v>1390</v>
      </c>
      <c r="AB1" s="44" t="s">
        <v>1392</v>
      </c>
      <c r="AC1" s="79"/>
      <c r="AG1" s="44" t="s">
        <v>921</v>
      </c>
    </row>
    <row r="2" spans="1:33" x14ac:dyDescent="0.25">
      <c r="A2" s="1" t="s">
        <v>401</v>
      </c>
      <c r="B2" s="1" t="s">
        <v>617</v>
      </c>
      <c r="C2" s="256" t="s">
        <v>1685</v>
      </c>
      <c r="D2" s="1" t="s">
        <v>614</v>
      </c>
      <c r="E2" s="1" t="s">
        <v>402</v>
      </c>
      <c r="F2" s="1" t="s">
        <v>655</v>
      </c>
      <c r="G2" s="1" t="s">
        <v>1</v>
      </c>
      <c r="H2" s="1" t="s">
        <v>403</v>
      </c>
      <c r="I2" s="1" t="s">
        <v>19</v>
      </c>
      <c r="J2" s="1" t="s">
        <v>20</v>
      </c>
      <c r="K2" s="1" t="s">
        <v>115</v>
      </c>
      <c r="L2" s="1" t="s">
        <v>21</v>
      </c>
      <c r="M2" s="1" t="s">
        <v>828</v>
      </c>
      <c r="N2" s="1" t="s">
        <v>404</v>
      </c>
      <c r="O2" s="1" t="s">
        <v>22</v>
      </c>
      <c r="P2" s="1" t="s">
        <v>23</v>
      </c>
      <c r="Q2" s="1" t="s">
        <v>24</v>
      </c>
      <c r="R2" s="1" t="s">
        <v>467</v>
      </c>
      <c r="S2" s="1" t="s">
        <v>26</v>
      </c>
      <c r="T2" s="1" t="s">
        <v>46</v>
      </c>
      <c r="U2" s="1" t="s">
        <v>47</v>
      </c>
      <c r="V2" s="1" t="s">
        <v>405</v>
      </c>
      <c r="W2" s="1" t="s">
        <v>35</v>
      </c>
      <c r="X2" s="1" t="s">
        <v>36</v>
      </c>
      <c r="Y2" s="1" t="s">
        <v>38</v>
      </c>
      <c r="Z2" s="1" t="s">
        <v>39</v>
      </c>
      <c r="AA2" s="1" t="s">
        <v>876</v>
      </c>
      <c r="AB2" s="1" t="s">
        <v>40</v>
      </c>
      <c r="AC2" s="41" t="s">
        <v>641</v>
      </c>
      <c r="AD2" s="1" t="s">
        <v>624</v>
      </c>
      <c r="AE2" s="1" t="s">
        <v>1129</v>
      </c>
      <c r="AF2" s="1" t="s">
        <v>1644</v>
      </c>
      <c r="AG2" s="1" t="s">
        <v>34</v>
      </c>
    </row>
    <row r="3" spans="1:33" x14ac:dyDescent="0.25">
      <c r="A3" s="145">
        <v>1</v>
      </c>
      <c r="B3" s="145">
        <f>'kode transaksi'!A15</f>
        <v>14</v>
      </c>
      <c r="C3" s="145" t="str">
        <f>CONCATENATE(B3,".",A3)</f>
        <v>14.1</v>
      </c>
      <c r="D3" s="145" t="str">
        <f>'kode transaksi'!B15</f>
        <v>MR</v>
      </c>
      <c r="E3" s="145" t="s">
        <v>1595</v>
      </c>
      <c r="F3" s="145" t="str">
        <f>CONCATENATE(B3,".",A3)</f>
        <v>14.1</v>
      </c>
      <c r="G3" s="145">
        <f>kontak!A8</f>
        <v>6</v>
      </c>
      <c r="H3" s="145" t="str">
        <f>kontak!G8</f>
        <v>yusril</v>
      </c>
      <c r="I3" s="145">
        <f>kontak!K8</f>
        <v>81290559181</v>
      </c>
      <c r="J3" s="145" t="str">
        <f>kontak!O8</f>
        <v>yusril@gmail.com</v>
      </c>
      <c r="K3" s="145">
        <f>'data mata uang'!A3</f>
        <v>1</v>
      </c>
      <c r="L3" s="145" t="str">
        <f>'data mata uang'!D3</f>
        <v>IDR</v>
      </c>
      <c r="M3" s="145">
        <f>'data mata uang'!G3</f>
        <v>1</v>
      </c>
      <c r="N3" s="147">
        <v>43252</v>
      </c>
      <c r="O3" s="145">
        <v>0</v>
      </c>
      <c r="P3" s="145">
        <v>0</v>
      </c>
      <c r="Q3" s="145">
        <f>lokasi!A3</f>
        <v>1</v>
      </c>
      <c r="R3" s="145" t="str">
        <f>lokasi!B3</f>
        <v>cempaka putih</v>
      </c>
      <c r="S3" s="145" t="s">
        <v>1551</v>
      </c>
      <c r="T3" s="145">
        <v>0</v>
      </c>
      <c r="U3" s="145">
        <v>0</v>
      </c>
      <c r="V3" s="147">
        <v>43261</v>
      </c>
      <c r="W3" s="145">
        <f>kontak!A6</f>
        <v>4</v>
      </c>
      <c r="X3" s="145" t="str">
        <f>kontak!G6</f>
        <v>dea fitri maharani</v>
      </c>
      <c r="Y3" s="145">
        <v>0</v>
      </c>
      <c r="Z3" s="145">
        <v>0</v>
      </c>
      <c r="AA3" s="145">
        <v>0</v>
      </c>
      <c r="AB3" s="145">
        <v>0</v>
      </c>
      <c r="AC3" s="146">
        <f>'order produk beli'!P2</f>
        <v>50000000</v>
      </c>
      <c r="AD3" s="145">
        <f>'user id'!A2</f>
        <v>1</v>
      </c>
      <c r="AE3" s="145">
        <f>'periode akuntansi'!A2</f>
        <v>1</v>
      </c>
      <c r="AF3" s="145"/>
      <c r="AG3" s="145">
        <v>1</v>
      </c>
    </row>
  </sheetData>
  <mergeCells count="5">
    <mergeCell ref="G1:H1"/>
    <mergeCell ref="K1:M1"/>
    <mergeCell ref="O1:P1"/>
    <mergeCell ref="Q1:R1"/>
    <mergeCell ref="W1:X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B3"/>
  <sheetViews>
    <sheetView topLeftCell="W1" zoomScale="143" zoomScaleNormal="143" workbookViewId="0">
      <selection activeCell="X2" sqref="X2"/>
    </sheetView>
  </sheetViews>
  <sheetFormatPr defaultColWidth="9.140625" defaultRowHeight="15" x14ac:dyDescent="0.25"/>
  <cols>
    <col min="1" max="1" width="34.28515625" style="1" bestFit="1" customWidth="1"/>
    <col min="2" max="2" width="18.7109375" style="1" bestFit="1" customWidth="1"/>
    <col min="3" max="3" width="12.42578125" style="256" bestFit="1" customWidth="1"/>
    <col min="4" max="4" width="15.7109375" style="1" bestFit="1" customWidth="1"/>
    <col min="5" max="5" width="35" style="1" bestFit="1" customWidth="1"/>
    <col min="6" max="6" width="10.7109375" style="1" bestFit="1" customWidth="1"/>
    <col min="7" max="7" width="14.42578125" style="1" bestFit="1" customWidth="1"/>
    <col min="8" max="8" width="14.28515625" style="1" bestFit="1" customWidth="1"/>
    <col min="9" max="9" width="25.85546875" style="1" bestFit="1" customWidth="1"/>
    <col min="10" max="10" width="23.140625" style="1" bestFit="1" customWidth="1"/>
    <col min="11" max="11" width="24" style="1" bestFit="1" customWidth="1"/>
    <col min="12" max="12" width="20" style="1" bestFit="1" customWidth="1"/>
    <col min="13" max="13" width="15" style="1" bestFit="1" customWidth="1"/>
    <col min="14" max="14" width="12.140625" style="1" bestFit="1" customWidth="1"/>
    <col min="15" max="15" width="11.140625" style="1" bestFit="1" customWidth="1"/>
    <col min="16" max="16" width="40" style="1" bestFit="1" customWidth="1"/>
    <col min="17" max="17" width="26.7109375" style="1" bestFit="1" customWidth="1"/>
    <col min="18" max="18" width="23.42578125" style="1" bestFit="1" customWidth="1"/>
    <col min="19" max="19" width="9.42578125" style="1" bestFit="1" customWidth="1"/>
    <col min="20" max="20" width="15.28515625" style="1" bestFit="1" customWidth="1"/>
    <col min="21" max="21" width="12.140625" style="1" bestFit="1" customWidth="1"/>
    <col min="22" max="22" width="10.42578125" style="1" bestFit="1" customWidth="1"/>
    <col min="23" max="23" width="15.7109375" style="1" bestFit="1" customWidth="1"/>
    <col min="24" max="24" width="24.42578125" style="1" bestFit="1" customWidth="1"/>
    <col min="25" max="25" width="21" style="1" bestFit="1" customWidth="1"/>
    <col min="26" max="26" width="20.28515625" style="1" bestFit="1" customWidth="1"/>
    <col min="27" max="27" width="12" style="1" bestFit="1" customWidth="1"/>
    <col min="28" max="28" width="17.42578125" style="1" bestFit="1" customWidth="1"/>
    <col min="29" max="29" width="21.42578125" style="1" bestFit="1" customWidth="1"/>
    <col min="30" max="30" width="35.28515625" style="1" bestFit="1" customWidth="1"/>
    <col min="31" max="31" width="32.42578125" style="1" bestFit="1" customWidth="1"/>
    <col min="32" max="32" width="15" style="1" bestFit="1" customWidth="1"/>
    <col min="33" max="33" width="15.42578125" style="1" bestFit="1" customWidth="1"/>
    <col min="34" max="34" width="15.85546875" style="1" bestFit="1" customWidth="1"/>
    <col min="35" max="35" width="7.85546875" style="1" bestFit="1" customWidth="1"/>
    <col min="36" max="36" width="9.28515625" style="1" bestFit="1" customWidth="1"/>
    <col min="37" max="38" width="20.42578125" style="1" bestFit="1" customWidth="1"/>
    <col min="39" max="39" width="18.85546875" style="1" bestFit="1" customWidth="1"/>
    <col min="40" max="40" width="18.28515625" style="1" bestFit="1" customWidth="1"/>
    <col min="41" max="41" width="19.42578125" style="1" bestFit="1" customWidth="1"/>
    <col min="42" max="42" width="19.7109375" style="1" bestFit="1" customWidth="1"/>
    <col min="43" max="43" width="17.28515625" style="1" bestFit="1" customWidth="1"/>
    <col min="44" max="44" width="17.140625" style="1" bestFit="1" customWidth="1"/>
    <col min="45" max="45" width="21.42578125" style="1" bestFit="1" customWidth="1"/>
    <col min="46" max="46" width="11.7109375" style="1" bestFit="1" customWidth="1"/>
    <col min="47" max="47" width="20.140625" style="1" bestFit="1" customWidth="1"/>
    <col min="48" max="48" width="20.42578125" style="1" bestFit="1" customWidth="1"/>
    <col min="49" max="49" width="11.42578125" style="1" bestFit="1" customWidth="1"/>
    <col min="50" max="50" width="10.42578125" style="1" bestFit="1" customWidth="1"/>
    <col min="51" max="51" width="11.140625" style="1" bestFit="1" customWidth="1"/>
    <col min="52" max="52" width="22.140625" style="1" bestFit="1" customWidth="1"/>
    <col min="53" max="53" width="20.28515625" style="1" bestFit="1" customWidth="1"/>
    <col min="54" max="54" width="18.7109375" style="1" bestFit="1" customWidth="1"/>
    <col min="55" max="55" width="18.7109375" style="1" customWidth="1"/>
    <col min="56" max="16384" width="9.140625" style="1"/>
  </cols>
  <sheetData>
    <row r="1" spans="1:54" s="44" customFormat="1" x14ac:dyDescent="0.25">
      <c r="C1" s="255"/>
      <c r="E1" s="44" t="s">
        <v>1403</v>
      </c>
      <c r="F1" s="297" t="s">
        <v>1404</v>
      </c>
      <c r="G1" s="297"/>
      <c r="H1" s="44" t="s">
        <v>1387</v>
      </c>
      <c r="I1" s="44" t="s">
        <v>980</v>
      </c>
      <c r="J1" s="297" t="s">
        <v>1400</v>
      </c>
      <c r="K1" s="297"/>
      <c r="M1" s="297" t="s">
        <v>1145</v>
      </c>
      <c r="N1" s="297"/>
      <c r="O1" s="297"/>
      <c r="P1" s="44" t="s">
        <v>1402</v>
      </c>
      <c r="Q1" s="297" t="s">
        <v>916</v>
      </c>
      <c r="R1" s="297"/>
      <c r="S1" s="297" t="s">
        <v>919</v>
      </c>
      <c r="T1" s="297"/>
      <c r="U1" s="44" t="s">
        <v>920</v>
      </c>
      <c r="V1" s="44" t="s">
        <v>1023</v>
      </c>
      <c r="W1" s="44" t="s">
        <v>1021</v>
      </c>
      <c r="X1" s="44" t="s">
        <v>922</v>
      </c>
      <c r="Y1" s="44" t="s">
        <v>1410</v>
      </c>
      <c r="Z1" s="44" t="s">
        <v>923</v>
      </c>
      <c r="AA1" s="297" t="s">
        <v>924</v>
      </c>
      <c r="AB1" s="297"/>
      <c r="AC1" s="44" t="s">
        <v>1464</v>
      </c>
      <c r="AD1" s="80" t="s">
        <v>1406</v>
      </c>
      <c r="AE1" s="80" t="s">
        <v>1437</v>
      </c>
      <c r="AF1" s="80" t="s">
        <v>1433</v>
      </c>
      <c r="AG1" s="80" t="s">
        <v>1434</v>
      </c>
      <c r="AH1" s="304" t="s">
        <v>1435</v>
      </c>
      <c r="AI1" s="304"/>
      <c r="AJ1" s="80" t="s">
        <v>1436</v>
      </c>
      <c r="AK1" s="44" t="s">
        <v>1389</v>
      </c>
      <c r="AL1" s="44" t="s">
        <v>1391</v>
      </c>
      <c r="AM1" s="44" t="s">
        <v>1390</v>
      </c>
      <c r="AN1" s="44" t="s">
        <v>1392</v>
      </c>
      <c r="AT1" s="44" t="s">
        <v>1459</v>
      </c>
      <c r="AU1" s="44" t="s">
        <v>1460</v>
      </c>
      <c r="AV1" s="44" t="s">
        <v>1461</v>
      </c>
      <c r="AW1" s="44" t="s">
        <v>1462</v>
      </c>
      <c r="AX1" s="44" t="s">
        <v>1463</v>
      </c>
      <c r="BB1" s="44" t="s">
        <v>921</v>
      </c>
    </row>
    <row r="2" spans="1:54" x14ac:dyDescent="0.25">
      <c r="A2" s="1" t="s">
        <v>406</v>
      </c>
      <c r="B2" s="1" t="s">
        <v>617</v>
      </c>
      <c r="C2" s="256" t="s">
        <v>1685</v>
      </c>
      <c r="D2" s="1" t="s">
        <v>614</v>
      </c>
      <c r="E2" s="1" t="s">
        <v>407</v>
      </c>
      <c r="F2" s="1" t="s">
        <v>408</v>
      </c>
      <c r="G2" s="1" t="s">
        <v>409</v>
      </c>
      <c r="H2" s="1" t="s">
        <v>19</v>
      </c>
      <c r="I2" s="1" t="s">
        <v>20</v>
      </c>
      <c r="J2" s="1" t="s">
        <v>401</v>
      </c>
      <c r="K2" s="1" t="s">
        <v>402</v>
      </c>
      <c r="L2" s="1" t="s">
        <v>655</v>
      </c>
      <c r="M2" s="1" t="s">
        <v>115</v>
      </c>
      <c r="N2" s="1" t="s">
        <v>21</v>
      </c>
      <c r="O2" s="1" t="s">
        <v>828</v>
      </c>
      <c r="P2" s="1" t="s">
        <v>410</v>
      </c>
      <c r="Q2" s="1" t="s">
        <v>22</v>
      </c>
      <c r="R2" s="1" t="s">
        <v>23</v>
      </c>
      <c r="S2" s="1" t="s">
        <v>24</v>
      </c>
      <c r="T2" s="1" t="s">
        <v>467</v>
      </c>
      <c r="U2" s="1" t="s">
        <v>26</v>
      </c>
      <c r="V2" s="1" t="s">
        <v>46</v>
      </c>
      <c r="W2" s="1" t="s">
        <v>47</v>
      </c>
      <c r="X2" s="1" t="s">
        <v>33</v>
      </c>
      <c r="Y2" s="1" t="s">
        <v>1411</v>
      </c>
      <c r="Z2" s="1" t="s">
        <v>32</v>
      </c>
      <c r="AA2" s="1" t="s">
        <v>35</v>
      </c>
      <c r="AB2" s="1" t="s">
        <v>36</v>
      </c>
      <c r="AC2" s="1" t="s">
        <v>1469</v>
      </c>
      <c r="AD2" s="1" t="s">
        <v>37</v>
      </c>
      <c r="AE2" s="1" t="s">
        <v>1465</v>
      </c>
      <c r="AF2" s="1" t="s">
        <v>1430</v>
      </c>
      <c r="AG2" s="1" t="s">
        <v>1431</v>
      </c>
      <c r="AH2" s="1" t="s">
        <v>869</v>
      </c>
      <c r="AI2" s="1" t="s">
        <v>856</v>
      </c>
      <c r="AJ2" s="1" t="s">
        <v>1432</v>
      </c>
      <c r="AK2" s="1" t="s">
        <v>38</v>
      </c>
      <c r="AL2" s="1" t="s">
        <v>39</v>
      </c>
      <c r="AM2" s="1" t="s">
        <v>876</v>
      </c>
      <c r="AN2" s="1" t="s">
        <v>40</v>
      </c>
      <c r="AO2" s="1" t="s">
        <v>27</v>
      </c>
      <c r="AP2" s="1" t="s">
        <v>28</v>
      </c>
      <c r="AQ2" s="1" t="s">
        <v>29</v>
      </c>
      <c r="AR2" s="1" t="s">
        <v>30</v>
      </c>
      <c r="AS2" s="1" t="s">
        <v>487</v>
      </c>
      <c r="AT2" s="1" t="s">
        <v>41</v>
      </c>
      <c r="AU2" s="1" t="s">
        <v>42</v>
      </c>
      <c r="AV2" s="1" t="s">
        <v>1431</v>
      </c>
      <c r="AW2" s="1" t="s">
        <v>434</v>
      </c>
      <c r="AX2" s="1" t="s">
        <v>435</v>
      </c>
      <c r="AY2" s="1" t="s">
        <v>624</v>
      </c>
      <c r="AZ2" s="1" t="s">
        <v>1129</v>
      </c>
      <c r="BA2" s="1" t="s">
        <v>1644</v>
      </c>
      <c r="BB2" s="1" t="s">
        <v>34</v>
      </c>
    </row>
    <row r="3" spans="1:54" x14ac:dyDescent="0.25">
      <c r="A3" s="145">
        <v>1</v>
      </c>
      <c r="B3" s="145">
        <f>'kode transaksi'!A17</f>
        <v>16</v>
      </c>
      <c r="C3" s="145" t="str">
        <f>CONCATENATE(B3,".",A3)</f>
        <v>16.1</v>
      </c>
      <c r="D3" s="145" t="str">
        <f>'kode transaksi'!B17</f>
        <v>RQ</v>
      </c>
      <c r="E3" s="145" t="s">
        <v>1595</v>
      </c>
      <c r="F3" s="145">
        <f>kontak!A9</f>
        <v>7</v>
      </c>
      <c r="G3" s="145" t="str">
        <f>kontak!G9</f>
        <v>djayakusuma</v>
      </c>
      <c r="H3" s="145">
        <f>kontak!K9</f>
        <v>8170175139</v>
      </c>
      <c r="I3" s="145" t="str">
        <f>kontak!O9</f>
        <v>djayakusuma@gmail.com</v>
      </c>
      <c r="J3" s="145">
        <f>'Shoping Cart'!A3</f>
        <v>1</v>
      </c>
      <c r="K3" s="145" t="str">
        <f>CONCATENATE('Shoping Cart'!D3,'Shoping Cart'!E3)</f>
        <v>MR.000001</v>
      </c>
      <c r="L3" s="145" t="str">
        <f>'Shoping Cart'!F3</f>
        <v>14.1</v>
      </c>
      <c r="M3" s="145">
        <f>'Shoping Cart'!K3</f>
        <v>1</v>
      </c>
      <c r="N3" s="145" t="str">
        <f>'data mata uang'!D3</f>
        <v>IDR</v>
      </c>
      <c r="O3" s="145">
        <f>'data mata uang'!G3</f>
        <v>1</v>
      </c>
      <c r="P3" s="147">
        <v>43253</v>
      </c>
      <c r="Q3" s="145"/>
      <c r="R3" s="145"/>
      <c r="S3" s="145">
        <f>'Shoping Cart'!Q3</f>
        <v>1</v>
      </c>
      <c r="T3" s="145" t="str">
        <f>lokasi!B3</f>
        <v>cempaka putih</v>
      </c>
      <c r="U3" s="145" t="str">
        <f>'Shoping Cart'!S3</f>
        <v>beli iPhone</v>
      </c>
      <c r="V3" s="145">
        <f>'Shoping Cart'!T3</f>
        <v>0</v>
      </c>
      <c r="W3" s="145">
        <f>'Shoping Cart'!U3</f>
        <v>0</v>
      </c>
      <c r="X3" s="145">
        <v>0</v>
      </c>
      <c r="Y3" s="145">
        <v>0</v>
      </c>
      <c r="Z3" s="147">
        <f>'Shoping Cart'!V3</f>
        <v>43261</v>
      </c>
      <c r="AA3" s="145">
        <f>kontak!A6</f>
        <v>4</v>
      </c>
      <c r="AB3" s="145" t="str">
        <f>kontak!G6</f>
        <v>dea fitri maharani</v>
      </c>
      <c r="AC3" s="145">
        <v>0</v>
      </c>
      <c r="AD3" s="145">
        <v>0</v>
      </c>
      <c r="AE3" s="145">
        <v>0</v>
      </c>
      <c r="AF3" s="145">
        <v>0</v>
      </c>
      <c r="AG3" s="145">
        <v>0</v>
      </c>
      <c r="AH3" s="145">
        <v>0</v>
      </c>
      <c r="AI3" s="145">
        <v>0</v>
      </c>
      <c r="AJ3" s="145">
        <v>0</v>
      </c>
      <c r="AK3" s="145">
        <f>'Shoping Cart'!Y3</f>
        <v>0</v>
      </c>
      <c r="AL3" s="145">
        <f>'Shoping Cart'!Z3</f>
        <v>0</v>
      </c>
      <c r="AM3" s="145">
        <f>'Shoping Cart'!AA3</f>
        <v>0</v>
      </c>
      <c r="AN3" s="145">
        <f>'Shoping Cart'!AB3</f>
        <v>0</v>
      </c>
      <c r="AO3" s="145">
        <f>SUM('order produk beli'!P3)</f>
        <v>50000000</v>
      </c>
      <c r="AP3" s="145">
        <f>SUM('order produk beli'!T3)</f>
        <v>5000000</v>
      </c>
      <c r="AQ3" s="145">
        <v>0</v>
      </c>
      <c r="AR3" s="145">
        <v>0</v>
      </c>
      <c r="AS3" s="145">
        <f>SUM('order produk beli'!P3)</f>
        <v>50000000</v>
      </c>
      <c r="AT3" s="145">
        <f>SUM('order produk beli'!T3)</f>
        <v>5000000</v>
      </c>
      <c r="AU3" s="145">
        <f>SUM('order produk beli'!P3+'order produk beli'!T3)</f>
        <v>55000000</v>
      </c>
      <c r="AV3" s="145">
        <v>0</v>
      </c>
      <c r="AW3" s="145">
        <v>0</v>
      </c>
      <c r="AX3" s="145">
        <v>0</v>
      </c>
      <c r="AY3" s="145">
        <f>'user id'!A2</f>
        <v>1</v>
      </c>
      <c r="AZ3" s="193">
        <f>'periode akuntansi'!A2</f>
        <v>1</v>
      </c>
      <c r="BA3" s="147"/>
      <c r="BB3" s="145">
        <v>1</v>
      </c>
    </row>
  </sheetData>
  <mergeCells count="7">
    <mergeCell ref="J1:K1"/>
    <mergeCell ref="AH1:AI1"/>
    <mergeCell ref="F1:G1"/>
    <mergeCell ref="M1:O1"/>
    <mergeCell ref="Q1:R1"/>
    <mergeCell ref="S1:T1"/>
    <mergeCell ref="AA1:AB1"/>
  </mergeCells>
  <pageMargins left="0.7" right="0.7" top="0.75" bottom="0.75" header="0.3" footer="0.3"/>
  <pageSetup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>
    <pageSetUpPr autoPageBreaks="0"/>
  </sheetPr>
  <dimension ref="A1:BD5"/>
  <sheetViews>
    <sheetView topLeftCell="R1" zoomScale="70" zoomScaleNormal="70" workbookViewId="0">
      <selection activeCell="R4" sqref="R4"/>
    </sheetView>
  </sheetViews>
  <sheetFormatPr defaultColWidth="9.140625" defaultRowHeight="15" x14ac:dyDescent="0.25"/>
  <cols>
    <col min="1" max="1" width="20.28515625" style="1" bestFit="1" customWidth="1"/>
    <col min="2" max="2" width="18.42578125" style="1" bestFit="1" customWidth="1"/>
    <col min="3" max="3" width="12.42578125" style="256" bestFit="1" customWidth="1"/>
    <col min="4" max="4" width="15.42578125" style="133" bestFit="1" customWidth="1"/>
    <col min="5" max="5" width="20.85546875" style="1" bestFit="1" customWidth="1"/>
    <col min="6" max="6" width="10.28515625" style="1" bestFit="1" customWidth="1"/>
    <col min="7" max="7" width="13.7109375" style="1" bestFit="1" customWidth="1"/>
    <col min="8" max="8" width="14.140625" style="1" bestFit="1" customWidth="1"/>
    <col min="9" max="9" width="25" style="1" bestFit="1" customWidth="1"/>
    <col min="10" max="10" width="33.28515625" style="1" bestFit="1" customWidth="1"/>
    <col min="11" max="11" width="33.7109375" style="1" bestFit="1" customWidth="1"/>
    <col min="12" max="12" width="20.140625" style="1" bestFit="1" customWidth="1"/>
    <col min="13" max="13" width="14.42578125" style="1" bestFit="1" customWidth="1"/>
    <col min="14" max="14" width="11.42578125" style="1" bestFit="1" customWidth="1"/>
    <col min="15" max="15" width="10.7109375" style="1" bestFit="1" customWidth="1"/>
    <col min="16" max="16" width="25.42578125" style="1" bestFit="1" customWidth="1"/>
    <col min="17" max="17" width="26" style="1" bestFit="1" customWidth="1"/>
    <col min="18" max="18" width="23" style="1" bestFit="1" customWidth="1"/>
    <col min="19" max="19" width="9.7109375" style="1" bestFit="1" customWidth="1"/>
    <col min="20" max="20" width="15" style="1" bestFit="1" customWidth="1"/>
    <col min="21" max="21" width="21.7109375" style="1" bestFit="1" customWidth="1"/>
    <col min="22" max="22" width="10" style="1" bestFit="1" customWidth="1"/>
    <col min="23" max="23" width="15.42578125" style="1" bestFit="1" customWidth="1"/>
    <col min="24" max="24" width="22.85546875" style="1" bestFit="1" customWidth="1"/>
    <col min="25" max="25" width="21.140625" style="1" bestFit="1" customWidth="1"/>
    <col min="26" max="26" width="11.42578125" style="1" bestFit="1" customWidth="1"/>
    <col min="27" max="27" width="18.28515625" style="1" bestFit="1" customWidth="1"/>
    <col min="28" max="28" width="19.42578125" style="1" bestFit="1" customWidth="1"/>
    <col min="29" max="29" width="33.42578125" style="1" bestFit="1" customWidth="1"/>
    <col min="30" max="30" width="31.42578125" style="1" bestFit="1" customWidth="1"/>
    <col min="31" max="31" width="14.140625" style="1" bestFit="1" customWidth="1"/>
    <col min="32" max="32" width="14.7109375" style="1" bestFit="1" customWidth="1"/>
    <col min="33" max="33" width="15.7109375" style="1" bestFit="1" customWidth="1"/>
    <col min="34" max="34" width="7.7109375" style="1" bestFit="1" customWidth="1"/>
    <col min="35" max="35" width="9.28515625" style="1" bestFit="1" customWidth="1"/>
    <col min="36" max="36" width="9" style="1" bestFit="1" customWidth="1"/>
    <col min="37" max="37" width="19" style="1" bestFit="1" customWidth="1"/>
    <col min="38" max="38" width="20" style="1" bestFit="1" customWidth="1"/>
    <col min="39" max="39" width="17.85546875" style="1" bestFit="1" customWidth="1"/>
    <col min="40" max="40" width="17.42578125" style="1" bestFit="1" customWidth="1"/>
    <col min="41" max="41" width="19.140625" style="1" bestFit="1" customWidth="1"/>
    <col min="42" max="42" width="19.28515625" style="1" bestFit="1" customWidth="1"/>
    <col min="43" max="43" width="17" style="1" bestFit="1" customWidth="1"/>
    <col min="44" max="44" width="16.42578125" style="1" bestFit="1" customWidth="1"/>
    <col min="45" max="45" width="21" style="1" bestFit="1" customWidth="1"/>
    <col min="46" max="46" width="11.42578125" style="1" bestFit="1" customWidth="1"/>
    <col min="47" max="47" width="20" style="1" bestFit="1" customWidth="1"/>
    <col min="48" max="48" width="19.85546875" style="1" bestFit="1" customWidth="1"/>
    <col min="49" max="49" width="20.42578125" style="1" bestFit="1" customWidth="1"/>
    <col min="50" max="50" width="19.42578125" style="1" bestFit="1" customWidth="1"/>
    <col min="51" max="51" width="11.85546875" style="1" bestFit="1" customWidth="1"/>
    <col min="52" max="52" width="9.85546875" style="1" bestFit="1" customWidth="1"/>
    <col min="53" max="53" width="10.85546875" style="1" bestFit="1" customWidth="1"/>
    <col min="54" max="54" width="20.7109375" style="133" bestFit="1" customWidth="1"/>
    <col min="55" max="55" width="19" style="1" bestFit="1" customWidth="1"/>
    <col min="56" max="56" width="17.42578125" style="1" bestFit="1" customWidth="1"/>
    <col min="57" max="16384" width="9.140625" style="1"/>
  </cols>
  <sheetData>
    <row r="1" spans="1:56" s="44" customFormat="1" x14ac:dyDescent="0.25">
      <c r="C1" s="255"/>
      <c r="D1" s="132"/>
      <c r="E1" s="44" t="s">
        <v>1407</v>
      </c>
      <c r="F1" s="297" t="s">
        <v>1404</v>
      </c>
      <c r="G1" s="297"/>
      <c r="H1" s="44" t="s">
        <v>1387</v>
      </c>
      <c r="I1" s="44" t="s">
        <v>980</v>
      </c>
      <c r="J1" s="297" t="s">
        <v>1403</v>
      </c>
      <c r="K1" s="297"/>
      <c r="M1" s="297" t="s">
        <v>1145</v>
      </c>
      <c r="N1" s="297"/>
      <c r="O1" s="297"/>
      <c r="P1" s="44" t="s">
        <v>1408</v>
      </c>
      <c r="Q1" s="297" t="s">
        <v>916</v>
      </c>
      <c r="R1" s="297"/>
      <c r="S1" s="297" t="s">
        <v>919</v>
      </c>
      <c r="T1" s="297"/>
      <c r="U1" s="44" t="s">
        <v>920</v>
      </c>
      <c r="V1" s="44" t="s">
        <v>1023</v>
      </c>
      <c r="W1" s="44" t="s">
        <v>1021</v>
      </c>
      <c r="X1" s="44" t="s">
        <v>922</v>
      </c>
      <c r="Y1" s="44" t="s">
        <v>1409</v>
      </c>
      <c r="Z1" s="297" t="s">
        <v>924</v>
      </c>
      <c r="AA1" s="297"/>
      <c r="AB1" s="44" t="s">
        <v>1464</v>
      </c>
      <c r="AC1" s="80" t="s">
        <v>1406</v>
      </c>
      <c r="AD1" s="80" t="s">
        <v>1437</v>
      </c>
      <c r="AE1" s="80" t="s">
        <v>1433</v>
      </c>
      <c r="AF1" s="80" t="s">
        <v>1434</v>
      </c>
      <c r="AG1" s="304" t="s">
        <v>1435</v>
      </c>
      <c r="AH1" s="304"/>
      <c r="AI1" s="80" t="s">
        <v>1436</v>
      </c>
      <c r="AJ1" s="80" t="s">
        <v>1438</v>
      </c>
      <c r="AK1" s="44" t="s">
        <v>1389</v>
      </c>
      <c r="AL1" s="44" t="s">
        <v>1391</v>
      </c>
      <c r="AM1" s="44" t="s">
        <v>1390</v>
      </c>
      <c r="AN1" s="44" t="s">
        <v>1392</v>
      </c>
      <c r="AT1" s="44" t="s">
        <v>1459</v>
      </c>
      <c r="AU1" s="44" t="s">
        <v>1460</v>
      </c>
      <c r="AV1" s="44" t="s">
        <v>1461</v>
      </c>
      <c r="AW1" s="44" t="s">
        <v>1467</v>
      </c>
      <c r="AX1" s="44" t="s">
        <v>1468</v>
      </c>
      <c r="AY1" s="44" t="s">
        <v>1462</v>
      </c>
      <c r="AZ1" s="44" t="s">
        <v>1463</v>
      </c>
      <c r="BB1" s="132"/>
      <c r="BD1" s="44" t="s">
        <v>921</v>
      </c>
    </row>
    <row r="2" spans="1:56" x14ac:dyDescent="0.25">
      <c r="A2" s="1" t="s">
        <v>411</v>
      </c>
      <c r="B2" s="1" t="s">
        <v>617</v>
      </c>
      <c r="C2" s="256" t="s">
        <v>1685</v>
      </c>
      <c r="D2" s="133" t="s">
        <v>614</v>
      </c>
      <c r="E2" s="1" t="s">
        <v>412</v>
      </c>
      <c r="F2" s="1" t="s">
        <v>408</v>
      </c>
      <c r="G2" s="1" t="s">
        <v>409</v>
      </c>
      <c r="H2" s="1" t="s">
        <v>19</v>
      </c>
      <c r="I2" s="1" t="s">
        <v>20</v>
      </c>
      <c r="J2" s="1" t="s">
        <v>406</v>
      </c>
      <c r="K2" s="1" t="s">
        <v>407</v>
      </c>
      <c r="L2" s="1" t="s">
        <v>655</v>
      </c>
      <c r="M2" s="1" t="s">
        <v>115</v>
      </c>
      <c r="N2" s="1" t="s">
        <v>21</v>
      </c>
      <c r="O2" s="1" t="s">
        <v>828</v>
      </c>
      <c r="P2" s="1" t="s">
        <v>1548</v>
      </c>
      <c r="Q2" s="1" t="s">
        <v>22</v>
      </c>
      <c r="R2" s="1" t="s">
        <v>23</v>
      </c>
      <c r="S2" s="1" t="s">
        <v>24</v>
      </c>
      <c r="T2" s="1" t="s">
        <v>467</v>
      </c>
      <c r="U2" s="1" t="s">
        <v>26</v>
      </c>
      <c r="V2" s="1" t="s">
        <v>46</v>
      </c>
      <c r="W2" s="1" t="s">
        <v>47</v>
      </c>
      <c r="X2" s="1" t="s">
        <v>33</v>
      </c>
      <c r="Y2" s="1" t="s">
        <v>51</v>
      </c>
      <c r="Z2" s="1" t="s">
        <v>35</v>
      </c>
      <c r="AA2" s="1" t="s">
        <v>36</v>
      </c>
      <c r="AB2" s="1" t="s">
        <v>1469</v>
      </c>
      <c r="AC2" s="1" t="s">
        <v>37</v>
      </c>
      <c r="AD2" s="1" t="s">
        <v>1465</v>
      </c>
      <c r="AE2" s="1" t="s">
        <v>1430</v>
      </c>
      <c r="AF2" s="1" t="s">
        <v>1431</v>
      </c>
      <c r="AG2" s="1" t="s">
        <v>869</v>
      </c>
      <c r="AH2" s="1" t="s">
        <v>856</v>
      </c>
      <c r="AI2" s="1" t="s">
        <v>1432</v>
      </c>
      <c r="AJ2" s="1" t="s">
        <v>1071</v>
      </c>
      <c r="AK2" s="1" t="s">
        <v>38</v>
      </c>
      <c r="AL2" s="1" t="s">
        <v>39</v>
      </c>
      <c r="AM2" s="1" t="s">
        <v>876</v>
      </c>
      <c r="AN2" s="1" t="s">
        <v>40</v>
      </c>
      <c r="AO2" s="1" t="s">
        <v>27</v>
      </c>
      <c r="AP2" s="1" t="s">
        <v>28</v>
      </c>
      <c r="AQ2" s="1" t="s">
        <v>29</v>
      </c>
      <c r="AR2" s="1" t="s">
        <v>30</v>
      </c>
      <c r="AS2" s="1" t="s">
        <v>487</v>
      </c>
      <c r="AT2" s="1" t="s">
        <v>41</v>
      </c>
      <c r="AU2" s="1" t="s">
        <v>42</v>
      </c>
      <c r="AV2" s="1" t="s">
        <v>1466</v>
      </c>
      <c r="AW2" s="1" t="s">
        <v>432</v>
      </c>
      <c r="AX2" s="1" t="s">
        <v>433</v>
      </c>
      <c r="AY2" s="1" t="s">
        <v>434</v>
      </c>
      <c r="AZ2" s="1" t="s">
        <v>435</v>
      </c>
      <c r="BA2" s="1" t="s">
        <v>624</v>
      </c>
      <c r="BB2" s="133" t="s">
        <v>1583</v>
      </c>
      <c r="BC2" s="1" t="s">
        <v>848</v>
      </c>
      <c r="BD2" s="1" t="s">
        <v>34</v>
      </c>
    </row>
    <row r="3" spans="1:56" x14ac:dyDescent="0.25">
      <c r="A3" s="145">
        <v>1</v>
      </c>
      <c r="B3" s="145">
        <f>'kode transaksi'!A18</f>
        <v>17</v>
      </c>
      <c r="C3" s="145" t="str">
        <f>CONCATENATE(B3,".",A3)</f>
        <v>17.1</v>
      </c>
      <c r="D3" s="145" t="str">
        <f>'kode transaksi'!B18</f>
        <v>PO</v>
      </c>
      <c r="E3" s="145" t="s">
        <v>1595</v>
      </c>
      <c r="F3" s="145">
        <f>'Quotation Request'!F3</f>
        <v>7</v>
      </c>
      <c r="G3" s="145" t="str">
        <f>kontak!G9</f>
        <v>djayakusuma</v>
      </c>
      <c r="H3" s="145">
        <f>kontak!K9</f>
        <v>8170175139</v>
      </c>
      <c r="I3" s="145" t="str">
        <f>kontak!O9</f>
        <v>djayakusuma@gmail.com</v>
      </c>
      <c r="J3" s="145">
        <f>'Quotation Request'!A3</f>
        <v>1</v>
      </c>
      <c r="K3" s="145" t="str">
        <f>CONCATENATE('Quotation Request'!D3,'Quotation Request'!E3)</f>
        <v>RQ.000001</v>
      </c>
      <c r="L3" s="145" t="str">
        <f>'Quotation Request'!L3</f>
        <v>14.1</v>
      </c>
      <c r="M3" s="145">
        <f>'Quotation Request'!M3</f>
        <v>1</v>
      </c>
      <c r="N3" s="145" t="str">
        <f>'data mata uang'!D3</f>
        <v>IDR</v>
      </c>
      <c r="O3" s="145">
        <f>'data mata uang'!G3</f>
        <v>1</v>
      </c>
      <c r="P3" s="147">
        <v>43254</v>
      </c>
      <c r="Q3" s="145">
        <v>0</v>
      </c>
      <c r="R3" s="145">
        <v>0</v>
      </c>
      <c r="S3" s="145">
        <f>'Quotation Request'!S3</f>
        <v>1</v>
      </c>
      <c r="T3" s="145" t="str">
        <f>lokasi!B3</f>
        <v>cempaka putih</v>
      </c>
      <c r="U3" s="145" t="str">
        <f>'Quotation Request'!U3</f>
        <v>beli iPhone</v>
      </c>
      <c r="V3" s="145">
        <f>'Quotation Request'!V3</f>
        <v>0</v>
      </c>
      <c r="W3" s="145">
        <f>'Quotation Request'!W3</f>
        <v>0</v>
      </c>
      <c r="X3" s="145">
        <v>0</v>
      </c>
      <c r="Y3" s="147">
        <v>43254</v>
      </c>
      <c r="Z3" s="145">
        <f>'Quotation Request'!AA3</f>
        <v>4</v>
      </c>
      <c r="AA3" s="145" t="str">
        <f>kontak!G6</f>
        <v>dea fitri maharani</v>
      </c>
      <c r="AB3" s="145">
        <v>0</v>
      </c>
      <c r="AC3" s="145">
        <v>0</v>
      </c>
      <c r="AD3" s="145">
        <v>0</v>
      </c>
      <c r="AE3" s="145">
        <v>0</v>
      </c>
      <c r="AF3" s="145">
        <v>0</v>
      </c>
      <c r="AG3" s="145">
        <v>0</v>
      </c>
      <c r="AH3" s="145">
        <v>0</v>
      </c>
      <c r="AI3" s="145">
        <v>0</v>
      </c>
      <c r="AJ3" s="145">
        <v>0</v>
      </c>
      <c r="AK3" s="145">
        <f>'Quotation Request'!AK3</f>
        <v>0</v>
      </c>
      <c r="AL3" s="145">
        <f>'Quotation Request'!AL3</f>
        <v>0</v>
      </c>
      <c r="AM3" s="145">
        <f>'Quotation Request'!AM3</f>
        <v>0</v>
      </c>
      <c r="AN3" s="145">
        <f>'Quotation Request'!AN3</f>
        <v>0</v>
      </c>
      <c r="AO3" s="145">
        <f>SUM('order produk beli'!P4)</f>
        <v>50000000</v>
      </c>
      <c r="AP3" s="145">
        <f>SUM('order produk beli'!T4)</f>
        <v>5000000</v>
      </c>
      <c r="AQ3" s="145">
        <v>0</v>
      </c>
      <c r="AR3" s="145">
        <v>0</v>
      </c>
      <c r="AS3" s="145">
        <f>SUM('order produk beli'!P4)</f>
        <v>50000000</v>
      </c>
      <c r="AT3" s="145">
        <f>SUM('order produk beli'!T4)</f>
        <v>5000000</v>
      </c>
      <c r="AU3" s="145">
        <f>SUM('order produk beli'!P4+'order produk beli'!T4)</f>
        <v>55000000</v>
      </c>
      <c r="AV3" s="145">
        <v>0</v>
      </c>
      <c r="AW3" s="145">
        <v>0</v>
      </c>
      <c r="AX3" s="145">
        <v>0</v>
      </c>
      <c r="AY3" s="145">
        <v>0</v>
      </c>
      <c r="AZ3" s="145">
        <v>0</v>
      </c>
      <c r="BA3" s="145">
        <f>'user id'!A3</f>
        <v>2</v>
      </c>
      <c r="BB3" s="193">
        <f>'periode akuntansi'!A2</f>
        <v>1</v>
      </c>
      <c r="BC3" s="147"/>
      <c r="BD3" s="145">
        <v>1</v>
      </c>
    </row>
    <row r="4" spans="1:56" s="148" customFormat="1" x14ac:dyDescent="0.25">
      <c r="A4" s="148">
        <v>2</v>
      </c>
      <c r="B4" s="148">
        <f>'kode transaksi'!A18</f>
        <v>17</v>
      </c>
      <c r="C4" s="148" t="str">
        <f>CONCATENATE(B4,".",A4)</f>
        <v>17.2</v>
      </c>
      <c r="D4" s="148" t="str">
        <f>'kode transaksi'!B18</f>
        <v>PO</v>
      </c>
      <c r="E4" s="148" t="s">
        <v>1596</v>
      </c>
      <c r="F4" s="148">
        <f>kontak!A9</f>
        <v>7</v>
      </c>
      <c r="G4" s="148" t="str">
        <f>kontak!G9</f>
        <v>djayakusuma</v>
      </c>
      <c r="H4" s="148">
        <f>kontak!K9</f>
        <v>8170175139</v>
      </c>
      <c r="I4" s="148" t="str">
        <f>kontak!O9</f>
        <v>djayakusuma@gmail.com</v>
      </c>
      <c r="J4" s="148">
        <v>0</v>
      </c>
      <c r="K4" s="148">
        <v>0</v>
      </c>
      <c r="L4" s="148" t="str">
        <f>CONCATENATE(B4,".",A4)</f>
        <v>17.2</v>
      </c>
      <c r="M4" s="148">
        <f>'data mata uang'!A3</f>
        <v>1</v>
      </c>
      <c r="N4" s="148" t="str">
        <f>'data mata uang'!D3</f>
        <v>IDR</v>
      </c>
      <c r="O4" s="148">
        <f>'data mata uang'!G3</f>
        <v>1</v>
      </c>
      <c r="P4" s="168">
        <v>43259</v>
      </c>
      <c r="Q4" s="148">
        <v>0</v>
      </c>
      <c r="R4" s="148">
        <v>0</v>
      </c>
      <c r="S4" s="148">
        <f>lokasi!A4</f>
        <v>2</v>
      </c>
      <c r="T4" s="148" t="str">
        <f>lokasi!B4</f>
        <v>komplek timah</v>
      </c>
      <c r="U4" s="148" t="s">
        <v>1656</v>
      </c>
      <c r="V4" s="148">
        <v>0</v>
      </c>
      <c r="W4" s="148">
        <v>0</v>
      </c>
      <c r="X4" s="148">
        <v>0</v>
      </c>
      <c r="Y4" s="168">
        <v>43261</v>
      </c>
      <c r="Z4" s="148">
        <f>kontak!A8</f>
        <v>6</v>
      </c>
      <c r="AA4" s="148" t="str">
        <f>kontak!G8</f>
        <v>yusril</v>
      </c>
      <c r="AB4" s="148">
        <v>0</v>
      </c>
      <c r="AC4" s="148">
        <v>0</v>
      </c>
      <c r="AD4" s="148">
        <v>0</v>
      </c>
      <c r="AE4" s="148">
        <v>0</v>
      </c>
      <c r="AF4" s="148">
        <v>0</v>
      </c>
      <c r="AG4" s="148">
        <v>0</v>
      </c>
      <c r="AH4" s="148">
        <v>0</v>
      </c>
      <c r="AI4" s="148">
        <v>0</v>
      </c>
      <c r="AJ4" s="148">
        <v>0</v>
      </c>
      <c r="AK4" s="148">
        <v>0</v>
      </c>
      <c r="AL4" s="148">
        <v>0</v>
      </c>
      <c r="AM4" s="148">
        <v>0</v>
      </c>
      <c r="AN4" s="148">
        <v>0</v>
      </c>
      <c r="AO4" s="148">
        <f>SUM('order produk beli'!P14)</f>
        <v>550000</v>
      </c>
      <c r="AP4" s="148">
        <f>SUM('order produk beli'!T14)</f>
        <v>55000</v>
      </c>
      <c r="AQ4" s="148">
        <v>0</v>
      </c>
      <c r="AR4" s="148">
        <v>0</v>
      </c>
      <c r="AS4" s="148">
        <f>SUM('order produk beli'!P14)</f>
        <v>550000</v>
      </c>
      <c r="AT4" s="148">
        <f>SUM('order produk beli'!T14)</f>
        <v>55000</v>
      </c>
      <c r="AU4" s="148">
        <f>SUM('order produk beli'!P14+'order produk beli'!T14)</f>
        <v>605000</v>
      </c>
      <c r="AV4" s="148">
        <v>0</v>
      </c>
      <c r="AW4" s="148">
        <v>0</v>
      </c>
      <c r="AX4" s="148">
        <v>0</v>
      </c>
      <c r="AY4" s="148">
        <v>0</v>
      </c>
      <c r="AZ4" s="148">
        <v>0</v>
      </c>
      <c r="BA4" s="148">
        <f>'user id'!A3</f>
        <v>2</v>
      </c>
      <c r="BB4" s="148">
        <f>'periode akuntansi'!A2</f>
        <v>1</v>
      </c>
      <c r="BD4" s="148">
        <v>1</v>
      </c>
    </row>
    <row r="5" spans="1:56" x14ac:dyDescent="0.25">
      <c r="B5" s="207"/>
      <c r="D5" s="207"/>
      <c r="Z5" s="148"/>
      <c r="AA5" s="148"/>
    </row>
  </sheetData>
  <mergeCells count="7">
    <mergeCell ref="J1:K1"/>
    <mergeCell ref="AG1:AH1"/>
    <mergeCell ref="F1:G1"/>
    <mergeCell ref="Q1:R1"/>
    <mergeCell ref="S1:T1"/>
    <mergeCell ref="Z1:AA1"/>
    <mergeCell ref="M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I48"/>
  <sheetViews>
    <sheetView zoomScale="70" zoomScaleNormal="70" workbookViewId="0">
      <pane ySplit="2" topLeftCell="A3" activePane="bottomLeft" state="frozen"/>
      <selection activeCell="C21" sqref="C21"/>
      <selection pane="bottomLeft" activeCell="D3" sqref="D3"/>
    </sheetView>
  </sheetViews>
  <sheetFormatPr defaultColWidth="9.140625" defaultRowHeight="15" x14ac:dyDescent="0.25"/>
  <cols>
    <col min="1" max="1" width="21.42578125" style="1" bestFit="1" customWidth="1"/>
    <col min="2" max="3" width="31.42578125" style="1" bestFit="1" customWidth="1"/>
    <col min="4" max="4" width="28.42578125" style="1" bestFit="1" customWidth="1"/>
    <col min="5" max="5" width="13.85546875" style="1" bestFit="1" customWidth="1"/>
    <col min="6" max="6" width="38.140625" style="1" bestFit="1" customWidth="1"/>
    <col min="7" max="7" width="20" style="1" bestFit="1" customWidth="1"/>
    <col min="8" max="8" width="13.42578125" style="1" bestFit="1" customWidth="1"/>
    <col min="9" max="9" width="10.7109375" style="1" bestFit="1" customWidth="1"/>
    <col min="10" max="16384" width="9.140625" style="1"/>
  </cols>
  <sheetData>
    <row r="1" spans="1:9" x14ac:dyDescent="0.25">
      <c r="B1" s="1" t="s">
        <v>1079</v>
      </c>
      <c r="C1" s="39" t="s">
        <v>1078</v>
      </c>
      <c r="D1" s="39"/>
      <c r="E1" s="1" t="s">
        <v>1080</v>
      </c>
      <c r="F1" s="1" t="s">
        <v>1085</v>
      </c>
      <c r="G1" s="1" t="s">
        <v>1086</v>
      </c>
      <c r="H1" s="291" t="s">
        <v>915</v>
      </c>
      <c r="I1" s="291"/>
    </row>
    <row r="2" spans="1:9" x14ac:dyDescent="0.25">
      <c r="A2" s="1" t="s">
        <v>541</v>
      </c>
      <c r="B2" s="1" t="s">
        <v>542</v>
      </c>
      <c r="C2" s="1" t="s">
        <v>668</v>
      </c>
      <c r="D2" s="1" t="s">
        <v>451</v>
      </c>
      <c r="E2" s="1" t="s">
        <v>785</v>
      </c>
      <c r="F2" s="1" t="s">
        <v>906</v>
      </c>
      <c r="G2" s="1" t="s">
        <v>252</v>
      </c>
      <c r="H2" s="1" t="s">
        <v>115</v>
      </c>
      <c r="I2" s="1" t="s">
        <v>21</v>
      </c>
    </row>
    <row r="3" spans="1:9" x14ac:dyDescent="0.25">
      <c r="A3" s="1">
        <v>1</v>
      </c>
      <c r="B3" s="1" t="s">
        <v>3</v>
      </c>
      <c r="C3" s="1">
        <f>'klasifikasi akun'!A13</f>
        <v>12</v>
      </c>
      <c r="D3" s="1" t="str">
        <f>'klasifikasi akun'!B13</f>
        <v>biaya produksi</v>
      </c>
      <c r="E3" s="271" t="str">
        <f>CONCATENATE('klasifikasi akun'!E13,".",'rekening perkiraan'!A3)</f>
        <v>10.11.12.1</v>
      </c>
      <c r="F3" s="1">
        <f>'radiobutton rekper'!A2</f>
        <v>0</v>
      </c>
      <c r="G3" s="1">
        <v>0</v>
      </c>
      <c r="H3" s="1">
        <f>'data mata uang'!A3</f>
        <v>1</v>
      </c>
      <c r="I3" s="1" t="str">
        <f>'data mata uang'!D3</f>
        <v>IDR</v>
      </c>
    </row>
    <row r="4" spans="1:9" x14ac:dyDescent="0.25">
      <c r="A4" s="1">
        <v>2</v>
      </c>
      <c r="B4" s="1" t="s">
        <v>5</v>
      </c>
      <c r="C4" s="1">
        <f>'klasifikasi akun'!A10</f>
        <v>9</v>
      </c>
      <c r="D4" s="1" t="str">
        <f>'klasifikasi akun'!B10</f>
        <v xml:space="preserve">pendapatan usaha </v>
      </c>
      <c r="E4" s="271" t="str">
        <f>CONCATENATE('klasifikasi akun'!E10,".",'rekening perkiraan'!A4)</f>
        <v>7.8.9.2</v>
      </c>
      <c r="F4" s="1">
        <f>'radiobutton rekper'!A2</f>
        <v>0</v>
      </c>
      <c r="G4" s="1">
        <v>0</v>
      </c>
      <c r="H4" s="1">
        <f>'data mata uang'!A3</f>
        <v>1</v>
      </c>
      <c r="I4" s="1" t="str">
        <f>'data mata uang'!D3</f>
        <v>IDR</v>
      </c>
    </row>
    <row r="5" spans="1:9" x14ac:dyDescent="0.25">
      <c r="A5" s="1">
        <v>3</v>
      </c>
      <c r="B5" s="1" t="s">
        <v>7</v>
      </c>
      <c r="C5" s="1">
        <f>'klasifikasi akun'!A15</f>
        <v>14</v>
      </c>
      <c r="D5" s="1" t="str">
        <f>'klasifikasi akun'!B15</f>
        <v>persediaan</v>
      </c>
      <c r="E5" s="271" t="str">
        <f>CONCATENATE('klasifikasi akun'!E15,".",'rekening perkiraan'!A5)</f>
        <v>1.13.14.3</v>
      </c>
      <c r="F5" s="1">
        <f>'radiobutton rekper'!A2</f>
        <v>0</v>
      </c>
      <c r="G5" s="1">
        <v>0</v>
      </c>
      <c r="H5" s="1">
        <f>'data mata uang'!A3</f>
        <v>1</v>
      </c>
      <c r="I5" s="1" t="str">
        <f>'data mata uang'!D3</f>
        <v>IDR</v>
      </c>
    </row>
    <row r="6" spans="1:9" x14ac:dyDescent="0.25">
      <c r="A6" s="1">
        <v>4</v>
      </c>
      <c r="B6" s="1" t="s">
        <v>253</v>
      </c>
      <c r="C6" s="1">
        <f>'klasifikasi akun'!A15</f>
        <v>14</v>
      </c>
      <c r="D6" s="1" t="str">
        <f>'klasifikasi akun'!B15</f>
        <v>persediaan</v>
      </c>
      <c r="E6" s="271" t="str">
        <f>CONCATENATE('klasifikasi akun'!E15,".",'rekening perkiraan'!A6)</f>
        <v>1.13.14.4</v>
      </c>
      <c r="F6" s="1">
        <f>'radiobutton rekper'!A2</f>
        <v>0</v>
      </c>
      <c r="G6" s="1">
        <v>0</v>
      </c>
      <c r="H6" s="1">
        <f>'data mata uang'!A3</f>
        <v>1</v>
      </c>
      <c r="I6" s="1" t="str">
        <f>'data mata uang'!D3</f>
        <v>IDR</v>
      </c>
    </row>
    <row r="7" spans="1:9" x14ac:dyDescent="0.25">
      <c r="A7" s="1">
        <v>5</v>
      </c>
      <c r="B7" s="1" t="s">
        <v>15</v>
      </c>
      <c r="C7" s="1">
        <f>'klasifikasi akun'!A15</f>
        <v>14</v>
      </c>
      <c r="D7" s="1" t="str">
        <f>'klasifikasi akun'!B15</f>
        <v>persediaan</v>
      </c>
      <c r="E7" s="271" t="str">
        <f>CONCATENATE('klasifikasi akun'!E15,".",'rekening perkiraan'!A7)</f>
        <v>1.13.14.5</v>
      </c>
      <c r="F7" s="1">
        <f>'radiobutton rekper'!A2</f>
        <v>0</v>
      </c>
      <c r="G7" s="1">
        <v>0</v>
      </c>
      <c r="H7" s="1">
        <f>'data mata uang'!A3</f>
        <v>1</v>
      </c>
      <c r="I7" s="1" t="str">
        <f>'data mata uang'!D3</f>
        <v>IDR</v>
      </c>
    </row>
    <row r="8" spans="1:9" x14ac:dyDescent="0.25">
      <c r="A8" s="1">
        <v>6</v>
      </c>
      <c r="B8" s="1" t="s">
        <v>13</v>
      </c>
      <c r="C8" s="1">
        <f>'klasifikasi akun'!A6</f>
        <v>4</v>
      </c>
      <c r="D8" s="1" t="str">
        <f>'klasifikasi akun'!B6</f>
        <v>bank</v>
      </c>
      <c r="E8" s="271" t="str">
        <f>CONCATENATE('klasifikasi akun'!E6,".",'rekening perkiraan'!A8)</f>
        <v>1.2.4.6</v>
      </c>
      <c r="F8" s="1">
        <f>'radiobutton rekper'!A3</f>
        <v>1</v>
      </c>
      <c r="G8" s="1">
        <v>0</v>
      </c>
      <c r="H8" s="1">
        <f>'data mata uang'!A3</f>
        <v>1</v>
      </c>
      <c r="I8" s="1" t="str">
        <f>'data mata uang'!D3</f>
        <v>IDR</v>
      </c>
    </row>
    <row r="9" spans="1:9" x14ac:dyDescent="0.25">
      <c r="A9" s="274">
        <v>7</v>
      </c>
      <c r="B9" s="1" t="s">
        <v>14</v>
      </c>
      <c r="C9" s="1">
        <f>'klasifikasi akun'!A7</f>
        <v>5</v>
      </c>
      <c r="D9" s="1" t="str">
        <f>'klasifikasi akun'!B7</f>
        <v>piutang dagang</v>
      </c>
      <c r="E9" s="271" t="str">
        <f>CONCATENATE('klasifikasi akun'!E7,".",'rekening perkiraan'!A9)</f>
        <v>1.2.5.7</v>
      </c>
      <c r="F9" s="1">
        <f>'radiobutton rekper'!A2</f>
        <v>0</v>
      </c>
      <c r="G9" s="1">
        <v>0</v>
      </c>
      <c r="H9" s="1">
        <f>'data mata uang'!A3</f>
        <v>1</v>
      </c>
      <c r="I9" s="1" t="str">
        <f>'data mata uang'!D3</f>
        <v>IDR</v>
      </c>
    </row>
    <row r="10" spans="1:9" x14ac:dyDescent="0.25">
      <c r="A10" s="274">
        <v>8</v>
      </c>
      <c r="B10" s="1" t="s">
        <v>254</v>
      </c>
      <c r="C10" s="1">
        <f>'klasifikasi akun'!A18</f>
        <v>17</v>
      </c>
      <c r="D10" s="1" t="str">
        <f>'klasifikasi akun'!B18</f>
        <v>hutang lancar</v>
      </c>
      <c r="E10" s="271" t="str">
        <f>CONCATENATE('klasifikasi akun'!E18,".",'rekening perkiraan'!A10)</f>
        <v>15.16.17.8</v>
      </c>
      <c r="F10" s="1">
        <f>'radiobutton rekper'!A2</f>
        <v>0</v>
      </c>
      <c r="G10" s="1">
        <v>0</v>
      </c>
      <c r="H10" s="1">
        <f>'data mata uang'!A3</f>
        <v>1</v>
      </c>
      <c r="I10" s="1" t="str">
        <f>'data mata uang'!D3</f>
        <v>IDR</v>
      </c>
    </row>
    <row r="11" spans="1:9" x14ac:dyDescent="0.25">
      <c r="A11" s="274">
        <v>9</v>
      </c>
      <c r="B11" s="1" t="s">
        <v>9</v>
      </c>
      <c r="C11" s="1">
        <f>'klasifikasi akun'!A5</f>
        <v>3</v>
      </c>
      <c r="D11" s="1" t="str">
        <f>'klasifikasi akun'!B5</f>
        <v>kas</v>
      </c>
      <c r="E11" s="271" t="str">
        <f>CONCATENATE('klasifikasi akun'!E5,".",'rekening perkiraan'!A11)</f>
        <v>1.2.3.9</v>
      </c>
      <c r="F11" s="1">
        <f>'radiobutton rekper'!A3</f>
        <v>1</v>
      </c>
      <c r="G11" s="1">
        <v>0</v>
      </c>
      <c r="H11" s="1">
        <f>'data mata uang'!A3</f>
        <v>1</v>
      </c>
      <c r="I11" s="1" t="str">
        <f>'data mata uang'!D3</f>
        <v>IDR</v>
      </c>
    </row>
    <row r="12" spans="1:9" x14ac:dyDescent="0.25">
      <c r="A12" s="274">
        <v>10</v>
      </c>
      <c r="B12" s="1" t="s">
        <v>255</v>
      </c>
      <c r="C12" s="1">
        <f>'klasifikasi akun'!A7</f>
        <v>5</v>
      </c>
      <c r="D12" s="1" t="str">
        <f>'klasifikasi akun'!B7</f>
        <v>piutang dagang</v>
      </c>
      <c r="E12" s="271" t="str">
        <f>CONCATENATE('klasifikasi akun'!E7,".",'rekening perkiraan'!A12)</f>
        <v>1.2.5.10</v>
      </c>
      <c r="F12" s="1">
        <f>'radiobutton rekper'!A2</f>
        <v>0</v>
      </c>
      <c r="G12" s="1">
        <v>0</v>
      </c>
      <c r="H12" s="1">
        <f>'data mata uang'!A3</f>
        <v>1</v>
      </c>
      <c r="I12" s="1" t="str">
        <f>'data mata uang'!D3</f>
        <v>IDR</v>
      </c>
    </row>
    <row r="13" spans="1:9" x14ac:dyDescent="0.25">
      <c r="A13" s="274">
        <v>11</v>
      </c>
      <c r="B13" s="1" t="s">
        <v>256</v>
      </c>
      <c r="C13" s="1">
        <f>'klasifikasi akun'!A18</f>
        <v>17</v>
      </c>
      <c r="D13" s="1" t="str">
        <f>'klasifikasi akun'!B18</f>
        <v>hutang lancar</v>
      </c>
      <c r="E13" s="271" t="str">
        <f>CONCATENATE('klasifikasi akun'!E18,".",'rekening perkiraan'!A13)</f>
        <v>15.16.17.11</v>
      </c>
      <c r="F13" s="1">
        <f>'radiobutton rekper'!A2</f>
        <v>0</v>
      </c>
      <c r="G13" s="1">
        <v>0</v>
      </c>
      <c r="H13" s="1">
        <f>'data mata uang'!A3</f>
        <v>1</v>
      </c>
      <c r="I13" s="1" t="str">
        <f>'data mata uang'!D3</f>
        <v>IDR</v>
      </c>
    </row>
    <row r="14" spans="1:9" x14ac:dyDescent="0.25">
      <c r="A14" s="274">
        <v>12</v>
      </c>
      <c r="B14" s="1" t="s">
        <v>257</v>
      </c>
      <c r="C14" s="1">
        <f>'klasifikasi akun'!A7</f>
        <v>5</v>
      </c>
      <c r="D14" s="1" t="str">
        <f>'klasifikasi akun'!B7</f>
        <v>piutang dagang</v>
      </c>
      <c r="E14" s="271" t="str">
        <f>CONCATENATE('klasifikasi akun'!E7,".",'rekening perkiraan'!A14)</f>
        <v>1.2.5.12</v>
      </c>
      <c r="F14" s="1">
        <f>'radiobutton rekper'!A2</f>
        <v>0</v>
      </c>
      <c r="G14" s="1">
        <v>0</v>
      </c>
    </row>
    <row r="15" spans="1:9" x14ac:dyDescent="0.25">
      <c r="A15" s="274">
        <v>13</v>
      </c>
      <c r="B15" s="1" t="s">
        <v>258</v>
      </c>
      <c r="C15" s="1">
        <f>'klasifikasi akun'!A18</f>
        <v>17</v>
      </c>
      <c r="D15" s="1" t="str">
        <f>'klasifikasi akun'!B18</f>
        <v>hutang lancar</v>
      </c>
      <c r="E15" s="271" t="str">
        <f>CONCATENATE('klasifikasi akun'!E18,".",'rekening perkiraan'!A15)</f>
        <v>15.16.17.13</v>
      </c>
      <c r="F15" s="1">
        <f>'radiobutton rekper'!A2</f>
        <v>0</v>
      </c>
      <c r="G15" s="1">
        <v>0</v>
      </c>
    </row>
    <row r="16" spans="1:9" x14ac:dyDescent="0.25">
      <c r="A16" s="274">
        <v>14</v>
      </c>
      <c r="B16" s="1" t="s">
        <v>259</v>
      </c>
      <c r="C16" s="1">
        <f>'klasifikasi akun'!A6</f>
        <v>4</v>
      </c>
      <c r="D16" s="1" t="str">
        <f>'klasifikasi akun'!B6</f>
        <v>bank</v>
      </c>
      <c r="E16" s="271" t="str">
        <f>CONCATENATE('klasifikasi akun'!E6,".",'rekening perkiraan'!A16)</f>
        <v>1.2.4.14</v>
      </c>
      <c r="F16" s="1">
        <f>'radiobutton rekper'!A3</f>
        <v>1</v>
      </c>
      <c r="G16" s="1">
        <v>0</v>
      </c>
    </row>
    <row r="17" spans="1:9" x14ac:dyDescent="0.25">
      <c r="A17" s="274">
        <v>15</v>
      </c>
      <c r="B17" s="1" t="s">
        <v>260</v>
      </c>
      <c r="C17" s="1">
        <f>'klasifikasi akun'!A6</f>
        <v>4</v>
      </c>
      <c r="D17" s="274" t="str">
        <f>'klasifikasi akun'!B5</f>
        <v>kas</v>
      </c>
      <c r="E17" s="271" t="str">
        <f>CONCATENATE('klasifikasi akun'!E5,".",'rekening perkiraan'!A17)</f>
        <v>1.2.3.15</v>
      </c>
      <c r="F17" s="1">
        <f>'radiobutton rekper'!A3</f>
        <v>1</v>
      </c>
      <c r="G17" s="1">
        <v>0</v>
      </c>
    </row>
    <row r="18" spans="1:9" x14ac:dyDescent="0.25">
      <c r="A18" s="274">
        <v>16</v>
      </c>
      <c r="B18" s="1" t="s">
        <v>261</v>
      </c>
      <c r="C18" s="1">
        <f>'klasifikasi akun'!A7</f>
        <v>5</v>
      </c>
      <c r="D18" s="1" t="str">
        <f>'klasifikasi akun'!B7</f>
        <v>piutang dagang</v>
      </c>
      <c r="E18" s="271" t="str">
        <f>CONCATENATE('klasifikasi akun'!E7,".",'rekening perkiraan'!A18)</f>
        <v>1.2.5.16</v>
      </c>
      <c r="F18" s="1">
        <f>'radiobutton rekper'!A2</f>
        <v>0</v>
      </c>
      <c r="G18" s="1">
        <v>0</v>
      </c>
    </row>
    <row r="19" spans="1:9" x14ac:dyDescent="0.25">
      <c r="A19" s="274">
        <v>17</v>
      </c>
      <c r="B19" s="1" t="s">
        <v>262</v>
      </c>
      <c r="C19" s="1">
        <f>'klasifikasi akun'!A7</f>
        <v>5</v>
      </c>
      <c r="D19" s="274" t="str">
        <f>'klasifikasi akun'!B18</f>
        <v>hutang lancar</v>
      </c>
      <c r="E19" s="271" t="str">
        <f>CONCATENATE('klasifikasi akun'!E18,".",'rekening perkiraan'!A19)</f>
        <v>15.16.17.17</v>
      </c>
      <c r="F19" s="1">
        <f>'radiobutton rekper'!A2</f>
        <v>0</v>
      </c>
      <c r="G19" s="1">
        <v>0</v>
      </c>
    </row>
    <row r="20" spans="1:9" x14ac:dyDescent="0.25">
      <c r="A20" s="274">
        <v>18</v>
      </c>
      <c r="B20" s="1" t="s">
        <v>263</v>
      </c>
      <c r="C20" s="1">
        <f>'klasifikasi akun'!A20</f>
        <v>19</v>
      </c>
      <c r="D20" s="1" t="str">
        <f>'klasifikasi akun'!B20</f>
        <v>biaya dibayar dimuka</v>
      </c>
      <c r="E20" s="1" t="str">
        <f>CONCATENATE('klasifikasi akun'!E20,".",'rekening perkiraan'!A20)</f>
        <v>1.18.19.18</v>
      </c>
      <c r="F20" s="1">
        <f>'radiobutton rekper'!A2</f>
        <v>0</v>
      </c>
      <c r="G20" s="1">
        <v>0</v>
      </c>
      <c r="H20" s="1">
        <f>'data mata uang'!A3</f>
        <v>1</v>
      </c>
      <c r="I20" s="1">
        <f>'Kurs mata uang'!D8</f>
        <v>0</v>
      </c>
    </row>
    <row r="21" spans="1:9" x14ac:dyDescent="0.25">
      <c r="A21" s="274">
        <v>19</v>
      </c>
      <c r="B21" s="1" t="s">
        <v>10</v>
      </c>
      <c r="C21" s="1">
        <f>'klasifikasi akun'!A18</f>
        <v>17</v>
      </c>
      <c r="D21" s="1" t="str">
        <f>'klasifikasi akun'!B18</f>
        <v>hutang lancar</v>
      </c>
      <c r="E21" s="270" t="str">
        <f>CONCATENATE('klasifikasi akun'!E18,".",'rekening perkiraan'!A21)</f>
        <v>15.16.17.19</v>
      </c>
      <c r="F21" s="1">
        <f>'radiobutton rekper'!A2</f>
        <v>0</v>
      </c>
      <c r="G21" s="1">
        <v>0</v>
      </c>
      <c r="H21" s="1">
        <f>'data mata uang'!A3</f>
        <v>1</v>
      </c>
      <c r="I21" s="1">
        <f>'Kurs mata uang'!D8</f>
        <v>0</v>
      </c>
    </row>
    <row r="22" spans="1:9" x14ac:dyDescent="0.25">
      <c r="A22" s="274">
        <v>20</v>
      </c>
      <c r="B22" s="1" t="s">
        <v>264</v>
      </c>
      <c r="C22" s="1">
        <f>'klasifikasi akun'!A18</f>
        <v>17</v>
      </c>
      <c r="D22" s="1" t="str">
        <f>'klasifikasi akun'!B18</f>
        <v>hutang lancar</v>
      </c>
      <c r="E22" s="270" t="str">
        <f>CONCATENATE('klasifikasi akun'!E18,".",'rekening perkiraan'!A22)</f>
        <v>15.16.17.20</v>
      </c>
      <c r="F22" s="1">
        <f>'radiobutton rekper'!A2</f>
        <v>0</v>
      </c>
      <c r="G22" s="1">
        <v>0</v>
      </c>
      <c r="H22" s="1">
        <f>'data mata uang'!A3</f>
        <v>1</v>
      </c>
      <c r="I22" s="1">
        <f>'Kurs mata uang'!D8</f>
        <v>0</v>
      </c>
    </row>
    <row r="23" spans="1:9" x14ac:dyDescent="0.25">
      <c r="A23" s="274">
        <v>21</v>
      </c>
      <c r="B23" s="1" t="s">
        <v>12</v>
      </c>
      <c r="C23" s="1">
        <f>'klasifikasi akun'!A18</f>
        <v>17</v>
      </c>
      <c r="D23" s="1" t="str">
        <f>'klasifikasi akun'!B18</f>
        <v>hutang lancar</v>
      </c>
      <c r="E23" s="270" t="str">
        <f>CONCATENATE('klasifikasi akun'!E18,".",'rekening perkiraan'!A23)</f>
        <v>15.16.17.21</v>
      </c>
      <c r="F23" s="1">
        <f>'radiobutton rekper'!A2</f>
        <v>0</v>
      </c>
      <c r="G23" s="1">
        <v>0</v>
      </c>
      <c r="H23" s="1">
        <f>'data mata uang'!A3</f>
        <v>1</v>
      </c>
      <c r="I23" s="1">
        <f>'Kurs mata uang'!D8</f>
        <v>0</v>
      </c>
    </row>
    <row r="24" spans="1:9" x14ac:dyDescent="0.25">
      <c r="A24" s="274">
        <v>22</v>
      </c>
      <c r="B24" s="1" t="s">
        <v>265</v>
      </c>
      <c r="C24" s="1">
        <f>'klasifikasi akun'!A18</f>
        <v>17</v>
      </c>
      <c r="D24" s="1" t="str">
        <f>'klasifikasi akun'!B18</f>
        <v>hutang lancar</v>
      </c>
      <c r="E24" s="270" t="str">
        <f>CONCATENATE('klasifikasi akun'!E18,".",'rekening perkiraan'!A24)</f>
        <v>15.16.17.22</v>
      </c>
      <c r="F24" s="1">
        <f>'radiobutton rekper'!A2</f>
        <v>0</v>
      </c>
      <c r="G24" s="1">
        <v>0</v>
      </c>
      <c r="H24" s="1">
        <f>'data mata uang'!A3</f>
        <v>1</v>
      </c>
      <c r="I24" s="1">
        <f>'Kurs mata uang'!D8</f>
        <v>0</v>
      </c>
    </row>
    <row r="25" spans="1:9" x14ac:dyDescent="0.25">
      <c r="A25" s="274">
        <v>23</v>
      </c>
      <c r="B25" s="1" t="s">
        <v>525</v>
      </c>
      <c r="C25" s="1">
        <f>'klasifikasi akun'!A22</f>
        <v>22</v>
      </c>
      <c r="D25" s="1" t="str">
        <f>'klasifikasi akun'!B22</f>
        <v>biaya lain</v>
      </c>
      <c r="E25" s="270" t="str">
        <f>CONCATENATE('klasifikasi akun'!E22,".",'rekening perkiraan'!A25)</f>
        <v>10.21.22.23</v>
      </c>
      <c r="F25" s="1">
        <f>'radiobutton rekper'!A2</f>
        <v>0</v>
      </c>
      <c r="G25" s="1">
        <v>0</v>
      </c>
      <c r="H25" s="1">
        <f>'data mata uang'!A3</f>
        <v>1</v>
      </c>
      <c r="I25" s="1">
        <f>'Kurs mata uang'!D8</f>
        <v>0</v>
      </c>
    </row>
    <row r="26" spans="1:9" x14ac:dyDescent="0.25">
      <c r="A26" s="274">
        <v>24</v>
      </c>
      <c r="B26" s="1" t="s">
        <v>561</v>
      </c>
      <c r="C26" s="1">
        <f>'klasifikasi akun'!A7</f>
        <v>5</v>
      </c>
      <c r="D26" s="1" t="str">
        <f>'klasifikasi akun'!B7</f>
        <v>piutang dagang</v>
      </c>
      <c r="E26" s="270" t="str">
        <f>CONCATENATE('klasifikasi akun'!E7,".",'rekening perkiraan'!A26)</f>
        <v>1.2.5.24</v>
      </c>
      <c r="F26" s="1">
        <f>'radiobutton rekper'!A2</f>
        <v>0</v>
      </c>
      <c r="G26" s="1">
        <v>0</v>
      </c>
      <c r="H26" s="1">
        <f>'data mata uang'!A3</f>
        <v>1</v>
      </c>
      <c r="I26" s="1">
        <f>'Kurs mata uang'!D8</f>
        <v>0</v>
      </c>
    </row>
    <row r="27" spans="1:9" x14ac:dyDescent="0.25">
      <c r="A27" s="274">
        <v>25</v>
      </c>
      <c r="B27" s="1" t="s">
        <v>562</v>
      </c>
      <c r="C27" s="1">
        <f>'klasifikasi akun'!A18</f>
        <v>17</v>
      </c>
      <c r="D27" s="1" t="str">
        <f>'klasifikasi akun'!B18</f>
        <v>hutang lancar</v>
      </c>
      <c r="E27" s="270" t="str">
        <f>CONCATENATE('klasifikasi akun'!E18,".",'rekening perkiraan'!A27)</f>
        <v>15.16.17.25</v>
      </c>
      <c r="F27" s="1">
        <f>'radiobutton rekper'!A2</f>
        <v>0</v>
      </c>
      <c r="G27" s="1">
        <v>0</v>
      </c>
      <c r="H27" s="1">
        <f>'data mata uang'!A3</f>
        <v>1</v>
      </c>
      <c r="I27" s="1">
        <f>'Kurs mata uang'!D8</f>
        <v>0</v>
      </c>
    </row>
    <row r="28" spans="1:9" x14ac:dyDescent="0.25">
      <c r="A28" s="274">
        <v>26</v>
      </c>
      <c r="B28" s="1" t="s">
        <v>1497</v>
      </c>
      <c r="C28" s="1">
        <f>'klasifikasi akun'!A18</f>
        <v>17</v>
      </c>
      <c r="D28" s="1" t="str">
        <f>'klasifikasi akun'!B18</f>
        <v>hutang lancar</v>
      </c>
      <c r="E28" s="270" t="str">
        <f>CONCATENATE('klasifikasi akun'!E18,".",'rekening perkiraan'!A28)</f>
        <v>15.16.17.26</v>
      </c>
      <c r="F28" s="1">
        <f>'radiobutton rekper'!A2</f>
        <v>0</v>
      </c>
      <c r="G28" s="1">
        <v>0</v>
      </c>
      <c r="H28" s="1">
        <f>'data mata uang'!A3</f>
        <v>1</v>
      </c>
      <c r="I28" s="1">
        <f>'Kurs mata uang'!D8</f>
        <v>0</v>
      </c>
    </row>
    <row r="29" spans="1:9" x14ac:dyDescent="0.25">
      <c r="A29" s="274">
        <v>27</v>
      </c>
      <c r="B29" s="1" t="s">
        <v>721</v>
      </c>
      <c r="C29" s="1">
        <f>'klasifikasi akun'!A24</f>
        <v>24</v>
      </c>
      <c r="D29" s="1" t="str">
        <f>'klasifikasi akun'!B24</f>
        <v>harta tetap berwujud</v>
      </c>
      <c r="E29" s="270" t="str">
        <f>CONCATENATE('klasifikasi akun'!E24,".",'rekening perkiraan'!A29)</f>
        <v>1.23.24.27</v>
      </c>
      <c r="F29" s="1">
        <f>'radiobutton rekper'!A2</f>
        <v>0</v>
      </c>
      <c r="G29" s="1">
        <v>0</v>
      </c>
      <c r="H29" s="1">
        <f>'data mata uang'!A3</f>
        <v>1</v>
      </c>
      <c r="I29" s="1">
        <f>'Kurs mata uang'!D8</f>
        <v>0</v>
      </c>
    </row>
    <row r="30" spans="1:9" x14ac:dyDescent="0.25">
      <c r="A30" s="274">
        <v>28</v>
      </c>
      <c r="B30" s="1" t="s">
        <v>727</v>
      </c>
      <c r="C30" s="1">
        <f>'klasifikasi akun'!A24</f>
        <v>24</v>
      </c>
      <c r="D30" s="1" t="str">
        <f>'klasifikasi akun'!B24</f>
        <v>harta tetap berwujud</v>
      </c>
      <c r="E30" s="270" t="str">
        <f>CONCATENATE('klasifikasi akun'!E24,".",'rekening perkiraan'!A30)</f>
        <v>1.23.24.28</v>
      </c>
      <c r="F30" s="1">
        <f>'radiobutton rekper'!A2</f>
        <v>0</v>
      </c>
      <c r="G30" s="1">
        <v>0</v>
      </c>
      <c r="H30" s="1">
        <f>'data mata uang'!A3</f>
        <v>1</v>
      </c>
      <c r="I30" s="1" t="str">
        <f>'data mata uang'!D3</f>
        <v>IDR</v>
      </c>
    </row>
    <row r="31" spans="1:9" x14ac:dyDescent="0.25">
      <c r="A31" s="274">
        <v>29</v>
      </c>
      <c r="B31" s="1" t="s">
        <v>728</v>
      </c>
      <c r="C31" s="1">
        <f>'klasifikasi akun'!A31</f>
        <v>31</v>
      </c>
      <c r="D31" s="1" t="str">
        <f>'klasifikasi akun'!B31</f>
        <v>biaya non operasional</v>
      </c>
      <c r="E31" s="270" t="str">
        <f>CONCATENATE('klasifikasi akun'!E31,".",'rekening perkiraan'!A31)</f>
        <v>29.30.31.29</v>
      </c>
      <c r="F31" s="1">
        <f>'radiobutton rekper'!A2</f>
        <v>0</v>
      </c>
      <c r="G31" s="1">
        <v>0</v>
      </c>
      <c r="H31" s="1">
        <f>'data mata uang'!A3</f>
        <v>1</v>
      </c>
      <c r="I31" s="1" t="str">
        <f>'data mata uang'!D3</f>
        <v>IDR</v>
      </c>
    </row>
    <row r="32" spans="1:9" x14ac:dyDescent="0.25">
      <c r="A32" s="274">
        <v>30</v>
      </c>
      <c r="B32" s="1" t="s">
        <v>729</v>
      </c>
      <c r="C32" s="1">
        <f>'klasifikasi akun'!A24</f>
        <v>24</v>
      </c>
      <c r="D32" s="1" t="str">
        <f>'klasifikasi akun'!B24</f>
        <v>harta tetap berwujud</v>
      </c>
      <c r="E32" s="270" t="str">
        <f>CONCATENATE('klasifikasi akun'!E24,".",'rekening perkiraan'!A32)</f>
        <v>1.23.24.30</v>
      </c>
      <c r="F32" s="1">
        <f>'radiobutton rekper'!A2</f>
        <v>0</v>
      </c>
      <c r="G32" s="1">
        <v>0</v>
      </c>
      <c r="H32" s="1">
        <f>'data mata uang'!A3</f>
        <v>1</v>
      </c>
      <c r="I32" s="1" t="str">
        <f>'data mata uang'!D3</f>
        <v>IDR</v>
      </c>
    </row>
    <row r="33" spans="1:9" x14ac:dyDescent="0.25">
      <c r="A33" s="274">
        <v>31</v>
      </c>
      <c r="B33" s="1" t="s">
        <v>730</v>
      </c>
      <c r="C33" s="1">
        <f>'klasifikasi akun'!A24</f>
        <v>24</v>
      </c>
      <c r="D33" s="1" t="str">
        <f>'klasifikasi akun'!B24</f>
        <v>harta tetap berwujud</v>
      </c>
      <c r="E33" s="270" t="str">
        <f>CONCATENATE('klasifikasi akun'!E24,".",'rekening perkiraan'!A33)</f>
        <v>1.23.24.31</v>
      </c>
      <c r="F33" s="1">
        <f>'radiobutton rekper'!A2</f>
        <v>0</v>
      </c>
      <c r="G33" s="1">
        <v>0</v>
      </c>
      <c r="H33" s="1">
        <f>'data mata uang'!A3</f>
        <v>1</v>
      </c>
      <c r="I33" s="1" t="str">
        <f>'data mata uang'!D3</f>
        <v>IDR</v>
      </c>
    </row>
    <row r="34" spans="1:9" x14ac:dyDescent="0.25">
      <c r="A34" s="274">
        <v>32</v>
      </c>
      <c r="B34" s="1" t="s">
        <v>731</v>
      </c>
      <c r="C34" s="1">
        <f>'klasifikasi akun'!A31</f>
        <v>31</v>
      </c>
      <c r="D34" s="1" t="str">
        <f>'klasifikasi akun'!B31</f>
        <v>biaya non operasional</v>
      </c>
      <c r="E34" s="270" t="str">
        <f>CONCATENATE('klasifikasi akun'!E31,".",'rekening perkiraan'!A34)</f>
        <v>29.30.31.32</v>
      </c>
      <c r="F34" s="1">
        <f>'radiobutton rekper'!A2</f>
        <v>0</v>
      </c>
      <c r="G34" s="1">
        <v>0</v>
      </c>
      <c r="H34" s="1">
        <f>'data mata uang'!A3</f>
        <v>1</v>
      </c>
      <c r="I34" s="1" t="str">
        <f>'data mata uang'!D3</f>
        <v>IDR</v>
      </c>
    </row>
    <row r="35" spans="1:9" x14ac:dyDescent="0.25">
      <c r="A35" s="274">
        <v>33</v>
      </c>
      <c r="B35" s="1" t="s">
        <v>770</v>
      </c>
      <c r="C35" s="1">
        <f>'klasifikasi akun'!A34</f>
        <v>34</v>
      </c>
      <c r="D35" s="1" t="str">
        <f>'klasifikasi akun'!B34</f>
        <v>pendapatan luar usaha</v>
      </c>
      <c r="E35" s="270" t="str">
        <f>CONCATENATE('klasifikasi akun'!E34,".",'rekening perkiraan'!A35)</f>
        <v>32.33.34.33</v>
      </c>
      <c r="F35" s="1">
        <f>'radiobutton rekper'!A2</f>
        <v>0</v>
      </c>
      <c r="G35" s="1">
        <v>0</v>
      </c>
      <c r="H35" s="1">
        <f>'data mata uang'!A3</f>
        <v>1</v>
      </c>
      <c r="I35" s="1" t="str">
        <f>'data mata uang'!D3</f>
        <v>IDR</v>
      </c>
    </row>
    <row r="36" spans="1:9" x14ac:dyDescent="0.25">
      <c r="A36" s="274">
        <v>34</v>
      </c>
      <c r="B36" s="1" t="s">
        <v>771</v>
      </c>
      <c r="C36" s="1">
        <f>'klasifikasi akun'!A37</f>
        <v>37</v>
      </c>
      <c r="D36" s="1" t="str">
        <f>'klasifikasi akun'!B37</f>
        <v>pengeluaran luar usaha</v>
      </c>
      <c r="E36" s="270" t="str">
        <f>CONCATENATE('klasifikasi akun'!E37,".",'rekening perkiraan'!A36)</f>
        <v>35.36.37.34</v>
      </c>
      <c r="F36" s="1">
        <f>'radiobutton rekper'!A2</f>
        <v>0</v>
      </c>
      <c r="G36" s="1">
        <v>0</v>
      </c>
      <c r="H36" s="1">
        <f>'data mata uang'!A3</f>
        <v>1</v>
      </c>
      <c r="I36" s="1" t="str">
        <f>'data mata uang'!D3</f>
        <v>IDR</v>
      </c>
    </row>
    <row r="37" spans="1:9" x14ac:dyDescent="0.25">
      <c r="A37" s="274">
        <v>35</v>
      </c>
      <c r="B37" s="1" t="s">
        <v>1269</v>
      </c>
      <c r="C37" s="1">
        <f>'klasifikasi akun'!A43</f>
        <v>43</v>
      </c>
      <c r="D37" s="1" t="str">
        <f>'klasifikasi akun'!B43</f>
        <v>laba</v>
      </c>
      <c r="E37" s="270" t="str">
        <f>CONCATENATE('klasifikasi akun'!E43,".",'rekening perkiraan'!A37)</f>
        <v>38.42.43.35</v>
      </c>
      <c r="F37" s="1">
        <v>0</v>
      </c>
      <c r="G37" s="1">
        <v>0</v>
      </c>
      <c r="H37" s="1">
        <f>'data mata uang'!A3</f>
        <v>1</v>
      </c>
      <c r="I37" s="1" t="str">
        <f>'data mata uang'!D3</f>
        <v>IDR</v>
      </c>
    </row>
    <row r="38" spans="1:9" x14ac:dyDescent="0.25">
      <c r="A38" s="274">
        <v>36</v>
      </c>
      <c r="B38" s="1" t="s">
        <v>1270</v>
      </c>
      <c r="C38" s="1">
        <f>'klasifikasi akun'!A43</f>
        <v>43</v>
      </c>
      <c r="D38" s="1" t="str">
        <f>'klasifikasi akun'!B43</f>
        <v>laba</v>
      </c>
      <c r="E38" s="270" t="str">
        <f>CONCATENATE('klasifikasi akun'!E43,".",'rekening perkiraan'!A38)</f>
        <v>38.42.43.36</v>
      </c>
      <c r="F38" s="1">
        <v>0</v>
      </c>
      <c r="G38" s="1">
        <v>0</v>
      </c>
      <c r="H38" s="1">
        <f>'data mata uang'!A3</f>
        <v>1</v>
      </c>
      <c r="I38" s="1" t="str">
        <f>'data mata uang'!D3</f>
        <v>IDR</v>
      </c>
    </row>
    <row r="39" spans="1:9" x14ac:dyDescent="0.25">
      <c r="A39" s="274">
        <v>37</v>
      </c>
      <c r="B39" s="1" t="s">
        <v>1543</v>
      </c>
      <c r="C39" s="1">
        <f>'klasifikasi akun'!A10</f>
        <v>9</v>
      </c>
      <c r="D39" s="1" t="str">
        <f>'klasifikasi akun'!B10</f>
        <v xml:space="preserve">pendapatan usaha </v>
      </c>
      <c r="E39" s="270" t="str">
        <f>CONCATENATE('klasifikasi akun'!E10,".",'rekening perkiraan'!A39)</f>
        <v>7.8.9.37</v>
      </c>
      <c r="F39" s="1">
        <f>'radiobutton rekper'!A2</f>
        <v>0</v>
      </c>
      <c r="G39" s="1">
        <v>0</v>
      </c>
      <c r="H39" s="1">
        <f>'data mata uang'!A3</f>
        <v>1</v>
      </c>
      <c r="I39" s="1" t="str">
        <f>'data mata uang'!D3</f>
        <v>IDR</v>
      </c>
    </row>
    <row r="40" spans="1:9" x14ac:dyDescent="0.25">
      <c r="A40" s="274">
        <v>38</v>
      </c>
      <c r="B40" s="1" t="s">
        <v>1544</v>
      </c>
      <c r="C40" s="1">
        <f>'klasifikasi akun'!A10</f>
        <v>9</v>
      </c>
      <c r="D40" s="1" t="str">
        <f>'klasifikasi akun'!B10</f>
        <v xml:space="preserve">pendapatan usaha </v>
      </c>
      <c r="E40" s="270" t="str">
        <f>CONCATENATE('klasifikasi akun'!E10,".",'rekening perkiraan'!A40)</f>
        <v>7.8.9.38</v>
      </c>
      <c r="F40" s="1">
        <f>'radiobutton rekper'!A2</f>
        <v>0</v>
      </c>
      <c r="G40" s="1">
        <v>0</v>
      </c>
      <c r="H40" s="1">
        <f>'data mata uang'!A3</f>
        <v>1</v>
      </c>
      <c r="I40" s="1" t="str">
        <f>'data mata uang'!D3</f>
        <v>IDR</v>
      </c>
    </row>
    <row r="42" spans="1:9" x14ac:dyDescent="0.25">
      <c r="B42" s="39" t="s">
        <v>927</v>
      </c>
      <c r="C42" s="39" t="s">
        <v>1081</v>
      </c>
    </row>
    <row r="43" spans="1:9" x14ac:dyDescent="0.25">
      <c r="B43" s="39"/>
      <c r="C43" s="39" t="s">
        <v>1080</v>
      </c>
    </row>
    <row r="44" spans="1:9" x14ac:dyDescent="0.25">
      <c r="B44" s="39"/>
      <c r="C44" s="39" t="s">
        <v>915</v>
      </c>
    </row>
    <row r="45" spans="1:9" x14ac:dyDescent="0.25">
      <c r="B45" s="39"/>
      <c r="C45" s="39"/>
    </row>
    <row r="46" spans="1:9" x14ac:dyDescent="0.25">
      <c r="B46" s="39"/>
      <c r="C46" s="39"/>
    </row>
    <row r="47" spans="1:9" x14ac:dyDescent="0.25">
      <c r="B47" s="39" t="s">
        <v>932</v>
      </c>
      <c r="C47" s="40" t="s">
        <v>1083</v>
      </c>
    </row>
    <row r="48" spans="1:9" x14ac:dyDescent="0.25">
      <c r="C48" s="40" t="s">
        <v>1082</v>
      </c>
    </row>
  </sheetData>
  <mergeCells count="1">
    <mergeCell ref="H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A4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34.42578125" style="1" bestFit="1" customWidth="1"/>
    <col min="2" max="2" width="18.7109375" style="1" bestFit="1" customWidth="1"/>
    <col min="3" max="3" width="12.42578125" style="256" bestFit="1" customWidth="1"/>
    <col min="4" max="4" width="18.7109375" style="1" customWidth="1"/>
    <col min="5" max="5" width="35.28515625" style="1" bestFit="1" customWidth="1"/>
    <col min="6" max="6" width="10.7109375" style="1" bestFit="1" customWidth="1"/>
    <col min="7" max="7" width="14.42578125" style="1" bestFit="1" customWidth="1"/>
    <col min="8" max="8" width="14.28515625" style="1" bestFit="1" customWidth="1"/>
    <col min="9" max="9" width="25.85546875" style="1" bestFit="1" customWidth="1"/>
    <col min="10" max="10" width="20.28515625" style="1" bestFit="1" customWidth="1"/>
    <col min="11" max="11" width="21.42578125" style="1" bestFit="1" customWidth="1"/>
    <col min="12" max="12" width="20" style="1" bestFit="1" customWidth="1"/>
    <col min="13" max="13" width="15" style="1" bestFit="1" customWidth="1"/>
    <col min="14" max="14" width="12.140625" style="1" bestFit="1" customWidth="1"/>
    <col min="15" max="15" width="11.140625" style="1" bestFit="1" customWidth="1"/>
    <col min="16" max="16" width="40.140625" style="1" bestFit="1" customWidth="1"/>
    <col min="17" max="17" width="26.7109375" style="1" bestFit="1" customWidth="1"/>
    <col min="18" max="18" width="23.42578125" style="1" bestFit="1" customWidth="1"/>
    <col min="19" max="19" width="9.42578125" style="1" bestFit="1" customWidth="1"/>
    <col min="20" max="20" width="15.28515625" style="1" bestFit="1" customWidth="1"/>
    <col min="21" max="21" width="12.140625" style="1" bestFit="1" customWidth="1"/>
    <col min="22" max="22" width="10.42578125" style="1" bestFit="1" customWidth="1"/>
    <col min="23" max="23" width="15.7109375" style="1" bestFit="1" customWidth="1"/>
    <col min="24" max="24" width="24.42578125" style="1" bestFit="1" customWidth="1"/>
    <col min="25" max="25" width="22.42578125" style="1" bestFit="1" customWidth="1"/>
    <col min="26" max="26" width="12" style="1" bestFit="1" customWidth="1"/>
    <col min="27" max="27" width="17.42578125" style="1" bestFit="1" customWidth="1"/>
    <col min="28" max="28" width="21.42578125" style="1" bestFit="1" customWidth="1"/>
    <col min="29" max="29" width="35.28515625" style="1" bestFit="1" customWidth="1"/>
    <col min="30" max="30" width="32.42578125" style="1" bestFit="1" customWidth="1"/>
    <col min="31" max="31" width="15" style="1" bestFit="1" customWidth="1"/>
    <col min="32" max="32" width="15.42578125" style="1" bestFit="1" customWidth="1"/>
    <col min="33" max="33" width="15.85546875" style="1" bestFit="1" customWidth="1"/>
    <col min="34" max="34" width="7.85546875" style="1" bestFit="1" customWidth="1"/>
    <col min="35" max="35" width="9.28515625" style="1" bestFit="1" customWidth="1"/>
    <col min="36" max="36" width="8.85546875" style="1" bestFit="1" customWidth="1"/>
    <col min="37" max="38" width="20.42578125" style="1" bestFit="1" customWidth="1"/>
    <col min="39" max="39" width="18.85546875" style="1" bestFit="1" customWidth="1"/>
    <col min="40" max="40" width="18.28515625" style="1" bestFit="1" customWidth="1"/>
    <col min="41" max="41" width="26" style="1" bestFit="1" customWidth="1"/>
    <col min="42" max="42" width="37.85546875" style="1" bestFit="1" customWidth="1"/>
    <col min="43" max="43" width="38.28515625" style="1" bestFit="1" customWidth="1"/>
    <col min="44" max="44" width="30.42578125" style="1" bestFit="1" customWidth="1"/>
    <col min="45" max="45" width="42.42578125" style="1" bestFit="1" customWidth="1"/>
    <col min="46" max="46" width="42.85546875" style="1" bestFit="1" customWidth="1"/>
    <col min="47" max="47" width="21.42578125" style="41" bestFit="1" customWidth="1"/>
    <col min="48" max="48" width="15" style="41" bestFit="1" customWidth="1"/>
    <col min="49" max="49" width="20.140625" style="41" bestFit="1" customWidth="1"/>
    <col min="50" max="50" width="21" style="1" bestFit="1" customWidth="1"/>
    <col min="51" max="51" width="11.140625" style="1" bestFit="1" customWidth="1"/>
    <col min="52" max="52" width="22.140625" style="1" bestFit="1" customWidth="1"/>
    <col min="53" max="53" width="18.7109375" style="1" bestFit="1" customWidth="1"/>
    <col min="54" max="16384" width="9.140625" style="1"/>
  </cols>
  <sheetData>
    <row r="1" spans="1:53" s="44" customFormat="1" x14ac:dyDescent="0.25">
      <c r="C1" s="255"/>
      <c r="E1" s="44" t="s">
        <v>1423</v>
      </c>
      <c r="F1" s="297" t="s">
        <v>1404</v>
      </c>
      <c r="G1" s="297"/>
      <c r="H1" s="44" t="s">
        <v>1387</v>
      </c>
      <c r="I1" s="44" t="s">
        <v>980</v>
      </c>
      <c r="J1" s="297" t="s">
        <v>1407</v>
      </c>
      <c r="K1" s="297"/>
      <c r="M1" s="297" t="s">
        <v>1145</v>
      </c>
      <c r="N1" s="297"/>
      <c r="O1" s="297"/>
      <c r="P1" s="44" t="s">
        <v>1424</v>
      </c>
      <c r="Q1" s="297" t="s">
        <v>916</v>
      </c>
      <c r="R1" s="297"/>
      <c r="S1" s="297" t="s">
        <v>919</v>
      </c>
      <c r="T1" s="297"/>
      <c r="U1" s="44" t="s">
        <v>920</v>
      </c>
      <c r="V1" s="44" t="s">
        <v>1023</v>
      </c>
      <c r="W1" s="44" t="s">
        <v>1021</v>
      </c>
      <c r="X1" s="44" t="s">
        <v>922</v>
      </c>
      <c r="Y1" s="44" t="s">
        <v>1409</v>
      </c>
      <c r="Z1" s="297" t="s">
        <v>924</v>
      </c>
      <c r="AA1" s="297"/>
      <c r="AB1" s="44" t="s">
        <v>1464</v>
      </c>
      <c r="AC1" s="80" t="s">
        <v>1406</v>
      </c>
      <c r="AD1" s="80" t="s">
        <v>1437</v>
      </c>
      <c r="AE1" s="80" t="s">
        <v>1433</v>
      </c>
      <c r="AF1" s="80" t="s">
        <v>1434</v>
      </c>
      <c r="AG1" s="304" t="s">
        <v>1435</v>
      </c>
      <c r="AH1" s="304"/>
      <c r="AI1" s="80" t="s">
        <v>1436</v>
      </c>
      <c r="AJ1" s="80" t="s">
        <v>1438</v>
      </c>
      <c r="AK1" s="44" t="s">
        <v>1389</v>
      </c>
      <c r="AL1" s="44" t="s">
        <v>1391</v>
      </c>
      <c r="AM1" s="44" t="s">
        <v>1390</v>
      </c>
      <c r="AN1" s="44" t="s">
        <v>1392</v>
      </c>
      <c r="AU1" s="79"/>
      <c r="AV1" s="79" t="s">
        <v>1459</v>
      </c>
      <c r="AW1" s="79" t="s">
        <v>1460</v>
      </c>
      <c r="AX1" s="44" t="s">
        <v>1467</v>
      </c>
    </row>
    <row r="2" spans="1:53" x14ac:dyDescent="0.25">
      <c r="A2" s="1" t="s">
        <v>413</v>
      </c>
      <c r="B2" s="1" t="s">
        <v>617</v>
      </c>
      <c r="C2" s="256" t="s">
        <v>1685</v>
      </c>
      <c r="D2" s="1" t="s">
        <v>614</v>
      </c>
      <c r="E2" s="1" t="s">
        <v>414</v>
      </c>
      <c r="F2" s="1" t="s">
        <v>408</v>
      </c>
      <c r="G2" s="1" t="s">
        <v>409</v>
      </c>
      <c r="H2" s="1" t="s">
        <v>19</v>
      </c>
      <c r="I2" s="1" t="s">
        <v>20</v>
      </c>
      <c r="J2" s="1" t="s">
        <v>411</v>
      </c>
      <c r="K2" s="1" t="s">
        <v>412</v>
      </c>
      <c r="L2" s="1" t="s">
        <v>655</v>
      </c>
      <c r="M2" s="1" t="s">
        <v>115</v>
      </c>
      <c r="N2" s="1" t="s">
        <v>21</v>
      </c>
      <c r="O2" s="1" t="s">
        <v>828</v>
      </c>
      <c r="P2" s="1" t="s">
        <v>415</v>
      </c>
      <c r="Q2" s="1" t="s">
        <v>22</v>
      </c>
      <c r="R2" s="1" t="s">
        <v>23</v>
      </c>
      <c r="S2" s="1" t="s">
        <v>24</v>
      </c>
      <c r="T2" s="1" t="s">
        <v>467</v>
      </c>
      <c r="U2" s="1" t="s">
        <v>26</v>
      </c>
      <c r="V2" s="1" t="s">
        <v>46</v>
      </c>
      <c r="W2" s="1" t="s">
        <v>47</v>
      </c>
      <c r="X2" s="1" t="s">
        <v>33</v>
      </c>
      <c r="Y2" s="1" t="s">
        <v>51</v>
      </c>
      <c r="Z2" s="1" t="s">
        <v>35</v>
      </c>
      <c r="AA2" s="1" t="s">
        <v>36</v>
      </c>
      <c r="AB2" s="1" t="s">
        <v>1469</v>
      </c>
      <c r="AC2" s="1" t="s">
        <v>37</v>
      </c>
      <c r="AD2" s="1" t="s">
        <v>1465</v>
      </c>
      <c r="AE2" s="1" t="s">
        <v>1430</v>
      </c>
      <c r="AF2" s="1" t="s">
        <v>1431</v>
      </c>
      <c r="AG2" s="1" t="s">
        <v>869</v>
      </c>
      <c r="AH2" s="1" t="s">
        <v>856</v>
      </c>
      <c r="AI2" s="1" t="s">
        <v>1432</v>
      </c>
      <c r="AJ2" s="1" t="s">
        <v>1071</v>
      </c>
      <c r="AK2" s="1" t="s">
        <v>38</v>
      </c>
      <c r="AL2" s="1" t="s">
        <v>39</v>
      </c>
      <c r="AM2" s="1" t="s">
        <v>876</v>
      </c>
      <c r="AN2" s="1" t="s">
        <v>40</v>
      </c>
      <c r="AO2" s="9" t="s">
        <v>56</v>
      </c>
      <c r="AP2" s="1" t="s">
        <v>57</v>
      </c>
      <c r="AQ2" s="1" t="s">
        <v>58</v>
      </c>
      <c r="AR2" s="9" t="s">
        <v>416</v>
      </c>
      <c r="AS2" s="1" t="s">
        <v>417</v>
      </c>
      <c r="AT2" s="1" t="s">
        <v>418</v>
      </c>
      <c r="AU2" s="41" t="s">
        <v>487</v>
      </c>
      <c r="AV2" s="41" t="s">
        <v>41</v>
      </c>
      <c r="AW2" s="41" t="s">
        <v>42</v>
      </c>
      <c r="AX2" s="1" t="s">
        <v>432</v>
      </c>
      <c r="AY2" s="1" t="s">
        <v>624</v>
      </c>
      <c r="AZ2" s="165" t="s">
        <v>1129</v>
      </c>
      <c r="BA2" s="165" t="s">
        <v>848</v>
      </c>
    </row>
    <row r="3" spans="1:53" x14ac:dyDescent="0.25">
      <c r="A3" s="145">
        <v>1</v>
      </c>
      <c r="B3" s="145">
        <f>'kode transaksi'!A27</f>
        <v>26</v>
      </c>
      <c r="C3" s="145" t="str">
        <f>CONCATENATE(B3,".",A3)</f>
        <v>26.1</v>
      </c>
      <c r="D3" s="145" t="str">
        <f>'kode transaksi'!B27</f>
        <v>PD</v>
      </c>
      <c r="E3" s="145" t="s">
        <v>1595</v>
      </c>
      <c r="F3" s="145">
        <f>'Purchase Order'!F3</f>
        <v>7</v>
      </c>
      <c r="G3" s="145" t="str">
        <f>kontak!G9</f>
        <v>djayakusuma</v>
      </c>
      <c r="H3" s="145">
        <f>kontak!K9</f>
        <v>8170175139</v>
      </c>
      <c r="I3" s="145" t="str">
        <f>kontak!O9</f>
        <v>djayakusuma@gmail.com</v>
      </c>
      <c r="J3" s="145">
        <f>'Purchase Order'!A3</f>
        <v>1</v>
      </c>
      <c r="K3" s="145" t="str">
        <f>CONCATENATE('Purchase Order'!D3,'Purchase Order'!E3)</f>
        <v>PO.000001</v>
      </c>
      <c r="L3" s="145" t="str">
        <f>'Purchase Order'!L3</f>
        <v>14.1</v>
      </c>
      <c r="M3" s="145">
        <f>'Purchase Order'!M3</f>
        <v>1</v>
      </c>
      <c r="N3" s="145" t="str">
        <f>'data mata uang'!D3</f>
        <v>IDR</v>
      </c>
      <c r="O3" s="145">
        <f>'data mata uang'!G3</f>
        <v>1</v>
      </c>
      <c r="P3" s="147">
        <v>43255</v>
      </c>
      <c r="Q3" s="145">
        <v>0</v>
      </c>
      <c r="R3" s="145">
        <v>0</v>
      </c>
      <c r="S3" s="145">
        <f>'Purchase Order'!S3</f>
        <v>1</v>
      </c>
      <c r="T3" s="145" t="str">
        <f>lokasi!B3</f>
        <v>cempaka putih</v>
      </c>
      <c r="U3" s="145" t="str">
        <f>'Purchase Order'!U3</f>
        <v>beli iPhone</v>
      </c>
      <c r="V3" s="145">
        <f>'Purchase Order'!V3</f>
        <v>0</v>
      </c>
      <c r="W3" s="145">
        <f>'Purchase Order'!W3</f>
        <v>0</v>
      </c>
      <c r="X3" s="145">
        <v>0</v>
      </c>
      <c r="Y3" s="147">
        <v>43255</v>
      </c>
      <c r="Z3" s="145">
        <f>kontak!A6</f>
        <v>4</v>
      </c>
      <c r="AA3" s="145" t="str">
        <f>kontak!G6</f>
        <v>dea fitri maharani</v>
      </c>
      <c r="AB3" s="145">
        <v>0</v>
      </c>
      <c r="AC3" s="145">
        <v>0</v>
      </c>
      <c r="AD3" s="145">
        <v>0</v>
      </c>
      <c r="AE3" s="145">
        <v>0</v>
      </c>
      <c r="AF3" s="145">
        <v>0</v>
      </c>
      <c r="AG3" s="145">
        <v>0</v>
      </c>
      <c r="AH3" s="145">
        <v>0</v>
      </c>
      <c r="AI3" s="145">
        <v>0</v>
      </c>
      <c r="AJ3" s="145">
        <v>0</v>
      </c>
      <c r="AK3" s="145">
        <f>'Purchase Order'!AK3</f>
        <v>0</v>
      </c>
      <c r="AL3" s="145">
        <f>'Purchase Order'!AL3</f>
        <v>0</v>
      </c>
      <c r="AM3" s="145">
        <f>'Purchase Order'!AM3</f>
        <v>0</v>
      </c>
      <c r="AN3" s="145">
        <f>'Purchase Order'!AN3</f>
        <v>0</v>
      </c>
      <c r="AO3" s="145">
        <f>'order produk beli'!X5</f>
        <v>3</v>
      </c>
      <c r="AP3" s="145">
        <f>'order produk beli'!P5</f>
        <v>50000000</v>
      </c>
      <c r="AQ3" s="145"/>
      <c r="AR3" s="145">
        <f>'order produk beli'!Y5</f>
        <v>4</v>
      </c>
      <c r="AS3" s="145"/>
      <c r="AT3" s="145">
        <f>'order produk beli'!P5</f>
        <v>50000000</v>
      </c>
      <c r="AU3" s="146">
        <f>SUM('order produk beli'!P5)</f>
        <v>50000000</v>
      </c>
      <c r="AV3" s="146">
        <f>SUM('order produk beli'!T5)</f>
        <v>5000000</v>
      </c>
      <c r="AW3" s="146">
        <f>SUM('order produk beli'!P5+'order produk beli'!T5)</f>
        <v>55000000</v>
      </c>
      <c r="AX3" s="146">
        <f>AW3</f>
        <v>55000000</v>
      </c>
      <c r="AY3" s="145">
        <f>'user id'!A2</f>
        <v>1</v>
      </c>
      <c r="AZ3" s="193">
        <f>'periode akuntansi'!A2</f>
        <v>1</v>
      </c>
      <c r="BA3" s="147"/>
    </row>
    <row r="4" spans="1:53" s="148" customFormat="1" x14ac:dyDescent="0.25">
      <c r="A4" s="148">
        <v>2</v>
      </c>
      <c r="B4" s="148">
        <f>'kode transaksi'!A27</f>
        <v>26</v>
      </c>
      <c r="C4" s="148" t="str">
        <f>CONCATENATE(B4,".",A4)</f>
        <v>26.2</v>
      </c>
      <c r="D4" s="148" t="str">
        <f>'kode transaksi'!B27</f>
        <v>PD</v>
      </c>
      <c r="E4" s="148" t="s">
        <v>1596</v>
      </c>
      <c r="F4" s="148">
        <f>kontak!A10</f>
        <v>8</v>
      </c>
      <c r="G4" s="148" t="str">
        <f>kontak!G10</f>
        <v>dodi kusuma</v>
      </c>
      <c r="H4" s="148">
        <f>kontak!K10</f>
        <v>217229385</v>
      </c>
      <c r="I4" s="148" t="str">
        <f>kontak!O10</f>
        <v>dodikusuma@yahoo.co.id</v>
      </c>
      <c r="J4" s="148">
        <v>0</v>
      </c>
      <c r="K4" s="148">
        <v>0</v>
      </c>
      <c r="L4" s="148" t="str">
        <f>CONCATENATE(B4,".",A4)</f>
        <v>26.2</v>
      </c>
      <c r="M4" s="148">
        <f>'data mata uang'!A3</f>
        <v>1</v>
      </c>
      <c r="N4" s="148" t="str">
        <f>'data mata uang'!D3</f>
        <v>IDR</v>
      </c>
      <c r="O4" s="148">
        <f>'data mata uang'!G3</f>
        <v>1</v>
      </c>
      <c r="P4" s="168">
        <v>43256</v>
      </c>
      <c r="Q4" s="148">
        <v>0</v>
      </c>
      <c r="R4" s="148">
        <v>0</v>
      </c>
      <c r="S4" s="148">
        <f>lokasi!A3</f>
        <v>1</v>
      </c>
      <c r="T4" s="148" t="str">
        <f>lokasi!B3</f>
        <v>cempaka putih</v>
      </c>
      <c r="U4" s="148" t="s">
        <v>1656</v>
      </c>
      <c r="V4" s="148">
        <v>0</v>
      </c>
      <c r="W4" s="148">
        <v>0</v>
      </c>
      <c r="X4" s="148">
        <v>0</v>
      </c>
      <c r="Y4" s="168">
        <v>43256</v>
      </c>
      <c r="Z4" s="148">
        <f>kontak!A6</f>
        <v>4</v>
      </c>
      <c r="AA4" s="148" t="str">
        <f>kontak!G6</f>
        <v>dea fitri maharani</v>
      </c>
      <c r="AB4" s="148">
        <v>0</v>
      </c>
      <c r="AC4" s="148">
        <v>0</v>
      </c>
      <c r="AD4" s="148">
        <v>0</v>
      </c>
      <c r="AE4" s="148">
        <v>0</v>
      </c>
      <c r="AF4" s="148">
        <v>0</v>
      </c>
      <c r="AG4" s="148">
        <v>0</v>
      </c>
      <c r="AH4" s="148">
        <v>0</v>
      </c>
      <c r="AI4" s="148">
        <v>0</v>
      </c>
      <c r="AJ4" s="148">
        <v>0</v>
      </c>
      <c r="AK4" s="148">
        <v>0</v>
      </c>
      <c r="AL4" s="148">
        <v>0</v>
      </c>
      <c r="AM4" s="148">
        <v>0</v>
      </c>
      <c r="AN4" s="148">
        <v>0</v>
      </c>
      <c r="AO4" s="148">
        <f>'order produk beli'!X7</f>
        <v>3</v>
      </c>
      <c r="AP4" s="148">
        <f>'order produk beli'!P7</f>
        <v>3000000</v>
      </c>
      <c r="AR4" s="148">
        <f>'order produk beli'!Y7</f>
        <v>4</v>
      </c>
      <c r="AT4" s="148">
        <f>'order produk beli'!P7</f>
        <v>3000000</v>
      </c>
      <c r="AU4" s="167">
        <f>SUM('order produk beli'!P7)</f>
        <v>3000000</v>
      </c>
      <c r="AV4" s="167">
        <f>SUM('order produk beli'!T7)</f>
        <v>300000</v>
      </c>
      <c r="AW4" s="167">
        <f>SUM('order produk beli'!P7+'order produk beli'!T7)</f>
        <v>3300000</v>
      </c>
      <c r="AX4" s="167">
        <f>AW4</f>
        <v>3300000</v>
      </c>
      <c r="AY4" s="148">
        <f>'user id'!A2</f>
        <v>1</v>
      </c>
      <c r="AZ4" s="148">
        <f>'periode akuntansi'!A2</f>
        <v>1</v>
      </c>
    </row>
  </sheetData>
  <mergeCells count="7">
    <mergeCell ref="J1:K1"/>
    <mergeCell ref="AG1:AH1"/>
    <mergeCell ref="F1:G1"/>
    <mergeCell ref="M1:O1"/>
    <mergeCell ref="Q1:R1"/>
    <mergeCell ref="S1:T1"/>
    <mergeCell ref="Z1:AA1"/>
  </mergeCells>
  <pageMargins left="0.7" right="0.7" top="0.75" bottom="0.75" header="0.3" footer="0.3"/>
  <pageSetup orientation="portrait" horizontalDpi="200" verticalDpi="20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C18"/>
  <sheetViews>
    <sheetView zoomScale="115" zoomScaleNormal="115" workbookViewId="0">
      <selection activeCell="E4" sqref="E4"/>
    </sheetView>
  </sheetViews>
  <sheetFormatPr defaultColWidth="9.140625" defaultRowHeight="15" x14ac:dyDescent="0.25"/>
  <cols>
    <col min="1" max="1" width="9.140625" style="1" bestFit="1" customWidth="1"/>
    <col min="2" max="2" width="18.7109375" style="1" bestFit="1" customWidth="1"/>
    <col min="3" max="3" width="11.42578125" style="256" bestFit="1" customWidth="1"/>
    <col min="4" max="4" width="19.85546875" style="1" customWidth="1"/>
    <col min="5" max="5" width="23.28515625" style="1" customWidth="1"/>
    <col min="6" max="6" width="10.7109375" style="1" bestFit="1" customWidth="1"/>
    <col min="7" max="7" width="14.42578125" style="1" bestFit="1" customWidth="1"/>
    <col min="8" max="8" width="14.28515625" style="1" bestFit="1" customWidth="1"/>
    <col min="9" max="9" width="26.7109375" style="1" bestFit="1" customWidth="1"/>
    <col min="10" max="10" width="20.28515625" style="1" bestFit="1" customWidth="1"/>
    <col min="11" max="11" width="21.42578125" style="1" bestFit="1" customWidth="1"/>
    <col min="12" max="12" width="7.140625" style="2" bestFit="1" customWidth="1"/>
    <col min="13" max="13" width="12" style="2" bestFit="1" customWidth="1"/>
    <col min="14" max="14" width="20" style="1" bestFit="1" customWidth="1"/>
    <col min="15" max="15" width="15" style="1" bestFit="1" customWidth="1"/>
    <col min="16" max="16" width="12.140625" style="1" bestFit="1" customWidth="1"/>
    <col min="17" max="17" width="11.140625" style="1" bestFit="1" customWidth="1"/>
    <col min="18" max="18" width="15.28515625" style="1" bestFit="1" customWidth="1"/>
    <col min="19" max="19" width="26.7109375" style="1" bestFit="1" customWidth="1"/>
    <col min="20" max="20" width="26.85546875" style="1" bestFit="1" customWidth="1"/>
    <col min="21" max="21" width="9.42578125" style="1" bestFit="1" customWidth="1"/>
    <col min="22" max="22" width="15.28515625" style="1" bestFit="1" customWidth="1"/>
    <col min="23" max="23" width="13.42578125" style="1" bestFit="1" customWidth="1"/>
    <col min="24" max="24" width="10.42578125" style="1" bestFit="1" customWidth="1"/>
    <col min="25" max="25" width="15.7109375" style="1" bestFit="1" customWidth="1"/>
    <col min="26" max="26" width="24.42578125" style="1" bestFit="1" customWidth="1"/>
    <col min="27" max="27" width="20.28515625" style="1" bestFit="1" customWidth="1"/>
    <col min="28" max="28" width="12" style="1" bestFit="1" customWidth="1"/>
    <col min="29" max="29" width="17.85546875" style="1" bestFit="1" customWidth="1"/>
    <col min="30" max="30" width="21.42578125" style="1" bestFit="1" customWidth="1"/>
    <col min="31" max="31" width="35.28515625" style="1" bestFit="1" customWidth="1"/>
    <col min="32" max="32" width="32.42578125" style="1" bestFit="1" customWidth="1"/>
    <col min="33" max="33" width="15" style="1" bestFit="1" customWidth="1"/>
    <col min="34" max="34" width="15.42578125" style="1" bestFit="1" customWidth="1"/>
    <col min="35" max="35" width="15.85546875" style="1" bestFit="1" customWidth="1"/>
    <col min="36" max="36" width="9.7109375" style="1" bestFit="1" customWidth="1"/>
    <col min="37" max="37" width="9.28515625" style="1" bestFit="1" customWidth="1"/>
    <col min="38" max="38" width="8.85546875" style="1" bestFit="1" customWidth="1"/>
    <col min="39" max="39" width="21.42578125" style="1" bestFit="1" customWidth="1"/>
    <col min="40" max="41" width="20.42578125" style="1" bestFit="1" customWidth="1"/>
    <col min="42" max="42" width="18.85546875" style="1" bestFit="1" customWidth="1"/>
    <col min="43" max="43" width="18.28515625" style="1" bestFit="1" customWidth="1"/>
    <col min="44" max="44" width="29.140625" style="1" bestFit="1" customWidth="1"/>
    <col min="45" max="45" width="37.85546875" style="1" bestFit="1" customWidth="1"/>
    <col min="46" max="46" width="38.28515625" style="1" bestFit="1" customWidth="1"/>
    <col min="47" max="47" width="33.42578125" style="1" bestFit="1" customWidth="1"/>
    <col min="48" max="48" width="42.42578125" style="41" bestFit="1" customWidth="1"/>
    <col min="49" max="49" width="42.85546875" style="41" bestFit="1" customWidth="1"/>
    <col min="50" max="50" width="25.42578125" style="1" bestFit="1" customWidth="1"/>
    <col min="51" max="51" width="28.140625" style="41" bestFit="1" customWidth="1"/>
    <col min="52" max="52" width="28.42578125" style="41" bestFit="1" customWidth="1"/>
    <col min="53" max="53" width="28.7109375" style="1" bestFit="1" customWidth="1"/>
    <col min="54" max="54" width="31.140625" style="1" bestFit="1" customWidth="1"/>
    <col min="55" max="55" width="31.7109375" style="1" bestFit="1" customWidth="1"/>
    <col min="56" max="56" width="23.42578125" style="1" bestFit="1" customWidth="1"/>
    <col min="57" max="57" width="32.140625" style="41" bestFit="1" customWidth="1"/>
    <col min="58" max="58" width="32.42578125" style="1" bestFit="1" customWidth="1"/>
    <col min="59" max="59" width="20.42578125" style="1" bestFit="1" customWidth="1"/>
    <col min="60" max="60" width="29.28515625" style="1" bestFit="1" customWidth="1"/>
    <col min="61" max="61" width="29.7109375" style="1" bestFit="1" customWidth="1"/>
    <col min="62" max="62" width="26.42578125" style="1" bestFit="1" customWidth="1"/>
    <col min="63" max="63" width="35" style="1" bestFit="1" customWidth="1"/>
    <col min="64" max="64" width="35.42578125" style="1" bestFit="1" customWidth="1"/>
    <col min="65" max="65" width="28.42578125" style="1" bestFit="1" customWidth="1"/>
    <col min="66" max="66" width="37.28515625" style="1" bestFit="1" customWidth="1"/>
    <col min="67" max="67" width="37.7109375" style="41" bestFit="1" customWidth="1"/>
    <col min="69" max="69" width="21" style="41" bestFit="1" customWidth="1"/>
    <col min="70" max="70" width="14.42578125" style="41" bestFit="1" customWidth="1"/>
    <col min="71" max="71" width="20" style="41" bestFit="1" customWidth="1"/>
    <col min="72" max="72" width="18" style="1" bestFit="1" customWidth="1"/>
    <col min="73" max="73" width="13.42578125" style="1" bestFit="1" customWidth="1"/>
    <col min="74" max="74" width="26.42578125" style="1" bestFit="1" customWidth="1"/>
    <col min="75" max="75" width="20.42578125" style="1" bestFit="1" customWidth="1"/>
    <col min="76" max="76" width="19.42578125" style="1" bestFit="1" customWidth="1"/>
    <col min="77" max="77" width="11.85546875" style="1" bestFit="1" customWidth="1"/>
    <col min="78" max="78" width="9.85546875" style="1" bestFit="1" customWidth="1"/>
    <col min="79" max="79" width="11.140625" style="1" bestFit="1" customWidth="1"/>
    <col min="80" max="80" width="22.140625" style="1" bestFit="1" customWidth="1"/>
    <col min="81" max="81" width="18.7109375" style="1" bestFit="1" customWidth="1"/>
    <col min="82" max="88" width="19.7109375" style="1" customWidth="1"/>
    <col min="89" max="16384" width="9.140625" style="1"/>
  </cols>
  <sheetData>
    <row r="1" spans="1:81" s="44" customFormat="1" ht="15" customHeight="1" x14ac:dyDescent="0.25">
      <c r="C1" s="255"/>
      <c r="E1" s="44" t="s">
        <v>1425</v>
      </c>
      <c r="F1" s="297" t="s">
        <v>1404</v>
      </c>
      <c r="G1" s="297"/>
      <c r="H1" s="44" t="s">
        <v>1387</v>
      </c>
      <c r="I1" s="44" t="s">
        <v>980</v>
      </c>
      <c r="K1" s="44" t="s">
        <v>1426</v>
      </c>
      <c r="L1" s="50"/>
      <c r="M1" s="50" t="s">
        <v>1427</v>
      </c>
      <c r="O1" s="297" t="s">
        <v>1145</v>
      </c>
      <c r="P1" s="297"/>
      <c r="Q1" s="297"/>
      <c r="R1" s="44" t="s">
        <v>1428</v>
      </c>
      <c r="S1" s="297" t="s">
        <v>916</v>
      </c>
      <c r="T1" s="297"/>
      <c r="U1" s="297" t="s">
        <v>919</v>
      </c>
      <c r="V1" s="297"/>
      <c r="W1" s="44" t="s">
        <v>920</v>
      </c>
      <c r="X1" s="44" t="s">
        <v>1023</v>
      </c>
      <c r="Y1" s="44" t="s">
        <v>1021</v>
      </c>
      <c r="Z1" s="44" t="s">
        <v>922</v>
      </c>
      <c r="AA1" s="44" t="s">
        <v>1409</v>
      </c>
      <c r="AB1" s="297" t="s">
        <v>924</v>
      </c>
      <c r="AC1" s="297"/>
      <c r="AD1" s="44" t="s">
        <v>1464</v>
      </c>
      <c r="AE1" s="80" t="s">
        <v>1406</v>
      </c>
      <c r="AF1" s="80" t="s">
        <v>1437</v>
      </c>
      <c r="AG1" s="80" t="s">
        <v>1433</v>
      </c>
      <c r="AH1" s="80" t="s">
        <v>1434</v>
      </c>
      <c r="AI1" s="304" t="s">
        <v>1435</v>
      </c>
      <c r="AJ1" s="304"/>
      <c r="AK1" s="80" t="s">
        <v>1436</v>
      </c>
      <c r="AL1" s="80" t="s">
        <v>1438</v>
      </c>
      <c r="AM1" s="44" t="s">
        <v>1429</v>
      </c>
      <c r="AN1" s="44" t="s">
        <v>1389</v>
      </c>
      <c r="AO1" s="44" t="s">
        <v>1391</v>
      </c>
      <c r="AP1" s="44" t="s">
        <v>1390</v>
      </c>
      <c r="AQ1" s="44" t="s">
        <v>1392</v>
      </c>
      <c r="AV1" s="79"/>
      <c r="AW1" s="79"/>
      <c r="AY1" s="79"/>
      <c r="AZ1" s="79"/>
      <c r="BE1" s="79"/>
      <c r="BO1" s="79"/>
      <c r="BQ1" s="79"/>
      <c r="BR1" s="79" t="s">
        <v>1459</v>
      </c>
      <c r="BS1" s="79" t="s">
        <v>1460</v>
      </c>
      <c r="BT1" s="44" t="s">
        <v>1451</v>
      </c>
      <c r="BV1" s="44" t="s">
        <v>1461</v>
      </c>
      <c r="BW1" s="44" t="s">
        <v>1467</v>
      </c>
      <c r="BX1" s="44" t="s">
        <v>1468</v>
      </c>
      <c r="BY1" s="44" t="s">
        <v>1462</v>
      </c>
      <c r="BZ1" s="44" t="s">
        <v>1463</v>
      </c>
    </row>
    <row r="2" spans="1:81" x14ac:dyDescent="0.25">
      <c r="A2" s="1" t="s">
        <v>419</v>
      </c>
      <c r="B2" s="1" t="s">
        <v>617</v>
      </c>
      <c r="C2" s="256" t="s">
        <v>1685</v>
      </c>
      <c r="D2" s="1" t="s">
        <v>614</v>
      </c>
      <c r="E2" s="1" t="s">
        <v>421</v>
      </c>
      <c r="F2" s="1" t="s">
        <v>408</v>
      </c>
      <c r="G2" s="1" t="s">
        <v>409</v>
      </c>
      <c r="H2" s="1" t="s">
        <v>19</v>
      </c>
      <c r="I2" s="1" t="s">
        <v>20</v>
      </c>
      <c r="J2" s="1" t="s">
        <v>411</v>
      </c>
      <c r="K2" s="1" t="s">
        <v>412</v>
      </c>
      <c r="L2" s="1" t="s">
        <v>488</v>
      </c>
      <c r="M2" s="1" t="s">
        <v>489</v>
      </c>
      <c r="N2" s="1" t="s">
        <v>655</v>
      </c>
      <c r="O2" s="1" t="s">
        <v>115</v>
      </c>
      <c r="P2" s="1" t="s">
        <v>21</v>
      </c>
      <c r="Q2" s="1" t="s">
        <v>828</v>
      </c>
      <c r="R2" s="1" t="s">
        <v>423</v>
      </c>
      <c r="S2" s="1" t="s">
        <v>22</v>
      </c>
      <c r="T2" s="1" t="s">
        <v>422</v>
      </c>
      <c r="U2" s="1" t="s">
        <v>24</v>
      </c>
      <c r="V2" s="1" t="s">
        <v>467</v>
      </c>
      <c r="W2" s="1" t="s">
        <v>26</v>
      </c>
      <c r="X2" s="1" t="s">
        <v>46</v>
      </c>
      <c r="Y2" s="1" t="s">
        <v>47</v>
      </c>
      <c r="Z2" s="1" t="s">
        <v>33</v>
      </c>
      <c r="AA2" s="1" t="s">
        <v>430</v>
      </c>
      <c r="AB2" s="1" t="s">
        <v>35</v>
      </c>
      <c r="AC2" s="1" t="s">
        <v>36</v>
      </c>
      <c r="AD2" s="1" t="s">
        <v>1469</v>
      </c>
      <c r="AE2" s="1" t="s">
        <v>37</v>
      </c>
      <c r="AF2" s="1" t="s">
        <v>1465</v>
      </c>
      <c r="AG2" s="1" t="s">
        <v>1430</v>
      </c>
      <c r="AH2" s="1" t="s">
        <v>1431</v>
      </c>
      <c r="AI2" s="1" t="s">
        <v>869</v>
      </c>
      <c r="AJ2" s="1" t="s">
        <v>856</v>
      </c>
      <c r="AK2" s="1" t="s">
        <v>1432</v>
      </c>
      <c r="AL2" s="1" t="s">
        <v>1071</v>
      </c>
      <c r="AM2" s="1" t="s">
        <v>879</v>
      </c>
      <c r="AN2" s="1" t="s">
        <v>38</v>
      </c>
      <c r="AO2" s="1" t="s">
        <v>39</v>
      </c>
      <c r="AP2" s="1" t="s">
        <v>876</v>
      </c>
      <c r="AQ2" s="1" t="s">
        <v>40</v>
      </c>
      <c r="AR2" s="9" t="s">
        <v>478</v>
      </c>
      <c r="AS2" s="1" t="s">
        <v>57</v>
      </c>
      <c r="AT2" s="1" t="s">
        <v>58</v>
      </c>
      <c r="AU2" s="9" t="s">
        <v>650</v>
      </c>
      <c r="AV2" s="41" t="s">
        <v>417</v>
      </c>
      <c r="AW2" s="41" t="s">
        <v>418</v>
      </c>
      <c r="AX2" s="10" t="s">
        <v>651</v>
      </c>
      <c r="AY2" s="41" t="s">
        <v>424</v>
      </c>
      <c r="AZ2" s="41" t="s">
        <v>425</v>
      </c>
      <c r="BA2" s="10" t="s">
        <v>652</v>
      </c>
      <c r="BB2" s="1" t="s">
        <v>426</v>
      </c>
      <c r="BC2" s="1" t="s">
        <v>427</v>
      </c>
      <c r="BD2" s="11" t="s">
        <v>69</v>
      </c>
      <c r="BE2" s="41" t="s">
        <v>70</v>
      </c>
      <c r="BF2" s="1" t="s">
        <v>71</v>
      </c>
      <c r="BG2" s="11" t="s">
        <v>72</v>
      </c>
      <c r="BH2" s="1" t="s">
        <v>73</v>
      </c>
      <c r="BI2" s="1" t="s">
        <v>74</v>
      </c>
      <c r="BJ2" s="12" t="s">
        <v>847</v>
      </c>
      <c r="BK2" s="1" t="s">
        <v>845</v>
      </c>
      <c r="BL2" s="1" t="s">
        <v>846</v>
      </c>
      <c r="BM2" s="12" t="s">
        <v>653</v>
      </c>
      <c r="BN2" s="1" t="s">
        <v>428</v>
      </c>
      <c r="BO2" s="41" t="s">
        <v>429</v>
      </c>
      <c r="BQ2" s="41" t="s">
        <v>487</v>
      </c>
      <c r="BR2" s="41" t="s">
        <v>41</v>
      </c>
      <c r="BS2" s="41" t="s">
        <v>42</v>
      </c>
      <c r="BT2" s="1" t="s">
        <v>1470</v>
      </c>
      <c r="BU2" s="1" t="s">
        <v>1439</v>
      </c>
      <c r="BV2" s="1" t="s">
        <v>1472</v>
      </c>
      <c r="BW2" s="1" t="s">
        <v>432</v>
      </c>
      <c r="BX2" s="1" t="s">
        <v>433</v>
      </c>
      <c r="BY2" s="1" t="s">
        <v>434</v>
      </c>
      <c r="BZ2" s="1" t="s">
        <v>435</v>
      </c>
      <c r="CA2" s="1" t="s">
        <v>624</v>
      </c>
      <c r="CB2" s="1" t="s">
        <v>1129</v>
      </c>
      <c r="CC2" s="1" t="s">
        <v>848</v>
      </c>
    </row>
    <row r="3" spans="1:81" x14ac:dyDescent="0.25">
      <c r="A3" s="1">
        <v>1</v>
      </c>
      <c r="B3" s="1">
        <f>'kode transaksi'!A9</f>
        <v>8</v>
      </c>
      <c r="C3" s="256" t="str">
        <f>CONCATENATE(B3,".",A3)</f>
        <v>8.1</v>
      </c>
      <c r="D3" s="133" t="str">
        <f>'kode transaksi'!B9</f>
        <v>PJ</v>
      </c>
      <c r="E3" s="1" t="s">
        <v>1595</v>
      </c>
      <c r="F3" s="1">
        <f>kontak!A9</f>
        <v>7</v>
      </c>
      <c r="G3" s="1" t="str">
        <f>kontak!G9</f>
        <v>djayakusuma</v>
      </c>
      <c r="H3" s="1">
        <f>kontak!K9</f>
        <v>8170175139</v>
      </c>
      <c r="I3" s="1" t="str">
        <f>kontak!O9</f>
        <v>djayakusuma@gmail.com</v>
      </c>
      <c r="J3" s="1">
        <v>0</v>
      </c>
      <c r="K3" s="1">
        <v>0</v>
      </c>
      <c r="L3" s="2">
        <f>'Purchase Delivery'!A3</f>
        <v>1</v>
      </c>
      <c r="M3" s="2" t="str">
        <f>CONCATENATE('Purchase Delivery'!D3,'Purchase Delivery'!E3)</f>
        <v>PD.000001</v>
      </c>
      <c r="N3" s="1" t="str">
        <f>'Purchase Delivery'!L3</f>
        <v>14.1</v>
      </c>
      <c r="O3" s="1">
        <f>'Purchase Delivery'!M3</f>
        <v>1</v>
      </c>
      <c r="P3" s="1" t="str">
        <f>'data mata uang'!D3</f>
        <v>IDR</v>
      </c>
      <c r="Q3" s="1">
        <f>'data mata uang'!G3</f>
        <v>1</v>
      </c>
      <c r="R3" s="6">
        <v>43256</v>
      </c>
      <c r="S3" s="1">
        <v>0</v>
      </c>
      <c r="T3" s="1">
        <v>0</v>
      </c>
      <c r="U3" s="1">
        <f>'Purchase Delivery'!S3</f>
        <v>1</v>
      </c>
      <c r="V3" s="1" t="str">
        <f>lokasi!B3</f>
        <v>cempaka putih</v>
      </c>
      <c r="W3" s="1" t="str">
        <f>'Purchase Delivery'!U3</f>
        <v>beli iPhone</v>
      </c>
      <c r="X3" s="1">
        <f>'Purchase Delivery'!V3</f>
        <v>0</v>
      </c>
      <c r="Y3" s="1">
        <f>'Purchase Delivery'!W3</f>
        <v>0</v>
      </c>
      <c r="Z3" s="1">
        <v>0</v>
      </c>
      <c r="AA3" s="6">
        <v>43256</v>
      </c>
      <c r="AB3" s="1">
        <f>kontak!A6</f>
        <v>4</v>
      </c>
      <c r="AC3" s="1" t="str">
        <f>kontak!G6</f>
        <v>dea fitri maharani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U3" s="1">
        <f>'order produk beli'!Y6</f>
        <v>4</v>
      </c>
      <c r="AV3" s="41">
        <f>SUM('order produk beli'!P6)</f>
        <v>50000000</v>
      </c>
      <c r="BD3" s="1">
        <f>'order produk beli'!U6</f>
        <v>18</v>
      </c>
      <c r="BE3" s="41">
        <f>SUM('order produk beli'!T6)</f>
        <v>5000000</v>
      </c>
      <c r="BM3" s="1">
        <f>'default akun mata uang'!C3</f>
        <v>8</v>
      </c>
      <c r="BO3" s="41">
        <f>SUM('order produk beli'!P6+'order produk beli'!T6)</f>
        <v>55000000</v>
      </c>
      <c r="BQ3" s="41">
        <f>SUM('order produk beli'!P6)</f>
        <v>50000000</v>
      </c>
      <c r="BR3" s="41">
        <f>SUM('order produk beli'!T6)</f>
        <v>5000000</v>
      </c>
      <c r="BS3" s="41">
        <f>SUM('order produk beli'!P6+'order produk beli'!T6)</f>
        <v>55000000</v>
      </c>
      <c r="BT3" s="1">
        <v>0</v>
      </c>
      <c r="BU3" s="207">
        <v>0</v>
      </c>
      <c r="BV3" s="207">
        <v>0</v>
      </c>
      <c r="BW3" s="41"/>
      <c r="BX3" s="207">
        <v>0</v>
      </c>
      <c r="BY3" s="207">
        <v>0</v>
      </c>
      <c r="BZ3" s="207">
        <v>0</v>
      </c>
      <c r="CA3" s="1">
        <f>'user id'!A2</f>
        <v>1</v>
      </c>
      <c r="CB3" s="1">
        <f>'periode akuntansi'!A2</f>
        <v>1</v>
      </c>
    </row>
    <row r="4" spans="1:81" x14ac:dyDescent="0.25">
      <c r="A4" s="1">
        <v>2</v>
      </c>
      <c r="B4" s="1">
        <f>'kode transaksi'!A9</f>
        <v>8</v>
      </c>
      <c r="C4" s="256" t="str">
        <f t="shared" ref="C4:C10" si="0">CONCATENATE(B4,".",A4)</f>
        <v>8.2</v>
      </c>
      <c r="D4" s="133" t="str">
        <f>'kode transaksi'!B9</f>
        <v>PJ</v>
      </c>
      <c r="E4" s="1" t="s">
        <v>1596</v>
      </c>
      <c r="F4" s="1">
        <f>kontak!A10</f>
        <v>8</v>
      </c>
      <c r="G4" s="1" t="str">
        <f>kontak!G10</f>
        <v>dodi kusuma</v>
      </c>
      <c r="H4" s="1">
        <f>kontak!K10</f>
        <v>217229385</v>
      </c>
      <c r="I4" s="1" t="str">
        <f>kontak!O10</f>
        <v>dodikusuma@yahoo.co.id</v>
      </c>
      <c r="J4" s="1">
        <v>0</v>
      </c>
      <c r="K4" s="1">
        <v>0</v>
      </c>
      <c r="L4" s="2">
        <v>0</v>
      </c>
      <c r="M4" s="2">
        <v>0</v>
      </c>
      <c r="N4" s="1" t="str">
        <f>CONCATENATE(B4,".",A4)</f>
        <v>8.2</v>
      </c>
      <c r="O4" s="1">
        <f>'data mata uang'!A3</f>
        <v>1</v>
      </c>
      <c r="P4" s="1" t="str">
        <f>'data mata uang'!D3</f>
        <v>IDR</v>
      </c>
      <c r="Q4" s="1">
        <f>'data mata uang'!G3</f>
        <v>1</v>
      </c>
      <c r="R4" s="6">
        <v>43257</v>
      </c>
      <c r="S4" s="1">
        <v>0</v>
      </c>
      <c r="T4" s="1">
        <v>0</v>
      </c>
      <c r="U4" s="1">
        <f>lokasi!A4</f>
        <v>2</v>
      </c>
      <c r="V4" s="1" t="str">
        <f>lokasi!B4</f>
        <v>komplek timah</v>
      </c>
      <c r="W4" s="1" t="s">
        <v>1552</v>
      </c>
      <c r="X4" s="1">
        <v>0</v>
      </c>
      <c r="Y4" s="1">
        <v>0</v>
      </c>
      <c r="Z4" s="1">
        <v>0</v>
      </c>
      <c r="AA4" s="6">
        <v>43257</v>
      </c>
      <c r="AB4" s="1">
        <f>kontak!A7</f>
        <v>5</v>
      </c>
      <c r="AC4" s="1" t="str">
        <f>kontak!G7</f>
        <v>gisela tria canitha</v>
      </c>
      <c r="AD4" s="1">
        <v>0</v>
      </c>
      <c r="AE4" s="1">
        <v>1</v>
      </c>
      <c r="AF4" s="1" t="s">
        <v>667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f>'order produk beli'!X9</f>
        <v>3</v>
      </c>
      <c r="AS4" s="1">
        <f>SUM('order produk beli'!P9)</f>
        <v>5000000</v>
      </c>
      <c r="AX4" s="1">
        <f>'order jasa beli'!S2</f>
        <v>37</v>
      </c>
      <c r="AY4" s="41">
        <f>SUM('order jasa beli'!M2)</f>
        <v>500000</v>
      </c>
      <c r="BD4" s="1">
        <f>'order produk beli'!U9</f>
        <v>18</v>
      </c>
      <c r="BE4" s="41">
        <f>'order produk beli'!T9</f>
        <v>500000</v>
      </c>
      <c r="BG4" s="1">
        <f>'order jasa beli'!R2</f>
        <v>21</v>
      </c>
      <c r="BH4" s="1">
        <f>SUM('order jasa beli'!Q2)</f>
        <v>10000</v>
      </c>
      <c r="BJ4" s="1">
        <f>'default akun mata uang'!E3</f>
        <v>9</v>
      </c>
      <c r="BL4" s="1">
        <f>SUM('order produk beli'!P9+'order produk beli'!T9+'order jasa beli'!M2+'order jasa beli'!Q2)</f>
        <v>6010000</v>
      </c>
      <c r="BQ4" s="41">
        <f>SUM('order produk beli'!P9+'order jasa beli'!M2)</f>
        <v>5500000</v>
      </c>
      <c r="BR4" s="41">
        <f>SUM('order produk beli'!T9+'order jasa beli'!Q2)</f>
        <v>510000</v>
      </c>
      <c r="BS4" s="41">
        <f>SUM('order produk beli'!P9+'order produk beli'!T9+'order jasa beli'!M2+'order jasa beli'!Q2)</f>
        <v>6010000</v>
      </c>
      <c r="BT4" s="207">
        <v>0</v>
      </c>
      <c r="BU4" s="207">
        <v>0</v>
      </c>
      <c r="BV4" s="207">
        <v>0</v>
      </c>
      <c r="BW4" s="41"/>
      <c r="BX4" s="207">
        <v>0</v>
      </c>
      <c r="BY4" s="207">
        <v>0</v>
      </c>
      <c r="BZ4" s="207">
        <v>0</v>
      </c>
      <c r="CA4" s="1">
        <f>'user id'!A3</f>
        <v>2</v>
      </c>
      <c r="CB4" s="1">
        <f>'periode akuntansi'!A2</f>
        <v>1</v>
      </c>
    </row>
    <row r="5" spans="1:81" x14ac:dyDescent="0.25">
      <c r="A5" s="1">
        <v>3</v>
      </c>
      <c r="B5" s="1">
        <f>'kode transaksi'!A9</f>
        <v>8</v>
      </c>
      <c r="C5" s="256" t="str">
        <f t="shared" si="0"/>
        <v>8.3</v>
      </c>
      <c r="D5" s="133" t="str">
        <f>'kode transaksi'!B9</f>
        <v>PJ</v>
      </c>
      <c r="E5" s="1" t="s">
        <v>1597</v>
      </c>
      <c r="F5" s="1">
        <f>kontak!A9</f>
        <v>7</v>
      </c>
      <c r="G5" s="1" t="str">
        <f>kontak!G9</f>
        <v>djayakusuma</v>
      </c>
      <c r="H5" s="1">
        <f>kontak!K9</f>
        <v>8170175139</v>
      </c>
      <c r="I5" s="1" t="str">
        <f>kontak!O9</f>
        <v>djayakusuma@gmail.com</v>
      </c>
      <c r="J5" s="1">
        <v>0</v>
      </c>
      <c r="K5" s="1">
        <v>0</v>
      </c>
      <c r="L5" s="2">
        <v>0</v>
      </c>
      <c r="M5" s="2">
        <v>0</v>
      </c>
      <c r="N5" s="1" t="str">
        <f>CONCATENATE(B5,".",A5)</f>
        <v>8.3</v>
      </c>
      <c r="O5" s="1">
        <f>'data mata uang'!A3</f>
        <v>1</v>
      </c>
      <c r="P5" s="1" t="str">
        <f>'data mata uang'!D3</f>
        <v>IDR</v>
      </c>
      <c r="Q5" s="1">
        <f>'data mata uang'!G3</f>
        <v>1</v>
      </c>
      <c r="R5" s="6">
        <v>43257</v>
      </c>
      <c r="S5" s="1">
        <v>0</v>
      </c>
      <c r="T5" s="1">
        <v>0</v>
      </c>
      <c r="U5" s="1">
        <f>lokasi!A3</f>
        <v>1</v>
      </c>
      <c r="V5" s="1" t="str">
        <f>lokasi!B3</f>
        <v>cempaka putih</v>
      </c>
      <c r="W5" s="1" t="s">
        <v>1553</v>
      </c>
      <c r="X5" s="1">
        <v>0</v>
      </c>
      <c r="Y5" s="1">
        <v>0</v>
      </c>
      <c r="Z5" s="1">
        <v>0</v>
      </c>
      <c r="AA5" s="6">
        <v>43257</v>
      </c>
      <c r="AB5" s="1">
        <f>kontak!A6</f>
        <v>4</v>
      </c>
      <c r="AC5" s="1" t="str">
        <f>kontak!G6</f>
        <v>dea fitri maharani</v>
      </c>
      <c r="AD5" s="1">
        <v>0</v>
      </c>
      <c r="AE5" s="1">
        <v>1</v>
      </c>
      <c r="AF5" s="1" t="s">
        <v>667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f>'order produk beli'!X10</f>
        <v>3</v>
      </c>
      <c r="AS5" s="1">
        <f>SUM('order produk beli'!P10)</f>
        <v>62500000</v>
      </c>
      <c r="BD5" s="1">
        <f>'order produk beli'!U10</f>
        <v>18</v>
      </c>
      <c r="BE5" s="41">
        <f>'order produk beli'!T10</f>
        <v>6250000</v>
      </c>
      <c r="BJ5" s="1">
        <f>'default akun mata uang'!D3</f>
        <v>6</v>
      </c>
      <c r="BL5" s="1">
        <f>SUM('order produk beli'!P10+'order produk beli'!T10)</f>
        <v>68750000</v>
      </c>
      <c r="BP5" s="1"/>
      <c r="BQ5" s="41">
        <f>SUM('order produk beli'!P10)</f>
        <v>62500000</v>
      </c>
      <c r="BR5" s="41">
        <f>SUM('order produk beli'!T10)</f>
        <v>6250000</v>
      </c>
      <c r="BS5" s="41">
        <f>SUM('order produk beli'!P10+'order produk beli'!T10)</f>
        <v>68750000</v>
      </c>
      <c r="BT5" s="207">
        <v>0</v>
      </c>
      <c r="BU5" s="207">
        <v>0</v>
      </c>
      <c r="BV5" s="207">
        <v>0</v>
      </c>
      <c r="BW5" s="41"/>
      <c r="BX5" s="207">
        <v>0</v>
      </c>
      <c r="BY5" s="207">
        <v>0</v>
      </c>
      <c r="BZ5" s="207">
        <v>0</v>
      </c>
      <c r="CA5" s="1">
        <f>'user id'!A2</f>
        <v>1</v>
      </c>
      <c r="CB5" s="1">
        <f>'periode akuntansi'!A2</f>
        <v>1</v>
      </c>
    </row>
    <row r="6" spans="1:81" x14ac:dyDescent="0.25">
      <c r="A6" s="1">
        <v>4</v>
      </c>
      <c r="B6" s="1">
        <f>'kode transaksi'!A9</f>
        <v>8</v>
      </c>
      <c r="C6" s="256" t="str">
        <f t="shared" si="0"/>
        <v>8.4</v>
      </c>
      <c r="D6" s="133" t="str">
        <f>'kode transaksi'!B9</f>
        <v>PJ</v>
      </c>
      <c r="E6" s="1" t="s">
        <v>1598</v>
      </c>
      <c r="F6" s="1">
        <f>kontak!A10</f>
        <v>8</v>
      </c>
      <c r="G6" s="1" t="str">
        <f>kontak!G10</f>
        <v>dodi kusuma</v>
      </c>
      <c r="H6" s="1">
        <f>kontak!K10</f>
        <v>217229385</v>
      </c>
      <c r="I6" s="1" t="str">
        <f>kontak!O10</f>
        <v>dodikusuma@yahoo.co.id</v>
      </c>
      <c r="J6" s="1">
        <v>0</v>
      </c>
      <c r="K6" s="1">
        <v>0</v>
      </c>
      <c r="L6" s="2">
        <v>0</v>
      </c>
      <c r="M6" s="2">
        <v>0</v>
      </c>
      <c r="N6" s="1" t="str">
        <f>CONCATENATE(B6,".",A6)</f>
        <v>8.4</v>
      </c>
      <c r="O6" s="1">
        <f>'data mata uang'!A3</f>
        <v>1</v>
      </c>
      <c r="P6" s="1" t="str">
        <f>'data mata uang'!D3</f>
        <v>IDR</v>
      </c>
      <c r="Q6" s="1">
        <f>'data mata uang'!G3</f>
        <v>1</v>
      </c>
      <c r="R6" s="6">
        <v>43258</v>
      </c>
      <c r="S6" s="1">
        <v>0</v>
      </c>
      <c r="T6" s="1">
        <v>0</v>
      </c>
      <c r="U6" s="1">
        <f>lokasi!A3</f>
        <v>1</v>
      </c>
      <c r="V6" s="1" t="str">
        <f>lokasi!B3</f>
        <v>cempaka putih</v>
      </c>
      <c r="W6" s="1" t="s">
        <v>1555</v>
      </c>
      <c r="X6" s="1">
        <v>0</v>
      </c>
      <c r="Y6" s="1">
        <v>0</v>
      </c>
      <c r="Z6" s="1">
        <v>0</v>
      </c>
      <c r="AA6" s="6">
        <v>43288</v>
      </c>
      <c r="AB6" s="1">
        <f>kontak!A7</f>
        <v>5</v>
      </c>
      <c r="AC6" s="1" t="str">
        <f>kontak!G7</f>
        <v>gisela tria canitha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f>'order produk beli'!X11</f>
        <v>3</v>
      </c>
      <c r="AS6" s="1">
        <f>SUM('order produk beli'!P11)</f>
        <v>120000000</v>
      </c>
      <c r="BD6" s="1">
        <f>'order produk beli'!U11</f>
        <v>18</v>
      </c>
      <c r="BE6" s="41">
        <f>'order produk beli'!T11</f>
        <v>12000000</v>
      </c>
      <c r="BM6" s="1">
        <f>'default akun mata uang'!C3</f>
        <v>8</v>
      </c>
      <c r="BO6" s="41">
        <f>SUM('order produk beli'!P11+'order produk beli'!T11)</f>
        <v>132000000</v>
      </c>
      <c r="BP6" s="1"/>
      <c r="BQ6" s="41">
        <f>SUM('order produk beli'!P11)</f>
        <v>120000000</v>
      </c>
      <c r="BR6" s="41">
        <f>SUM('order produk beli'!T11)</f>
        <v>12000000</v>
      </c>
      <c r="BS6" s="41">
        <f>SUM('order produk beli'!P11+'order produk beli'!T11)</f>
        <v>132000000</v>
      </c>
      <c r="BT6" s="207">
        <v>0</v>
      </c>
      <c r="BU6" s="207">
        <v>0</v>
      </c>
      <c r="BV6" s="207">
        <v>0</v>
      </c>
      <c r="BW6" s="41"/>
      <c r="BX6" s="207">
        <v>0</v>
      </c>
      <c r="BY6" s="207">
        <v>0</v>
      </c>
      <c r="BZ6" s="207">
        <v>0</v>
      </c>
      <c r="CA6" s="1">
        <f>'user id'!A3</f>
        <v>2</v>
      </c>
      <c r="CB6" s="1">
        <f>'periode akuntansi'!A2</f>
        <v>1</v>
      </c>
    </row>
    <row r="7" spans="1:81" x14ac:dyDescent="0.25">
      <c r="A7" s="1">
        <v>7</v>
      </c>
      <c r="B7" s="207">
        <f>'kode transaksi'!A9</f>
        <v>8</v>
      </c>
      <c r="C7" s="256" t="str">
        <f t="shared" si="0"/>
        <v>8.7</v>
      </c>
      <c r="D7" s="207" t="str">
        <f>'kode transaksi'!B9</f>
        <v>PJ</v>
      </c>
      <c r="E7" s="207" t="s">
        <v>1599</v>
      </c>
      <c r="F7" s="1">
        <f>'Purchase Order'!F4</f>
        <v>7</v>
      </c>
      <c r="G7" s="207" t="str">
        <f>kontak!G9</f>
        <v>djayakusuma</v>
      </c>
      <c r="H7" s="207">
        <f>kontak!K9</f>
        <v>8170175139</v>
      </c>
      <c r="I7" s="207" t="str">
        <f>kontak!O9</f>
        <v>djayakusuma@gmail.com</v>
      </c>
      <c r="J7" s="207">
        <f>'Purchase Order'!A4</f>
        <v>2</v>
      </c>
      <c r="K7" s="207" t="str">
        <f>CONCATENATE('Purchase Order'!D4,'Purchase Order'!E4)</f>
        <v>PO.000002</v>
      </c>
      <c r="L7" s="207">
        <v>0</v>
      </c>
      <c r="M7" s="207">
        <v>0</v>
      </c>
      <c r="N7" s="1" t="str">
        <f>'Purchase Order'!L4</f>
        <v>17.2</v>
      </c>
      <c r="O7" s="1">
        <f>'Purchase Order'!M4</f>
        <v>1</v>
      </c>
      <c r="P7" s="207" t="str">
        <f>'data mata uang'!D3</f>
        <v>IDR</v>
      </c>
      <c r="Q7" s="207">
        <f>'data mata uang'!G3</f>
        <v>1</v>
      </c>
      <c r="R7" s="6">
        <v>43260</v>
      </c>
      <c r="S7" s="1">
        <v>0</v>
      </c>
      <c r="T7" s="1">
        <v>0</v>
      </c>
      <c r="U7" s="1">
        <f>'Purchase Order'!S4</f>
        <v>2</v>
      </c>
      <c r="V7" s="207" t="str">
        <f>lokasi!B4</f>
        <v>komplek timah</v>
      </c>
      <c r="W7" s="1" t="str">
        <f>'Purchase Order'!U4</f>
        <v>beli tambahan casing</v>
      </c>
      <c r="X7" s="1">
        <f>'Purchase Order'!V4</f>
        <v>0</v>
      </c>
      <c r="Y7" s="207">
        <f>'Purchase Order'!W4</f>
        <v>0</v>
      </c>
      <c r="Z7" s="1">
        <f>'Purchase Order'!X4</f>
        <v>0</v>
      </c>
      <c r="AA7" s="6">
        <v>43261</v>
      </c>
      <c r="AB7" s="207">
        <f>kontak!A8</f>
        <v>6</v>
      </c>
      <c r="AC7" s="207" t="str">
        <f>kontak!G8</f>
        <v>yusril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207">
        <f>'order produk beli'!X14</f>
        <v>3</v>
      </c>
      <c r="AS7" s="207">
        <f>SUM('order produk beli'!P14)</f>
        <v>550000</v>
      </c>
      <c r="BD7" s="207">
        <f>'order produk beli'!U14</f>
        <v>18</v>
      </c>
      <c r="BE7" s="41">
        <f>'order produk beli'!T14</f>
        <v>55000</v>
      </c>
      <c r="BM7" s="207">
        <f>'default akun mata uang'!C3</f>
        <v>8</v>
      </c>
      <c r="BN7" s="207"/>
      <c r="BO7" s="41">
        <f>SUM('order produk beli'!P14+'order produk beli'!T14)</f>
        <v>605000</v>
      </c>
      <c r="BP7" s="1"/>
      <c r="BQ7" s="41">
        <f>SUM('order produk beli'!P14)</f>
        <v>550000</v>
      </c>
      <c r="BR7" s="41">
        <f>SUM('order produk beli'!T14)</f>
        <v>55000</v>
      </c>
      <c r="BS7" s="41">
        <f>SUM('order produk beli'!P14+'order produk beli'!T14)</f>
        <v>605000</v>
      </c>
      <c r="BT7" s="207">
        <v>0</v>
      </c>
      <c r="BU7" s="207">
        <v>0</v>
      </c>
      <c r="BV7" s="207">
        <v>0</v>
      </c>
      <c r="BW7" s="207"/>
      <c r="BX7" s="207">
        <v>0</v>
      </c>
      <c r="BY7" s="207">
        <v>0</v>
      </c>
      <c r="BZ7" s="207">
        <v>0</v>
      </c>
      <c r="CA7" s="207">
        <f>'user id'!A4</f>
        <v>3</v>
      </c>
      <c r="CB7" s="208">
        <f>'periode akuntansi'!A2</f>
        <v>1</v>
      </c>
    </row>
    <row r="8" spans="1:81" s="212" customFormat="1" x14ac:dyDescent="0.25">
      <c r="A8" s="212">
        <v>8</v>
      </c>
      <c r="B8" s="212">
        <f>'kode transaksi'!A9</f>
        <v>8</v>
      </c>
      <c r="C8" s="256" t="str">
        <f t="shared" si="0"/>
        <v>8.8</v>
      </c>
      <c r="D8" s="212" t="str">
        <f>'kode transaksi'!B9</f>
        <v>PJ</v>
      </c>
      <c r="E8" s="212" t="s">
        <v>1631</v>
      </c>
      <c r="F8" s="212">
        <f>'Purchase Delivery'!F4</f>
        <v>8</v>
      </c>
      <c r="G8" s="212" t="str">
        <f>kontak!G10</f>
        <v>dodi kusuma</v>
      </c>
      <c r="H8" s="212">
        <f>kontak!K10</f>
        <v>217229385</v>
      </c>
      <c r="I8" s="212" t="str">
        <f>kontak!O10</f>
        <v>dodikusuma@yahoo.co.id</v>
      </c>
      <c r="J8" s="212">
        <v>0</v>
      </c>
      <c r="K8" s="212">
        <v>0</v>
      </c>
      <c r="L8" s="2">
        <f>'Purchase Delivery'!A4</f>
        <v>2</v>
      </c>
      <c r="M8" s="2" t="str">
        <f>CONCATENATE('Purchase Delivery'!D4,'Purchase Delivery'!E4)</f>
        <v>PD.000002</v>
      </c>
      <c r="N8" s="212" t="str">
        <f>'Purchase Delivery'!L4</f>
        <v>26.2</v>
      </c>
      <c r="O8" s="212">
        <f>'Purchase Delivery'!M4</f>
        <v>1</v>
      </c>
      <c r="P8" s="212" t="str">
        <f>'data mata uang'!D3</f>
        <v>IDR</v>
      </c>
      <c r="Q8" s="212">
        <f>'data mata uang'!G3</f>
        <v>1</v>
      </c>
      <c r="R8" s="6">
        <v>43257</v>
      </c>
      <c r="S8" s="212">
        <f>'Purchase Delivery'!Q4</f>
        <v>0</v>
      </c>
      <c r="T8" s="212">
        <f>'Purchase Delivery'!R4</f>
        <v>0</v>
      </c>
      <c r="U8" s="212">
        <f>'Purchase Delivery'!S4</f>
        <v>1</v>
      </c>
      <c r="V8" s="212" t="str">
        <f>lokasi!B3</f>
        <v>cempaka putih</v>
      </c>
      <c r="W8" s="212" t="str">
        <f>'Purchase Delivery'!U4</f>
        <v>beli tambahan casing</v>
      </c>
      <c r="X8" s="212">
        <f>'Purchase Delivery'!V4</f>
        <v>0</v>
      </c>
      <c r="Y8" s="212">
        <f>'Purchase Delivery'!W4</f>
        <v>0</v>
      </c>
      <c r="Z8" s="212">
        <f>'Purchase Delivery'!X4</f>
        <v>0</v>
      </c>
      <c r="AA8" s="6">
        <v>43257</v>
      </c>
      <c r="AB8" s="212">
        <f>kontak!A7</f>
        <v>5</v>
      </c>
      <c r="AC8" s="212" t="str">
        <f>kontak!G7</f>
        <v>gisela tria canitha</v>
      </c>
      <c r="AD8" s="212">
        <v>0</v>
      </c>
      <c r="AE8" s="212">
        <v>0</v>
      </c>
      <c r="AF8" s="212">
        <v>0</v>
      </c>
      <c r="AG8" s="212">
        <v>0</v>
      </c>
      <c r="AH8" s="212">
        <v>0</v>
      </c>
      <c r="AI8" s="212">
        <v>0</v>
      </c>
      <c r="AJ8" s="212">
        <v>0</v>
      </c>
      <c r="AK8" s="212">
        <v>0</v>
      </c>
      <c r="AL8" s="212">
        <v>0</v>
      </c>
      <c r="AM8" s="212">
        <v>0</v>
      </c>
      <c r="AN8" s="212">
        <v>0</v>
      </c>
      <c r="AO8" s="212">
        <v>0</v>
      </c>
      <c r="AP8" s="212">
        <v>0</v>
      </c>
      <c r="AQ8" s="212">
        <v>0</v>
      </c>
      <c r="AU8" s="212">
        <f>'order produk beli'!Y8</f>
        <v>4</v>
      </c>
      <c r="AV8" s="41">
        <f>SUM('order produk beli'!P8)</f>
        <v>3000000</v>
      </c>
      <c r="AW8" s="41"/>
      <c r="AY8" s="41"/>
      <c r="AZ8" s="41"/>
      <c r="BD8" s="212">
        <f>'order produk beli'!U8</f>
        <v>18</v>
      </c>
      <c r="BE8" s="41">
        <f>SUM('order produk beli'!T8)</f>
        <v>300000</v>
      </c>
      <c r="BM8" s="212">
        <f>'default akun mata uang'!C3</f>
        <v>8</v>
      </c>
      <c r="BO8" s="41">
        <f>SUM('order produk beli'!P8+'order produk beli'!T8)</f>
        <v>3300000</v>
      </c>
      <c r="BP8"/>
      <c r="BQ8" s="41">
        <f>SUM('order produk beli'!P8)</f>
        <v>3000000</v>
      </c>
      <c r="BR8" s="41">
        <f>SUM('order produk beli'!T8)</f>
        <v>300000</v>
      </c>
      <c r="BS8" s="41">
        <f>SUM('order produk beli'!P8+'order produk beli'!T8)</f>
        <v>3300000</v>
      </c>
      <c r="BT8" s="212">
        <v>0</v>
      </c>
      <c r="BU8" s="212">
        <v>0</v>
      </c>
      <c r="BV8" s="212">
        <v>0</v>
      </c>
      <c r="BX8" s="212">
        <v>0</v>
      </c>
      <c r="BY8" s="212">
        <v>0</v>
      </c>
      <c r="BZ8" s="212">
        <v>0</v>
      </c>
      <c r="CA8" s="212">
        <f>'user id'!A3</f>
        <v>2</v>
      </c>
      <c r="CB8" s="212">
        <f>'periode akuntansi'!A2</f>
        <v>1</v>
      </c>
    </row>
    <row r="9" spans="1:81" x14ac:dyDescent="0.25">
      <c r="A9" s="1">
        <v>9</v>
      </c>
      <c r="B9" s="224">
        <f>'kode transaksi'!A9</f>
        <v>8</v>
      </c>
      <c r="C9" s="256" t="str">
        <f t="shared" si="0"/>
        <v>8.9</v>
      </c>
      <c r="D9" s="224" t="str">
        <f>'kode transaksi'!B9</f>
        <v>PJ</v>
      </c>
      <c r="E9" s="1" t="s">
        <v>1659</v>
      </c>
      <c r="F9" s="224">
        <f>kontak!A11</f>
        <v>9</v>
      </c>
      <c r="G9" s="224" t="str">
        <f>kontak!G11</f>
        <v>supriatna</v>
      </c>
      <c r="H9" s="224">
        <f>kontak!K11</f>
        <v>218301433</v>
      </c>
      <c r="I9" s="224" t="str">
        <f>kontak!O11</f>
        <v>supriatna@rocketmail.com</v>
      </c>
      <c r="J9" s="1">
        <v>0</v>
      </c>
      <c r="K9" s="1">
        <v>0</v>
      </c>
      <c r="L9" s="2">
        <v>0</v>
      </c>
      <c r="M9" s="2">
        <v>0</v>
      </c>
      <c r="N9" s="224" t="str">
        <f>CONCATENATE(B9,".",A9)</f>
        <v>8.9</v>
      </c>
      <c r="O9" s="224">
        <f>'data mata uang'!A3</f>
        <v>1</v>
      </c>
      <c r="P9" s="224" t="str">
        <f>'data mata uang'!D3</f>
        <v>IDR</v>
      </c>
      <c r="Q9" s="224">
        <f>'data mata uang'!G3</f>
        <v>1</v>
      </c>
      <c r="R9" s="6">
        <v>43261</v>
      </c>
      <c r="S9" s="1">
        <v>0</v>
      </c>
      <c r="T9" s="1">
        <v>0</v>
      </c>
      <c r="U9" s="224">
        <f>lokasi!A3</f>
        <v>1</v>
      </c>
      <c r="V9" s="224" t="str">
        <f>lokasi!B3</f>
        <v>cempaka putih</v>
      </c>
      <c r="W9" s="1" t="s">
        <v>1660</v>
      </c>
      <c r="X9" s="1">
        <v>0</v>
      </c>
      <c r="Y9" s="1">
        <v>0</v>
      </c>
      <c r="Z9" s="1">
        <v>0</v>
      </c>
      <c r="AA9" s="6">
        <v>43261</v>
      </c>
      <c r="AB9" s="224">
        <f>kontak!A8</f>
        <v>6</v>
      </c>
      <c r="AC9" s="224" t="str">
        <f>kontak!G8</f>
        <v>yusril</v>
      </c>
      <c r="AD9" s="1">
        <v>0</v>
      </c>
      <c r="AE9" s="1">
        <v>0</v>
      </c>
      <c r="AF9" s="1">
        <v>1</v>
      </c>
      <c r="AG9" s="208">
        <v>30</v>
      </c>
      <c r="AH9" s="3">
        <v>0.1</v>
      </c>
      <c r="AI9" s="1">
        <f>'opsi annual'!A3</f>
        <v>2</v>
      </c>
      <c r="AJ9" s="224" t="str">
        <f>'opsi annual'!B3</f>
        <v>mingguan</v>
      </c>
      <c r="AK9" s="1">
        <v>2</v>
      </c>
      <c r="AL9" s="1" t="s">
        <v>1670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224">
        <f>'order produk beli'!X12</f>
        <v>3</v>
      </c>
      <c r="AS9" s="224">
        <f>SUM('order produk beli'!P12)</f>
        <v>23000000</v>
      </c>
      <c r="BD9" s="224">
        <f>'order produk beli'!U12</f>
        <v>18</v>
      </c>
      <c r="BE9" s="41">
        <f>'order produk beli'!T12</f>
        <v>2300000</v>
      </c>
      <c r="BM9" s="224">
        <f>'default akun mata uang'!C3</f>
        <v>8</v>
      </c>
      <c r="BO9" s="41">
        <f>SUM('order produk beli'!P12+'order produk beli'!T12)</f>
        <v>25300000</v>
      </c>
      <c r="BP9" s="1"/>
      <c r="BQ9" s="41">
        <f>SUM('order produk beli'!P12)</f>
        <v>23000000</v>
      </c>
      <c r="BR9" s="41">
        <f>SUM('order produk beli'!T12)</f>
        <v>2300000</v>
      </c>
      <c r="BS9" s="41">
        <f>SUM('order produk beli'!P12+'order produk beli'!T12)</f>
        <v>25300000</v>
      </c>
      <c r="BT9" s="1">
        <v>0</v>
      </c>
      <c r="BU9" s="1">
        <v>0</v>
      </c>
      <c r="BV9" s="41">
        <f>BW9*AH9</f>
        <v>2530000</v>
      </c>
      <c r="BW9" s="41">
        <f>BS9</f>
        <v>25300000</v>
      </c>
      <c r="BX9" s="1" t="s">
        <v>1256</v>
      </c>
      <c r="BY9" s="1" t="s">
        <v>1256</v>
      </c>
      <c r="BZ9" s="1" t="s">
        <v>1256</v>
      </c>
      <c r="CA9" s="224">
        <f>'user id'!A4</f>
        <v>3</v>
      </c>
      <c r="CB9" s="208">
        <f>'periode akuntansi'!A2</f>
        <v>1</v>
      </c>
    </row>
    <row r="10" spans="1:81" x14ac:dyDescent="0.25">
      <c r="A10" s="1">
        <v>10</v>
      </c>
      <c r="B10" s="224">
        <f>'kode transaksi'!A9</f>
        <v>8</v>
      </c>
      <c r="C10" s="256" t="str">
        <f t="shared" si="0"/>
        <v>8.10</v>
      </c>
      <c r="D10" s="224" t="str">
        <f>'kode transaksi'!B9</f>
        <v>PJ</v>
      </c>
      <c r="E10" s="224" t="s">
        <v>1662</v>
      </c>
      <c r="F10" s="224">
        <f>kontak!A10</f>
        <v>8</v>
      </c>
      <c r="G10" s="224" t="str">
        <f>kontak!G10</f>
        <v>dodi kusuma</v>
      </c>
      <c r="H10" s="224">
        <f>kontak!K10</f>
        <v>217229385</v>
      </c>
      <c r="I10" s="224" t="str">
        <f>kontak!O10</f>
        <v>dodikusuma@yahoo.co.id</v>
      </c>
      <c r="J10" s="1">
        <v>0</v>
      </c>
      <c r="K10" s="1">
        <v>0</v>
      </c>
      <c r="L10" s="2">
        <v>0</v>
      </c>
      <c r="M10" s="2">
        <v>0</v>
      </c>
      <c r="N10" s="224" t="str">
        <f>CONCATENATE(B10,".",A10)</f>
        <v>8.10</v>
      </c>
      <c r="O10" s="224">
        <f>'data mata uang'!A3</f>
        <v>1</v>
      </c>
      <c r="P10" s="224" t="str">
        <f>'data mata uang'!D3</f>
        <v>IDR</v>
      </c>
      <c r="Q10" s="224">
        <f>'data mata uang'!G3</f>
        <v>1</v>
      </c>
      <c r="R10" s="6">
        <v>43262</v>
      </c>
      <c r="S10" s="1">
        <v>0</v>
      </c>
      <c r="T10" s="1">
        <v>0</v>
      </c>
      <c r="U10" s="224">
        <f>lokasi!A3</f>
        <v>1</v>
      </c>
      <c r="V10" s="224" t="str">
        <f>lokasi!B3</f>
        <v>cempaka putih</v>
      </c>
      <c r="W10" s="1" t="s">
        <v>856</v>
      </c>
      <c r="X10" s="1">
        <v>0</v>
      </c>
      <c r="Y10" s="1">
        <v>0</v>
      </c>
      <c r="Z10" s="1">
        <v>0</v>
      </c>
      <c r="AA10" s="6">
        <v>43262</v>
      </c>
      <c r="AB10" s="224">
        <f>kontak!A8</f>
        <v>6</v>
      </c>
      <c r="AC10" s="224" t="str">
        <f>kontak!G8</f>
        <v>yusril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f>dropdown_berulang!A4</f>
        <v>3</v>
      </c>
      <c r="AP10" s="224">
        <v>2</v>
      </c>
      <c r="AQ10" s="6">
        <v>43264</v>
      </c>
      <c r="AR10" s="224">
        <f>'order produk beli'!X13</f>
        <v>3</v>
      </c>
      <c r="AS10" s="224">
        <f>SUM('order produk beli'!P13)</f>
        <v>23500000</v>
      </c>
      <c r="BD10" s="224">
        <f>'order produk beli'!U13</f>
        <v>18</v>
      </c>
      <c r="BE10" s="41">
        <f>'order produk beli'!T13</f>
        <v>2350000</v>
      </c>
      <c r="BM10" s="224">
        <f>'default akun mata uang'!C3</f>
        <v>8</v>
      </c>
      <c r="BO10" s="41">
        <f>SUM('order produk beli'!P13+'order produk beli'!T13)</f>
        <v>25850000</v>
      </c>
      <c r="BP10" s="1"/>
      <c r="BQ10" s="41">
        <f>SUM('order produk beli'!P13)</f>
        <v>23500000</v>
      </c>
      <c r="BR10" s="41">
        <f>SUM('order produk beli'!T13)</f>
        <v>2350000</v>
      </c>
      <c r="BS10" s="41">
        <f>SUM('order produk beli'!P13+'order produk beli'!T13)</f>
        <v>25850000</v>
      </c>
      <c r="BT10" s="1">
        <v>0</v>
      </c>
      <c r="BU10" s="1">
        <v>0</v>
      </c>
      <c r="BV10" s="1">
        <v>0</v>
      </c>
      <c r="BW10" s="41"/>
      <c r="BX10" s="1">
        <v>0</v>
      </c>
      <c r="BY10" s="1">
        <v>0</v>
      </c>
      <c r="BZ10" s="1">
        <v>0</v>
      </c>
      <c r="CA10" s="224">
        <f>'user id'!A3</f>
        <v>2</v>
      </c>
      <c r="CB10" s="208">
        <f>'periode akuntansi'!A2</f>
        <v>1</v>
      </c>
    </row>
    <row r="11" spans="1:81" x14ac:dyDescent="0.25">
      <c r="R11" s="6"/>
      <c r="AA11" s="6"/>
      <c r="BP11" s="1"/>
      <c r="BW11" s="41"/>
      <c r="CB11" s="6"/>
    </row>
    <row r="12" spans="1:81" x14ac:dyDescent="0.25">
      <c r="R12" s="6"/>
      <c r="AA12" s="6"/>
      <c r="BP12" s="1"/>
      <c r="BW12" s="41"/>
      <c r="CB12" s="6"/>
    </row>
    <row r="13" spans="1:81" x14ac:dyDescent="0.25">
      <c r="BW13" s="41"/>
    </row>
    <row r="15" spans="1:81" x14ac:dyDescent="0.25">
      <c r="D15" s="40"/>
    </row>
    <row r="18" spans="1:1" x14ac:dyDescent="0.25">
      <c r="A18" s="40" t="s">
        <v>1412</v>
      </c>
    </row>
  </sheetData>
  <mergeCells count="6">
    <mergeCell ref="AI1:AJ1"/>
    <mergeCell ref="F1:G1"/>
    <mergeCell ref="O1:Q1"/>
    <mergeCell ref="S1:T1"/>
    <mergeCell ref="U1:V1"/>
    <mergeCell ref="AB1:AC1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M34"/>
  <sheetViews>
    <sheetView topLeftCell="BC1" zoomScale="135" zoomScaleNormal="70" workbookViewId="0">
      <selection activeCell="BI2" sqref="BI2"/>
    </sheetView>
  </sheetViews>
  <sheetFormatPr defaultColWidth="9.140625" defaultRowHeight="15" x14ac:dyDescent="0.25"/>
  <cols>
    <col min="1" max="1" width="19.7109375" style="1" bestFit="1" customWidth="1"/>
    <col min="2" max="2" width="18.7109375" style="1" bestFit="1" customWidth="1"/>
    <col min="3" max="3" width="12.42578125" style="256" bestFit="1" customWidth="1"/>
    <col min="4" max="4" width="15.7109375" style="165" bestFit="1" customWidth="1"/>
    <col min="5" max="5" width="25.42578125" style="1" bestFit="1" customWidth="1"/>
    <col min="6" max="6" width="10.7109375" style="1" bestFit="1" customWidth="1"/>
    <col min="7" max="7" width="14.42578125" style="1" bestFit="1" customWidth="1"/>
    <col min="8" max="8" width="14.28515625" style="1" bestFit="1" customWidth="1"/>
    <col min="9" max="9" width="26.7109375" style="1" bestFit="1" customWidth="1"/>
    <col min="10" max="10" width="20" style="1" bestFit="1" customWidth="1"/>
    <col min="11" max="11" width="23.140625" style="1" bestFit="1" customWidth="1"/>
    <col min="12" max="12" width="20" style="1" bestFit="1" customWidth="1"/>
    <col min="13" max="13" width="15" style="1" bestFit="1" customWidth="1"/>
    <col min="14" max="14" width="12.140625" style="1" bestFit="1" customWidth="1"/>
    <col min="15" max="15" width="11.140625" style="1" bestFit="1" customWidth="1"/>
    <col min="16" max="16" width="25.42578125" style="1" bestFit="1" customWidth="1"/>
    <col min="17" max="17" width="26.7109375" style="1" bestFit="1" customWidth="1"/>
    <col min="18" max="18" width="23.42578125" style="1" bestFit="1" customWidth="1"/>
    <col min="19" max="19" width="9.42578125" style="1" bestFit="1" customWidth="1"/>
    <col min="20" max="20" width="15.28515625" style="1" bestFit="1" customWidth="1"/>
    <col min="21" max="21" width="14.42578125" style="1" bestFit="1" customWidth="1"/>
    <col min="22" max="22" width="10.42578125" style="1" bestFit="1" customWidth="1"/>
    <col min="23" max="23" width="15.7109375" style="1" bestFit="1" customWidth="1"/>
    <col min="24" max="24" width="24.42578125" style="1" bestFit="1" customWidth="1"/>
    <col min="25" max="25" width="20.28515625" style="1" bestFit="1" customWidth="1"/>
    <col min="26" max="26" width="12" style="1" bestFit="1" customWidth="1"/>
    <col min="27" max="27" width="17.42578125" style="1" bestFit="1" customWidth="1"/>
    <col min="28" max="28" width="21.42578125" style="1" bestFit="1" customWidth="1"/>
    <col min="29" max="29" width="35.28515625" style="1" bestFit="1" customWidth="1"/>
    <col min="30" max="30" width="29.7109375" style="1" bestFit="1" customWidth="1"/>
    <col min="31" max="31" width="21.42578125" style="1" bestFit="1" customWidth="1"/>
    <col min="32" max="32" width="29.140625" style="1" bestFit="1" customWidth="1"/>
    <col min="33" max="33" width="37.85546875" style="1" bestFit="1" customWidth="1"/>
    <col min="34" max="34" width="38.28515625" style="1" bestFit="1" customWidth="1"/>
    <col min="35" max="35" width="25.42578125" style="1" bestFit="1" customWidth="1"/>
    <col min="36" max="36" width="28.140625" style="1" bestFit="1" customWidth="1"/>
    <col min="37" max="37" width="28.42578125" style="1" bestFit="1" customWidth="1"/>
    <col min="38" max="38" width="28.7109375" style="1" bestFit="1" customWidth="1"/>
    <col min="39" max="39" width="31.140625" style="1" bestFit="1" customWidth="1"/>
    <col min="40" max="40" width="31.7109375" style="1" bestFit="1" customWidth="1"/>
    <col min="41" max="41" width="23.42578125" style="1" bestFit="1" customWidth="1"/>
    <col min="42" max="42" width="32.140625" style="1" bestFit="1" customWidth="1"/>
    <col min="43" max="43" width="32.42578125" style="1" bestFit="1" customWidth="1"/>
    <col min="44" max="44" width="20.42578125" style="1" bestFit="1" customWidth="1"/>
    <col min="45" max="45" width="29.28515625" style="1" bestFit="1" customWidth="1"/>
    <col min="46" max="46" width="29.7109375" style="1" bestFit="1" customWidth="1"/>
    <col min="47" max="47" width="26.42578125" style="1" bestFit="1" customWidth="1"/>
    <col min="48" max="48" width="35" style="1" bestFit="1" customWidth="1"/>
    <col min="49" max="49" width="35.42578125" style="1" bestFit="1" customWidth="1"/>
    <col min="50" max="50" width="28.42578125" style="1" bestFit="1" customWidth="1"/>
    <col min="51" max="51" width="37.28515625" style="1" bestFit="1" customWidth="1"/>
    <col min="52" max="52" width="37.7109375" style="1" bestFit="1" customWidth="1"/>
    <col min="53" max="53" width="21.42578125" style="1" bestFit="1" customWidth="1"/>
    <col min="54" max="54" width="11.7109375" style="1" bestFit="1" customWidth="1"/>
    <col min="55" max="55" width="20.140625" style="1" bestFit="1" customWidth="1"/>
    <col min="56" max="56" width="19.28515625" style="1" bestFit="1" customWidth="1"/>
    <col min="57" max="57" width="14.28515625" style="1" bestFit="1" customWidth="1"/>
    <col min="58" max="59" width="21" style="1" bestFit="1" customWidth="1"/>
    <col min="60" max="60" width="18.42578125" style="1" bestFit="1" customWidth="1"/>
    <col min="61" max="61" width="10.28515625" style="1" bestFit="1" customWidth="1"/>
    <col min="62" max="62" width="10.42578125" style="1" bestFit="1" customWidth="1"/>
    <col min="63" max="63" width="11.140625" style="1" bestFit="1" customWidth="1"/>
    <col min="64" max="64" width="22.140625" style="1" bestFit="1" customWidth="1"/>
    <col min="65" max="66" width="18.7109375" style="1" bestFit="1" customWidth="1"/>
    <col min="67" max="67" width="17.28515625" style="1" bestFit="1" customWidth="1"/>
    <col min="68" max="68" width="15" style="1" bestFit="1" customWidth="1"/>
    <col min="69" max="69" width="16.7109375" style="1" bestFit="1" customWidth="1"/>
    <col min="70" max="70" width="9" style="1" bestFit="1" customWidth="1"/>
    <col min="71" max="71" width="9.42578125" style="1" bestFit="1" customWidth="1"/>
    <col min="72" max="72" width="16.42578125" style="1" bestFit="1" customWidth="1"/>
    <col min="73" max="73" width="17.28515625" style="1" bestFit="1" customWidth="1"/>
    <col min="74" max="74" width="16.85546875" style="1" bestFit="1" customWidth="1"/>
    <col min="75" max="75" width="17.28515625" style="1" bestFit="1" customWidth="1"/>
    <col min="76" max="76" width="9.85546875" style="1" bestFit="1" customWidth="1"/>
    <col min="77" max="77" width="14.85546875" style="1" bestFit="1" customWidth="1"/>
    <col min="78" max="16384" width="9.140625" style="1"/>
  </cols>
  <sheetData>
    <row r="1" spans="1:65" s="44" customFormat="1" x14ac:dyDescent="0.25">
      <c r="C1" s="255"/>
      <c r="D1" s="164"/>
      <c r="E1" s="44" t="s">
        <v>1441</v>
      </c>
      <c r="F1" s="297" t="s">
        <v>1404</v>
      </c>
      <c r="G1" s="297"/>
      <c r="H1" s="44" t="s">
        <v>1387</v>
      </c>
      <c r="I1" s="44" t="s">
        <v>980</v>
      </c>
      <c r="J1" s="297" t="s">
        <v>1440</v>
      </c>
      <c r="K1" s="297"/>
      <c r="M1" s="297" t="s">
        <v>1145</v>
      </c>
      <c r="N1" s="297"/>
      <c r="O1" s="297"/>
      <c r="P1" s="44" t="s">
        <v>1428</v>
      </c>
      <c r="Q1" s="297" t="s">
        <v>916</v>
      </c>
      <c r="R1" s="297"/>
      <c r="S1" s="297" t="s">
        <v>919</v>
      </c>
      <c r="T1" s="297"/>
      <c r="U1" s="44" t="s">
        <v>920</v>
      </c>
      <c r="V1" s="44" t="s">
        <v>1023</v>
      </c>
      <c r="W1" s="44" t="s">
        <v>1021</v>
      </c>
      <c r="X1" s="44" t="s">
        <v>922</v>
      </c>
      <c r="Y1" s="44" t="s">
        <v>1409</v>
      </c>
      <c r="Z1" s="297" t="s">
        <v>924</v>
      </c>
      <c r="AA1" s="297"/>
      <c r="AB1" s="44" t="s">
        <v>1464</v>
      </c>
      <c r="AC1" s="164" t="s">
        <v>1445</v>
      </c>
      <c r="AD1" s="164" t="s">
        <v>1405</v>
      </c>
      <c r="AE1" s="44" t="s">
        <v>1429</v>
      </c>
      <c r="BB1" s="44" t="s">
        <v>1459</v>
      </c>
      <c r="BC1" s="44" t="s">
        <v>1460</v>
      </c>
      <c r="BG1" s="44" t="s">
        <v>1467</v>
      </c>
    </row>
    <row r="2" spans="1:65" x14ac:dyDescent="0.25">
      <c r="A2" s="1" t="s">
        <v>1557</v>
      </c>
      <c r="B2" s="1" t="s">
        <v>617</v>
      </c>
      <c r="C2" s="256" t="s">
        <v>1685</v>
      </c>
      <c r="D2" s="165" t="s">
        <v>614</v>
      </c>
      <c r="E2" s="1" t="s">
        <v>1558</v>
      </c>
      <c r="F2" s="1" t="s">
        <v>408</v>
      </c>
      <c r="G2" s="1" t="s">
        <v>409</v>
      </c>
      <c r="H2" s="1" t="s">
        <v>19</v>
      </c>
      <c r="I2" s="1" t="s">
        <v>20</v>
      </c>
      <c r="J2" s="1" t="s">
        <v>655</v>
      </c>
      <c r="K2" s="1" t="s">
        <v>618</v>
      </c>
      <c r="L2" s="1" t="s">
        <v>655</v>
      </c>
      <c r="M2" s="1" t="s">
        <v>115</v>
      </c>
      <c r="N2" s="1" t="s">
        <v>21</v>
      </c>
      <c r="O2" s="1" t="s">
        <v>828</v>
      </c>
      <c r="P2" s="13" t="s">
        <v>1559</v>
      </c>
      <c r="Q2" s="1" t="s">
        <v>22</v>
      </c>
      <c r="R2" s="1" t="s">
        <v>23</v>
      </c>
      <c r="S2" s="1" t="s">
        <v>24</v>
      </c>
      <c r="T2" s="1" t="s">
        <v>467</v>
      </c>
      <c r="U2" s="1" t="s">
        <v>26</v>
      </c>
      <c r="V2" s="1" t="s">
        <v>46</v>
      </c>
      <c r="W2" s="1" t="s">
        <v>47</v>
      </c>
      <c r="X2" s="1" t="s">
        <v>33</v>
      </c>
      <c r="Y2" s="1" t="s">
        <v>430</v>
      </c>
      <c r="Z2" s="1" t="s">
        <v>35</v>
      </c>
      <c r="AA2" s="1" t="s">
        <v>36</v>
      </c>
      <c r="AB2" s="1" t="s">
        <v>1469</v>
      </c>
      <c r="AC2" s="1" t="s">
        <v>37</v>
      </c>
      <c r="AD2" s="1" t="s">
        <v>875</v>
      </c>
      <c r="AE2" s="1" t="s">
        <v>879</v>
      </c>
      <c r="AF2" s="9" t="s">
        <v>478</v>
      </c>
      <c r="AG2" s="1" t="s">
        <v>57</v>
      </c>
      <c r="AH2" s="1" t="s">
        <v>58</v>
      </c>
      <c r="AI2" s="9" t="s">
        <v>651</v>
      </c>
      <c r="AJ2" s="1" t="s">
        <v>424</v>
      </c>
      <c r="AK2" s="1" t="s">
        <v>425</v>
      </c>
      <c r="AL2" s="9" t="s">
        <v>652</v>
      </c>
      <c r="AM2" s="1" t="s">
        <v>426</v>
      </c>
      <c r="AN2" s="1" t="s">
        <v>427</v>
      </c>
      <c r="AO2" s="11" t="s">
        <v>69</v>
      </c>
      <c r="AP2" s="1" t="s">
        <v>70</v>
      </c>
      <c r="AQ2" s="1" t="s">
        <v>71</v>
      </c>
      <c r="AR2" s="11" t="s">
        <v>72</v>
      </c>
      <c r="AS2" s="1" t="s">
        <v>73</v>
      </c>
      <c r="AT2" s="1" t="s">
        <v>74</v>
      </c>
      <c r="AU2" s="12" t="s">
        <v>847</v>
      </c>
      <c r="AV2" s="1" t="s">
        <v>845</v>
      </c>
      <c r="AW2" s="1" t="s">
        <v>846</v>
      </c>
      <c r="AX2" s="12" t="s">
        <v>653</v>
      </c>
      <c r="AY2" s="1" t="s">
        <v>428</v>
      </c>
      <c r="AZ2" s="1" t="s">
        <v>429</v>
      </c>
      <c r="BA2" s="1" t="s">
        <v>487</v>
      </c>
      <c r="BB2" s="1" t="s">
        <v>41</v>
      </c>
      <c r="BC2" s="1" t="s">
        <v>42</v>
      </c>
      <c r="BD2" s="1" t="s">
        <v>1470</v>
      </c>
      <c r="BE2" s="1" t="s">
        <v>1439</v>
      </c>
      <c r="BF2" s="1" t="s">
        <v>431</v>
      </c>
      <c r="BG2" s="1" t="s">
        <v>1566</v>
      </c>
      <c r="BH2" s="1" t="s">
        <v>433</v>
      </c>
      <c r="BI2" s="1" t="s">
        <v>434</v>
      </c>
      <c r="BJ2" s="1" t="s">
        <v>435</v>
      </c>
      <c r="BK2" s="1" t="s">
        <v>624</v>
      </c>
      <c r="BL2" s="1" t="s">
        <v>1129</v>
      </c>
      <c r="BM2" s="1" t="s">
        <v>848</v>
      </c>
    </row>
    <row r="3" spans="1:65" x14ac:dyDescent="0.25">
      <c r="A3" s="145">
        <v>1</v>
      </c>
      <c r="B3" s="145">
        <f>'kode transaksi'!A22</f>
        <v>21</v>
      </c>
      <c r="C3" s="145" t="str">
        <f>CONCATENATE(B3,".",A3)</f>
        <v>21.1</v>
      </c>
      <c r="D3" s="145" t="str">
        <f>'kode transaksi'!B22</f>
        <v>PR</v>
      </c>
      <c r="E3" s="145" t="s">
        <v>1595</v>
      </c>
      <c r="F3" s="145">
        <f>kontak!A10</f>
        <v>8</v>
      </c>
      <c r="G3" s="145" t="str">
        <f>kontak!G10</f>
        <v>dodi kusuma</v>
      </c>
      <c r="H3" s="145">
        <f>kontak!K10</f>
        <v>217229385</v>
      </c>
      <c r="I3" s="145" t="str">
        <f>kontak!O10</f>
        <v>dodikusuma@yahoo.co.id</v>
      </c>
      <c r="J3" s="145" t="str">
        <f>'order produk beli'!B11</f>
        <v>8.4</v>
      </c>
      <c r="K3" s="145" t="str">
        <f>CONCATENATE('Received Goods'!D6,'Received Goods'!E6)</f>
        <v>PJ.000004</v>
      </c>
      <c r="L3" s="145" t="str">
        <f>CONCATENATE(B3,".",A3,".","E")</f>
        <v>21.1.E</v>
      </c>
      <c r="M3" s="145">
        <f>'Received Goods'!O6</f>
        <v>1</v>
      </c>
      <c r="N3" s="145" t="str">
        <f>'Received Goods'!P6</f>
        <v>IDR</v>
      </c>
      <c r="O3" s="145">
        <f>'Received Goods'!Q6</f>
        <v>1</v>
      </c>
      <c r="P3" s="147">
        <v>43260</v>
      </c>
      <c r="Q3" s="145"/>
      <c r="R3" s="145"/>
      <c r="S3" s="145">
        <f>'Received Goods'!U6</f>
        <v>1</v>
      </c>
      <c r="T3" s="145" t="str">
        <f>'Received Goods'!V6</f>
        <v>cempaka putih</v>
      </c>
      <c r="U3" s="145" t="s">
        <v>1560</v>
      </c>
      <c r="V3" s="145">
        <v>0</v>
      </c>
      <c r="W3" s="145">
        <v>0</v>
      </c>
      <c r="X3" s="145">
        <v>0</v>
      </c>
      <c r="Y3" s="147">
        <v>43260</v>
      </c>
      <c r="Z3" s="145">
        <f>kontak!A6</f>
        <v>4</v>
      </c>
      <c r="AA3" s="145" t="str">
        <f>kontak!G6</f>
        <v>dea fitri maharani</v>
      </c>
      <c r="AB3" s="145">
        <v>0</v>
      </c>
      <c r="AC3" s="145">
        <v>0</v>
      </c>
      <c r="AD3" s="145">
        <v>0</v>
      </c>
      <c r="AE3" s="145">
        <v>0</v>
      </c>
      <c r="AF3" s="145">
        <f>'order produk beli'!X15</f>
        <v>3</v>
      </c>
      <c r="AG3" s="145"/>
      <c r="AH3" s="145">
        <f>SUM('order produk beli'!P15)</f>
        <v>24000000</v>
      </c>
      <c r="AI3" s="145"/>
      <c r="AJ3" s="145"/>
      <c r="AK3" s="145"/>
      <c r="AL3" s="145"/>
      <c r="AM3" s="145"/>
      <c r="AN3" s="145"/>
      <c r="AO3" s="145">
        <f>'order produk beli'!U15</f>
        <v>18</v>
      </c>
      <c r="AP3" s="145"/>
      <c r="AQ3" s="145">
        <f>SUM('order produk beli'!T15)</f>
        <v>2400000</v>
      </c>
      <c r="AR3" s="145"/>
      <c r="AS3" s="145"/>
      <c r="AT3" s="145"/>
      <c r="AU3" s="145"/>
      <c r="AV3" s="145"/>
      <c r="AW3" s="145"/>
      <c r="AX3" s="145">
        <f>'default akun mata uang'!C3</f>
        <v>8</v>
      </c>
      <c r="AY3" s="145">
        <f>SUM('order produk beli'!P15+'order produk beli'!T15)</f>
        <v>26400000</v>
      </c>
      <c r="AZ3" s="145"/>
      <c r="BA3" s="145">
        <f>SUM('order produk beli'!P15)</f>
        <v>24000000</v>
      </c>
      <c r="BB3" s="145">
        <f>SUM('order produk beli'!T15)</f>
        <v>2400000</v>
      </c>
      <c r="BC3" s="145">
        <f>SUM('order produk beli'!P15+'order produk beli'!T15)</f>
        <v>26400000</v>
      </c>
      <c r="BD3" s="145">
        <v>0</v>
      </c>
      <c r="BE3" s="145">
        <v>0</v>
      </c>
      <c r="BF3" s="145">
        <v>0</v>
      </c>
      <c r="BG3" s="145">
        <v>0</v>
      </c>
      <c r="BH3" s="145">
        <v>0</v>
      </c>
      <c r="BI3" s="145">
        <v>0</v>
      </c>
      <c r="BJ3" s="145">
        <v>0</v>
      </c>
      <c r="BK3" s="145">
        <f>'user id'!A2</f>
        <v>1</v>
      </c>
      <c r="BL3" s="145">
        <f>'periode akuntansi'!A2</f>
        <v>1</v>
      </c>
      <c r="BM3" s="145"/>
    </row>
    <row r="6" spans="1:65" x14ac:dyDescent="0.25">
      <c r="BA6" s="41"/>
      <c r="BB6" s="41"/>
    </row>
    <row r="30" spans="4:14" x14ac:dyDescent="0.25">
      <c r="D30" s="165" t="s">
        <v>1730</v>
      </c>
      <c r="E30" s="1">
        <v>10</v>
      </c>
      <c r="F30" s="1">
        <v>2</v>
      </c>
      <c r="G30" s="1">
        <v>1</v>
      </c>
      <c r="H30" s="1">
        <v>1</v>
      </c>
      <c r="I30" s="289">
        <v>1</v>
      </c>
      <c r="J30" s="289">
        <v>1</v>
      </c>
      <c r="K30" s="289">
        <v>1</v>
      </c>
      <c r="L30" s="289">
        <v>1</v>
      </c>
      <c r="M30" s="289">
        <v>1</v>
      </c>
      <c r="N30" s="289">
        <v>1</v>
      </c>
    </row>
    <row r="31" spans="4:14" x14ac:dyDescent="0.25">
      <c r="D31" s="165" t="s">
        <v>1731</v>
      </c>
      <c r="E31" s="1">
        <v>8</v>
      </c>
    </row>
    <row r="32" spans="4:14" x14ac:dyDescent="0.25">
      <c r="D32" s="165" t="s">
        <v>1732</v>
      </c>
      <c r="E32" s="1">
        <f>E30-E31</f>
        <v>2</v>
      </c>
    </row>
    <row r="33" spans="4:5" x14ac:dyDescent="0.25">
      <c r="D33" s="165" t="s">
        <v>1729</v>
      </c>
      <c r="E33" s="1">
        <v>4</v>
      </c>
    </row>
    <row r="34" spans="4:5" x14ac:dyDescent="0.25">
      <c r="D34" s="165" t="s">
        <v>1733</v>
      </c>
      <c r="E34" s="1">
        <f>E33-E32</f>
        <v>2</v>
      </c>
    </row>
  </sheetData>
  <mergeCells count="6">
    <mergeCell ref="Z1:AA1"/>
    <mergeCell ref="S1:T1"/>
    <mergeCell ref="F1:G1"/>
    <mergeCell ref="J1:K1"/>
    <mergeCell ref="M1:O1"/>
    <mergeCell ref="Q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AI3"/>
  <sheetViews>
    <sheetView zoomScale="130" zoomScaleNormal="130" workbookViewId="0">
      <selection activeCell="B3" sqref="B3"/>
    </sheetView>
  </sheetViews>
  <sheetFormatPr defaultColWidth="9.140625" defaultRowHeight="15" x14ac:dyDescent="0.25"/>
  <cols>
    <col min="1" max="1" width="25.140625" style="1" bestFit="1" customWidth="1"/>
    <col min="2" max="2" width="19.140625" style="1" bestFit="1" customWidth="1"/>
    <col min="3" max="3" width="19.7109375" style="1" bestFit="1" customWidth="1"/>
    <col min="4" max="4" width="11.28515625" style="1" bestFit="1" customWidth="1"/>
    <col min="5" max="5" width="9.7109375" style="1" bestFit="1" customWidth="1"/>
    <col min="6" max="6" width="16.42578125" style="1" bestFit="1" customWidth="1"/>
    <col min="7" max="7" width="16.42578125" style="1" customWidth="1"/>
    <col min="8" max="8" width="10.42578125" style="1" bestFit="1" customWidth="1"/>
    <col min="9" max="9" width="9.85546875" style="1" bestFit="1" customWidth="1"/>
    <col min="10" max="10" width="9.140625" style="1"/>
    <col min="11" max="11" width="14.28515625" style="1" bestFit="1" customWidth="1"/>
    <col min="12" max="12" width="13.85546875" style="1" bestFit="1" customWidth="1"/>
    <col min="13" max="13" width="5.28515625" style="1" bestFit="1" customWidth="1"/>
    <col min="14" max="14" width="5.7109375" style="1" bestFit="1" customWidth="1"/>
    <col min="15" max="15" width="15.7109375" style="1" bestFit="1" customWidth="1"/>
    <col min="16" max="16" width="10.140625" style="1" bestFit="1" customWidth="1"/>
    <col min="17" max="17" width="8.7109375" style="1" bestFit="1" customWidth="1"/>
    <col min="18" max="18" width="18.42578125" style="1" bestFit="1" customWidth="1"/>
    <col min="19" max="19" width="21.7109375" style="1" bestFit="1" customWidth="1"/>
    <col min="20" max="20" width="22.28515625" style="1" bestFit="1" customWidth="1"/>
    <col min="21" max="21" width="18.140625" style="1" bestFit="1" customWidth="1"/>
    <col min="22" max="22" width="21.140625" style="1" bestFit="1" customWidth="1"/>
    <col min="23" max="23" width="21.85546875" style="1" bestFit="1" customWidth="1"/>
    <col min="24" max="24" width="18.140625" style="1" bestFit="1" customWidth="1"/>
    <col min="25" max="25" width="21.140625" style="1" bestFit="1" customWidth="1"/>
    <col min="26" max="26" width="21.85546875" style="1" bestFit="1" customWidth="1"/>
    <col min="27" max="27" width="9.7109375" style="1" bestFit="1" customWidth="1"/>
    <col min="28" max="28" width="17.140625" style="1" customWidth="1"/>
    <col min="29" max="29" width="17.28515625" style="1" bestFit="1" customWidth="1"/>
    <col min="30" max="30" width="18.85546875" style="1" bestFit="1" customWidth="1"/>
    <col min="31" max="31" width="9.85546875" style="1" bestFit="1" customWidth="1"/>
    <col min="32" max="32" width="14.42578125" style="1" bestFit="1" customWidth="1"/>
    <col min="33" max="33" width="7.42578125" style="1" bestFit="1" customWidth="1"/>
    <col min="34" max="34" width="19.42578125" style="1" bestFit="1" customWidth="1"/>
    <col min="35" max="35" width="19.28515625" style="1" bestFit="1" customWidth="1"/>
    <col min="36" max="16384" width="9.140625" style="1"/>
  </cols>
  <sheetData>
    <row r="1" spans="1:35" x14ac:dyDescent="0.25">
      <c r="A1" s="1" t="s">
        <v>1414</v>
      </c>
      <c r="B1" s="1" t="s">
        <v>1413</v>
      </c>
      <c r="C1" s="1" t="s">
        <v>1418</v>
      </c>
      <c r="D1" s="1" t="s">
        <v>481</v>
      </c>
      <c r="E1" s="1" t="s">
        <v>394</v>
      </c>
      <c r="F1" s="1" t="s">
        <v>1417</v>
      </c>
      <c r="G1" s="1" t="s">
        <v>887</v>
      </c>
      <c r="H1" s="1" t="s">
        <v>889</v>
      </c>
      <c r="I1" s="1" t="s">
        <v>890</v>
      </c>
      <c r="J1" s="1" t="s">
        <v>1419</v>
      </c>
      <c r="K1" s="1" t="s">
        <v>1070</v>
      </c>
      <c r="L1" s="1" t="s">
        <v>1420</v>
      </c>
      <c r="M1" s="1" t="s">
        <v>1421</v>
      </c>
      <c r="N1" s="1" t="s">
        <v>469</v>
      </c>
      <c r="O1" s="1" t="s">
        <v>26</v>
      </c>
      <c r="P1" s="1" t="s">
        <v>1422</v>
      </c>
      <c r="Q1" s="1" t="s">
        <v>699</v>
      </c>
      <c r="R1" s="1" t="s">
        <v>1491</v>
      </c>
      <c r="S1" s="1" t="s">
        <v>1492</v>
      </c>
      <c r="T1" s="1" t="s">
        <v>1493</v>
      </c>
      <c r="U1" s="1" t="s">
        <v>1499</v>
      </c>
      <c r="V1" s="1" t="s">
        <v>1500</v>
      </c>
      <c r="W1" s="1" t="s">
        <v>1501</v>
      </c>
      <c r="X1" s="1" t="s">
        <v>1496</v>
      </c>
      <c r="Y1" s="1" t="s">
        <v>1494</v>
      </c>
      <c r="Z1" s="1" t="s">
        <v>1495</v>
      </c>
      <c r="AA1" s="1" t="s">
        <v>394</v>
      </c>
      <c r="AB1" s="1" t="s">
        <v>36</v>
      </c>
      <c r="AC1" s="1" t="s">
        <v>617</v>
      </c>
      <c r="AD1" s="1" t="s">
        <v>655</v>
      </c>
      <c r="AE1" s="1" t="s">
        <v>46</v>
      </c>
      <c r="AF1" s="1" t="s">
        <v>1327</v>
      </c>
      <c r="AG1" s="1" t="s">
        <v>625</v>
      </c>
      <c r="AH1" s="1" t="s">
        <v>1416</v>
      </c>
      <c r="AI1" s="1" t="s">
        <v>1644</v>
      </c>
    </row>
    <row r="2" spans="1:35" x14ac:dyDescent="0.25">
      <c r="A2" s="1">
        <v>1</v>
      </c>
      <c r="B2" s="1">
        <f>'pembayaran gaji'!A2</f>
        <v>1</v>
      </c>
      <c r="C2" s="1" t="s">
        <v>1595</v>
      </c>
      <c r="D2" s="6">
        <f>'pembayaran gaji'!C2</f>
        <v>43266</v>
      </c>
      <c r="E2" s="1">
        <f>kontak!A7</f>
        <v>5</v>
      </c>
      <c r="F2" s="1" t="str">
        <f>kontak!G7</f>
        <v>gisela tria canitha</v>
      </c>
      <c r="G2" s="1">
        <f>kontak!BI7</f>
        <v>1</v>
      </c>
      <c r="H2" s="1">
        <f>'Golongan Kontak'!C2</f>
        <v>3000000</v>
      </c>
      <c r="I2" s="1">
        <f>'Golongan Kontak'!D2</f>
        <v>200000</v>
      </c>
      <c r="J2" s="1">
        <v>3</v>
      </c>
      <c r="K2" s="1">
        <f>'Golongan Kontak'!E2</f>
        <v>50000</v>
      </c>
      <c r="L2" s="1">
        <f>J2*K2</f>
        <v>150000</v>
      </c>
      <c r="O2" s="1" t="s">
        <v>1528</v>
      </c>
      <c r="P2" s="1" t="str">
        <f>kontak!BS7</f>
        <v>bca</v>
      </c>
      <c r="Q2" s="1">
        <f>SUM('order pembayaran gaji'!H2+'order pembayaran gaji'!I2+'order pembayaran gaji'!L2)</f>
        <v>3350000</v>
      </c>
      <c r="R2" s="1">
        <f>'pembayaran gaji'!D2</f>
        <v>6</v>
      </c>
      <c r="T2" s="1">
        <f>SUM('order pembayaran gaji'!H2+'order pembayaran gaji'!I2+'order pembayaran gaji'!L2)</f>
        <v>3350000</v>
      </c>
      <c r="X2" s="1">
        <f>'pembayaran gaji'!E2</f>
        <v>26</v>
      </c>
      <c r="Y2" s="1">
        <f>SUM('order pembayaran gaji'!H2+'order pembayaran gaji'!I2+'order pembayaran gaji'!L2)</f>
        <v>3350000</v>
      </c>
      <c r="AA2" s="1">
        <f>'pembayaran gaji'!H2</f>
        <v>4</v>
      </c>
      <c r="AB2" s="1" t="str">
        <f>'pembayaran gaji'!I2</f>
        <v>dea fitri maharani</v>
      </c>
      <c r="AC2" s="1">
        <f>'pembayaran gaji'!B2</f>
        <v>29</v>
      </c>
      <c r="AD2" s="1" t="str">
        <f>CONCATENATE(AC2,".",B2)</f>
        <v>29.1</v>
      </c>
      <c r="AG2" s="1">
        <f>'pembayaran gaji'!K2</f>
        <v>1</v>
      </c>
      <c r="AH2" s="1">
        <f>'pembayaran gaji'!L2</f>
        <v>1</v>
      </c>
    </row>
    <row r="3" spans="1:35" x14ac:dyDescent="0.25">
      <c r="A3" s="1">
        <v>2</v>
      </c>
      <c r="B3" s="1">
        <f>'pembayaran gaji'!A2</f>
        <v>1</v>
      </c>
      <c r="C3" s="1" t="s">
        <v>1596</v>
      </c>
      <c r="D3" s="6">
        <f>'pembayaran gaji'!C2</f>
        <v>43266</v>
      </c>
      <c r="E3" s="1">
        <f>kontak!A8</f>
        <v>6</v>
      </c>
      <c r="F3" s="1" t="str">
        <f>kontak!G8</f>
        <v>yusril</v>
      </c>
      <c r="G3" s="1">
        <f>kontak!BI8</f>
        <v>2</v>
      </c>
      <c r="H3" s="1">
        <f>'Golongan Kontak'!C3</f>
        <v>4000000</v>
      </c>
      <c r="I3" s="1">
        <f>'Golongan Kontak'!D3</f>
        <v>500000</v>
      </c>
      <c r="J3" s="1">
        <v>2</v>
      </c>
      <c r="K3" s="1">
        <f>'Golongan Kontak'!E3</f>
        <v>100000</v>
      </c>
      <c r="L3" s="1">
        <f>J3*K3</f>
        <v>200000</v>
      </c>
      <c r="O3" s="1" t="s">
        <v>1528</v>
      </c>
      <c r="P3" s="1" t="s">
        <v>1622</v>
      </c>
      <c r="Q3" s="229">
        <f>SUM('order pembayaran gaji'!H3+'order pembayaran gaji'!I3+'order pembayaran gaji'!L3)</f>
        <v>4700000</v>
      </c>
      <c r="R3" s="1">
        <f>'pembayaran gaji'!D2</f>
        <v>6</v>
      </c>
      <c r="T3" s="1">
        <f>SUM('order pembayaran gaji'!H3+'order pembayaran gaji'!I3+'order pembayaran gaji'!L3)</f>
        <v>4700000</v>
      </c>
      <c r="X3" s="1">
        <f>'pembayaran gaji'!E2</f>
        <v>26</v>
      </c>
      <c r="Y3" s="1">
        <f>SUM('order pembayaran gaji'!H3+'order pembayaran gaji'!I3+'order pembayaran gaji'!L3)</f>
        <v>4700000</v>
      </c>
      <c r="AA3" s="1">
        <f>'pembayaran gaji'!H2</f>
        <v>4</v>
      </c>
      <c r="AB3" s="1" t="str">
        <f>'pembayaran gaji'!I2</f>
        <v>dea fitri maharani</v>
      </c>
      <c r="AC3" s="1">
        <f>'pembayaran gaji'!B2</f>
        <v>29</v>
      </c>
      <c r="AD3" s="1" t="str">
        <f>CONCATENATE(AC3,".",B3)</f>
        <v>29.1</v>
      </c>
      <c r="AG3" s="1">
        <f>'pembayaran gaji'!K2</f>
        <v>1</v>
      </c>
      <c r="AH3" s="1">
        <f>'pembayaran gaji'!L2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EF34-4492-496F-855E-28DCCE2AD994}">
  <sheetPr>
    <tabColor rgb="FF00B050"/>
  </sheetPr>
  <dimension ref="A1:AH64"/>
  <sheetViews>
    <sheetView zoomScale="55" zoomScaleNormal="55" workbookViewId="0">
      <pane ySplit="1" topLeftCell="A3" activePane="bottomLeft" state="frozen"/>
      <selection activeCell="D96" sqref="D96"/>
      <selection pane="bottomLeft" sqref="A1:XFD1048576"/>
    </sheetView>
  </sheetViews>
  <sheetFormatPr defaultColWidth="9.140625" defaultRowHeight="15" x14ac:dyDescent="0.25"/>
  <cols>
    <col min="1" max="1" width="10.42578125" style="1" bestFit="1" customWidth="1"/>
    <col min="2" max="2" width="19.42578125" style="239" bestFit="1" customWidth="1"/>
    <col min="3" max="3" width="20.42578125" style="239" bestFit="1" customWidth="1"/>
    <col min="4" max="4" width="13.140625" style="239" bestFit="1" customWidth="1"/>
    <col min="5" max="5" width="21.140625" style="1" bestFit="1" customWidth="1"/>
    <col min="6" max="6" width="23.42578125" style="1" bestFit="1" customWidth="1"/>
    <col min="7" max="7" width="35.140625" style="1" bestFit="1" customWidth="1"/>
    <col min="8" max="9" width="16.7109375" style="41" bestFit="1" customWidth="1"/>
    <col min="10" max="10" width="16" style="41" bestFit="1" customWidth="1"/>
    <col min="11" max="11" width="16.7109375" style="41" bestFit="1" customWidth="1"/>
    <col min="12" max="12" width="11" style="1" bestFit="1" customWidth="1"/>
    <col min="13" max="13" width="16.7109375" style="1" bestFit="1" customWidth="1"/>
    <col min="14" max="14" width="16" style="1" bestFit="1" customWidth="1"/>
    <col min="15" max="15" width="27.140625" style="1" bestFit="1" customWidth="1"/>
    <col min="16" max="16" width="15" style="1" bestFit="1" customWidth="1"/>
    <col min="17" max="17" width="11.85546875" style="1" bestFit="1" customWidth="1"/>
    <col min="18" max="18" width="11.42578125" style="1" bestFit="1" customWidth="1"/>
    <col min="19" max="19" width="18.42578125" style="6" bestFit="1" customWidth="1"/>
    <col min="20" max="20" width="12.42578125" style="1" bestFit="1" customWidth="1"/>
    <col min="21" max="21" width="49.42578125" style="1" bestFit="1" customWidth="1"/>
    <col min="22" max="22" width="12.28515625" style="1" bestFit="1" customWidth="1"/>
    <col min="23" max="23" width="18" style="1" bestFit="1" customWidth="1"/>
    <col min="24" max="24" width="11.28515625" style="1" bestFit="1" customWidth="1"/>
    <col min="25" max="25" width="15.7109375" style="1" bestFit="1" customWidth="1"/>
    <col min="26" max="26" width="11.85546875" style="1" bestFit="1" customWidth="1"/>
    <col min="27" max="27" width="22.28515625" style="1" bestFit="1" customWidth="1"/>
    <col min="28" max="28" width="19.42578125" style="1" bestFit="1" customWidth="1"/>
    <col min="29" max="29" width="12.140625" style="1" bestFit="1" customWidth="1"/>
    <col min="30" max="30" width="29.42578125" style="1" bestFit="1" customWidth="1"/>
    <col min="31" max="32" width="9.140625" style="1"/>
    <col min="33" max="33" width="12.85546875" style="13" bestFit="1" customWidth="1"/>
    <col min="34" max="34" width="16" style="1" bestFit="1" customWidth="1"/>
    <col min="35" max="16384" width="9.140625" style="1"/>
  </cols>
  <sheetData>
    <row r="1" spans="1:34" x14ac:dyDescent="0.25">
      <c r="A1" s="1" t="s">
        <v>1620</v>
      </c>
      <c r="B1" s="239" t="s">
        <v>617</v>
      </c>
      <c r="C1" s="239" t="s">
        <v>1689</v>
      </c>
      <c r="D1" s="239" t="s">
        <v>1685</v>
      </c>
      <c r="E1" s="88" t="s">
        <v>1605</v>
      </c>
      <c r="F1" s="88" t="s">
        <v>618</v>
      </c>
      <c r="G1" s="88" t="s">
        <v>854</v>
      </c>
      <c r="H1" s="95" t="s">
        <v>1587</v>
      </c>
      <c r="I1" s="95" t="s">
        <v>1588</v>
      </c>
      <c r="J1" s="95" t="s">
        <v>1589</v>
      </c>
      <c r="K1" s="95" t="s">
        <v>1590</v>
      </c>
      <c r="L1" s="90" t="s">
        <v>394</v>
      </c>
      <c r="M1" s="90" t="s">
        <v>540</v>
      </c>
      <c r="N1" s="90" t="s">
        <v>19</v>
      </c>
      <c r="O1" s="90" t="s">
        <v>20</v>
      </c>
      <c r="P1" s="90" t="s">
        <v>115</v>
      </c>
      <c r="Q1" s="90" t="s">
        <v>21</v>
      </c>
      <c r="R1" s="90" t="s">
        <v>828</v>
      </c>
      <c r="S1" s="91" t="s">
        <v>852</v>
      </c>
      <c r="T1" s="89" t="s">
        <v>435</v>
      </c>
      <c r="U1" s="90" t="s">
        <v>26</v>
      </c>
      <c r="V1" s="90" t="s">
        <v>35</v>
      </c>
      <c r="W1" s="90" t="s">
        <v>36</v>
      </c>
      <c r="X1" s="90" t="s">
        <v>46</v>
      </c>
      <c r="Y1" s="90" t="s">
        <v>47</v>
      </c>
      <c r="Z1" s="90" t="s">
        <v>624</v>
      </c>
      <c r="AA1" s="90" t="s">
        <v>1129</v>
      </c>
      <c r="AB1" s="90" t="s">
        <v>848</v>
      </c>
      <c r="AC1" s="90" t="s">
        <v>1591</v>
      </c>
      <c r="AD1" s="13" t="s">
        <v>1642</v>
      </c>
      <c r="AG1" s="13" t="s">
        <v>1641</v>
      </c>
      <c r="AH1" s="1" t="s">
        <v>1643</v>
      </c>
    </row>
    <row r="2" spans="1:34" x14ac:dyDescent="0.25">
      <c r="A2" s="1">
        <v>1</v>
      </c>
      <c r="B2" s="239">
        <f>'kode transaksi'!A31</f>
        <v>30</v>
      </c>
      <c r="C2" s="148" t="str">
        <f>CONCATENATE(B2,".",A2)</f>
        <v>30.1</v>
      </c>
      <c r="D2" s="257" t="str">
        <f>'order transaksi cash'!B3</f>
        <v>5.1</v>
      </c>
      <c r="E2" s="1" t="str">
        <f>'order transaksi cash'!AB3</f>
        <v>5.1.1</v>
      </c>
      <c r="F2" s="1" t="str">
        <f>'order transaksi cash'!AC3</f>
        <v>.000001</v>
      </c>
      <c r="G2" s="1">
        <f>'order transaksi cash'!AD3</f>
        <v>8</v>
      </c>
      <c r="H2" s="41">
        <f>'order transaksi cash'!AE3</f>
        <v>100000</v>
      </c>
      <c r="J2" s="41">
        <f>H2-I2</f>
        <v>100000</v>
      </c>
      <c r="L2" s="1">
        <f>'order transaksi cash'!J3</f>
        <v>1</v>
      </c>
      <c r="M2" s="1" t="str">
        <f>'order transaksi cash'!K3</f>
        <v>dimas dhaniarso</v>
      </c>
      <c r="N2" s="1">
        <f>'order transaksi cash'!L3</f>
        <v>81273845323</v>
      </c>
      <c r="O2" s="1" t="str">
        <f>'order transaksi cash'!M3</f>
        <v>dhadan33@gmail.com</v>
      </c>
      <c r="P2" s="1">
        <f>'order transaksi cash'!N3</f>
        <v>1</v>
      </c>
      <c r="Q2" s="1" t="str">
        <f>'order transaksi cash'!O3</f>
        <v>IDR</v>
      </c>
      <c r="R2" s="1">
        <f>'order transaksi cash'!P3</f>
        <v>1</v>
      </c>
      <c r="S2" s="6">
        <f>'order transaksi cash'!S3</f>
        <v>43255</v>
      </c>
      <c r="U2" s="1" t="str">
        <f>'order transaksi cash'!U3</f>
        <v>memberikan pinjaman 1</v>
      </c>
      <c r="V2" s="1">
        <f>'order transaksi cash'!X3</f>
        <v>5</v>
      </c>
      <c r="W2" s="1" t="str">
        <f>'order transaksi cash'!Y3</f>
        <v>gisela tria canitha</v>
      </c>
      <c r="X2" s="1">
        <f>'order transaksi cash'!Z3</f>
        <v>0</v>
      </c>
      <c r="Y2" s="1">
        <f>'order transaksi cash'!AA3</f>
        <v>0</v>
      </c>
      <c r="Z2" s="1">
        <f>'order transaksi cash'!AG3</f>
        <v>2</v>
      </c>
      <c r="AA2" s="1">
        <f>'order transaksi cash'!AH3</f>
        <v>1</v>
      </c>
      <c r="AD2" s="1">
        <f ca="1">ROUNDUP(AH2/30,0)</f>
        <v>20</v>
      </c>
      <c r="AG2" s="13">
        <f ca="1">NOW()</f>
        <v>43853.516564583333</v>
      </c>
      <c r="AH2" s="1">
        <f ca="1">AG2-S2</f>
        <v>598.51656458333309</v>
      </c>
    </row>
    <row r="3" spans="1:34" x14ac:dyDescent="0.25">
      <c r="A3" s="1">
        <v>2</v>
      </c>
      <c r="B3" s="239">
        <f>'kode transaksi'!A31</f>
        <v>30</v>
      </c>
      <c r="C3" s="148" t="str">
        <f t="shared" ref="C3:C22" si="0">CONCATENATE(B3,".",A3)</f>
        <v>30.2</v>
      </c>
      <c r="D3" s="257" t="str">
        <f>'order transaksi cash'!B4</f>
        <v>5.1</v>
      </c>
      <c r="E3" s="1" t="str">
        <f>'order transaksi cash'!AB4</f>
        <v>5.1.2</v>
      </c>
      <c r="F3" s="1" t="str">
        <f>'order transaksi cash'!AC4</f>
        <v>.000001</v>
      </c>
      <c r="G3" s="1">
        <f>'order transaksi cash'!AD4</f>
        <v>8</v>
      </c>
      <c r="H3" s="41">
        <f>'order transaksi cash'!AE4</f>
        <v>200000</v>
      </c>
      <c r="J3" s="41">
        <f t="shared" ref="J3:J4" si="1">H3-I3</f>
        <v>200000</v>
      </c>
      <c r="L3" s="1">
        <f>'order transaksi cash'!J4</f>
        <v>1</v>
      </c>
      <c r="M3" s="1" t="str">
        <f>'order transaksi cash'!K4</f>
        <v>dimas dhaniarso</v>
      </c>
      <c r="N3" s="1">
        <f>'order transaksi cash'!L4</f>
        <v>81273845323</v>
      </c>
      <c r="O3" s="1" t="str">
        <f>'order transaksi cash'!M4</f>
        <v>dhadan33@gmail.com</v>
      </c>
      <c r="P3" s="1">
        <f>'order transaksi cash'!N4</f>
        <v>1</v>
      </c>
      <c r="Q3" s="1" t="str">
        <f>'order transaksi cash'!O4</f>
        <v>IDR</v>
      </c>
      <c r="R3" s="1">
        <f>'order transaksi cash'!P4</f>
        <v>1</v>
      </c>
      <c r="S3" s="6">
        <f>'order transaksi cash'!S4</f>
        <v>43255</v>
      </c>
      <c r="U3" s="1" t="str">
        <f>'order transaksi cash'!U4</f>
        <v>memberikan pinjaman 2</v>
      </c>
      <c r="V3" s="1">
        <f>'order transaksi cash'!X4</f>
        <v>5</v>
      </c>
      <c r="W3" s="1" t="str">
        <f>'order transaksi cash'!Y4</f>
        <v>gisela tria canitha</v>
      </c>
      <c r="X3" s="1">
        <f>'order transaksi cash'!Z4</f>
        <v>0</v>
      </c>
      <c r="Y3" s="1">
        <f>'order transaksi cash'!AA4</f>
        <v>0</v>
      </c>
      <c r="Z3" s="1">
        <f>'order transaksi cash'!AG4</f>
        <v>2</v>
      </c>
      <c r="AA3" s="1">
        <f>'order transaksi cash'!AH4</f>
        <v>1</v>
      </c>
    </row>
    <row r="4" spans="1:34" x14ac:dyDescent="0.25">
      <c r="A4" s="1">
        <v>3</v>
      </c>
      <c r="B4" s="239">
        <f>'kode transaksi'!A31</f>
        <v>30</v>
      </c>
      <c r="C4" s="148" t="str">
        <f t="shared" si="0"/>
        <v>30.3</v>
      </c>
      <c r="D4" s="257" t="str">
        <f>'order transaksi cash'!B5</f>
        <v>5.1</v>
      </c>
      <c r="E4" s="1" t="str">
        <f>'order transaksi cash'!AB5</f>
        <v>5.1.3</v>
      </c>
      <c r="F4" s="1" t="str">
        <f>'order transaksi cash'!AC5</f>
        <v>.000001</v>
      </c>
      <c r="G4" s="1">
        <f>'order transaksi cash'!AD5</f>
        <v>8</v>
      </c>
      <c r="H4" s="41">
        <f>'order transaksi cash'!AE5</f>
        <v>300000</v>
      </c>
      <c r="J4" s="41">
        <f t="shared" si="1"/>
        <v>300000</v>
      </c>
      <c r="L4" s="1">
        <f>'order transaksi cash'!J5</f>
        <v>1</v>
      </c>
      <c r="M4" s="1" t="str">
        <f>'order transaksi cash'!K5</f>
        <v>dimas dhaniarso</v>
      </c>
      <c r="N4" s="1">
        <f>'order transaksi cash'!L5</f>
        <v>81273845323</v>
      </c>
      <c r="O4" s="1" t="str">
        <f>'order transaksi cash'!M5</f>
        <v>dhadan33@gmail.com</v>
      </c>
      <c r="P4" s="1">
        <f>'order transaksi cash'!N5</f>
        <v>1</v>
      </c>
      <c r="Q4" s="1" t="str">
        <f>'order transaksi cash'!O5</f>
        <v>IDR</v>
      </c>
      <c r="R4" s="1">
        <f>'order transaksi cash'!P5</f>
        <v>1</v>
      </c>
      <c r="S4" s="6">
        <f>'order transaksi cash'!S5</f>
        <v>43255</v>
      </c>
      <c r="U4" s="1" t="str">
        <f>'order transaksi cash'!U5</f>
        <v>memberikan pinjaman 3</v>
      </c>
      <c r="V4" s="1">
        <f>'order transaksi cash'!X5</f>
        <v>5</v>
      </c>
      <c r="W4" s="1" t="str">
        <f>'order transaksi cash'!Y5</f>
        <v>gisela tria canitha</v>
      </c>
      <c r="X4" s="1">
        <f>'order transaksi cash'!Z5</f>
        <v>0</v>
      </c>
      <c r="Y4" s="1">
        <f>'order transaksi cash'!AA5</f>
        <v>0</v>
      </c>
      <c r="Z4" s="1">
        <f>'order transaksi cash'!AG5</f>
        <v>2</v>
      </c>
      <c r="AA4" s="1">
        <f>'order transaksi cash'!AH5</f>
        <v>1</v>
      </c>
    </row>
    <row r="5" spans="1:34" x14ac:dyDescent="0.25">
      <c r="A5" s="1">
        <v>4</v>
      </c>
      <c r="B5" s="239">
        <f>'kode transaksi'!A31</f>
        <v>30</v>
      </c>
      <c r="C5" s="148" t="str">
        <f t="shared" si="0"/>
        <v>30.4</v>
      </c>
      <c r="D5" s="257" t="str">
        <f>'order transaksi cash'!B6</f>
        <v>4.2</v>
      </c>
      <c r="E5" s="257" t="str">
        <f>'order transaksi cash'!AB6</f>
        <v>5.1.2</v>
      </c>
      <c r="F5" s="257" t="str">
        <f>'order transaksi cash'!AC6</f>
        <v>.000001</v>
      </c>
      <c r="G5" s="257">
        <f>'order transaksi cash'!AD6</f>
        <v>8</v>
      </c>
      <c r="I5" s="41">
        <f>'order transaksi cash'!AF6</f>
        <v>150000</v>
      </c>
      <c r="J5" s="41">
        <f>SUM(H5,H3)-SUM(I5,I3)</f>
        <v>50000</v>
      </c>
      <c r="L5" s="1">
        <f>'order transaksi cash'!J6</f>
        <v>1</v>
      </c>
      <c r="M5" s="1" t="str">
        <f>'order transaksi cash'!K6</f>
        <v>dimas dhaniarso</v>
      </c>
      <c r="N5" s="1">
        <f>'order transaksi cash'!L6</f>
        <v>81273845323</v>
      </c>
      <c r="O5" s="1" t="str">
        <f>'order transaksi cash'!M6</f>
        <v>dhadan33@gmail.com</v>
      </c>
      <c r="P5" s="1">
        <f>'order transaksi cash'!N6</f>
        <v>1</v>
      </c>
      <c r="Q5" s="1" t="str">
        <f>'order transaksi cash'!O6</f>
        <v>IDR</v>
      </c>
      <c r="R5" s="1">
        <f>'order transaksi cash'!P6</f>
        <v>1</v>
      </c>
      <c r="S5" s="6">
        <f>'order transaksi cash'!S6</f>
        <v>43255</v>
      </c>
      <c r="U5" s="1" t="str">
        <f>'order transaksi cash'!U6</f>
        <v>terima pembayaran pinjaman 2 (part 1)</v>
      </c>
      <c r="V5" s="1">
        <f>'order transaksi cash'!X6</f>
        <v>6</v>
      </c>
      <c r="W5" s="1" t="str">
        <f>'order transaksi cash'!Y6</f>
        <v>yusril</v>
      </c>
      <c r="X5" s="1">
        <f>'order transaksi cash'!Z6</f>
        <v>0</v>
      </c>
      <c r="Y5" s="1">
        <f>'order transaksi cash'!AA6</f>
        <v>0</v>
      </c>
      <c r="Z5" s="1">
        <f>'order transaksi cash'!AG6</f>
        <v>3</v>
      </c>
      <c r="AA5" s="1">
        <f>'order transaksi cash'!AH6</f>
        <v>1</v>
      </c>
    </row>
    <row r="6" spans="1:34" x14ac:dyDescent="0.25">
      <c r="A6" s="1">
        <v>5</v>
      </c>
      <c r="B6" s="239">
        <f>'kode transaksi'!A31</f>
        <v>30</v>
      </c>
      <c r="C6" s="148" t="str">
        <f t="shared" si="0"/>
        <v>30.5</v>
      </c>
      <c r="D6" s="257" t="str">
        <f>'order transaksi cash'!B7</f>
        <v>4.3</v>
      </c>
      <c r="E6" s="257" t="str">
        <f>'order transaksi cash'!AB7</f>
        <v>5.1.2</v>
      </c>
      <c r="F6" s="257" t="str">
        <f>'order transaksi cash'!AC7</f>
        <v>.000001</v>
      </c>
      <c r="G6" s="257">
        <f>'order transaksi cash'!AD7</f>
        <v>8</v>
      </c>
      <c r="I6" s="41">
        <f>'order transaksi cash'!AF7</f>
        <v>50000</v>
      </c>
      <c r="J6" s="41">
        <f>SUM(H6,H5,H3)-SUM(I6,I5,I3)</f>
        <v>0</v>
      </c>
      <c r="L6" s="1">
        <f>'order transaksi cash'!J7</f>
        <v>1</v>
      </c>
      <c r="M6" s="1" t="str">
        <f>'order transaksi cash'!K7</f>
        <v>dimas dhaniarso</v>
      </c>
      <c r="N6" s="1">
        <f>'order transaksi cash'!L7</f>
        <v>81273845323</v>
      </c>
      <c r="O6" s="1" t="str">
        <f>'order transaksi cash'!M7</f>
        <v>dhadan33@gmail.com</v>
      </c>
      <c r="P6" s="1">
        <f>'order transaksi cash'!N7</f>
        <v>1</v>
      </c>
      <c r="Q6" s="1" t="str">
        <f>'order transaksi cash'!O7</f>
        <v>IDR</v>
      </c>
      <c r="R6" s="1">
        <f>'order transaksi cash'!P7</f>
        <v>1</v>
      </c>
      <c r="S6" s="6">
        <f>'order transaksi cash'!S7</f>
        <v>43256</v>
      </c>
      <c r="U6" s="1" t="str">
        <f>'order transaksi cash'!U7</f>
        <v>terima pembayaran pinjaman 2 (part 2)</v>
      </c>
      <c r="V6" s="1">
        <f>'order transaksi cash'!X7</f>
        <v>6</v>
      </c>
      <c r="W6" s="1" t="str">
        <f>'order transaksi cash'!Y7</f>
        <v>yusril</v>
      </c>
      <c r="X6" s="1">
        <f>'order transaksi cash'!Z7</f>
        <v>0</v>
      </c>
      <c r="Y6" s="1">
        <f>'order transaksi cash'!AA7</f>
        <v>0</v>
      </c>
      <c r="Z6" s="1">
        <f>'order transaksi cash'!AG7</f>
        <v>3</v>
      </c>
      <c r="AA6" s="1">
        <f>'order transaksi cash'!AH7</f>
        <v>1</v>
      </c>
      <c r="AC6" s="1" t="s">
        <v>1621</v>
      </c>
    </row>
    <row r="7" spans="1:34" x14ac:dyDescent="0.25">
      <c r="A7" s="94">
        <v>6</v>
      </c>
      <c r="B7" s="240">
        <f>'kode transaksi'!A31</f>
        <v>30</v>
      </c>
      <c r="C7" s="148" t="str">
        <f t="shared" si="0"/>
        <v>30.6</v>
      </c>
      <c r="D7" s="259" t="str">
        <f>'order transaksi cash'!B8</f>
        <v>5.4</v>
      </c>
      <c r="E7" s="94" t="str">
        <f>'order transaksi cash'!AB8</f>
        <v>5.4.6</v>
      </c>
      <c r="F7" s="94" t="str">
        <f>'order transaksi cash'!C8</f>
        <v>.000002</v>
      </c>
      <c r="G7" s="94">
        <f>'order transaksi cash'!AD8</f>
        <v>7</v>
      </c>
      <c r="H7" s="94">
        <f>'order transaksi cash'!AE8</f>
        <v>500000</v>
      </c>
      <c r="I7" s="94"/>
      <c r="J7" s="101">
        <f>H7-I7</f>
        <v>500000</v>
      </c>
      <c r="K7" s="101"/>
      <c r="L7" s="94">
        <f>'order transaksi cash'!J8</f>
        <v>2</v>
      </c>
      <c r="M7" s="94" t="str">
        <f>'order transaksi cash'!K8</f>
        <v>yuli hendarto</v>
      </c>
      <c r="N7" s="94">
        <f>'order transaksi cash'!L8</f>
        <v>8551003553</v>
      </c>
      <c r="O7" s="94" t="str">
        <f>'order transaksi cash'!M8</f>
        <v>yuli_hendarto@yahoo.com</v>
      </c>
      <c r="P7" s="94">
        <f>'order transaksi cash'!N8</f>
        <v>1</v>
      </c>
      <c r="Q7" s="94" t="str">
        <f>'order transaksi cash'!O8</f>
        <v>IDR</v>
      </c>
      <c r="R7" s="94">
        <f>'order transaksi cash'!P8</f>
        <v>1</v>
      </c>
      <c r="S7" s="100">
        <f>'order transaksi cash'!S8</f>
        <v>43256</v>
      </c>
      <c r="T7" s="94"/>
      <c r="U7" s="94" t="str">
        <f>'order transaksi cash'!U8</f>
        <v>memberikan pinjaman dr akun bank</v>
      </c>
      <c r="V7" s="94">
        <f>'order transaksi cash'!X8</f>
        <v>5</v>
      </c>
      <c r="W7" s="94" t="str">
        <f>'order transaksi cash'!Y8</f>
        <v>gisela tria canitha</v>
      </c>
      <c r="X7" s="94">
        <f>'order transaksi cash'!Z8</f>
        <v>0</v>
      </c>
      <c r="Y7" s="94">
        <f>'order transaksi cash'!AA8</f>
        <v>0</v>
      </c>
      <c r="Z7" s="94">
        <f>'order transaksi cash'!AG8</f>
        <v>2</v>
      </c>
      <c r="AA7" s="94">
        <f>'order transaksi cash'!AH8</f>
        <v>1</v>
      </c>
      <c r="AB7" s="94"/>
      <c r="AC7" s="94"/>
    </row>
    <row r="8" spans="1:34" x14ac:dyDescent="0.25">
      <c r="A8" s="94">
        <v>7</v>
      </c>
      <c r="B8" s="240">
        <f>'kode transaksi'!A31</f>
        <v>30</v>
      </c>
      <c r="C8" s="148" t="str">
        <f t="shared" si="0"/>
        <v>30.7</v>
      </c>
      <c r="D8" s="259" t="str">
        <f>'order transaksi cash'!B9</f>
        <v>4.5</v>
      </c>
      <c r="E8" s="259" t="str">
        <f>'order transaksi cash'!AB9</f>
        <v>5.4.6</v>
      </c>
      <c r="F8" s="259" t="str">
        <f>'order transaksi cash'!C9</f>
        <v>.000003</v>
      </c>
      <c r="G8" s="259">
        <f>'order transaksi cash'!AD9</f>
        <v>7</v>
      </c>
      <c r="H8" s="94"/>
      <c r="I8" s="94">
        <f>'order transaksi cash'!AF9</f>
        <v>500000</v>
      </c>
      <c r="J8" s="101">
        <f>SUM(H7,H8)-SUM(I7,I8)</f>
        <v>0</v>
      </c>
      <c r="K8" s="101"/>
      <c r="L8" s="94">
        <f>'order transaksi cash'!J9</f>
        <v>2</v>
      </c>
      <c r="M8" s="94" t="str">
        <f>'order transaksi cash'!K9</f>
        <v>yuli hendarto</v>
      </c>
      <c r="N8" s="94">
        <f>'order transaksi cash'!L9</f>
        <v>8551003553</v>
      </c>
      <c r="O8" s="94" t="str">
        <f>'order transaksi cash'!M9</f>
        <v>yuli_hendarto@yahoo.com</v>
      </c>
      <c r="P8" s="94">
        <f>'order transaksi cash'!N9</f>
        <v>1</v>
      </c>
      <c r="Q8" s="94" t="str">
        <f>'order transaksi cash'!O9</f>
        <v>IDR</v>
      </c>
      <c r="R8" s="94">
        <f>'order transaksi cash'!P9</f>
        <v>1</v>
      </c>
      <c r="S8" s="100">
        <f>'order transaksi cash'!S9</f>
        <v>43257</v>
      </c>
      <c r="T8" s="94"/>
      <c r="U8" s="94" t="str">
        <f>'order transaksi cash'!U9</f>
        <v>bayar pinjaman</v>
      </c>
      <c r="V8" s="94">
        <f>'order transaksi cash'!X9</f>
        <v>6</v>
      </c>
      <c r="W8" s="94" t="str">
        <f>'order transaksi cash'!Y9</f>
        <v>yusril</v>
      </c>
      <c r="X8" s="94">
        <f>'order transaksi cash'!Z9</f>
        <v>0</v>
      </c>
      <c r="Y8" s="94">
        <f>'order transaksi cash'!AA9</f>
        <v>0</v>
      </c>
      <c r="Z8" s="94">
        <f>'order transaksi cash'!AG9</f>
        <v>3</v>
      </c>
      <c r="AA8" s="94">
        <f>'order transaksi cash'!AH9</f>
        <v>1</v>
      </c>
      <c r="AB8" s="94"/>
      <c r="AC8" s="94" t="s">
        <v>1621</v>
      </c>
    </row>
    <row r="9" spans="1:34" x14ac:dyDescent="0.25">
      <c r="A9" s="98">
        <v>8</v>
      </c>
      <c r="B9" s="98">
        <f>'kode transaksi'!A31</f>
        <v>30</v>
      </c>
      <c r="C9" s="148" t="str">
        <f t="shared" si="0"/>
        <v>30.8</v>
      </c>
      <c r="D9" s="261" t="str">
        <f>'order transaksi cash'!B10</f>
        <v>5.6</v>
      </c>
      <c r="E9" s="261" t="str">
        <f>'order transaksi cash'!B10</f>
        <v>5.6</v>
      </c>
      <c r="F9" s="98" t="str">
        <f>'order transaksi cash'!C10</f>
        <v>.000003</v>
      </c>
      <c r="G9" s="98">
        <f>'order transaksi cash'!D10</f>
        <v>25</v>
      </c>
      <c r="H9" s="98">
        <f>'order transaksi cash'!E10</f>
        <v>0</v>
      </c>
      <c r="I9" s="98">
        <f>'order transaksi cash'!F10</f>
        <v>200000</v>
      </c>
      <c r="J9" s="99"/>
      <c r="K9" s="99">
        <f>I9-H9</f>
        <v>200000</v>
      </c>
      <c r="L9" s="98">
        <f>'order transaksi cash'!J10</f>
        <v>1</v>
      </c>
      <c r="M9" s="98" t="str">
        <f>'order transaksi cash'!K10</f>
        <v>dimas dhaniarso</v>
      </c>
      <c r="N9" s="98">
        <f>'order transaksi cash'!L10</f>
        <v>81273845323</v>
      </c>
      <c r="O9" s="98" t="str">
        <f>'order transaksi cash'!M10</f>
        <v>dhadan33@gmail.com</v>
      </c>
      <c r="P9" s="98">
        <f>'order transaksi cash'!N10</f>
        <v>1</v>
      </c>
      <c r="Q9" s="98" t="str">
        <f>'order transaksi cash'!O10</f>
        <v>IDR</v>
      </c>
      <c r="R9" s="98">
        <f>'order transaksi cash'!P10</f>
        <v>1</v>
      </c>
      <c r="S9" s="102">
        <f>'order transaksi cash'!S10</f>
        <v>43257</v>
      </c>
      <c r="T9" s="98"/>
      <c r="U9" s="98" t="str">
        <f>'order transaksi cash'!U10</f>
        <v>beri pinjaman giro</v>
      </c>
      <c r="V9" s="98">
        <f>'order transaksi cash'!X10</f>
        <v>4</v>
      </c>
      <c r="W9" s="98" t="str">
        <f>'order transaksi cash'!Y10</f>
        <v>dea fitri maharani</v>
      </c>
      <c r="X9" s="98">
        <f>'order transaksi cash'!Z10</f>
        <v>0</v>
      </c>
      <c r="Y9" s="98">
        <f>'order transaksi cash'!AA10</f>
        <v>0</v>
      </c>
      <c r="Z9" s="98">
        <f>'order transaksi cash'!AG10</f>
        <v>1</v>
      </c>
      <c r="AA9" s="98">
        <f>'order transaksi cash'!AH10</f>
        <v>1</v>
      </c>
      <c r="AB9" s="98"/>
      <c r="AC9" s="98"/>
    </row>
    <row r="10" spans="1:34" x14ac:dyDescent="0.25">
      <c r="A10" s="98">
        <v>9</v>
      </c>
      <c r="B10" s="98">
        <f>'kode transaksi'!A31</f>
        <v>30</v>
      </c>
      <c r="C10" s="148" t="str">
        <f t="shared" si="0"/>
        <v>30.9</v>
      </c>
      <c r="D10" s="261" t="str">
        <f>'order transaksi cash'!B10</f>
        <v>5.6</v>
      </c>
      <c r="E10" s="261" t="str">
        <f>'order transaksi cash'!AB10</f>
        <v>5.6.8</v>
      </c>
      <c r="F10" s="98" t="str">
        <f>'order transaksi cash'!AC10</f>
        <v>.000003</v>
      </c>
      <c r="G10" s="98">
        <f>'order transaksi cash'!AD10</f>
        <v>7</v>
      </c>
      <c r="H10" s="98">
        <f>'order transaksi cash'!AE10</f>
        <v>200000</v>
      </c>
      <c r="I10" s="98">
        <f>'order transaksi cash'!AF10</f>
        <v>0</v>
      </c>
      <c r="J10" s="99">
        <f>H10-I10</f>
        <v>200000</v>
      </c>
      <c r="K10" s="99"/>
      <c r="L10" s="98">
        <f>'order transaksi cash'!J10</f>
        <v>1</v>
      </c>
      <c r="M10" s="98" t="str">
        <f>'order transaksi cash'!K10</f>
        <v>dimas dhaniarso</v>
      </c>
      <c r="N10" s="98">
        <f>'order transaksi cash'!L10</f>
        <v>81273845323</v>
      </c>
      <c r="O10" s="98" t="str">
        <f>'order transaksi cash'!M10</f>
        <v>dhadan33@gmail.com</v>
      </c>
      <c r="P10" s="98">
        <f>'order transaksi cash'!N10</f>
        <v>1</v>
      </c>
      <c r="Q10" s="98" t="str">
        <f>'order transaksi cash'!O10</f>
        <v>IDR</v>
      </c>
      <c r="R10" s="98">
        <f>'order transaksi cash'!P10</f>
        <v>1</v>
      </c>
      <c r="S10" s="102">
        <f>'order transaksi cash'!S10</f>
        <v>43257</v>
      </c>
      <c r="T10" s="98"/>
      <c r="U10" s="98" t="str">
        <f>'order transaksi cash'!U10</f>
        <v>beri pinjaman giro</v>
      </c>
      <c r="V10" s="98">
        <f>'order transaksi cash'!X10</f>
        <v>4</v>
      </c>
      <c r="W10" s="98" t="str">
        <f>'order transaksi cash'!Y10</f>
        <v>dea fitri maharani</v>
      </c>
      <c r="X10" s="98">
        <f>'order transaksi cash'!Z10</f>
        <v>0</v>
      </c>
      <c r="Y10" s="98">
        <f>'order transaksi cash'!AA10</f>
        <v>0</v>
      </c>
      <c r="Z10" s="98">
        <f>'order transaksi cash'!AG10</f>
        <v>1</v>
      </c>
      <c r="AA10" s="98">
        <f>'order transaksi cash'!AH10</f>
        <v>1</v>
      </c>
      <c r="AB10" s="98"/>
      <c r="AC10" s="98"/>
    </row>
    <row r="11" spans="1:34" x14ac:dyDescent="0.25">
      <c r="A11" s="98">
        <v>10</v>
      </c>
      <c r="B11" s="98">
        <f>'kode transaksi'!A31</f>
        <v>30</v>
      </c>
      <c r="C11" s="148" t="str">
        <f t="shared" si="0"/>
        <v>30.10</v>
      </c>
      <c r="D11" s="98" t="str">
        <f>'order transaksi cash'!B11</f>
        <v>5.7</v>
      </c>
      <c r="E11" s="98" t="str">
        <f>'order transaksi cash'!AB11</f>
        <v>5.6</v>
      </c>
      <c r="F11" s="98" t="str">
        <f>'order transaksi cash'!AC11</f>
        <v>.000003</v>
      </c>
      <c r="G11" s="98">
        <f>'order transaksi cash'!AD11</f>
        <v>25</v>
      </c>
      <c r="H11" s="98">
        <f>'order transaksi cash'!AE11</f>
        <v>200000</v>
      </c>
      <c r="I11" s="99"/>
      <c r="J11" s="99"/>
      <c r="K11" s="99">
        <f>SUM(H9,H11)-SUM(I9,I11)</f>
        <v>0</v>
      </c>
      <c r="L11" s="98">
        <f>'order transaksi cash'!J11</f>
        <v>1</v>
      </c>
      <c r="M11" s="98" t="str">
        <f>'order transaksi cash'!K11</f>
        <v>dimas dhaniarso</v>
      </c>
      <c r="N11" s="98">
        <f>'order transaksi cash'!L11</f>
        <v>81273845323</v>
      </c>
      <c r="O11" s="98" t="str">
        <f>'order transaksi cash'!M11</f>
        <v>dhadan33@gmail.com</v>
      </c>
      <c r="P11" s="98">
        <f>'order transaksi cash'!N11</f>
        <v>1</v>
      </c>
      <c r="Q11" s="98" t="str">
        <f>'order transaksi cash'!O11</f>
        <v>IDR</v>
      </c>
      <c r="R11" s="98">
        <f>'order transaksi cash'!P11</f>
        <v>1</v>
      </c>
      <c r="S11" s="102">
        <f>'order transaksi cash'!S11</f>
        <v>43258</v>
      </c>
      <c r="T11" s="98"/>
      <c r="U11" s="98" t="str">
        <f>'order transaksi cash'!U11</f>
        <v>pencairan giro keluar</v>
      </c>
      <c r="V11" s="98">
        <f>'order transaksi cash'!X11</f>
        <v>4</v>
      </c>
      <c r="W11" s="98" t="str">
        <f>'order transaksi cash'!Y11</f>
        <v>dea fitri maharani</v>
      </c>
      <c r="X11" s="98">
        <f>'order transaksi cash'!Z11</f>
        <v>0</v>
      </c>
      <c r="Y11" s="98">
        <f>'order transaksi cash'!AA11</f>
        <v>0</v>
      </c>
      <c r="Z11" s="98">
        <f>'order transaksi cash'!AG11</f>
        <v>2</v>
      </c>
      <c r="AA11" s="98">
        <f>'order transaksi cash'!AH11</f>
        <v>1</v>
      </c>
      <c r="AB11" s="98"/>
      <c r="AC11" s="98" t="s">
        <v>1621</v>
      </c>
    </row>
    <row r="12" spans="1:34" x14ac:dyDescent="0.25">
      <c r="A12" s="98">
        <v>11</v>
      </c>
      <c r="B12" s="98">
        <f>'kode transaksi'!A31</f>
        <v>30</v>
      </c>
      <c r="C12" s="148" t="str">
        <f t="shared" si="0"/>
        <v>30.11</v>
      </c>
      <c r="D12" s="261" t="str">
        <f>'order transaksi cash'!B12</f>
        <v>4.8</v>
      </c>
      <c r="E12" s="261" t="str">
        <f>'order transaksi cash'!B12</f>
        <v>4.8</v>
      </c>
      <c r="F12" s="98" t="str">
        <f>'order transaksi cash'!C12</f>
        <v>.000004</v>
      </c>
      <c r="G12" s="98">
        <f>'order transaksi cash'!D12</f>
        <v>24</v>
      </c>
      <c r="H12" s="98">
        <f>'order transaksi cash'!E12</f>
        <v>200000</v>
      </c>
      <c r="I12" s="98"/>
      <c r="J12" s="99">
        <f>H12-I12</f>
        <v>200000</v>
      </c>
      <c r="K12" s="99"/>
      <c r="L12" s="98">
        <f>'order transaksi cash'!J12</f>
        <v>1</v>
      </c>
      <c r="M12" s="98" t="str">
        <f>'order transaksi cash'!K12</f>
        <v>dimas dhaniarso</v>
      </c>
      <c r="N12" s="98">
        <f>'order transaksi cash'!L12</f>
        <v>81273845323</v>
      </c>
      <c r="O12" s="98" t="str">
        <f>'order transaksi cash'!M12</f>
        <v>dhadan33@gmail.com</v>
      </c>
      <c r="P12" s="98">
        <f>'order transaksi cash'!N12</f>
        <v>1</v>
      </c>
      <c r="Q12" s="98" t="str">
        <f>'order transaksi cash'!O12</f>
        <v>IDR</v>
      </c>
      <c r="R12" s="98">
        <f>'order transaksi cash'!P12</f>
        <v>1</v>
      </c>
      <c r="S12" s="102">
        <f>'order transaksi cash'!S12</f>
        <v>43259</v>
      </c>
      <c r="T12" s="98"/>
      <c r="U12" s="98" t="str">
        <f>'order transaksi cash'!U12</f>
        <v>pembayaran pinjaman dgn giro</v>
      </c>
      <c r="V12" s="98">
        <f>'order transaksi cash'!X12</f>
        <v>6</v>
      </c>
      <c r="W12" s="98" t="str">
        <f>'order transaksi cash'!Y12</f>
        <v>yusril</v>
      </c>
      <c r="X12" s="98">
        <f>'order transaksi cash'!Z12</f>
        <v>0</v>
      </c>
      <c r="Y12" s="98">
        <f>'order transaksi cash'!AA12</f>
        <v>0</v>
      </c>
      <c r="Z12" s="98">
        <f>'order transaksi cash'!AG12</f>
        <v>3</v>
      </c>
      <c r="AA12" s="98">
        <f>'order transaksi cash'!AH12</f>
        <v>1</v>
      </c>
      <c r="AB12" s="98"/>
      <c r="AC12" s="98"/>
    </row>
    <row r="13" spans="1:34" x14ac:dyDescent="0.25">
      <c r="A13" s="98">
        <v>12</v>
      </c>
      <c r="B13" s="98">
        <f>'kode transaksi'!A31</f>
        <v>30</v>
      </c>
      <c r="C13" s="148" t="str">
        <f t="shared" si="0"/>
        <v>30.12</v>
      </c>
      <c r="D13" s="261" t="str">
        <f>'order transaksi cash'!B12</f>
        <v>4.8</v>
      </c>
      <c r="E13" s="261" t="str">
        <f>'order transaksi cash'!AB12</f>
        <v>5.6.8</v>
      </c>
      <c r="F13" s="98" t="str">
        <f>'order transaksi cash'!AC12</f>
        <v>.000003</v>
      </c>
      <c r="G13" s="98">
        <f>'order transaksi cash'!AD12</f>
        <v>7</v>
      </c>
      <c r="H13" s="98"/>
      <c r="I13" s="98">
        <f>'order transaksi cash'!AF12</f>
        <v>200000</v>
      </c>
      <c r="J13" s="99">
        <f>SUM(H10,H13)-SUM(I10,I13)</f>
        <v>0</v>
      </c>
      <c r="K13" s="99"/>
      <c r="L13" s="98">
        <f>'order transaksi cash'!J12</f>
        <v>1</v>
      </c>
      <c r="M13" s="98" t="str">
        <f>'order transaksi cash'!K12</f>
        <v>dimas dhaniarso</v>
      </c>
      <c r="N13" s="98">
        <f>'order transaksi cash'!L12</f>
        <v>81273845323</v>
      </c>
      <c r="O13" s="98" t="str">
        <f>'order transaksi cash'!M12</f>
        <v>dhadan33@gmail.com</v>
      </c>
      <c r="P13" s="98">
        <f>'order transaksi cash'!N12</f>
        <v>1</v>
      </c>
      <c r="Q13" s="98" t="str">
        <f>'order transaksi cash'!O12</f>
        <v>IDR</v>
      </c>
      <c r="R13" s="98">
        <f>'order transaksi cash'!P12</f>
        <v>1</v>
      </c>
      <c r="S13" s="102">
        <f>'order transaksi cash'!S12</f>
        <v>43259</v>
      </c>
      <c r="T13" s="98"/>
      <c r="U13" s="98" t="str">
        <f>'order transaksi cash'!U12</f>
        <v>pembayaran pinjaman dgn giro</v>
      </c>
      <c r="V13" s="98">
        <f>'order transaksi cash'!X12</f>
        <v>6</v>
      </c>
      <c r="W13" s="98" t="str">
        <f>'order transaksi cash'!Y12</f>
        <v>yusril</v>
      </c>
      <c r="X13" s="98">
        <f>'order transaksi cash'!Z12</f>
        <v>0</v>
      </c>
      <c r="Y13" s="98">
        <f>'order transaksi cash'!AA12</f>
        <v>0</v>
      </c>
      <c r="Z13" s="98">
        <f>'order transaksi cash'!AG12</f>
        <v>3</v>
      </c>
      <c r="AA13" s="98">
        <f>'order transaksi cash'!AH12</f>
        <v>1</v>
      </c>
      <c r="AB13" s="98"/>
      <c r="AC13" s="98" t="s">
        <v>1621</v>
      </c>
    </row>
    <row r="14" spans="1:34" x14ac:dyDescent="0.25">
      <c r="A14" s="98">
        <v>13</v>
      </c>
      <c r="B14" s="98">
        <f>'kode transaksi'!A31</f>
        <v>30</v>
      </c>
      <c r="C14" s="148" t="str">
        <f t="shared" si="0"/>
        <v>30.13</v>
      </c>
      <c r="D14" s="98" t="str">
        <f>'order transaksi cash'!B13</f>
        <v>4.9</v>
      </c>
      <c r="E14" s="98" t="str">
        <f>'order transaksi cash'!AB13</f>
        <v>4.8</v>
      </c>
      <c r="F14" s="98" t="str">
        <f>'order transaksi cash'!AC13</f>
        <v>.000004</v>
      </c>
      <c r="G14" s="98">
        <f>'order transaksi cash'!AD13</f>
        <v>24</v>
      </c>
      <c r="H14" s="98"/>
      <c r="I14" s="98">
        <f>'order transaksi cash'!AF13</f>
        <v>200000</v>
      </c>
      <c r="J14" s="99">
        <f>SUM(H12,H14)-SUM(I12,I14)</f>
        <v>0</v>
      </c>
      <c r="K14" s="99"/>
      <c r="L14" s="98">
        <f>'order transaksi cash'!J13</f>
        <v>1</v>
      </c>
      <c r="M14" s="98" t="str">
        <f>'order transaksi cash'!K13</f>
        <v>dimas dhaniarso</v>
      </c>
      <c r="N14" s="98">
        <f>'order transaksi cash'!L13</f>
        <v>81273845323</v>
      </c>
      <c r="O14" s="98" t="str">
        <f>'order transaksi cash'!M13</f>
        <v>dhadan33@gmail.com</v>
      </c>
      <c r="P14" s="98">
        <f>'order transaksi cash'!N13</f>
        <v>1</v>
      </c>
      <c r="Q14" s="98" t="str">
        <f>'order transaksi cash'!O13</f>
        <v>IDR</v>
      </c>
      <c r="R14" s="98">
        <f>'order transaksi cash'!P13</f>
        <v>1</v>
      </c>
      <c r="S14" s="102">
        <f>'order transaksi cash'!S13</f>
        <v>43260</v>
      </c>
      <c r="T14" s="98"/>
      <c r="U14" s="98" t="str">
        <f>'order transaksi cash'!U13</f>
        <v>pencairan giro masuk</v>
      </c>
      <c r="V14" s="98">
        <f>'order transaksi cash'!X13</f>
        <v>6</v>
      </c>
      <c r="W14" s="98" t="str">
        <f>'order transaksi cash'!Y13</f>
        <v>yusril</v>
      </c>
      <c r="X14" s="98">
        <f>'order transaksi cash'!Z13</f>
        <v>0</v>
      </c>
      <c r="Y14" s="98">
        <f>'order transaksi cash'!AA13</f>
        <v>0</v>
      </c>
      <c r="Z14" s="98">
        <f>'order transaksi cash'!AG13</f>
        <v>1</v>
      </c>
      <c r="AA14" s="98">
        <f>'order transaksi cash'!AH13</f>
        <v>1</v>
      </c>
      <c r="AB14" s="98"/>
      <c r="AC14" s="98" t="s">
        <v>1621</v>
      </c>
    </row>
    <row r="15" spans="1:34" x14ac:dyDescent="0.25">
      <c r="A15" s="7">
        <v>14</v>
      </c>
      <c r="B15" s="7">
        <f>'kode transaksi'!A31</f>
        <v>30</v>
      </c>
      <c r="C15" s="148" t="str">
        <f t="shared" si="0"/>
        <v>30.14</v>
      </c>
      <c r="D15" s="7" t="str">
        <f>'order transaksi cash'!B14</f>
        <v>4.10</v>
      </c>
      <c r="E15" s="7" t="str">
        <f>'order transaksi cash'!AB14</f>
        <v>4.10.12</v>
      </c>
      <c r="F15" s="7" t="str">
        <f>'order transaksi cash'!AC14</f>
        <v>.000005</v>
      </c>
      <c r="G15" s="7">
        <f>'order transaksi cash'!AD14</f>
        <v>8</v>
      </c>
      <c r="H15" s="7"/>
      <c r="I15" s="7">
        <f>'order transaksi cash'!AF14</f>
        <v>300000</v>
      </c>
      <c r="J15" s="103"/>
      <c r="K15" s="103">
        <f>I15-H15</f>
        <v>300000</v>
      </c>
      <c r="L15" s="7">
        <f>'order transaksi cash'!J14</f>
        <v>7</v>
      </c>
      <c r="M15" s="7" t="str">
        <f>'order transaksi cash'!K14</f>
        <v>djayakusuma</v>
      </c>
      <c r="N15" s="7">
        <f>'order transaksi cash'!L14</f>
        <v>8170175139</v>
      </c>
      <c r="O15" s="7" t="str">
        <f>'order transaksi cash'!M14</f>
        <v>djayakusuma@gmail.com</v>
      </c>
      <c r="P15" s="7">
        <f>'order transaksi cash'!N14</f>
        <v>1</v>
      </c>
      <c r="Q15" s="7" t="str">
        <f>'order transaksi cash'!O14</f>
        <v>IDR</v>
      </c>
      <c r="R15" s="7">
        <f>'order transaksi cash'!P14</f>
        <v>1</v>
      </c>
      <c r="S15" s="104">
        <f>'order transaksi cash'!S14</f>
        <v>43260</v>
      </c>
      <c r="T15" s="7"/>
      <c r="U15" s="7" t="str">
        <f>'order transaksi cash'!U14</f>
        <v>mendapat dana pinjaman</v>
      </c>
      <c r="V15" s="7">
        <f>'order transaksi cash'!X14</f>
        <v>5</v>
      </c>
      <c r="W15" s="7" t="str">
        <f>'order transaksi cash'!Y14</f>
        <v>gisela tria canitha</v>
      </c>
      <c r="X15" s="7">
        <f>'order transaksi cash'!Z14</f>
        <v>0</v>
      </c>
      <c r="Y15" s="7">
        <f>'order transaksi cash'!AA14</f>
        <v>0</v>
      </c>
      <c r="Z15" s="7">
        <f>'order transaksi cash'!AG14</f>
        <v>2</v>
      </c>
      <c r="AA15" s="7">
        <f>'order transaksi cash'!AH14</f>
        <v>1</v>
      </c>
      <c r="AB15" s="7"/>
      <c r="AC15" s="7"/>
    </row>
    <row r="16" spans="1:34" x14ac:dyDescent="0.25">
      <c r="A16" s="7">
        <v>15</v>
      </c>
      <c r="B16" s="7">
        <f>'kode transaksi'!A31</f>
        <v>30</v>
      </c>
      <c r="C16" s="148" t="str">
        <f t="shared" si="0"/>
        <v>30.15</v>
      </c>
      <c r="D16" s="7" t="str">
        <f>'order transaksi cash'!B15</f>
        <v>5.11</v>
      </c>
      <c r="E16" s="7" t="str">
        <f>'order transaksi cash'!AB15</f>
        <v>4.10.12</v>
      </c>
      <c r="F16" s="7" t="str">
        <f>'order transaksi cash'!AC15</f>
        <v>.000005</v>
      </c>
      <c r="G16" s="7">
        <f>'order transaksi cash'!AD15</f>
        <v>8</v>
      </c>
      <c r="H16" s="7">
        <f>'order transaksi cash'!AE15</f>
        <v>300000</v>
      </c>
      <c r="I16" s="7"/>
      <c r="J16" s="103"/>
      <c r="K16" s="103">
        <f>SUM(H15,H16)-SUM(I15,I16)</f>
        <v>0</v>
      </c>
      <c r="L16" s="7">
        <f>'order transaksi cash'!J15</f>
        <v>7</v>
      </c>
      <c r="M16" s="7" t="str">
        <f>'order transaksi cash'!K15</f>
        <v>djayakusuma</v>
      </c>
      <c r="N16" s="7">
        <f>'order transaksi cash'!L15</f>
        <v>8170175139</v>
      </c>
      <c r="O16" s="7" t="str">
        <f>'order transaksi cash'!M15</f>
        <v>djayakusuma@gmail.com</v>
      </c>
      <c r="P16" s="7">
        <f>'order transaksi cash'!N15</f>
        <v>1</v>
      </c>
      <c r="Q16" s="7" t="str">
        <f>'order transaksi cash'!O15</f>
        <v>IDR</v>
      </c>
      <c r="R16" s="7">
        <f>'order transaksi cash'!P15</f>
        <v>1</v>
      </c>
      <c r="S16" s="104">
        <f>'order transaksi cash'!S15</f>
        <v>43261</v>
      </c>
      <c r="T16" s="7"/>
      <c r="U16" s="7" t="str">
        <f>'order transaksi cash'!U15</f>
        <v>membayar dana pinjaman</v>
      </c>
      <c r="V16" s="7">
        <f>'order transaksi cash'!X15</f>
        <v>6</v>
      </c>
      <c r="W16" s="7" t="str">
        <f>'order transaksi cash'!Y15</f>
        <v>yusril</v>
      </c>
      <c r="X16" s="7">
        <f>'order transaksi cash'!Z15</f>
        <v>0</v>
      </c>
      <c r="Y16" s="7">
        <f>'order transaksi cash'!AA15</f>
        <v>0</v>
      </c>
      <c r="Z16" s="7">
        <f>'order transaksi cash'!AG15</f>
        <v>3</v>
      </c>
      <c r="AA16" s="7">
        <f>'order transaksi cash'!AH15</f>
        <v>1</v>
      </c>
      <c r="AB16" s="7"/>
      <c r="AC16" s="7" t="s">
        <v>1621</v>
      </c>
    </row>
    <row r="17" spans="1:33" x14ac:dyDescent="0.25">
      <c r="A17" s="105">
        <v>16</v>
      </c>
      <c r="B17" s="105">
        <f>'kode transaksi'!A31</f>
        <v>30</v>
      </c>
      <c r="C17" s="148" t="str">
        <f t="shared" si="0"/>
        <v>30.16</v>
      </c>
      <c r="D17" s="105" t="str">
        <f>'order transaksi cash'!B16</f>
        <v>4.12</v>
      </c>
      <c r="E17" s="105" t="str">
        <f>'order transaksi cash'!B16</f>
        <v>4.12</v>
      </c>
      <c r="F17" s="105" t="str">
        <f>'order transaksi cash'!C16</f>
        <v>.000006</v>
      </c>
      <c r="G17" s="105">
        <f>'order transaksi cash'!D16</f>
        <v>24</v>
      </c>
      <c r="H17" s="105">
        <f>'order transaksi cash'!E16</f>
        <v>500000</v>
      </c>
      <c r="I17" s="105"/>
      <c r="J17" s="106">
        <f>H17-I17</f>
        <v>500000</v>
      </c>
      <c r="K17" s="106"/>
      <c r="L17" s="105">
        <f>'order transaksi cash'!J16</f>
        <v>8</v>
      </c>
      <c r="M17" s="105" t="str">
        <f>'order transaksi cash'!K16</f>
        <v>dodi kusuma</v>
      </c>
      <c r="N17" s="105">
        <f>'order transaksi cash'!L16</f>
        <v>217229385</v>
      </c>
      <c r="O17" s="105" t="str">
        <f>'order transaksi cash'!M16</f>
        <v>dodikusuma@yahoo.co.id</v>
      </c>
      <c r="P17" s="105">
        <f>'order transaksi cash'!N16</f>
        <v>1</v>
      </c>
      <c r="Q17" s="105" t="str">
        <f>'order transaksi cash'!O16</f>
        <v>IDR</v>
      </c>
      <c r="R17" s="105">
        <f>'order transaksi cash'!P16</f>
        <v>1</v>
      </c>
      <c r="S17" s="107">
        <f>'order transaksi cash'!S16</f>
        <v>43262</v>
      </c>
      <c r="T17" s="105"/>
      <c r="U17" s="105" t="str">
        <f>'order transaksi cash'!U16</f>
        <v>mendapat pinjaman dgn giro</v>
      </c>
      <c r="V17" s="105">
        <f>'order transaksi cash'!X16</f>
        <v>4</v>
      </c>
      <c r="W17" s="105" t="str">
        <f>'order transaksi cash'!Y16</f>
        <v>dea fitri maharani</v>
      </c>
      <c r="X17" s="105">
        <f>'order transaksi cash'!Z16</f>
        <v>0</v>
      </c>
      <c r="Y17" s="105">
        <f>'order transaksi cash'!AA16</f>
        <v>0</v>
      </c>
      <c r="Z17" s="105">
        <f>'order transaksi cash'!AG16</f>
        <v>1</v>
      </c>
      <c r="AA17" s="105">
        <f>'order transaksi cash'!AH16</f>
        <v>1</v>
      </c>
      <c r="AB17" s="105"/>
      <c r="AC17" s="105"/>
    </row>
    <row r="18" spans="1:33" x14ac:dyDescent="0.25">
      <c r="A18" s="105">
        <v>17</v>
      </c>
      <c r="B18" s="105">
        <f>'kode transaksi'!A31</f>
        <v>30</v>
      </c>
      <c r="C18" s="148" t="str">
        <f t="shared" si="0"/>
        <v>30.17</v>
      </c>
      <c r="D18" s="105" t="str">
        <f>'order transaksi cash'!B16</f>
        <v>4.12</v>
      </c>
      <c r="E18" s="105" t="str">
        <f>'order transaksi cash'!AB16</f>
        <v>4.12.14</v>
      </c>
      <c r="F18" s="105" t="str">
        <f>'order transaksi cash'!AC16</f>
        <v>.000006</v>
      </c>
      <c r="G18" s="105">
        <f>'order transaksi cash'!AD16</f>
        <v>8</v>
      </c>
      <c r="H18" s="105"/>
      <c r="I18" s="105">
        <f>'order transaksi cash'!AF16</f>
        <v>500000</v>
      </c>
      <c r="J18" s="106"/>
      <c r="K18" s="106">
        <f>I18-H18</f>
        <v>500000</v>
      </c>
      <c r="L18" s="105">
        <f>'order transaksi cash'!J16</f>
        <v>8</v>
      </c>
      <c r="M18" s="105" t="str">
        <f>'order transaksi cash'!K16</f>
        <v>dodi kusuma</v>
      </c>
      <c r="N18" s="105">
        <f>'order transaksi cash'!L16</f>
        <v>217229385</v>
      </c>
      <c r="O18" s="105" t="str">
        <f>'order transaksi cash'!M16</f>
        <v>dodikusuma@yahoo.co.id</v>
      </c>
      <c r="P18" s="105">
        <f>'order transaksi cash'!N16</f>
        <v>1</v>
      </c>
      <c r="Q18" s="105" t="str">
        <f>'order transaksi cash'!O16</f>
        <v>IDR</v>
      </c>
      <c r="R18" s="105">
        <f>'order transaksi cash'!P16</f>
        <v>1</v>
      </c>
      <c r="S18" s="107">
        <f>'order transaksi cash'!S16</f>
        <v>43262</v>
      </c>
      <c r="T18" s="105"/>
      <c r="U18" s="105" t="str">
        <f>'order transaksi cash'!U16</f>
        <v>mendapat pinjaman dgn giro</v>
      </c>
      <c r="V18" s="105">
        <f>'order transaksi cash'!X16</f>
        <v>4</v>
      </c>
      <c r="W18" s="105" t="str">
        <f>'order transaksi cash'!Y16</f>
        <v>dea fitri maharani</v>
      </c>
      <c r="X18" s="105">
        <f>'order transaksi cash'!Z16</f>
        <v>0</v>
      </c>
      <c r="Y18" s="105">
        <f>'order transaksi cash'!AA16</f>
        <v>0</v>
      </c>
      <c r="Z18" s="105">
        <f>'order transaksi cash'!AG16</f>
        <v>1</v>
      </c>
      <c r="AA18" s="105">
        <f>'order transaksi cash'!AH16</f>
        <v>1</v>
      </c>
      <c r="AB18" s="105"/>
      <c r="AC18" s="105"/>
    </row>
    <row r="19" spans="1:33" x14ac:dyDescent="0.25">
      <c r="A19" s="105">
        <v>18</v>
      </c>
      <c r="B19" s="105">
        <f>'kode transaksi'!A31</f>
        <v>30</v>
      </c>
      <c r="C19" s="148" t="str">
        <f t="shared" si="0"/>
        <v>30.18</v>
      </c>
      <c r="D19" s="105" t="str">
        <f>'order transaksi cash'!B17</f>
        <v>4.13</v>
      </c>
      <c r="E19" s="105" t="str">
        <f>'order transaksi cash'!AB17</f>
        <v>4.12</v>
      </c>
      <c r="F19" s="105" t="str">
        <f>'order transaksi cash'!AC17</f>
        <v>.000006</v>
      </c>
      <c r="G19" s="105">
        <f>'order transaksi cash'!AD17</f>
        <v>24</v>
      </c>
      <c r="H19" s="105"/>
      <c r="I19" s="105">
        <f>'order transaksi cash'!AF17</f>
        <v>500000</v>
      </c>
      <c r="J19" s="106">
        <f>SUM(H17,H19)-SUM(I17,I19)</f>
        <v>0</v>
      </c>
      <c r="K19" s="106"/>
      <c r="L19" s="105">
        <f>'order transaksi cash'!J17</f>
        <v>8</v>
      </c>
      <c r="M19" s="105" t="str">
        <f>'order transaksi cash'!K17</f>
        <v>dodi kusuma</v>
      </c>
      <c r="N19" s="105">
        <f>'order transaksi cash'!L17</f>
        <v>217229385</v>
      </c>
      <c r="O19" s="105" t="str">
        <f>'order transaksi cash'!M17</f>
        <v>dodikusuma@yahoo.co.id</v>
      </c>
      <c r="P19" s="105">
        <f>'order transaksi cash'!N17</f>
        <v>1</v>
      </c>
      <c r="Q19" s="105" t="str">
        <f>'order transaksi cash'!O17</f>
        <v>IDR</v>
      </c>
      <c r="R19" s="105">
        <f>'order transaksi cash'!P17</f>
        <v>1</v>
      </c>
      <c r="S19" s="107">
        <f>'order transaksi cash'!S17</f>
        <v>43262</v>
      </c>
      <c r="T19" s="105"/>
      <c r="U19" s="105" t="str">
        <f>'order transaksi cash'!U17</f>
        <v>pencairan giro masuk</v>
      </c>
      <c r="V19" s="105">
        <f>'order transaksi cash'!X17</f>
        <v>4</v>
      </c>
      <c r="W19" s="105" t="str">
        <f>'order transaksi cash'!Y17</f>
        <v>dea fitri maharani</v>
      </c>
      <c r="X19" s="105">
        <f>'order transaksi cash'!Z17</f>
        <v>0</v>
      </c>
      <c r="Y19" s="105">
        <f>'order transaksi cash'!AA17</f>
        <v>0</v>
      </c>
      <c r="Z19" s="105">
        <f>'order transaksi cash'!AG17</f>
        <v>2</v>
      </c>
      <c r="AA19" s="105">
        <f>'order transaksi cash'!AH17</f>
        <v>1</v>
      </c>
      <c r="AB19" s="105"/>
      <c r="AC19" s="105" t="s">
        <v>1621</v>
      </c>
    </row>
    <row r="20" spans="1:33" x14ac:dyDescent="0.25">
      <c r="A20" s="105">
        <v>19</v>
      </c>
      <c r="B20" s="105">
        <f>'kode transaksi'!A31</f>
        <v>30</v>
      </c>
      <c r="C20" s="148" t="str">
        <f t="shared" si="0"/>
        <v>30.19</v>
      </c>
      <c r="D20" s="105" t="str">
        <f>'order transaksi cash'!B18</f>
        <v>5.14</v>
      </c>
      <c r="E20" s="105" t="str">
        <f>'order transaksi cash'!B18</f>
        <v>5.14</v>
      </c>
      <c r="F20" s="105" t="str">
        <f>'order transaksi cash'!C18</f>
        <v>.000005</v>
      </c>
      <c r="G20" s="105">
        <f>'order transaksi cash'!D18</f>
        <v>25</v>
      </c>
      <c r="H20" s="105"/>
      <c r="I20" s="105">
        <f>'order transaksi cash'!F18</f>
        <v>500000</v>
      </c>
      <c r="J20" s="105"/>
      <c r="K20" s="105"/>
      <c r="L20" s="105">
        <f>'order transaksi cash'!J18</f>
        <v>8</v>
      </c>
      <c r="M20" s="105" t="str">
        <f>'order transaksi cash'!K18</f>
        <v>dodi kusuma</v>
      </c>
      <c r="N20" s="105">
        <f>'order transaksi cash'!L18</f>
        <v>217229385</v>
      </c>
      <c r="O20" s="105" t="str">
        <f>'order transaksi cash'!M18</f>
        <v>dodikusuma@yahoo.co.id</v>
      </c>
      <c r="P20" s="105">
        <f>'order transaksi cash'!N18</f>
        <v>1</v>
      </c>
      <c r="Q20" s="105" t="str">
        <f>'order transaksi cash'!O18</f>
        <v>IDR</v>
      </c>
      <c r="R20" s="105">
        <f>'order transaksi cash'!P18</f>
        <v>1</v>
      </c>
      <c r="S20" s="107">
        <f>'order transaksi cash'!S18</f>
        <v>43263</v>
      </c>
      <c r="T20" s="105"/>
      <c r="U20" s="105" t="str">
        <f>'order transaksi cash'!U18</f>
        <v>membayar pinjaman dgn giro</v>
      </c>
      <c r="V20" s="105">
        <f>'order transaksi cash'!X18</f>
        <v>6</v>
      </c>
      <c r="W20" s="105" t="str">
        <f>'order transaksi cash'!Y18</f>
        <v>yusril</v>
      </c>
      <c r="X20" s="105">
        <f>'order transaksi cash'!Z18</f>
        <v>0</v>
      </c>
      <c r="Y20" s="105">
        <f>'order transaksi cash'!AA18</f>
        <v>0</v>
      </c>
      <c r="Z20" s="105">
        <f>'order transaksi cash'!AG18</f>
        <v>3</v>
      </c>
      <c r="AA20" s="105">
        <f>'order transaksi cash'!AH18</f>
        <v>1</v>
      </c>
      <c r="AB20" s="105"/>
      <c r="AC20" s="105"/>
    </row>
    <row r="21" spans="1:33" x14ac:dyDescent="0.25">
      <c r="A21" s="105">
        <v>20</v>
      </c>
      <c r="B21" s="105">
        <f>'kode transaksi'!A31</f>
        <v>30</v>
      </c>
      <c r="C21" s="148" t="str">
        <f t="shared" si="0"/>
        <v>30.20</v>
      </c>
      <c r="D21" s="105" t="str">
        <f>'order transaksi cash'!B18</f>
        <v>5.14</v>
      </c>
      <c r="E21" s="105" t="str">
        <f>'order transaksi cash'!AB18</f>
        <v>4.12.14</v>
      </c>
      <c r="F21" s="105" t="str">
        <f>'order transaksi cash'!AC18</f>
        <v>.000006</v>
      </c>
      <c r="G21" s="105">
        <f>'order transaksi cash'!AD18</f>
        <v>8</v>
      </c>
      <c r="H21" s="105">
        <f>'order transaksi cash'!AE18</f>
        <v>500000</v>
      </c>
      <c r="I21" s="105"/>
      <c r="J21" s="106"/>
      <c r="K21" s="106">
        <f>SUM(H18,H21)-SUM(I18,I21)</f>
        <v>0</v>
      </c>
      <c r="L21" s="105">
        <f>'order transaksi cash'!J18</f>
        <v>8</v>
      </c>
      <c r="M21" s="105" t="str">
        <f>'order transaksi cash'!K18</f>
        <v>dodi kusuma</v>
      </c>
      <c r="N21" s="105">
        <f>'order transaksi cash'!L18</f>
        <v>217229385</v>
      </c>
      <c r="O21" s="105" t="str">
        <f>'order transaksi cash'!M18</f>
        <v>dodikusuma@yahoo.co.id</v>
      </c>
      <c r="P21" s="105">
        <f>'order transaksi cash'!N18</f>
        <v>1</v>
      </c>
      <c r="Q21" s="105" t="str">
        <f>'order transaksi cash'!O18</f>
        <v>IDR</v>
      </c>
      <c r="R21" s="105">
        <f>'order transaksi cash'!P18</f>
        <v>1</v>
      </c>
      <c r="S21" s="107">
        <f>'order transaksi cash'!S18</f>
        <v>43263</v>
      </c>
      <c r="T21" s="105"/>
      <c r="U21" s="105" t="str">
        <f>'order transaksi cash'!U18</f>
        <v>membayar pinjaman dgn giro</v>
      </c>
      <c r="V21" s="105">
        <f>'order transaksi cash'!X18</f>
        <v>6</v>
      </c>
      <c r="W21" s="105" t="str">
        <f>'order transaksi cash'!Y18</f>
        <v>yusril</v>
      </c>
      <c r="X21" s="105">
        <f>'order transaksi cash'!Z18</f>
        <v>0</v>
      </c>
      <c r="Y21" s="105">
        <f>'order transaksi cash'!AA18</f>
        <v>0</v>
      </c>
      <c r="Z21" s="105">
        <f>'order transaksi cash'!AG18</f>
        <v>3</v>
      </c>
      <c r="AA21" s="105">
        <f>'order transaksi cash'!AH18</f>
        <v>1</v>
      </c>
      <c r="AB21" s="105"/>
      <c r="AC21" s="105" t="s">
        <v>1621</v>
      </c>
    </row>
    <row r="22" spans="1:33" x14ac:dyDescent="0.25">
      <c r="A22" s="105">
        <v>21</v>
      </c>
      <c r="B22" s="105">
        <f>'kode transaksi'!A31</f>
        <v>30</v>
      </c>
      <c r="C22" s="148" t="str">
        <f t="shared" si="0"/>
        <v>30.21</v>
      </c>
      <c r="D22" s="105" t="str">
        <f>'order transaksi cash'!B19</f>
        <v>5.15</v>
      </c>
      <c r="E22" s="105" t="str">
        <f>'order transaksi cash'!AB19</f>
        <v>5.14</v>
      </c>
      <c r="F22" s="105" t="str">
        <f>'order transaksi cash'!AC19</f>
        <v>.000005</v>
      </c>
      <c r="G22" s="105">
        <f>'order transaksi cash'!AD19</f>
        <v>25</v>
      </c>
      <c r="H22" s="105">
        <f>'order transaksi cash'!AE19</f>
        <v>500000</v>
      </c>
      <c r="I22" s="105"/>
      <c r="J22" s="106"/>
      <c r="K22" s="106">
        <f>SUM(H20,H22)-SUM(I20,I22)</f>
        <v>0</v>
      </c>
      <c r="L22" s="105">
        <f>'order transaksi cash'!J19</f>
        <v>8</v>
      </c>
      <c r="M22" s="105" t="str">
        <f>'order transaksi cash'!K19</f>
        <v>dodi kusuma</v>
      </c>
      <c r="N22" s="105">
        <f>'order transaksi cash'!L19</f>
        <v>217229385</v>
      </c>
      <c r="O22" s="105" t="str">
        <f>'order transaksi cash'!M19</f>
        <v>dodikusuma@yahoo.co.id</v>
      </c>
      <c r="P22" s="105">
        <f>'order transaksi cash'!N19</f>
        <v>1</v>
      </c>
      <c r="Q22" s="105" t="str">
        <f>'order transaksi cash'!O19</f>
        <v>IDR</v>
      </c>
      <c r="R22" s="105">
        <f>'order transaksi cash'!P19</f>
        <v>1</v>
      </c>
      <c r="S22" s="107">
        <f>'order transaksi cash'!S19</f>
        <v>43263</v>
      </c>
      <c r="T22" s="105"/>
      <c r="U22" s="105" t="str">
        <f>'order transaksi cash'!U19</f>
        <v>pencairan giro keluar</v>
      </c>
      <c r="V22" s="105">
        <f>'order transaksi cash'!X19</f>
        <v>6</v>
      </c>
      <c r="W22" s="105" t="str">
        <f>'order transaksi cash'!Y19</f>
        <v>yusril</v>
      </c>
      <c r="X22" s="105">
        <f>'order transaksi cash'!Z19</f>
        <v>0</v>
      </c>
      <c r="Y22" s="105">
        <f>'order transaksi cash'!AA19</f>
        <v>0</v>
      </c>
      <c r="Z22" s="105">
        <f>'order transaksi cash'!AG19</f>
        <v>1</v>
      </c>
      <c r="AA22" s="105">
        <f>'order transaksi cash'!AH19</f>
        <v>1</v>
      </c>
      <c r="AB22" s="105"/>
      <c r="AC22" s="105" t="s">
        <v>1621</v>
      </c>
    </row>
    <row r="25" spans="1:33" s="148" customFormat="1" x14ac:dyDescent="0.25">
      <c r="A25" s="145"/>
      <c r="B25" s="145">
        <f>'kode transaksi'!A31</f>
        <v>30</v>
      </c>
      <c r="C25" s="145" t="str">
        <f>CONCATENATE(B25,".",A25)</f>
        <v>30.</v>
      </c>
      <c r="D25" s="145" t="str">
        <f>Invoice!C4</f>
        <v>7.2</v>
      </c>
      <c r="E25" s="145" t="str">
        <f>Invoice!N4</f>
        <v>7.2</v>
      </c>
      <c r="F25" s="145" t="str">
        <f>CONCATENATE(Invoice!D4,Invoice!E4)</f>
        <v>SJ.000002</v>
      </c>
      <c r="G25" s="145">
        <f>Invoice!BM4</f>
        <v>7</v>
      </c>
      <c r="H25" s="146">
        <f>Invoice!BN4</f>
        <v>99000000</v>
      </c>
      <c r="I25" s="146"/>
      <c r="J25" s="146">
        <f>H25-I25</f>
        <v>99000000</v>
      </c>
      <c r="K25" s="146"/>
      <c r="L25" s="145">
        <f>Invoice!F4</f>
        <v>1</v>
      </c>
      <c r="M25" s="145" t="str">
        <f>Invoice!G4</f>
        <v>dimas dhaniarso</v>
      </c>
      <c r="N25" s="145">
        <f>Invoice!H4</f>
        <v>81273845323</v>
      </c>
      <c r="O25" s="145" t="str">
        <f>Invoice!I4</f>
        <v>dhadan33@gmail.com</v>
      </c>
      <c r="P25" s="145">
        <f>Invoice!O4</f>
        <v>1</v>
      </c>
      <c r="Q25" s="145" t="str">
        <f>Invoice!P4</f>
        <v>IDR</v>
      </c>
      <c r="R25" s="145">
        <f>Invoice!Q4</f>
        <v>1</v>
      </c>
      <c r="S25" s="147">
        <f>Invoice!R4</f>
        <v>43258</v>
      </c>
      <c r="T25" s="145"/>
      <c r="U25" s="145" t="str">
        <f>CONCATENATE(Invoice!W4,", ",Invoice!G4,", ",Invoice!V4)</f>
        <v>jual iPhone, dimas dhaniarso, cempaka putih</v>
      </c>
      <c r="V25" s="145">
        <f>Invoice!AB4</f>
        <v>5</v>
      </c>
      <c r="W25" s="145" t="str">
        <f>Invoice!AC4</f>
        <v>gisela tria canitha</v>
      </c>
      <c r="X25" s="145">
        <f>Invoice!X4</f>
        <v>0</v>
      </c>
      <c r="Y25" s="145">
        <f>Invoice!Y4</f>
        <v>0</v>
      </c>
      <c r="Z25" s="145">
        <f>Invoice!BZ4</f>
        <v>2</v>
      </c>
      <c r="AA25" s="145">
        <f>Invoice!CA4</f>
        <v>1</v>
      </c>
      <c r="AB25" s="145"/>
      <c r="AC25" s="145"/>
      <c r="AG25" s="149"/>
    </row>
    <row r="26" spans="1:33" x14ac:dyDescent="0.25">
      <c r="A26" s="153"/>
      <c r="B26" s="153">
        <f>'kode transaksi'!A31</f>
        <v>30</v>
      </c>
      <c r="C26" s="153" t="str">
        <f>CONCATENATE(B26,".",A26)</f>
        <v>30.</v>
      </c>
      <c r="D26" s="153" t="str">
        <f>'order transaksi cash'!B22</f>
        <v>3.1</v>
      </c>
      <c r="E26" s="153" t="str">
        <f>'order transaksi cash'!AB22</f>
        <v>7.2</v>
      </c>
      <c r="F26" s="153" t="str">
        <f>'order transaksi cash'!AC22</f>
        <v>SJ.000002</v>
      </c>
      <c r="G26" s="153">
        <f>'order transaksi cash'!AD22</f>
        <v>7</v>
      </c>
      <c r="H26" s="153"/>
      <c r="I26" s="154">
        <f>'order transaksi cash'!AF22</f>
        <v>99000000</v>
      </c>
      <c r="J26" s="154">
        <f>SUM(H25,H26)-SUM(I25,I26)</f>
        <v>0</v>
      </c>
      <c r="K26" s="154"/>
      <c r="L26" s="153">
        <f>'order transaksi cash'!J22</f>
        <v>1</v>
      </c>
      <c r="M26" s="153" t="str">
        <f>'order transaksi cash'!K22</f>
        <v>dimas dhaniarso</v>
      </c>
      <c r="N26" s="153">
        <f>'order transaksi cash'!L22</f>
        <v>81273845323</v>
      </c>
      <c r="O26" s="153" t="str">
        <f>'order transaksi cash'!M22</f>
        <v>dhadan33@gmail.com</v>
      </c>
      <c r="P26" s="153"/>
      <c r="Q26" s="153"/>
      <c r="R26" s="153"/>
      <c r="S26" s="155">
        <f>'order transaksi cash'!S22</f>
        <v>43259</v>
      </c>
      <c r="T26" s="153"/>
      <c r="U26" s="153" t="str">
        <f>'order transaksi cash'!U22</f>
        <v>pembayaran SJ.000001</v>
      </c>
      <c r="V26" s="153">
        <f>'order transaksi cash'!X22</f>
        <v>6</v>
      </c>
      <c r="W26" s="153" t="str">
        <f>'order transaksi cash'!Y22</f>
        <v>yusril</v>
      </c>
      <c r="X26" s="153"/>
      <c r="Y26" s="153"/>
      <c r="Z26" s="153">
        <f>'order transaksi cash'!AG22</f>
        <v>3</v>
      </c>
      <c r="AA26" s="153">
        <f>'order transaksi cash'!AH22</f>
        <v>1</v>
      </c>
      <c r="AB26" s="153"/>
      <c r="AC26" s="153" t="s">
        <v>1621</v>
      </c>
    </row>
    <row r="27" spans="1:33" x14ac:dyDescent="0.25">
      <c r="H27" s="1"/>
    </row>
    <row r="29" spans="1:33" x14ac:dyDescent="0.25">
      <c r="A29" s="145"/>
      <c r="B29" s="145">
        <f>'kode transaksi'!A31</f>
        <v>30</v>
      </c>
      <c r="C29" s="145" t="str">
        <f>CONCATENATE(B29,".",A29)</f>
        <v>30.</v>
      </c>
      <c r="D29" s="145" t="str">
        <f>Invoice!C5</f>
        <v>7.3</v>
      </c>
      <c r="E29" s="145" t="str">
        <f>Invoice!N5</f>
        <v>18.1</v>
      </c>
      <c r="F29" s="145" t="str">
        <f>CONCATENATE(Invoice!D5,Invoice!E5)</f>
        <v>SJ.000003</v>
      </c>
      <c r="G29" s="145">
        <f>Invoice!BM5</f>
        <v>7</v>
      </c>
      <c r="H29" s="146">
        <f>Invoice!BN5</f>
        <v>6600000</v>
      </c>
      <c r="I29" s="146"/>
      <c r="J29" s="146">
        <f>H29-I29</f>
        <v>6600000</v>
      </c>
      <c r="K29" s="146"/>
      <c r="L29" s="145">
        <f>Invoice!F5</f>
        <v>1</v>
      </c>
      <c r="M29" s="145" t="str">
        <f>Invoice!G5</f>
        <v>dimas dhaniarso</v>
      </c>
      <c r="N29" s="145">
        <f>Invoice!H5</f>
        <v>81273845323</v>
      </c>
      <c r="O29" s="145" t="str">
        <f>Invoice!I5</f>
        <v>dhadan33@gmail.com</v>
      </c>
      <c r="P29" s="145">
        <f>Invoice!O5</f>
        <v>1</v>
      </c>
      <c r="Q29" s="145" t="str">
        <f>Invoice!P5</f>
        <v>IDR</v>
      </c>
      <c r="R29" s="145">
        <f>Invoice!Q5</f>
        <v>1</v>
      </c>
      <c r="S29" s="147">
        <f>Invoice!R5</f>
        <v>43259</v>
      </c>
      <c r="T29" s="145"/>
      <c r="U29" s="145" t="str">
        <f>CONCATENATE(Invoice!W5,", ",Invoice!G5,", ",Invoice!V5)</f>
        <v>transaksi SO, dimas dhaniarso, cempaka putih</v>
      </c>
      <c r="V29" s="145">
        <f>Invoice!AB5</f>
        <v>5</v>
      </c>
      <c r="W29" s="145" t="str">
        <f>Invoice!AC5</f>
        <v>gisela tria canitha</v>
      </c>
      <c r="X29" s="145">
        <f>Invoice!X5</f>
        <v>0</v>
      </c>
      <c r="Y29" s="145">
        <f>Invoice!Y5</f>
        <v>0</v>
      </c>
      <c r="Z29" s="145">
        <f>Invoice!BZ5</f>
        <v>2</v>
      </c>
      <c r="AA29" s="145">
        <f>Invoice!CA5</f>
        <v>1</v>
      </c>
      <c r="AB29" s="145"/>
      <c r="AC29" s="145"/>
    </row>
    <row r="30" spans="1:33" x14ac:dyDescent="0.25">
      <c r="A30" s="153"/>
      <c r="B30" s="153">
        <f>'kode transaksi'!A31</f>
        <v>30</v>
      </c>
      <c r="C30" s="153" t="str">
        <f>CONCATENATE(B30,".",A30)</f>
        <v>30.</v>
      </c>
      <c r="D30" s="153" t="str">
        <f>'order transaksi cash'!B25</f>
        <v>3.3</v>
      </c>
      <c r="E30" s="153" t="str">
        <f>'order transaksi cash'!AB25</f>
        <v>18.1</v>
      </c>
      <c r="F30" s="153" t="str">
        <f>'order transaksi cash'!AC25</f>
        <v>SJ.000003</v>
      </c>
      <c r="G30" s="153">
        <f>'order transaksi cash'!AD25</f>
        <v>7</v>
      </c>
      <c r="H30" s="154"/>
      <c r="I30" s="154">
        <f>'order transaksi cash'!AF25</f>
        <v>1600000</v>
      </c>
      <c r="J30" s="154">
        <f>SUM(H29,H30)-SUM(I29,I30)</f>
        <v>5000000</v>
      </c>
      <c r="K30" s="154"/>
      <c r="L30" s="153">
        <f>'order transaksi cash'!J25</f>
        <v>1</v>
      </c>
      <c r="M30" s="153" t="str">
        <f>'order transaksi cash'!K25</f>
        <v>dimas dhaniarso</v>
      </c>
      <c r="N30" s="153">
        <f>'order transaksi cash'!L25</f>
        <v>81273845323</v>
      </c>
      <c r="O30" s="153" t="str">
        <f>'order transaksi cash'!M25</f>
        <v>dhadan33@gmail.com</v>
      </c>
      <c r="P30" s="153"/>
      <c r="Q30" s="153"/>
      <c r="R30" s="153"/>
      <c r="S30" s="155">
        <f>'order transaksi cash'!S25</f>
        <v>43261</v>
      </c>
      <c r="T30" s="153"/>
      <c r="U30" s="153" t="str">
        <f>'order transaksi cash'!U25</f>
        <v>pembayaran bertahap SJ.000003</v>
      </c>
      <c r="V30" s="153">
        <f>'order transaksi cash'!X25</f>
        <v>5</v>
      </c>
      <c r="W30" s="153" t="str">
        <f>'order transaksi cash'!Y25</f>
        <v>gisela tria canitha</v>
      </c>
      <c r="X30" s="153"/>
      <c r="Y30" s="153"/>
      <c r="Z30" s="153">
        <f>'order transaksi cash'!AG25</f>
        <v>2</v>
      </c>
      <c r="AA30" s="153">
        <f>'order transaksi cash'!AH25</f>
        <v>1</v>
      </c>
      <c r="AB30" s="153"/>
      <c r="AC30" s="153"/>
    </row>
    <row r="31" spans="1:33" x14ac:dyDescent="0.25">
      <c r="A31" s="153"/>
      <c r="B31" s="153">
        <f>'kode transaksi'!A31</f>
        <v>30</v>
      </c>
      <c r="C31" s="153" t="str">
        <f>CONCATENATE(B31,".",A31)</f>
        <v>30.</v>
      </c>
      <c r="D31" s="153" t="str">
        <f>'order transaksi cash'!B26</f>
        <v>3.4</v>
      </c>
      <c r="E31" s="153" t="str">
        <f>'order transaksi cash'!AB26</f>
        <v>18.1</v>
      </c>
      <c r="F31" s="153" t="str">
        <f>'order transaksi cash'!AC26</f>
        <v>SJ.000003</v>
      </c>
      <c r="G31" s="153">
        <f>'order transaksi cash'!AD26</f>
        <v>7</v>
      </c>
      <c r="H31" s="154"/>
      <c r="I31" s="154">
        <f>'order transaksi cash'!AF26</f>
        <v>5000000</v>
      </c>
      <c r="J31" s="154">
        <f>SUM(H29:H31)-SUM(I29:I31)</f>
        <v>0</v>
      </c>
      <c r="K31" s="154"/>
      <c r="L31" s="153">
        <f>'order transaksi cash'!J26</f>
        <v>1</v>
      </c>
      <c r="M31" s="153" t="str">
        <f>'order transaksi cash'!K26</f>
        <v>dimas dhaniarso</v>
      </c>
      <c r="N31" s="153">
        <f>'order transaksi cash'!L26</f>
        <v>81273845323</v>
      </c>
      <c r="O31" s="153" t="str">
        <f>'order transaksi cash'!M26</f>
        <v>dhadan33@gmail.com</v>
      </c>
      <c r="P31" s="153"/>
      <c r="Q31" s="153"/>
      <c r="R31" s="153"/>
      <c r="S31" s="155">
        <f>'order transaksi cash'!S26</f>
        <v>43262</v>
      </c>
      <c r="T31" s="153"/>
      <c r="U31" s="153" t="str">
        <f>'order transaksi cash'!U26</f>
        <v>pembayaran SJ.000003 dgn giro</v>
      </c>
      <c r="V31" s="153">
        <f>'order transaksi cash'!X26</f>
        <v>6</v>
      </c>
      <c r="W31" s="153" t="str">
        <f>'order transaksi cash'!Y26</f>
        <v>yusril</v>
      </c>
      <c r="X31" s="153"/>
      <c r="Y31" s="153"/>
      <c r="Z31" s="153">
        <f>'order transaksi cash'!AG26</f>
        <v>3</v>
      </c>
      <c r="AA31" s="153">
        <f>'order transaksi cash'!AH26</f>
        <v>1</v>
      </c>
      <c r="AB31" s="153"/>
      <c r="AC31" s="153" t="s">
        <v>1621</v>
      </c>
    </row>
    <row r="32" spans="1:33" x14ac:dyDescent="0.25">
      <c r="A32" s="145"/>
      <c r="B32" s="145">
        <f>'kode transaksi'!A31</f>
        <v>30</v>
      </c>
      <c r="C32" s="145" t="str">
        <f>CONCATENATE(B32,".",A32)</f>
        <v>30.</v>
      </c>
      <c r="D32" s="145" t="str">
        <f>'order transaksi cash'!B26</f>
        <v>3.4</v>
      </c>
      <c r="E32" s="145" t="str">
        <f>'order transaksi cash'!B26</f>
        <v>3.4</v>
      </c>
      <c r="F32" s="145" t="str">
        <f>'order transaksi cash'!C26</f>
        <v>.000004</v>
      </c>
      <c r="G32" s="145">
        <f>'order transaksi cash'!D26</f>
        <v>25</v>
      </c>
      <c r="H32" s="146">
        <f>'order transaksi cash'!E26</f>
        <v>5000000</v>
      </c>
      <c r="I32" s="146"/>
      <c r="J32" s="146">
        <f>H32-I32</f>
        <v>5000000</v>
      </c>
      <c r="K32" s="146"/>
      <c r="L32" s="145">
        <f>'order transaksi cash'!J26</f>
        <v>1</v>
      </c>
      <c r="M32" s="145" t="str">
        <f>'order transaksi cash'!K26</f>
        <v>dimas dhaniarso</v>
      </c>
      <c r="N32" s="145">
        <f>'order transaksi cash'!L26</f>
        <v>81273845323</v>
      </c>
      <c r="O32" s="145" t="str">
        <f>'order transaksi cash'!M26</f>
        <v>dhadan33@gmail.com</v>
      </c>
      <c r="P32" s="145"/>
      <c r="Q32" s="145"/>
      <c r="R32" s="145"/>
      <c r="S32" s="147">
        <f>'order transaksi cash'!S26</f>
        <v>43262</v>
      </c>
      <c r="T32" s="145"/>
      <c r="U32" s="145" t="str">
        <f>'order transaksi cash'!U26</f>
        <v>pembayaran SJ.000003 dgn giro</v>
      </c>
      <c r="V32" s="145">
        <f>'order transaksi cash'!X26</f>
        <v>6</v>
      </c>
      <c r="W32" s="145" t="str">
        <f>'order transaksi cash'!Y26</f>
        <v>yusril</v>
      </c>
      <c r="X32" s="145"/>
      <c r="Y32" s="145"/>
      <c r="Z32" s="145">
        <f>'order transaksi cash'!AG26</f>
        <v>3</v>
      </c>
      <c r="AA32" s="145">
        <f>'order transaksi cash'!AH26</f>
        <v>1</v>
      </c>
      <c r="AB32" s="145"/>
      <c r="AC32" s="145"/>
    </row>
    <row r="33" spans="1:33" x14ac:dyDescent="0.25">
      <c r="A33" s="153"/>
      <c r="B33" s="153">
        <f>'kode transaksi'!A31</f>
        <v>30</v>
      </c>
      <c r="C33" s="153" t="str">
        <f>CONCATENATE(B33,".",A33)</f>
        <v>30.</v>
      </c>
      <c r="D33" s="153" t="str">
        <f>'order transaksi cash'!B27</f>
        <v>3.5</v>
      </c>
      <c r="E33" s="153" t="str">
        <f>'order transaksi cash'!AB27</f>
        <v>3.4</v>
      </c>
      <c r="F33" s="153" t="str">
        <f>'order transaksi cash'!AC27</f>
        <v>.000004</v>
      </c>
      <c r="G33" s="153">
        <f>'order transaksi cash'!AD27</f>
        <v>25</v>
      </c>
      <c r="H33" s="154"/>
      <c r="I33" s="154">
        <f>'order transaksi cash'!AF27</f>
        <v>5000000</v>
      </c>
      <c r="J33" s="154">
        <f>SUM(H32:H33)-(I32:I33)</f>
        <v>0</v>
      </c>
      <c r="K33" s="154"/>
      <c r="L33" s="153">
        <f>'order transaksi cash'!J27</f>
        <v>1</v>
      </c>
      <c r="M33" s="153" t="str">
        <f>'order transaksi cash'!K27</f>
        <v>dimas dhaniarso</v>
      </c>
      <c r="N33" s="153">
        <f>'order transaksi cash'!L27</f>
        <v>81273845323</v>
      </c>
      <c r="O33" s="153" t="str">
        <f>'order transaksi cash'!M27</f>
        <v>dhadan33@gmail.com</v>
      </c>
      <c r="P33" s="153"/>
      <c r="Q33" s="153"/>
      <c r="R33" s="153"/>
      <c r="S33" s="155">
        <f>'order transaksi cash'!S27</f>
        <v>43262</v>
      </c>
      <c r="T33" s="153"/>
      <c r="U33" s="153" t="str">
        <f>'order transaksi cash'!U27</f>
        <v>pencairan giro masuk</v>
      </c>
      <c r="V33" s="153">
        <f>'order transaksi cash'!X27</f>
        <v>6</v>
      </c>
      <c r="W33" s="153" t="str">
        <f>'order transaksi cash'!Y27</f>
        <v>yusril</v>
      </c>
      <c r="X33" s="153"/>
      <c r="Y33" s="153"/>
      <c r="Z33" s="153">
        <f>'order transaksi cash'!AG27</f>
        <v>1</v>
      </c>
      <c r="AA33" s="153">
        <f>'order transaksi cash'!AH27</f>
        <v>1</v>
      </c>
      <c r="AB33" s="153"/>
      <c r="AC33" s="153" t="s">
        <v>1621</v>
      </c>
    </row>
    <row r="34" spans="1:33" s="148" customFormat="1" x14ac:dyDescent="0.25">
      <c r="H34" s="167"/>
      <c r="I34" s="167"/>
      <c r="J34" s="167"/>
      <c r="K34" s="167"/>
      <c r="S34" s="168"/>
      <c r="AG34" s="149"/>
    </row>
    <row r="35" spans="1:33" s="148" customFormat="1" x14ac:dyDescent="0.25">
      <c r="H35" s="167"/>
      <c r="I35" s="167"/>
      <c r="J35" s="167"/>
      <c r="K35" s="167"/>
      <c r="S35" s="168"/>
      <c r="AG35" s="149"/>
    </row>
    <row r="36" spans="1:33" s="148" customFormat="1" x14ac:dyDescent="0.25">
      <c r="A36" s="145"/>
      <c r="B36" s="145">
        <f>'kode transaksi'!A31</f>
        <v>30</v>
      </c>
      <c r="C36" s="145" t="str">
        <f>CONCATENATE(B36,".",A36)</f>
        <v>30.</v>
      </c>
      <c r="D36" s="145" t="str">
        <f>'Purchase Return'!C3</f>
        <v>21.1</v>
      </c>
      <c r="E36" s="145" t="str">
        <f>'Purchase Return'!J3</f>
        <v>8.4</v>
      </c>
      <c r="F36" s="145" t="str">
        <f>CONCATENATE('Purchase Return'!D3,'Purchase Return'!E3)</f>
        <v>PR.000001</v>
      </c>
      <c r="G36" s="145">
        <f>'Purchase Return'!AX3</f>
        <v>8</v>
      </c>
      <c r="H36" s="145">
        <f>'Purchase Return'!AY3</f>
        <v>26400000</v>
      </c>
      <c r="I36" s="146"/>
      <c r="J36" s="146">
        <f>H36-I36</f>
        <v>26400000</v>
      </c>
      <c r="K36" s="146"/>
      <c r="L36" s="145">
        <f>'Purchase Return'!F3</f>
        <v>8</v>
      </c>
      <c r="M36" s="145" t="str">
        <f>'Purchase Return'!G3</f>
        <v>dodi kusuma</v>
      </c>
      <c r="N36" s="145">
        <f>'Purchase Return'!H3</f>
        <v>217229385</v>
      </c>
      <c r="O36" s="145" t="str">
        <f>'Purchase Return'!I3</f>
        <v>dodikusuma@yahoo.co.id</v>
      </c>
      <c r="P36" s="145">
        <f>'Purchase Return'!M3</f>
        <v>1</v>
      </c>
      <c r="Q36" s="145" t="str">
        <f>'Purchase Return'!N3</f>
        <v>IDR</v>
      </c>
      <c r="R36" s="145">
        <f>'Purchase Return'!O3</f>
        <v>1</v>
      </c>
      <c r="S36" s="147">
        <f>'Purchase Return'!P3</f>
        <v>43260</v>
      </c>
      <c r="T36" s="145"/>
      <c r="U36" s="145" t="str">
        <f>'Purchase Return'!U3</f>
        <v>retur iPhone III</v>
      </c>
      <c r="V36" s="145">
        <f>'Purchase Return'!Z3</f>
        <v>4</v>
      </c>
      <c r="W36" s="145" t="str">
        <f>'Purchase Return'!AA3</f>
        <v>dea fitri maharani</v>
      </c>
      <c r="X36" s="145">
        <f>'Purchase Return'!V3</f>
        <v>0</v>
      </c>
      <c r="Y36" s="145">
        <f>'Purchase Return'!W3</f>
        <v>0</v>
      </c>
      <c r="Z36" s="145">
        <f>'Purchase Return'!BK3</f>
        <v>1</v>
      </c>
      <c r="AA36" s="145">
        <f>'Purchase Return'!BL3</f>
        <v>1</v>
      </c>
      <c r="AB36" s="145"/>
      <c r="AC36" s="145"/>
      <c r="AG36" s="149"/>
    </row>
    <row r="37" spans="1:33" s="148" customFormat="1" x14ac:dyDescent="0.25">
      <c r="A37" s="153"/>
      <c r="B37" s="153">
        <f>'kode transaksi'!A31</f>
        <v>30</v>
      </c>
      <c r="C37" s="153" t="str">
        <f>CONCATENATE(B37,".",A37)</f>
        <v>30.</v>
      </c>
      <c r="D37" s="153"/>
      <c r="E37" s="153" t="str">
        <f>'order transaksi cash'!AB33</f>
        <v>8.4</v>
      </c>
      <c r="F37" s="153" t="str">
        <f>'order transaksi cash'!AC33</f>
        <v>PR.000001</v>
      </c>
      <c r="G37" s="153">
        <f>'order transaksi cash'!AD33</f>
        <v>8</v>
      </c>
      <c r="H37" s="153">
        <f>'order transaksi cash'!AE33</f>
        <v>0</v>
      </c>
      <c r="I37" s="153">
        <f>'order transaksi cash'!AF33</f>
        <v>26400000</v>
      </c>
      <c r="J37" s="154">
        <f>SUM(H36:H37)-SUM(I36:I37)</f>
        <v>0</v>
      </c>
      <c r="K37" s="154"/>
      <c r="L37" s="172">
        <f>'order transaksi cash'!J33</f>
        <v>8</v>
      </c>
      <c r="M37" s="172" t="str">
        <f>'order transaksi cash'!K33</f>
        <v>dodi kusuma</v>
      </c>
      <c r="N37" s="172">
        <f>'order transaksi cash'!L33</f>
        <v>217229385</v>
      </c>
      <c r="O37" s="172" t="str">
        <f>'order transaksi cash'!M33</f>
        <v>dodikusuma@yahoo.co.id</v>
      </c>
      <c r="P37" s="153"/>
      <c r="Q37" s="153"/>
      <c r="R37" s="153"/>
      <c r="S37" s="173">
        <f>'order transaksi cash'!S33</f>
        <v>43261</v>
      </c>
      <c r="T37" s="153"/>
      <c r="U37" s="172" t="str">
        <f>'order transaksi cash'!U33</f>
        <v>pengembalian retur PR.000001</v>
      </c>
      <c r="V37" s="172">
        <f>'order transaksi cash'!X33</f>
        <v>4</v>
      </c>
      <c r="W37" s="172" t="str">
        <f>'order transaksi cash'!Y33</f>
        <v>dea fitri maharani</v>
      </c>
      <c r="X37" s="153"/>
      <c r="Y37" s="153"/>
      <c r="Z37" s="172">
        <f>'order transaksi cash'!AG33</f>
        <v>1</v>
      </c>
      <c r="AA37" s="172">
        <f>'order transaksi cash'!AH33</f>
        <v>1</v>
      </c>
      <c r="AB37" s="153"/>
      <c r="AC37" s="153" t="s">
        <v>1621</v>
      </c>
      <c r="AG37" s="149"/>
    </row>
    <row r="38" spans="1:33" s="148" customFormat="1" x14ac:dyDescent="0.25">
      <c r="H38" s="167"/>
      <c r="I38" s="167"/>
      <c r="J38" s="167"/>
      <c r="K38" s="167"/>
      <c r="S38" s="168"/>
      <c r="AG38" s="149"/>
    </row>
    <row r="40" spans="1:33" x14ac:dyDescent="0.25">
      <c r="A40" s="145"/>
      <c r="B40" s="145">
        <f>'kode transaksi'!A31</f>
        <v>30</v>
      </c>
      <c r="C40" s="145" t="str">
        <f>CONCATENATE(B40,".",A40)</f>
        <v>30.</v>
      </c>
      <c r="D40" s="145" t="str">
        <f>'Sales Return'!C3</f>
        <v>22.1</v>
      </c>
      <c r="E40" s="145" t="str">
        <f>'Sales Return'!J3</f>
        <v>7.3</v>
      </c>
      <c r="F40" s="145" t="str">
        <f>CONCATENATE('Sales Return'!D3,'Sales Return'!E3)</f>
        <v>SR.000001</v>
      </c>
      <c r="G40" s="145">
        <f>'Sales Return'!BC3</f>
        <v>7</v>
      </c>
      <c r="H40" s="146"/>
      <c r="I40" s="146">
        <f>'Sales Return'!BE3</f>
        <v>3300000</v>
      </c>
      <c r="J40" s="146"/>
      <c r="K40" s="146">
        <f>I40-H40</f>
        <v>3300000</v>
      </c>
      <c r="L40" s="145">
        <f>'Sales Return'!F3</f>
        <v>1</v>
      </c>
      <c r="M40" s="145" t="str">
        <f>'Sales Return'!G3</f>
        <v>dimas dhaniarso</v>
      </c>
      <c r="N40" s="145">
        <f>'Sales Return'!H3</f>
        <v>81273845323</v>
      </c>
      <c r="O40" s="145" t="str">
        <f>'Sales Return'!I3</f>
        <v>dhadan33@gmail.com</v>
      </c>
      <c r="P40" s="145">
        <f>'Sales Return'!L3</f>
        <v>1</v>
      </c>
      <c r="Q40" s="145" t="str">
        <f>'Sales Return'!M3</f>
        <v>IDR</v>
      </c>
      <c r="R40" s="145">
        <f>'Sales Return'!N3</f>
        <v>1</v>
      </c>
      <c r="S40" s="147">
        <f>'Sales Return'!O3</f>
        <v>43261</v>
      </c>
      <c r="T40" s="145"/>
      <c r="U40" s="145" t="str">
        <f>'Sales Return'!T3</f>
        <v>retur penjualan SJ.000003</v>
      </c>
      <c r="V40" s="145">
        <f>'Sales Return'!Y3</f>
        <v>5</v>
      </c>
      <c r="W40" s="145" t="str">
        <f>'Sales Return'!Z3</f>
        <v>gisela tria canitha</v>
      </c>
      <c r="X40" s="145">
        <f>'Sales Return'!U3</f>
        <v>0</v>
      </c>
      <c r="Y40" s="145">
        <f>'Sales Return'!V3</f>
        <v>0</v>
      </c>
      <c r="Z40" s="145">
        <f>'Sales Return'!BP3</f>
        <v>3</v>
      </c>
      <c r="AA40" s="145">
        <f>'Sales Return'!BQ3</f>
        <v>1</v>
      </c>
      <c r="AB40" s="145"/>
      <c r="AC40" s="145"/>
    </row>
    <row r="41" spans="1:33" s="148" customFormat="1" x14ac:dyDescent="0.25">
      <c r="A41" s="153"/>
      <c r="B41" s="153">
        <f>'kode transaksi'!A31</f>
        <v>30</v>
      </c>
      <c r="C41" s="153" t="str">
        <f>CONCATENATE(B41,".",A41)</f>
        <v>30.</v>
      </c>
      <c r="D41" s="153" t="str">
        <f>'order transaksi cash'!B34</f>
        <v>3.10</v>
      </c>
      <c r="E41" s="153" t="str">
        <f>'order transaksi cash'!AB34</f>
        <v>7.3</v>
      </c>
      <c r="F41" s="153" t="str">
        <f>'order transaksi cash'!AC34</f>
        <v>SR.000001</v>
      </c>
      <c r="G41" s="153">
        <f>'order transaksi cash'!AD34</f>
        <v>7</v>
      </c>
      <c r="H41" s="153">
        <f>'order transaksi cash'!AE34</f>
        <v>3300000</v>
      </c>
      <c r="I41" s="153">
        <f>'order transaksi cash'!AF34</f>
        <v>0</v>
      </c>
      <c r="J41" s="153"/>
      <c r="K41" s="154">
        <f>SUM(H40:H41)-SUM(I40:I41)</f>
        <v>0</v>
      </c>
      <c r="L41" s="172">
        <f>'order transaksi cash'!J34</f>
        <v>1</v>
      </c>
      <c r="M41" s="172" t="str">
        <f>'order transaksi cash'!K34</f>
        <v>dimas dhaniarso</v>
      </c>
      <c r="N41" s="172">
        <f>'order transaksi cash'!L34</f>
        <v>81273845323</v>
      </c>
      <c r="O41" s="172" t="str">
        <f>'order transaksi cash'!M34</f>
        <v>dhadan33@gmail.com</v>
      </c>
      <c r="P41" s="153"/>
      <c r="Q41" s="153"/>
      <c r="R41" s="153"/>
      <c r="S41" s="173">
        <f>'order transaksi cash'!S34</f>
        <v>43261</v>
      </c>
      <c r="T41" s="153"/>
      <c r="U41" s="172" t="str">
        <f>'order transaksi cash'!U34</f>
        <v>pengembalian retur SJ.000003</v>
      </c>
      <c r="V41" s="172">
        <f>'order transaksi cash'!X34</f>
        <v>4</v>
      </c>
      <c r="W41" s="172" t="str">
        <f>'order transaksi cash'!Y34</f>
        <v>dea fitri maharani</v>
      </c>
      <c r="X41" s="153"/>
      <c r="Y41" s="153"/>
      <c r="Z41" s="172">
        <f>'order transaksi cash'!AG34</f>
        <v>3</v>
      </c>
      <c r="AA41" s="172">
        <f>'order transaksi cash'!AH34</f>
        <v>1</v>
      </c>
      <c r="AB41" s="153"/>
      <c r="AC41" s="153" t="s">
        <v>1621</v>
      </c>
      <c r="AG41" s="149"/>
    </row>
    <row r="46" spans="1:33" x14ac:dyDescent="0.25">
      <c r="A46" s="145"/>
      <c r="B46" s="145">
        <f>'kode transaksi'!A31</f>
        <v>30</v>
      </c>
      <c r="C46" s="145" t="str">
        <f>CONCATENATE(B46,".",A46)</f>
        <v>30.</v>
      </c>
      <c r="D46" s="145" t="str">
        <f>'Received Goods'!C3</f>
        <v>8.1</v>
      </c>
      <c r="E46" s="145" t="str">
        <f>'Received Goods'!N3</f>
        <v>14.1</v>
      </c>
      <c r="F46" s="145" t="str">
        <f>CONCATENATE('Received Goods'!D3,'Received Goods'!E3)</f>
        <v>PJ.000001</v>
      </c>
      <c r="G46" s="145">
        <f>'Received Goods'!BM3</f>
        <v>8</v>
      </c>
      <c r="H46" s="145"/>
      <c r="I46" s="145">
        <f>'Received Goods'!BO3</f>
        <v>55000000</v>
      </c>
      <c r="J46" s="146"/>
      <c r="K46" s="146">
        <f>I46-H46</f>
        <v>55000000</v>
      </c>
      <c r="L46" s="145">
        <f>'Received Goods'!F3</f>
        <v>7</v>
      </c>
      <c r="M46" s="145" t="str">
        <f>'Received Goods'!G3</f>
        <v>djayakusuma</v>
      </c>
      <c r="N46" s="145">
        <f>'Received Goods'!H3</f>
        <v>8170175139</v>
      </c>
      <c r="O46" s="145" t="str">
        <f>'Received Goods'!I3</f>
        <v>djayakusuma@gmail.com</v>
      </c>
      <c r="P46" s="145">
        <f>'Received Goods'!O3</f>
        <v>1</v>
      </c>
      <c r="Q46" s="145" t="str">
        <f>'Received Goods'!P3</f>
        <v>IDR</v>
      </c>
      <c r="R46" s="145">
        <f>'Received Goods'!Q3</f>
        <v>1</v>
      </c>
      <c r="S46" s="147">
        <f>'Received Goods'!R3</f>
        <v>43256</v>
      </c>
      <c r="T46" s="145"/>
      <c r="U46" s="145" t="str">
        <f>'Received Goods'!W3</f>
        <v>beli iPhone</v>
      </c>
      <c r="V46" s="145">
        <f>'Received Goods'!AB3</f>
        <v>4</v>
      </c>
      <c r="W46" s="145" t="str">
        <f>'Received Goods'!AC3</f>
        <v>dea fitri maharani</v>
      </c>
      <c r="X46" s="145">
        <f>'Received Goods'!X3</f>
        <v>0</v>
      </c>
      <c r="Y46" s="145">
        <f>'Received Goods'!Y3</f>
        <v>0</v>
      </c>
      <c r="Z46" s="145">
        <f>'Received Goods'!CA3</f>
        <v>1</v>
      </c>
      <c r="AA46" s="145">
        <f>'Received Goods'!CB3</f>
        <v>1</v>
      </c>
      <c r="AB46" s="145"/>
      <c r="AC46" s="145"/>
    </row>
    <row r="47" spans="1:33" x14ac:dyDescent="0.25">
      <c r="A47" s="153"/>
      <c r="B47" s="153">
        <f>'kode transaksi'!A31</f>
        <v>30</v>
      </c>
      <c r="C47" s="153" t="str">
        <f>CONCATENATE(B47,".",A47)</f>
        <v>30.</v>
      </c>
      <c r="D47" s="153" t="str">
        <f>'order transaksi cash'!B29</f>
        <v>2.1</v>
      </c>
      <c r="E47" s="153" t="str">
        <f>'order transaksi cash'!AB29</f>
        <v>14.1</v>
      </c>
      <c r="F47" s="153" t="str">
        <f>'order transaksi cash'!AC29</f>
        <v>PJ.000001</v>
      </c>
      <c r="G47" s="153">
        <f>'order transaksi cash'!AD29</f>
        <v>8</v>
      </c>
      <c r="H47" s="153">
        <f>'order transaksi cash'!AE29</f>
        <v>22000000</v>
      </c>
      <c r="I47" s="153">
        <f>'order transaksi cash'!AF29</f>
        <v>0</v>
      </c>
      <c r="J47" s="153"/>
      <c r="K47" s="154">
        <f>SUM(H46,H47)-SUM(I46,I47)</f>
        <v>-33000000</v>
      </c>
      <c r="L47" s="153">
        <f>'order transaksi cash'!J29</f>
        <v>7</v>
      </c>
      <c r="M47" s="153" t="str">
        <f>'order transaksi cash'!K29</f>
        <v>djayakusuma</v>
      </c>
      <c r="N47" s="153">
        <f>'order transaksi cash'!L29</f>
        <v>8170175139</v>
      </c>
      <c r="O47" s="153" t="str">
        <f>'order transaksi cash'!M29</f>
        <v>djayakusuma@gmail.com</v>
      </c>
      <c r="P47" s="153"/>
      <c r="Q47" s="153"/>
      <c r="R47" s="153"/>
      <c r="S47" s="155">
        <f>'order transaksi cash'!S29</f>
        <v>43257</v>
      </c>
      <c r="T47" s="153"/>
      <c r="U47" s="153" t="str">
        <f>'order transaksi cash'!U29</f>
        <v>pembayaran bertahap PJ.000001</v>
      </c>
      <c r="V47" s="153">
        <f>'order transaksi cash'!X29</f>
        <v>4</v>
      </c>
      <c r="W47" s="153" t="str">
        <f>'order transaksi cash'!Y29</f>
        <v>dea fitri maharani</v>
      </c>
      <c r="X47" s="153"/>
      <c r="Y47" s="153"/>
      <c r="Z47" s="153">
        <f>'order transaksi cash'!AG29</f>
        <v>1</v>
      </c>
      <c r="AA47" s="153">
        <f>'order transaksi cash'!AH29</f>
        <v>1</v>
      </c>
      <c r="AB47" s="153"/>
      <c r="AC47" s="153"/>
    </row>
    <row r="48" spans="1:33" s="163" customFormat="1" x14ac:dyDescent="0.25">
      <c r="A48" s="172"/>
      <c r="B48" s="172">
        <f>'kode transaksi'!A31</f>
        <v>30</v>
      </c>
      <c r="C48" s="153" t="str">
        <f>CONCATENATE(B48,".",A48)</f>
        <v>30.</v>
      </c>
      <c r="D48" s="153" t="str">
        <f>'order transaksi cash'!B30</f>
        <v>2.2</v>
      </c>
      <c r="E48" s="153" t="str">
        <f>'order transaksi cash'!AB30</f>
        <v>14.1</v>
      </c>
      <c r="F48" s="153" t="str">
        <f>'order transaksi cash'!AC30</f>
        <v>PJ.000001</v>
      </c>
      <c r="G48" s="153">
        <f>'order transaksi cash'!AD30</f>
        <v>8</v>
      </c>
      <c r="H48" s="153">
        <f>'order transaksi cash'!AE30</f>
        <v>33000000</v>
      </c>
      <c r="I48" s="153">
        <f>'order transaksi cash'!AF30</f>
        <v>0</v>
      </c>
      <c r="J48" s="153"/>
      <c r="K48" s="154">
        <f>SUM(H46:H48)-SUM(I46:I48)</f>
        <v>0</v>
      </c>
      <c r="L48" s="153">
        <f>'order transaksi cash'!J30</f>
        <v>7</v>
      </c>
      <c r="M48" s="153" t="str">
        <f>'order transaksi cash'!K30</f>
        <v>djayakusuma</v>
      </c>
      <c r="N48" s="153">
        <f>'order transaksi cash'!L30</f>
        <v>8170175139</v>
      </c>
      <c r="O48" s="153" t="str">
        <f>'order transaksi cash'!M30</f>
        <v>djayakusuma@gmail.com</v>
      </c>
      <c r="P48" s="153"/>
      <c r="Q48" s="153"/>
      <c r="R48" s="153"/>
      <c r="S48" s="155">
        <f>'order transaksi cash'!S30</f>
        <v>43258</v>
      </c>
      <c r="T48" s="153"/>
      <c r="U48" s="153" t="str">
        <f>'order transaksi cash'!U30</f>
        <v>pembayaran PJ.000001 dgn giro</v>
      </c>
      <c r="V48" s="153">
        <f>'order transaksi cash'!X30</f>
        <v>5</v>
      </c>
      <c r="W48" s="153" t="str">
        <f>'order transaksi cash'!Y30</f>
        <v>gisela tria canitha</v>
      </c>
      <c r="X48" s="153"/>
      <c r="Y48" s="153"/>
      <c r="Z48" s="153">
        <f>'order transaksi cash'!AG30</f>
        <v>2</v>
      </c>
      <c r="AA48" s="153">
        <f>'order transaksi cash'!AH30</f>
        <v>1</v>
      </c>
      <c r="AB48" s="153"/>
      <c r="AC48" s="153" t="s">
        <v>1621</v>
      </c>
      <c r="AG48" s="175"/>
    </row>
    <row r="49" spans="1:33" x14ac:dyDescent="0.25">
      <c r="A49" s="176"/>
      <c r="B49" s="176">
        <f>'kode transaksi'!A31</f>
        <v>30</v>
      </c>
      <c r="C49" s="145" t="str">
        <f>CONCATENATE(B49,".",A49)</f>
        <v>30.</v>
      </c>
      <c r="D49" s="176" t="str">
        <f>'order transaksi cash'!B30</f>
        <v>2.2</v>
      </c>
      <c r="E49" s="176" t="str">
        <f>'order transaksi cash'!B30</f>
        <v>2.2</v>
      </c>
      <c r="F49" s="176" t="str">
        <f>'order transaksi cash'!C30</f>
        <v>.000002</v>
      </c>
      <c r="G49" s="176">
        <f>'order transaksi cash'!D30</f>
        <v>24</v>
      </c>
      <c r="H49" s="176"/>
      <c r="I49" s="176">
        <f>'order transaksi cash'!F30</f>
        <v>33000000</v>
      </c>
      <c r="J49" s="177"/>
      <c r="K49" s="177">
        <f>I49-H49</f>
        <v>33000000</v>
      </c>
      <c r="L49" s="176">
        <f>'order transaksi cash'!J30</f>
        <v>7</v>
      </c>
      <c r="M49" s="176" t="str">
        <f>'order transaksi cash'!K30</f>
        <v>djayakusuma</v>
      </c>
      <c r="N49" s="176">
        <f>'order transaksi cash'!L30</f>
        <v>8170175139</v>
      </c>
      <c r="O49" s="176" t="str">
        <f>'order transaksi cash'!M30</f>
        <v>djayakusuma@gmail.com</v>
      </c>
      <c r="P49" s="176"/>
      <c r="Q49" s="176"/>
      <c r="R49" s="176"/>
      <c r="S49" s="178">
        <f>'order transaksi cash'!S30</f>
        <v>43258</v>
      </c>
      <c r="T49" s="176"/>
      <c r="U49" s="176" t="str">
        <f>'order transaksi cash'!U30</f>
        <v>pembayaran PJ.000001 dgn giro</v>
      </c>
      <c r="V49" s="176">
        <f>'order transaksi cash'!X30</f>
        <v>5</v>
      </c>
      <c r="W49" s="176" t="str">
        <f>'order transaksi cash'!Y30</f>
        <v>gisela tria canitha</v>
      </c>
      <c r="X49" s="176"/>
      <c r="Y49" s="176"/>
      <c r="Z49" s="176">
        <f>'order transaksi cash'!AG30</f>
        <v>2</v>
      </c>
      <c r="AA49" s="176">
        <f>'order transaksi cash'!AH30</f>
        <v>1</v>
      </c>
      <c r="AB49" s="176"/>
      <c r="AC49" s="176"/>
    </row>
    <row r="50" spans="1:33" s="165" customFormat="1" x14ac:dyDescent="0.25">
      <c r="A50" s="153"/>
      <c r="B50" s="153">
        <f>'kode transaksi'!A31</f>
        <v>30</v>
      </c>
      <c r="C50" s="153" t="str">
        <f>CONCATENATE(B50,".",A50)</f>
        <v>30.</v>
      </c>
      <c r="D50" s="153" t="str">
        <f>'order transaksi cash'!B31</f>
        <v>2.9</v>
      </c>
      <c r="E50" s="153" t="str">
        <f>'order transaksi cash'!AB31</f>
        <v>2.2</v>
      </c>
      <c r="F50" s="153" t="str">
        <f>'order transaksi cash'!AC31</f>
        <v>.000002</v>
      </c>
      <c r="G50" s="153">
        <f>'order transaksi cash'!AD31</f>
        <v>24</v>
      </c>
      <c r="H50" s="153">
        <f>'order transaksi cash'!AE31</f>
        <v>33000000</v>
      </c>
      <c r="I50" s="153"/>
      <c r="J50" s="154"/>
      <c r="K50" s="154">
        <f>SUM(H49:H50)-SUM(I49:I50)</f>
        <v>0</v>
      </c>
      <c r="L50" s="172">
        <f>'order transaksi cash'!J31</f>
        <v>7</v>
      </c>
      <c r="M50" s="172" t="str">
        <f>'order transaksi cash'!K31</f>
        <v>djayakusuma</v>
      </c>
      <c r="N50" s="172">
        <f>'order transaksi cash'!L31</f>
        <v>8170175139</v>
      </c>
      <c r="O50" s="172" t="str">
        <f>'order transaksi cash'!M31</f>
        <v>djayakusuma@gmail.com</v>
      </c>
      <c r="P50" s="153"/>
      <c r="Q50" s="153"/>
      <c r="R50" s="153"/>
      <c r="S50" s="173">
        <f>'order transaksi cash'!S31</f>
        <v>43264</v>
      </c>
      <c r="T50" s="153"/>
      <c r="U50" s="172" t="str">
        <f>'order transaksi cash'!U31</f>
        <v>pencairan giro keluar</v>
      </c>
      <c r="V50" s="172">
        <f>'order transaksi cash'!X31</f>
        <v>5</v>
      </c>
      <c r="W50" s="172" t="str">
        <f>'order transaksi cash'!Y31</f>
        <v>gisela tria canitha</v>
      </c>
      <c r="X50" s="153"/>
      <c r="Y50" s="153"/>
      <c r="Z50" s="172">
        <f>'order transaksi cash'!AG31</f>
        <v>2</v>
      </c>
      <c r="AA50" s="172">
        <f>'order transaksi cash'!AH31</f>
        <v>1</v>
      </c>
      <c r="AB50" s="153"/>
      <c r="AC50" s="153" t="s">
        <v>1621</v>
      </c>
      <c r="AG50" s="13"/>
    </row>
    <row r="51" spans="1:33" s="148" customFormat="1" x14ac:dyDescent="0.25">
      <c r="J51" s="167"/>
      <c r="K51" s="167"/>
      <c r="L51" s="163"/>
      <c r="M51" s="163"/>
      <c r="N51" s="163"/>
      <c r="O51" s="163"/>
      <c r="S51" s="174"/>
      <c r="U51" s="163"/>
      <c r="V51" s="163"/>
      <c r="W51" s="163"/>
      <c r="Z51" s="163"/>
      <c r="AA51" s="163"/>
      <c r="AG51" s="149"/>
    </row>
    <row r="52" spans="1:33" x14ac:dyDescent="0.25">
      <c r="A52" s="145"/>
      <c r="B52" s="145">
        <f>'kode transaksi'!A31</f>
        <v>30</v>
      </c>
      <c r="C52" s="145" t="str">
        <f>CONCATENATE(B52,".",A52)</f>
        <v>30.</v>
      </c>
      <c r="D52" s="145" t="str">
        <f>'Received Goods'!C6</f>
        <v>8.4</v>
      </c>
      <c r="E52" s="145" t="str">
        <f>'Received Goods'!N6</f>
        <v>8.4</v>
      </c>
      <c r="F52" s="145" t="str">
        <f>CONCATENATE('Received Goods'!D6,'Received Goods'!E6)</f>
        <v>PJ.000004</v>
      </c>
      <c r="G52" s="145">
        <f>'Received Goods'!BM6</f>
        <v>8</v>
      </c>
      <c r="H52" s="145"/>
      <c r="I52" s="146">
        <f>'Received Goods'!BO6</f>
        <v>132000000</v>
      </c>
      <c r="J52" s="146"/>
      <c r="K52" s="146">
        <f>I52-H52</f>
        <v>132000000</v>
      </c>
      <c r="L52" s="145">
        <f>'Received Goods'!F6</f>
        <v>8</v>
      </c>
      <c r="M52" s="145" t="str">
        <f>'Received Goods'!G6</f>
        <v>dodi kusuma</v>
      </c>
      <c r="N52" s="145">
        <f>'Received Goods'!H6</f>
        <v>217229385</v>
      </c>
      <c r="O52" s="145" t="str">
        <f>'Received Goods'!I6</f>
        <v>dodikusuma@yahoo.co.id</v>
      </c>
      <c r="P52" s="145">
        <f>'Received Goods'!O6</f>
        <v>1</v>
      </c>
      <c r="Q52" s="145" t="str">
        <f>'Received Goods'!P6</f>
        <v>IDR</v>
      </c>
      <c r="R52" s="145">
        <f>'Received Goods'!Q6</f>
        <v>1</v>
      </c>
      <c r="S52" s="147">
        <f>'Received Goods'!R6</f>
        <v>43258</v>
      </c>
      <c r="T52" s="145"/>
      <c r="U52" s="145" t="str">
        <f>'Received Goods'!W6</f>
        <v>beli iPhone III</v>
      </c>
      <c r="V52" s="145">
        <f>'Received Goods'!AB6</f>
        <v>5</v>
      </c>
      <c r="W52" s="145" t="str">
        <f>'Received Goods'!AC6</f>
        <v>gisela tria canitha</v>
      </c>
      <c r="X52" s="145">
        <f>'Received Goods'!X6</f>
        <v>0</v>
      </c>
      <c r="Y52" s="145">
        <f>'Received Goods'!Y6</f>
        <v>0</v>
      </c>
      <c r="Z52" s="145">
        <f>'Received Goods'!CA6</f>
        <v>2</v>
      </c>
      <c r="AA52" s="145">
        <f>'Received Goods'!CB6</f>
        <v>1</v>
      </c>
      <c r="AB52" s="145"/>
      <c r="AC52" s="145"/>
    </row>
    <row r="53" spans="1:33" x14ac:dyDescent="0.25">
      <c r="A53" s="153"/>
      <c r="B53" s="153">
        <f>'kode transaksi'!A31</f>
        <v>30</v>
      </c>
      <c r="C53" s="153" t="str">
        <f>CONCATENATE(B53,".",A53)</f>
        <v>30.</v>
      </c>
      <c r="D53" s="153" t="str">
        <f>'order transaksi cash'!B23</f>
        <v>2.4</v>
      </c>
      <c r="E53" s="153" t="str">
        <f>'order transaksi cash'!AB23</f>
        <v>8.4</v>
      </c>
      <c r="F53" s="153" t="str">
        <f>'order transaksi cash'!AC23</f>
        <v>PJ.000004</v>
      </c>
      <c r="G53" s="153">
        <f>'order transaksi cash'!AD23</f>
        <v>8</v>
      </c>
      <c r="H53" s="154">
        <f>'order transaksi cash'!AE23</f>
        <v>132000000</v>
      </c>
      <c r="I53" s="154"/>
      <c r="J53" s="153"/>
      <c r="K53" s="154">
        <f>SUM(H52,H53)-SUM(I52,I53)</f>
        <v>0</v>
      </c>
      <c r="L53" s="153">
        <f>'order transaksi cash'!J23</f>
        <v>8</v>
      </c>
      <c r="M53" s="153" t="str">
        <f>'order transaksi cash'!K23</f>
        <v>dodi kusuma</v>
      </c>
      <c r="N53" s="153">
        <f>'order transaksi cash'!L23</f>
        <v>217229385</v>
      </c>
      <c r="O53" s="153" t="str">
        <f>'order transaksi cash'!M23</f>
        <v>dodikusuma@yahoo.co.id</v>
      </c>
      <c r="P53" s="153"/>
      <c r="Q53" s="153"/>
      <c r="R53" s="153"/>
      <c r="S53" s="155">
        <f>'order transaksi cash'!S23</f>
        <v>43259</v>
      </c>
      <c r="T53" s="153"/>
      <c r="U53" s="153" t="str">
        <f>'order transaksi cash'!U23</f>
        <v>pembayaran PJ.000004</v>
      </c>
      <c r="V53" s="153">
        <f>'order transaksi cash'!X23</f>
        <v>6</v>
      </c>
      <c r="W53" s="153" t="str">
        <f>'order transaksi cash'!Y23</f>
        <v>yusril</v>
      </c>
      <c r="X53" s="153"/>
      <c r="Y53" s="153"/>
      <c r="Z53" s="153">
        <f>'order transaksi cash'!AG23</f>
        <v>3</v>
      </c>
      <c r="AA53" s="153">
        <f>'order transaksi cash'!AH23</f>
        <v>1</v>
      </c>
      <c r="AB53" s="153"/>
      <c r="AC53" s="153" t="s">
        <v>1621</v>
      </c>
    </row>
    <row r="55" spans="1:33" s="148" customFormat="1" x14ac:dyDescent="0.25">
      <c r="A55" s="145"/>
      <c r="B55" s="145">
        <f>'kode transaksi'!A31</f>
        <v>30</v>
      </c>
      <c r="C55" s="145" t="str">
        <f>CONCATENATE(B55,".",A55)</f>
        <v>30.</v>
      </c>
      <c r="D55" s="145" t="str">
        <f>Invoice!C6</f>
        <v>7.4</v>
      </c>
      <c r="E55" s="145" t="str">
        <f>Invoice!N6</f>
        <v>15.1</v>
      </c>
      <c r="F55" s="145" t="str">
        <f>CONCATENATE(Invoice!D6,Invoice!E6)</f>
        <v>SJ.000004</v>
      </c>
      <c r="G55" s="145">
        <f>Invoice!BM6</f>
        <v>7</v>
      </c>
      <c r="H55" s="146">
        <f>Invoice!BN6</f>
        <v>10200000</v>
      </c>
      <c r="I55" s="146"/>
      <c r="J55" s="146">
        <f>H55-I55</f>
        <v>10200000</v>
      </c>
      <c r="K55" s="146"/>
      <c r="L55" s="145">
        <f>Invoice!F6</f>
        <v>3</v>
      </c>
      <c r="M55" s="145" t="str">
        <f>Invoice!G6</f>
        <v>rahmat handono</v>
      </c>
      <c r="N55" s="145">
        <f>Invoice!H6</f>
        <v>8551434991</v>
      </c>
      <c r="O55" s="145" t="str">
        <f>Invoice!I6</f>
        <v>rahmat.ph@gmail.com</v>
      </c>
      <c r="P55" s="145">
        <f>Invoice!O6</f>
        <v>1</v>
      </c>
      <c r="Q55" s="145" t="str">
        <f>Invoice!P6</f>
        <v>IDR</v>
      </c>
      <c r="R55" s="145">
        <f>Invoice!Q6</f>
        <v>1</v>
      </c>
      <c r="S55" s="147">
        <f>Invoice!R6</f>
        <v>43263</v>
      </c>
      <c r="T55" s="145"/>
      <c r="U55" s="145" t="str">
        <f>CONCATENATE(Invoice!W6,", ",Invoice!G6,", ",Invoice!V6)</f>
        <v>sales berurut, rahmat handono, cempaka putih</v>
      </c>
      <c r="V55" s="145">
        <f>Invoice!AB6</f>
        <v>6</v>
      </c>
      <c r="W55" s="145" t="str">
        <f>Invoice!AC6</f>
        <v>yusril</v>
      </c>
      <c r="X55" s="145">
        <f>Invoice!X6</f>
        <v>0</v>
      </c>
      <c r="Y55" s="145">
        <f>Invoice!Y6</f>
        <v>0</v>
      </c>
      <c r="Z55" s="145">
        <f>Invoice!BZ6</f>
        <v>3</v>
      </c>
      <c r="AA55" s="145">
        <f>Invoice!CA6</f>
        <v>1</v>
      </c>
      <c r="AB55" s="145"/>
      <c r="AC55" s="145"/>
      <c r="AG55" s="149"/>
    </row>
    <row r="57" spans="1:33" s="207" customFormat="1" x14ac:dyDescent="0.25">
      <c r="A57" s="145"/>
      <c r="B57" s="145">
        <f>'kode transaksi'!A31</f>
        <v>30</v>
      </c>
      <c r="C57" s="145" t="str">
        <f>CONCATENATE(B57,".",A57)</f>
        <v>30.</v>
      </c>
      <c r="D57" s="145" t="str">
        <f>'Received Goods'!C7</f>
        <v>8.7</v>
      </c>
      <c r="E57" s="145" t="str">
        <f>'Received Goods'!N7</f>
        <v>17.2</v>
      </c>
      <c r="F57" s="145" t="str">
        <f>CONCATENATE('Received Goods'!D7,'Received Goods'!E7)</f>
        <v>PJ.000005</v>
      </c>
      <c r="G57" s="145">
        <f>'Received Goods'!BM7</f>
        <v>8</v>
      </c>
      <c r="H57" s="145"/>
      <c r="I57" s="146">
        <f>'Received Goods'!BO7</f>
        <v>605000</v>
      </c>
      <c r="J57" s="146"/>
      <c r="K57" s="146">
        <f>I57-H57</f>
        <v>605000</v>
      </c>
      <c r="L57" s="145">
        <f>'Received Goods'!F7</f>
        <v>7</v>
      </c>
      <c r="M57" s="145" t="str">
        <f>'Received Goods'!G7</f>
        <v>djayakusuma</v>
      </c>
      <c r="N57" s="145">
        <f>'Received Goods'!H7</f>
        <v>8170175139</v>
      </c>
      <c r="O57" s="145" t="str">
        <f>'Received Goods'!I7</f>
        <v>djayakusuma@gmail.com</v>
      </c>
      <c r="P57" s="145">
        <f>'Received Goods'!O7</f>
        <v>1</v>
      </c>
      <c r="Q57" s="145" t="str">
        <f>'Received Goods'!P7</f>
        <v>IDR</v>
      </c>
      <c r="R57" s="145">
        <f>'Received Goods'!Q7</f>
        <v>1</v>
      </c>
      <c r="S57" s="147">
        <f>'Received Goods'!R7</f>
        <v>43260</v>
      </c>
      <c r="T57" s="145"/>
      <c r="U57" s="145" t="str">
        <f>'Received Goods'!W7</f>
        <v>beli tambahan casing</v>
      </c>
      <c r="V57" s="145">
        <f>'Received Goods'!AB7</f>
        <v>6</v>
      </c>
      <c r="W57" s="145" t="str">
        <f>'Received Goods'!AC7</f>
        <v>yusril</v>
      </c>
      <c r="X57" s="145">
        <f>'Received Goods'!X7</f>
        <v>0</v>
      </c>
      <c r="Y57" s="145">
        <f>'Received Goods'!Y7</f>
        <v>0</v>
      </c>
      <c r="Z57" s="145">
        <f>'Received Goods'!CA7</f>
        <v>3</v>
      </c>
      <c r="AA57" s="145">
        <f>'Received Goods'!CB7</f>
        <v>1</v>
      </c>
      <c r="AB57" s="145"/>
      <c r="AC57" s="145"/>
      <c r="AG57" s="13"/>
    </row>
    <row r="59" spans="1:33" s="212" customFormat="1" x14ac:dyDescent="0.25">
      <c r="A59" s="145"/>
      <c r="B59" s="145">
        <f>'kode transaksi'!A31</f>
        <v>30</v>
      </c>
      <c r="C59" s="145" t="str">
        <f>CONCATENATE(B59,".",A59)</f>
        <v>30.</v>
      </c>
      <c r="D59" s="145" t="str">
        <f>'Received Goods'!C8</f>
        <v>8.8</v>
      </c>
      <c r="E59" s="145" t="str">
        <f>'Received Goods'!N8</f>
        <v>26.2</v>
      </c>
      <c r="F59" s="145" t="str">
        <f>CONCATENATE('Received Goods'!D8,'Received Goods'!E8)</f>
        <v>PJ.000006</v>
      </c>
      <c r="G59" s="145">
        <f>'Received Goods'!BM8</f>
        <v>8</v>
      </c>
      <c r="H59" s="145"/>
      <c r="I59" s="145">
        <f>'Received Goods'!BO8</f>
        <v>3300000</v>
      </c>
      <c r="J59" s="146"/>
      <c r="K59" s="146">
        <f>I59-H59</f>
        <v>3300000</v>
      </c>
      <c r="L59" s="145">
        <f>'Received Goods'!F8</f>
        <v>8</v>
      </c>
      <c r="M59" s="145" t="str">
        <f>'Received Goods'!G8</f>
        <v>dodi kusuma</v>
      </c>
      <c r="N59" s="145">
        <f>'Received Goods'!H8</f>
        <v>217229385</v>
      </c>
      <c r="O59" s="145" t="str">
        <f>'Received Goods'!I8</f>
        <v>dodikusuma@yahoo.co.id</v>
      </c>
      <c r="P59" s="145">
        <f>'Received Goods'!O8</f>
        <v>1</v>
      </c>
      <c r="Q59" s="145" t="str">
        <f>'Received Goods'!P8</f>
        <v>IDR</v>
      </c>
      <c r="R59" s="145">
        <f>'Received Goods'!Q8</f>
        <v>1</v>
      </c>
      <c r="S59" s="147">
        <f>'Received Goods'!R8</f>
        <v>43257</v>
      </c>
      <c r="T59" s="145"/>
      <c r="U59" s="145" t="str">
        <f>'Received Goods'!W8</f>
        <v>beli tambahan casing</v>
      </c>
      <c r="V59" s="145">
        <f>'Received Goods'!AB8</f>
        <v>5</v>
      </c>
      <c r="W59" s="145" t="str">
        <f>'Received Goods'!AC8</f>
        <v>gisela tria canitha</v>
      </c>
      <c r="X59" s="145">
        <f>'Received Goods'!X8</f>
        <v>0</v>
      </c>
      <c r="Y59" s="145">
        <f>'Received Goods'!Y8</f>
        <v>0</v>
      </c>
      <c r="Z59" s="145">
        <f>'Received Goods'!CA8</f>
        <v>2</v>
      </c>
      <c r="AA59" s="145">
        <f>'Received Goods'!CB8</f>
        <v>1</v>
      </c>
      <c r="AB59" s="145"/>
      <c r="AC59" s="145"/>
      <c r="AG59" s="13"/>
    </row>
    <row r="61" spans="1:33" s="148" customFormat="1" x14ac:dyDescent="0.25">
      <c r="A61" s="145">
        <v>1</v>
      </c>
      <c r="B61" s="145">
        <f>'kode transaksi'!A31</f>
        <v>30</v>
      </c>
      <c r="C61" s="145" t="str">
        <f>CONCATENATE(B61,".",A61)</f>
        <v>30.1</v>
      </c>
      <c r="D61" s="145" t="str">
        <f>Invoice!C9</f>
        <v>7.7</v>
      </c>
      <c r="E61" s="145" t="str">
        <f>Invoice!N9</f>
        <v>7.7</v>
      </c>
      <c r="F61" s="145" t="str">
        <f>CONCATENATE(Invoice!D9,Invoice!E9)</f>
        <v>SJ.000007</v>
      </c>
      <c r="G61" s="145">
        <f>Invoice!BM9</f>
        <v>7</v>
      </c>
      <c r="H61" s="146">
        <f>Invoice!BN9</f>
        <v>3042285.7142857146</v>
      </c>
      <c r="I61" s="146"/>
      <c r="J61" s="146">
        <f>H61-I61</f>
        <v>3042285.7142857146</v>
      </c>
      <c r="K61" s="146"/>
      <c r="L61" s="145">
        <f>Invoice!F9</f>
        <v>1</v>
      </c>
      <c r="M61" s="145" t="str">
        <f>Invoice!G9</f>
        <v>dimas dhaniarso</v>
      </c>
      <c r="N61" s="145">
        <f>Invoice!H9</f>
        <v>81273845323</v>
      </c>
      <c r="O61" s="145" t="str">
        <f>Invoice!I9</f>
        <v>dhadan33@gmail.com</v>
      </c>
      <c r="P61" s="145">
        <f>Invoice!O9</f>
        <v>1</v>
      </c>
      <c r="Q61" s="145" t="str">
        <f>Invoice!P9</f>
        <v>IDR</v>
      </c>
      <c r="R61" s="145">
        <f>Invoice!Q9</f>
        <v>1</v>
      </c>
      <c r="S61" s="147">
        <f>Invoice!R9</f>
        <v>43265</v>
      </c>
      <c r="T61" s="147">
        <f>Invoice!R9+'term pembayaran'!C3</f>
        <v>43295</v>
      </c>
      <c r="U61" s="145" t="str">
        <f>CONCATENATE(Invoice!W9,", ",Invoice!G9,", ",Invoice!V9)</f>
        <v>term pembayaran, dimas dhaniarso, cempaka putih</v>
      </c>
      <c r="V61" s="145">
        <f>Invoice!AB9</f>
        <v>6</v>
      </c>
      <c r="W61" s="145" t="str">
        <f>Invoice!AC9</f>
        <v>yusril</v>
      </c>
      <c r="X61" s="145">
        <f>Invoice!X9</f>
        <v>0</v>
      </c>
      <c r="Y61" s="145">
        <f>Invoice!Y9</f>
        <v>0</v>
      </c>
      <c r="Z61" s="145">
        <f>Invoice!BZ9</f>
        <v>3</v>
      </c>
      <c r="AA61" s="145">
        <f>Invoice!CA9</f>
        <v>1</v>
      </c>
      <c r="AB61" s="145"/>
      <c r="AC61" s="145"/>
      <c r="AG61" s="149"/>
    </row>
    <row r="62" spans="1:33" s="239" customFormat="1" x14ac:dyDescent="0.25">
      <c r="A62" s="239">
        <v>2</v>
      </c>
      <c r="B62" s="239">
        <f>'kode transaksi'!A31</f>
        <v>30</v>
      </c>
      <c r="C62" s="145" t="str">
        <f>CONCATENATE(B62,".",A62)</f>
        <v>30.2</v>
      </c>
      <c r="D62" s="256" t="str">
        <f>Invoice!C9</f>
        <v>7.7</v>
      </c>
      <c r="E62" s="239" t="str">
        <f>Invoice!N9</f>
        <v>7.7</v>
      </c>
      <c r="F62" s="145" t="str">
        <f>CONCATENATE(Invoice!D9,Invoice!E9)</f>
        <v>SJ.000007</v>
      </c>
      <c r="G62" s="145">
        <f>Invoice!BM9</f>
        <v>7</v>
      </c>
      <c r="H62" s="146">
        <f>Invoice!BN9</f>
        <v>3042285.7142857146</v>
      </c>
      <c r="I62" s="146"/>
      <c r="J62" s="146">
        <f>H62-I62</f>
        <v>3042285.7142857146</v>
      </c>
      <c r="K62" s="146"/>
      <c r="L62" s="145">
        <f>Invoice!F9</f>
        <v>1</v>
      </c>
      <c r="M62" s="145" t="str">
        <f>Invoice!G9</f>
        <v>dimas dhaniarso</v>
      </c>
      <c r="N62" s="145">
        <f>Invoice!H9</f>
        <v>81273845323</v>
      </c>
      <c r="O62" s="145" t="str">
        <f>Invoice!I9</f>
        <v>dhadan33@gmail.com</v>
      </c>
      <c r="P62" s="145">
        <f>Invoice!O9</f>
        <v>1</v>
      </c>
      <c r="Q62" s="145" t="str">
        <f>Invoice!P9</f>
        <v>IDR</v>
      </c>
      <c r="R62" s="145">
        <f>Invoice!Q9</f>
        <v>1</v>
      </c>
      <c r="S62" s="147">
        <f>Invoice!R9</f>
        <v>43265</v>
      </c>
      <c r="T62" s="147">
        <f>T61+30</f>
        <v>43325</v>
      </c>
      <c r="U62" s="145" t="str">
        <f>CONCATENATE(Invoice!W9,", ",Invoice!G9,", ",Invoice!V9)</f>
        <v>term pembayaran, dimas dhaniarso, cempaka putih</v>
      </c>
      <c r="V62" s="145">
        <f>Invoice!AB9</f>
        <v>6</v>
      </c>
      <c r="W62" s="145" t="str">
        <f>Invoice!AC9</f>
        <v>yusril</v>
      </c>
      <c r="X62" s="145">
        <f>Invoice!X9</f>
        <v>0</v>
      </c>
      <c r="Y62" s="145">
        <f>Invoice!Y9</f>
        <v>0</v>
      </c>
      <c r="Z62" s="145">
        <f>Invoice!BZ9</f>
        <v>3</v>
      </c>
      <c r="AA62" s="145">
        <f>Invoice!CA9</f>
        <v>1</v>
      </c>
      <c r="AB62" s="145"/>
      <c r="AC62" s="145"/>
      <c r="AG62" s="13"/>
    </row>
    <row r="63" spans="1:33" x14ac:dyDescent="0.25">
      <c r="A63" s="1">
        <v>3</v>
      </c>
    </row>
    <row r="64" spans="1:33" x14ac:dyDescent="0.25">
      <c r="A64" s="1">
        <v>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00B050"/>
  </sheetPr>
  <dimension ref="A1:AA23"/>
  <sheetViews>
    <sheetView zoomScale="85" zoomScaleNormal="85" workbookViewId="0">
      <selection activeCell="E15" sqref="E15"/>
    </sheetView>
  </sheetViews>
  <sheetFormatPr defaultColWidth="9.140625" defaultRowHeight="15" x14ac:dyDescent="0.25"/>
  <cols>
    <col min="1" max="1" width="34.42578125" style="1" bestFit="1" customWidth="1"/>
    <col min="2" max="2" width="39.42578125" style="1" bestFit="1" customWidth="1"/>
    <col min="3" max="3" width="18.42578125" style="1" bestFit="1" customWidth="1"/>
    <col min="4" max="4" width="12.42578125" style="1" bestFit="1" customWidth="1"/>
    <col min="5" max="5" width="35.140625" style="1" bestFit="1" customWidth="1"/>
    <col min="6" max="6" width="26" style="1" bestFit="1" customWidth="1"/>
    <col min="7" max="7" width="23" style="1" bestFit="1" customWidth="1"/>
    <col min="8" max="8" width="10.85546875" style="1" bestFit="1" customWidth="1"/>
    <col min="9" max="9" width="15.42578125" style="1" bestFit="1" customWidth="1"/>
    <col min="10" max="10" width="11.42578125" style="1" bestFit="1" customWidth="1"/>
    <col min="11" max="11" width="15" style="1" bestFit="1" customWidth="1"/>
    <col min="12" max="12" width="17" style="1" bestFit="1" customWidth="1"/>
    <col min="13" max="13" width="10" style="1" bestFit="1" customWidth="1"/>
    <col min="14" max="14" width="15.42578125" style="1" bestFit="1" customWidth="1"/>
    <col min="15" max="15" width="14.42578125" style="1" bestFit="1" customWidth="1"/>
    <col min="16" max="16" width="18.140625" style="1" bestFit="1" customWidth="1"/>
    <col min="17" max="17" width="13.42578125" style="1" bestFit="1" customWidth="1"/>
    <col min="18" max="18" width="16.28515625" style="1" bestFit="1" customWidth="1"/>
    <col min="19" max="19" width="16.7109375" style="1" bestFit="1" customWidth="1"/>
    <col min="20" max="20" width="12.85546875" style="1" bestFit="1" customWidth="1"/>
    <col min="21" max="21" width="16.42578125" style="1" bestFit="1" customWidth="1"/>
    <col min="22" max="22" width="11.7109375" style="1" bestFit="1" customWidth="1"/>
    <col min="23" max="23" width="14.7109375" style="1" bestFit="1" customWidth="1"/>
    <col min="24" max="24" width="15.28515625" style="1" bestFit="1" customWidth="1"/>
    <col min="25" max="25" width="10.85546875" style="1" bestFit="1" customWidth="1"/>
    <col min="26" max="26" width="22" style="1" bestFit="1" customWidth="1"/>
    <col min="27" max="27" width="20" style="1" bestFit="1" customWidth="1"/>
    <col min="28" max="16384" width="9.140625" style="1"/>
  </cols>
  <sheetData>
    <row r="1" spans="1:27" x14ac:dyDescent="0.25">
      <c r="B1" s="1" t="s">
        <v>1349</v>
      </c>
      <c r="E1" s="1" t="s">
        <v>1350</v>
      </c>
      <c r="F1" s="291" t="s">
        <v>1351</v>
      </c>
      <c r="G1" s="291"/>
      <c r="H1" s="1" t="s">
        <v>949</v>
      </c>
      <c r="I1" s="1" t="s">
        <v>26</v>
      </c>
      <c r="J1" s="291" t="s">
        <v>1354</v>
      </c>
      <c r="K1" s="291"/>
      <c r="O1" s="291" t="s">
        <v>1352</v>
      </c>
      <c r="P1" s="291"/>
      <c r="T1" s="291" t="s">
        <v>1353</v>
      </c>
      <c r="U1" s="291"/>
    </row>
    <row r="2" spans="1:27" x14ac:dyDescent="0.25">
      <c r="A2" s="1" t="s">
        <v>547</v>
      </c>
      <c r="B2" s="1" t="s">
        <v>1355</v>
      </c>
      <c r="C2" s="1" t="s">
        <v>617</v>
      </c>
      <c r="D2" s="1" t="s">
        <v>1685</v>
      </c>
      <c r="E2" s="1" t="s">
        <v>548</v>
      </c>
      <c r="F2" s="1" t="s">
        <v>22</v>
      </c>
      <c r="G2" s="1" t="s">
        <v>23</v>
      </c>
      <c r="H2" s="1" t="s">
        <v>481</v>
      </c>
      <c r="I2" s="1" t="s">
        <v>26</v>
      </c>
      <c r="J2" s="1" t="s">
        <v>35</v>
      </c>
      <c r="K2" s="1" t="s">
        <v>36</v>
      </c>
      <c r="L2" s="1" t="s">
        <v>43</v>
      </c>
      <c r="M2" s="1" t="s">
        <v>46</v>
      </c>
      <c r="N2" s="1" t="s">
        <v>47</v>
      </c>
      <c r="O2" s="1" t="s">
        <v>505</v>
      </c>
      <c r="P2" s="1" t="s">
        <v>502</v>
      </c>
      <c r="Q2" s="1" t="s">
        <v>545</v>
      </c>
      <c r="R2" s="1" t="s">
        <v>549</v>
      </c>
      <c r="S2" s="1" t="s">
        <v>552</v>
      </c>
      <c r="T2" s="1" t="s">
        <v>506</v>
      </c>
      <c r="U2" s="1" t="s">
        <v>503</v>
      </c>
      <c r="V2" s="1" t="s">
        <v>546</v>
      </c>
      <c r="W2" s="1" t="s">
        <v>551</v>
      </c>
      <c r="X2" s="1" t="s">
        <v>550</v>
      </c>
      <c r="Y2" s="1" t="s">
        <v>624</v>
      </c>
      <c r="Z2" s="229" t="s">
        <v>1129</v>
      </c>
      <c r="AA2" s="1" t="s">
        <v>1644</v>
      </c>
    </row>
    <row r="3" spans="1:27" x14ac:dyDescent="0.25">
      <c r="A3" s="1">
        <v>1</v>
      </c>
      <c r="B3" s="1">
        <f>'dropdownPPT barang'!A2</f>
        <v>1</v>
      </c>
      <c r="C3" s="1">
        <f>'kode transaksi'!A10</f>
        <v>9</v>
      </c>
      <c r="D3" s="1" t="str">
        <f>CONCATENATE(C3,".",A3)</f>
        <v>9.1</v>
      </c>
      <c r="E3" s="1" t="s">
        <v>1595</v>
      </c>
      <c r="F3" s="1">
        <v>0</v>
      </c>
      <c r="G3" s="1">
        <v>0</v>
      </c>
      <c r="H3" s="6">
        <v>43368</v>
      </c>
      <c r="I3" s="1" t="s">
        <v>1673</v>
      </c>
      <c r="J3" s="1">
        <f>kontak!A8</f>
        <v>6</v>
      </c>
      <c r="K3" s="1" t="str">
        <f>kontak!G8</f>
        <v>yusril</v>
      </c>
      <c r="L3" s="1">
        <v>1</v>
      </c>
      <c r="O3" s="1">
        <f>lokasi!A3</f>
        <v>1</v>
      </c>
      <c r="P3" s="1" t="str">
        <f>lokasi!B3</f>
        <v>cempaka putih</v>
      </c>
      <c r="Q3" s="1">
        <f>'type produk'!K4</f>
        <v>3</v>
      </c>
      <c r="S3" s="232">
        <f>SUM('order inventori'!S21)</f>
        <v>150000</v>
      </c>
      <c r="T3" s="14" t="s">
        <v>508</v>
      </c>
      <c r="U3" s="14" t="s">
        <v>508</v>
      </c>
      <c r="V3" s="1">
        <f>'rekening perkiraan'!A25</f>
        <v>23</v>
      </c>
      <c r="W3" s="232">
        <f>SUM('order inventori'!S21)</f>
        <v>150000</v>
      </c>
      <c r="Y3" s="1">
        <f>'user id'!A4</f>
        <v>3</v>
      </c>
      <c r="Z3" s="208">
        <f>'periode akuntansi'!A2</f>
        <v>1</v>
      </c>
      <c r="AA3" s="6"/>
    </row>
    <row r="4" spans="1:27" x14ac:dyDescent="0.25">
      <c r="A4" s="1">
        <v>2</v>
      </c>
      <c r="B4" s="1">
        <f>'dropdownPPT barang'!A3</f>
        <v>2</v>
      </c>
      <c r="C4" s="1">
        <f>'kode transaksi'!A10</f>
        <v>9</v>
      </c>
      <c r="D4" s="1" t="str">
        <f>CONCATENATE(C4,".",A4)</f>
        <v>9.2</v>
      </c>
      <c r="E4" s="229" t="s">
        <v>1596</v>
      </c>
      <c r="F4" s="1">
        <v>0</v>
      </c>
      <c r="G4" s="1">
        <v>0</v>
      </c>
      <c r="H4" s="6">
        <v>43271</v>
      </c>
      <c r="I4" s="1" t="s">
        <v>1668</v>
      </c>
      <c r="J4" s="1">
        <f>kontak!A8</f>
        <v>6</v>
      </c>
      <c r="K4" s="1" t="str">
        <f>kontak!G8</f>
        <v>yusril</v>
      </c>
      <c r="L4" s="1">
        <v>1</v>
      </c>
      <c r="M4" s="1">
        <v>0</v>
      </c>
      <c r="N4" s="1">
        <v>0</v>
      </c>
      <c r="O4" s="1">
        <f>lokasi!A4</f>
        <v>2</v>
      </c>
      <c r="P4" s="1" t="str">
        <f>lokasi!B4</f>
        <v>komplek timah</v>
      </c>
      <c r="Q4" s="1">
        <f>'type produk'!K4</f>
        <v>3</v>
      </c>
      <c r="S4" s="1">
        <f>SUM('order inventori'!S19)</f>
        <v>2250000</v>
      </c>
      <c r="T4" s="1">
        <f>lokasi!A3</f>
        <v>1</v>
      </c>
      <c r="U4" s="1" t="str">
        <f>lokasi!B3</f>
        <v>cempaka putih</v>
      </c>
      <c r="V4" s="1">
        <f>'rekening perkiraan'!A5</f>
        <v>3</v>
      </c>
      <c r="W4" s="1">
        <f>SUM('order inventori'!S20)</f>
        <v>2250000</v>
      </c>
      <c r="Y4" s="1">
        <f>'user id'!A4</f>
        <v>3</v>
      </c>
      <c r="Z4" s="208">
        <f>'periode akuntansi'!A2</f>
        <v>1</v>
      </c>
      <c r="AA4" s="6"/>
    </row>
    <row r="5" spans="1:27" x14ac:dyDescent="0.25">
      <c r="A5" s="1">
        <v>3</v>
      </c>
      <c r="B5" s="1">
        <f>'dropdownPPT barang'!A4</f>
        <v>3</v>
      </c>
      <c r="C5" s="229"/>
      <c r="D5" s="229"/>
      <c r="E5" s="229" t="s">
        <v>1597</v>
      </c>
      <c r="F5" s="1">
        <v>0</v>
      </c>
      <c r="G5" s="1">
        <v>0</v>
      </c>
      <c r="H5" s="6">
        <v>43370</v>
      </c>
      <c r="O5" s="1">
        <f>lokasi!A4</f>
        <v>2</v>
      </c>
      <c r="P5" s="1" t="str">
        <f>lokasi!B4</f>
        <v>komplek timah</v>
      </c>
      <c r="T5" s="1" t="s">
        <v>508</v>
      </c>
      <c r="U5" s="1" t="s">
        <v>508</v>
      </c>
      <c r="V5" s="1" t="s">
        <v>662</v>
      </c>
      <c r="Z5" s="6"/>
      <c r="AA5" s="6"/>
    </row>
    <row r="6" spans="1:27" x14ac:dyDescent="0.25">
      <c r="H6" s="6"/>
      <c r="Z6" s="6"/>
      <c r="AA6" s="6"/>
    </row>
    <row r="7" spans="1:27" x14ac:dyDescent="0.25">
      <c r="H7" s="6"/>
      <c r="Z7" s="6"/>
      <c r="AA7" s="6"/>
    </row>
    <row r="8" spans="1:27" x14ac:dyDescent="0.25">
      <c r="H8" s="6"/>
      <c r="Z8" s="6"/>
      <c r="AA8" s="6"/>
    </row>
    <row r="9" spans="1:27" x14ac:dyDescent="0.25">
      <c r="H9" s="6"/>
      <c r="Z9" s="6"/>
      <c r="AA9" s="6"/>
    </row>
    <row r="12" spans="1:27" x14ac:dyDescent="0.25">
      <c r="A12" s="1" t="s">
        <v>1346</v>
      </c>
      <c r="B12" s="1" t="s">
        <v>1352</v>
      </c>
    </row>
    <row r="13" spans="1:27" x14ac:dyDescent="0.25">
      <c r="B13" s="1" t="s">
        <v>1360</v>
      </c>
    </row>
    <row r="14" spans="1:27" x14ac:dyDescent="0.25">
      <c r="B14" s="1" t="s">
        <v>1361</v>
      </c>
    </row>
    <row r="17" spans="1:2" x14ac:dyDescent="0.25">
      <c r="A17" s="1" t="s">
        <v>932</v>
      </c>
      <c r="B17" s="1" t="s">
        <v>1359</v>
      </c>
    </row>
    <row r="22" spans="1:2" x14ac:dyDescent="0.25">
      <c r="A22" s="1" t="s">
        <v>1347</v>
      </c>
      <c r="B22" s="1" t="s">
        <v>1357</v>
      </c>
    </row>
    <row r="23" spans="1:2" x14ac:dyDescent="0.25">
      <c r="B23" s="1" t="s">
        <v>1358</v>
      </c>
    </row>
  </sheetData>
  <mergeCells count="4">
    <mergeCell ref="F1:G1"/>
    <mergeCell ref="O1:P1"/>
    <mergeCell ref="T1:U1"/>
    <mergeCell ref="J1:K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AB17"/>
  <sheetViews>
    <sheetView zoomScale="130" zoomScaleNormal="130" workbookViewId="0">
      <selection activeCell="D7" sqref="D7"/>
    </sheetView>
  </sheetViews>
  <sheetFormatPr defaultColWidth="9.140625" defaultRowHeight="15" x14ac:dyDescent="0.25"/>
  <cols>
    <col min="1" max="1" width="20.42578125" style="1" bestFit="1" customWidth="1"/>
    <col min="2" max="2" width="11.42578125" style="1" bestFit="1" customWidth="1"/>
    <col min="3" max="3" width="18.85546875" style="1" bestFit="1" customWidth="1"/>
    <col min="4" max="4" width="11.28515625" style="6" bestFit="1" customWidth="1"/>
    <col min="5" max="5" width="8.85546875" style="1" bestFit="1" customWidth="1"/>
    <col min="6" max="6" width="14.42578125" style="1" bestFit="1" customWidth="1"/>
    <col min="7" max="7" width="10" style="1" bestFit="1" customWidth="1"/>
    <col min="8" max="8" width="15.7109375" style="1" bestFit="1" customWidth="1"/>
    <col min="9" max="9" width="16.85546875" style="1" bestFit="1" customWidth="1"/>
    <col min="10" max="10" width="18.85546875" style="1" bestFit="1" customWidth="1"/>
    <col min="11" max="11" width="12.42578125" style="1" bestFit="1" customWidth="1"/>
    <col min="12" max="12" width="14.28515625" style="1" bestFit="1" customWidth="1"/>
    <col min="13" max="13" width="12" style="41" bestFit="1" customWidth="1"/>
    <col min="14" max="14" width="14.42578125" style="1" bestFit="1" customWidth="1"/>
    <col min="15" max="15" width="18.28515625" style="1" bestFit="1" customWidth="1"/>
    <col min="16" max="16" width="18.42578125" style="41" bestFit="1" customWidth="1"/>
    <col min="17" max="17" width="8.42578125" style="1" bestFit="1" customWidth="1"/>
    <col min="18" max="18" width="11.42578125" style="1" bestFit="1" customWidth="1"/>
    <col min="19" max="19" width="16.7109375" style="3" bestFit="1" customWidth="1"/>
    <col min="20" max="20" width="18.42578125" style="41" bestFit="1" customWidth="1"/>
    <col min="21" max="21" width="21.42578125" style="1" bestFit="1" customWidth="1"/>
    <col min="22" max="22" width="15.140625" style="1" bestFit="1" customWidth="1"/>
    <col min="23" max="23" width="21.7109375" style="1" bestFit="1" customWidth="1"/>
    <col min="24" max="24" width="16.28515625" style="1" bestFit="1" customWidth="1"/>
    <col min="25" max="25" width="21.140625" style="1" bestFit="1" customWidth="1"/>
    <col min="26" max="26" width="10" style="1" bestFit="1" customWidth="1"/>
    <col min="27" max="27" width="17.42578125" style="1" bestFit="1" customWidth="1"/>
    <col min="28" max="28" width="22.42578125" style="1" bestFit="1" customWidth="1"/>
    <col min="29" max="34" width="18.140625" style="1" customWidth="1"/>
    <col min="35" max="16384" width="9.140625" style="1"/>
  </cols>
  <sheetData>
    <row r="1" spans="1:28" x14ac:dyDescent="0.25">
      <c r="A1" s="1" t="s">
        <v>514</v>
      </c>
      <c r="B1" s="1" t="s">
        <v>1685</v>
      </c>
      <c r="C1" s="1" t="s">
        <v>655</v>
      </c>
      <c r="D1" s="6" t="s">
        <v>481</v>
      </c>
      <c r="E1" s="1" t="s">
        <v>24</v>
      </c>
      <c r="F1" s="1" t="s">
        <v>501</v>
      </c>
      <c r="G1" s="1" t="s">
        <v>78</v>
      </c>
      <c r="H1" s="1" t="s">
        <v>87</v>
      </c>
      <c r="I1" s="1" t="s">
        <v>88</v>
      </c>
      <c r="J1" s="1" t="s">
        <v>79</v>
      </c>
      <c r="K1" s="1" t="s">
        <v>507</v>
      </c>
      <c r="L1" s="1" t="s">
        <v>80</v>
      </c>
      <c r="M1" s="41" t="s">
        <v>420</v>
      </c>
      <c r="N1" s="1" t="s">
        <v>463</v>
      </c>
      <c r="O1" s="1" t="s">
        <v>1458</v>
      </c>
      <c r="P1" s="41" t="s">
        <v>27</v>
      </c>
      <c r="Q1" s="1" t="s">
        <v>82</v>
      </c>
      <c r="R1" s="1" t="s">
        <v>676</v>
      </c>
      <c r="S1" s="3" t="s">
        <v>536</v>
      </c>
      <c r="T1" s="41" t="s">
        <v>28</v>
      </c>
      <c r="U1" s="1" t="s">
        <v>69</v>
      </c>
      <c r="V1" s="1" t="s">
        <v>1547</v>
      </c>
      <c r="W1" s="1" t="s">
        <v>464</v>
      </c>
      <c r="X1" s="1" t="s">
        <v>83</v>
      </c>
      <c r="Y1" s="1" t="s">
        <v>654</v>
      </c>
      <c r="Z1" s="1" t="s">
        <v>1401</v>
      </c>
      <c r="AA1" s="1" t="s">
        <v>465</v>
      </c>
      <c r="AB1" s="1" t="s">
        <v>466</v>
      </c>
    </row>
    <row r="2" spans="1:28" x14ac:dyDescent="0.25">
      <c r="A2" s="1">
        <v>1</v>
      </c>
      <c r="B2" s="1" t="str">
        <f>'Shoping Cart'!C3</f>
        <v>14.1</v>
      </c>
      <c r="C2" s="1" t="str">
        <f>'Shoping Cart'!F3</f>
        <v>14.1</v>
      </c>
      <c r="D2" s="6">
        <f>'Shoping Cart'!N3</f>
        <v>43252</v>
      </c>
      <c r="E2" s="1">
        <f>'Shoping Cart'!Q3</f>
        <v>1</v>
      </c>
      <c r="F2" s="1" t="str">
        <f>'Shoping Cart'!R3</f>
        <v>cempaka putih</v>
      </c>
      <c r="G2" s="1">
        <f>produk!A3</f>
        <v>1</v>
      </c>
      <c r="H2" s="1" t="str">
        <f>produk!E3</f>
        <v>iphone</v>
      </c>
      <c r="I2" s="1" t="str">
        <f>produk!F3</f>
        <v>sin-iphone6-16Gb</v>
      </c>
      <c r="J2" s="1" t="str">
        <f>produk!I3</f>
        <v>iphone6-16gb-putih</v>
      </c>
      <c r="K2" s="1" t="str">
        <f>produk!S3</f>
        <v>unit</v>
      </c>
      <c r="M2" s="41">
        <v>2000000</v>
      </c>
      <c r="N2" s="1">
        <v>25</v>
      </c>
      <c r="P2" s="41">
        <f>M2*N2</f>
        <v>50000000</v>
      </c>
      <c r="U2" s="1">
        <f>'data pajak'!E3</f>
        <v>18</v>
      </c>
      <c r="V2" s="1">
        <f>produk!AD3</f>
        <v>2</v>
      </c>
      <c r="W2" s="1" t="str">
        <f>'type produk'!B4</f>
        <v>dijual_dibeli_disimpan</v>
      </c>
      <c r="X2" s="1">
        <f>'type produk'!K4</f>
        <v>3</v>
      </c>
      <c r="Y2" s="1">
        <f>'type produk'!M4</f>
        <v>4</v>
      </c>
      <c r="AA2" s="1">
        <f>'Shoping Cart'!T3</f>
        <v>0</v>
      </c>
      <c r="AB2" s="1">
        <f>'Shoping Cart'!U3</f>
        <v>0</v>
      </c>
    </row>
    <row r="3" spans="1:28" x14ac:dyDescent="0.25">
      <c r="A3" s="1">
        <v>2</v>
      </c>
      <c r="B3" s="1" t="str">
        <f>'Quotation Request'!C3</f>
        <v>16.1</v>
      </c>
      <c r="C3" s="1" t="str">
        <f>'Quotation Request'!L3</f>
        <v>14.1</v>
      </c>
      <c r="D3" s="6">
        <f>'Quotation Request'!P3</f>
        <v>43253</v>
      </c>
      <c r="E3" s="1">
        <f>'Quotation Request'!S3</f>
        <v>1</v>
      </c>
      <c r="F3" s="1" t="str">
        <f>'Quotation Request'!T3</f>
        <v>cempaka putih</v>
      </c>
      <c r="G3" s="1">
        <f>G2</f>
        <v>1</v>
      </c>
      <c r="H3" s="1" t="str">
        <f t="shared" ref="H3:K4" si="0">H2</f>
        <v>iphone</v>
      </c>
      <c r="I3" s="1" t="str">
        <f t="shared" si="0"/>
        <v>sin-iphone6-16Gb</v>
      </c>
      <c r="J3" s="1" t="str">
        <f t="shared" si="0"/>
        <v>iphone6-16gb-putih</v>
      </c>
      <c r="K3" s="1" t="str">
        <f t="shared" si="0"/>
        <v>unit</v>
      </c>
      <c r="M3" s="41">
        <f t="shared" ref="M3:N4" si="1">M2</f>
        <v>2000000</v>
      </c>
      <c r="N3" s="1">
        <f t="shared" si="1"/>
        <v>25</v>
      </c>
      <c r="P3" s="41">
        <f>P2</f>
        <v>50000000</v>
      </c>
      <c r="Q3" s="1">
        <f>produk!AO3</f>
        <v>1</v>
      </c>
      <c r="R3" s="1" t="str">
        <f>'data pajak'!B3</f>
        <v>PPn</v>
      </c>
      <c r="S3" s="3">
        <f>'data pajak'!D3</f>
        <v>0.1</v>
      </c>
      <c r="T3" s="41">
        <f>P3*S3</f>
        <v>5000000</v>
      </c>
      <c r="U3" s="1">
        <f t="shared" ref="U3" si="2">U2</f>
        <v>18</v>
      </c>
      <c r="V3" s="1">
        <f t="shared" ref="V3" si="3">V2</f>
        <v>2</v>
      </c>
      <c r="W3" s="1" t="str">
        <f t="shared" ref="W3:W4" si="4">W2</f>
        <v>dijual_dibeli_disimpan</v>
      </c>
      <c r="X3" s="1">
        <f t="shared" ref="X3:X4" si="5">X2</f>
        <v>3</v>
      </c>
      <c r="Y3" s="1">
        <f t="shared" ref="Y3:Y4" si="6">Y2</f>
        <v>4</v>
      </c>
      <c r="AA3" s="1">
        <f>'Quotation Request'!V3</f>
        <v>0</v>
      </c>
      <c r="AB3" s="1">
        <f>'Quotation Request'!W3</f>
        <v>0</v>
      </c>
    </row>
    <row r="4" spans="1:28" x14ac:dyDescent="0.25">
      <c r="A4" s="1">
        <v>3</v>
      </c>
      <c r="B4" s="148" t="str">
        <f>'Purchase Order'!C3</f>
        <v>17.1</v>
      </c>
      <c r="C4" s="1" t="str">
        <f>'Purchase Order'!L3</f>
        <v>14.1</v>
      </c>
      <c r="D4" s="6">
        <f>'Purchase Order'!P3</f>
        <v>43254</v>
      </c>
      <c r="E4" s="1">
        <f>'Purchase Order'!S3</f>
        <v>1</v>
      </c>
      <c r="F4" s="1" t="str">
        <f>'Purchase Order'!T3</f>
        <v>cempaka putih</v>
      </c>
      <c r="G4" s="1">
        <f>G3</f>
        <v>1</v>
      </c>
      <c r="H4" s="1" t="str">
        <f t="shared" si="0"/>
        <v>iphone</v>
      </c>
      <c r="I4" s="1" t="str">
        <f t="shared" si="0"/>
        <v>sin-iphone6-16Gb</v>
      </c>
      <c r="J4" s="1" t="str">
        <f t="shared" si="0"/>
        <v>iphone6-16gb-putih</v>
      </c>
      <c r="K4" s="1" t="str">
        <f t="shared" si="0"/>
        <v>unit</v>
      </c>
      <c r="M4" s="41">
        <f t="shared" si="1"/>
        <v>2000000</v>
      </c>
      <c r="N4" s="1">
        <f t="shared" si="1"/>
        <v>25</v>
      </c>
      <c r="P4" s="41">
        <f>P3</f>
        <v>50000000</v>
      </c>
      <c r="Q4" s="1">
        <f t="shared" ref="Q4:V4" si="7">Q3</f>
        <v>1</v>
      </c>
      <c r="R4" s="1" t="str">
        <f t="shared" si="7"/>
        <v>PPn</v>
      </c>
      <c r="S4" s="3">
        <f t="shared" si="7"/>
        <v>0.1</v>
      </c>
      <c r="T4" s="41">
        <f t="shared" si="7"/>
        <v>5000000</v>
      </c>
      <c r="U4" s="1">
        <f t="shared" si="7"/>
        <v>18</v>
      </c>
      <c r="V4" s="1">
        <f t="shared" si="7"/>
        <v>2</v>
      </c>
      <c r="W4" s="1" t="str">
        <f t="shared" si="4"/>
        <v>dijual_dibeli_disimpan</v>
      </c>
      <c r="X4" s="1">
        <f t="shared" si="5"/>
        <v>3</v>
      </c>
      <c r="Y4" s="1">
        <f t="shared" si="6"/>
        <v>4</v>
      </c>
      <c r="AA4" s="1">
        <f>'Purchase Order'!V3</f>
        <v>0</v>
      </c>
      <c r="AB4" s="1">
        <f>'Purchase Order'!W3</f>
        <v>0</v>
      </c>
    </row>
    <row r="5" spans="1:28" s="145" customFormat="1" x14ac:dyDescent="0.25">
      <c r="A5" s="145">
        <v>4</v>
      </c>
      <c r="B5" s="148" t="str">
        <f>'Purchase Delivery'!C3</f>
        <v>26.1</v>
      </c>
      <c r="C5" s="145" t="str">
        <f>'Purchase Delivery'!L3</f>
        <v>14.1</v>
      </c>
      <c r="D5" s="147">
        <f>'Purchase Delivery'!P3</f>
        <v>43255</v>
      </c>
      <c r="E5" s="145">
        <f>'Purchase Delivery'!S3</f>
        <v>1</v>
      </c>
      <c r="F5" s="145" t="str">
        <f>'Purchase Delivery'!T3</f>
        <v>cempaka putih</v>
      </c>
      <c r="G5" s="145">
        <f>G4</f>
        <v>1</v>
      </c>
      <c r="H5" s="145" t="str">
        <f t="shared" ref="H5:K6" si="8">H4</f>
        <v>iphone</v>
      </c>
      <c r="I5" s="145" t="str">
        <f t="shared" si="8"/>
        <v>sin-iphone6-16Gb</v>
      </c>
      <c r="J5" s="145" t="str">
        <f t="shared" si="8"/>
        <v>iphone6-16gb-putih</v>
      </c>
      <c r="K5" s="145" t="str">
        <f t="shared" si="8"/>
        <v>unit</v>
      </c>
      <c r="M5" s="146">
        <f>M4</f>
        <v>2000000</v>
      </c>
      <c r="N5" s="145">
        <f>N4</f>
        <v>25</v>
      </c>
      <c r="P5" s="146">
        <f>P4</f>
        <v>50000000</v>
      </c>
      <c r="Q5" s="145">
        <f t="shared" ref="Q5:Y6" si="9">Q4</f>
        <v>1</v>
      </c>
      <c r="R5" s="145" t="str">
        <f t="shared" si="9"/>
        <v>PPn</v>
      </c>
      <c r="S5" s="222">
        <f t="shared" si="9"/>
        <v>0.1</v>
      </c>
      <c r="T5" s="146">
        <f t="shared" si="9"/>
        <v>5000000</v>
      </c>
      <c r="U5" s="145">
        <f t="shared" si="9"/>
        <v>18</v>
      </c>
      <c r="V5" s="145">
        <f t="shared" si="9"/>
        <v>2</v>
      </c>
      <c r="W5" s="145" t="str">
        <f t="shared" si="9"/>
        <v>dijual_dibeli_disimpan</v>
      </c>
      <c r="X5" s="145">
        <f t="shared" si="9"/>
        <v>3</v>
      </c>
      <c r="Y5" s="145">
        <f t="shared" si="9"/>
        <v>4</v>
      </c>
      <c r="AA5" s="145">
        <f>'Purchase Delivery'!V3</f>
        <v>0</v>
      </c>
      <c r="AB5" s="145">
        <f>'Purchase Delivery'!W3</f>
        <v>0</v>
      </c>
    </row>
    <row r="6" spans="1:28" x14ac:dyDescent="0.25">
      <c r="A6" s="1">
        <v>5</v>
      </c>
      <c r="B6" s="148" t="str">
        <f>'Received Goods'!C3</f>
        <v>8.1</v>
      </c>
      <c r="C6" s="1" t="str">
        <f>'Received Goods'!N3</f>
        <v>14.1</v>
      </c>
      <c r="D6" s="6">
        <f>'Received Goods'!R3</f>
        <v>43256</v>
      </c>
      <c r="E6" s="1">
        <f>'Received Goods'!U3</f>
        <v>1</v>
      </c>
      <c r="F6" s="1" t="str">
        <f>'Received Goods'!V3</f>
        <v>cempaka putih</v>
      </c>
      <c r="G6" s="1">
        <f>G5</f>
        <v>1</v>
      </c>
      <c r="H6" s="1" t="str">
        <f t="shared" si="8"/>
        <v>iphone</v>
      </c>
      <c r="I6" s="1" t="str">
        <f t="shared" si="8"/>
        <v>sin-iphone6-16Gb</v>
      </c>
      <c r="J6" s="1" t="str">
        <f t="shared" si="8"/>
        <v>iphone6-16gb-putih</v>
      </c>
      <c r="K6" s="1" t="str">
        <f t="shared" si="8"/>
        <v>unit</v>
      </c>
      <c r="M6" s="41">
        <f>M5</f>
        <v>2000000</v>
      </c>
      <c r="N6" s="1">
        <f>N5</f>
        <v>25</v>
      </c>
      <c r="P6" s="41">
        <f>P5</f>
        <v>50000000</v>
      </c>
      <c r="Q6" s="1">
        <f t="shared" si="9"/>
        <v>1</v>
      </c>
      <c r="R6" s="1" t="str">
        <f t="shared" si="9"/>
        <v>PPn</v>
      </c>
      <c r="S6" s="3">
        <f t="shared" si="9"/>
        <v>0.1</v>
      </c>
      <c r="T6" s="41">
        <f t="shared" si="9"/>
        <v>5000000</v>
      </c>
      <c r="U6" s="1">
        <f t="shared" si="9"/>
        <v>18</v>
      </c>
      <c r="V6" s="1">
        <f t="shared" si="9"/>
        <v>2</v>
      </c>
      <c r="W6" s="1" t="str">
        <f t="shared" si="9"/>
        <v>dijual_dibeli_disimpan</v>
      </c>
      <c r="X6" s="1">
        <f t="shared" si="9"/>
        <v>3</v>
      </c>
      <c r="Y6" s="1">
        <f t="shared" si="9"/>
        <v>4</v>
      </c>
      <c r="AA6" s="1">
        <f>'Received Goods'!X3</f>
        <v>0</v>
      </c>
      <c r="AB6" s="1">
        <f>'Received Goods'!Y3</f>
        <v>0</v>
      </c>
    </row>
    <row r="7" spans="1:28" s="212" customFormat="1" x14ac:dyDescent="0.25">
      <c r="A7" s="212">
        <v>6</v>
      </c>
      <c r="B7" s="148" t="str">
        <f>'Purchase Delivery'!C4</f>
        <v>26.2</v>
      </c>
      <c r="C7" s="212" t="str">
        <f>'Purchase Delivery'!L4</f>
        <v>26.2</v>
      </c>
      <c r="D7" s="6">
        <f>'Purchase Delivery'!P4</f>
        <v>43256</v>
      </c>
      <c r="E7" s="212">
        <f>'Purchase Delivery'!S4</f>
        <v>1</v>
      </c>
      <c r="F7" s="212" t="str">
        <f>'Purchase Delivery'!T4</f>
        <v>cempaka putih</v>
      </c>
      <c r="G7" s="212">
        <f>produk!A5</f>
        <v>3</v>
      </c>
      <c r="H7" s="212" t="str">
        <f>produk!E5</f>
        <v>casing iphone</v>
      </c>
      <c r="I7" s="212" t="str">
        <f>produk!F5</f>
        <v>sin-csg-iphone</v>
      </c>
      <c r="J7" s="212" t="str">
        <f>produk!I5</f>
        <v>hardcase-iphone6</v>
      </c>
      <c r="K7" s="212" t="str">
        <f>produk!S5</f>
        <v>piece</v>
      </c>
      <c r="M7" s="41">
        <v>60000</v>
      </c>
      <c r="N7" s="212">
        <v>50</v>
      </c>
      <c r="P7" s="41">
        <f>M7*N7</f>
        <v>3000000</v>
      </c>
      <c r="Q7" s="212">
        <f>produk!AO5</f>
        <v>1</v>
      </c>
      <c r="R7" s="212" t="str">
        <f>'data pajak'!B3</f>
        <v>PPn</v>
      </c>
      <c r="S7" s="3">
        <f>'data pajak'!D3</f>
        <v>0.1</v>
      </c>
      <c r="T7" s="41">
        <f>P7*S7</f>
        <v>300000</v>
      </c>
      <c r="U7" s="212">
        <f>'data pajak'!E3</f>
        <v>18</v>
      </c>
      <c r="V7" s="212">
        <f>produk!AD5</f>
        <v>2</v>
      </c>
      <c r="W7" s="212" t="str">
        <f>'type produk'!B4</f>
        <v>dijual_dibeli_disimpan</v>
      </c>
      <c r="X7" s="212">
        <f>'type produk'!K4</f>
        <v>3</v>
      </c>
      <c r="Y7" s="212">
        <f>'type produk'!M4</f>
        <v>4</v>
      </c>
      <c r="AA7" s="212">
        <f>'Purchase Delivery'!V4</f>
        <v>0</v>
      </c>
      <c r="AB7" s="212">
        <f>'Purchase Delivery'!W4</f>
        <v>0</v>
      </c>
    </row>
    <row r="8" spans="1:28" s="212" customFormat="1" x14ac:dyDescent="0.25">
      <c r="A8" s="212">
        <v>7</v>
      </c>
      <c r="B8" s="148" t="str">
        <f>'Received Goods'!C8</f>
        <v>8.8</v>
      </c>
      <c r="C8" s="212" t="str">
        <f>'Received Goods'!N8</f>
        <v>26.2</v>
      </c>
      <c r="D8" s="6">
        <f>'Received Goods'!R8</f>
        <v>43257</v>
      </c>
      <c r="E8" s="212">
        <f>'Received Goods'!U8</f>
        <v>1</v>
      </c>
      <c r="F8" s="212" t="str">
        <f>'Received Goods'!V8</f>
        <v>cempaka putih</v>
      </c>
      <c r="G8" s="212">
        <f>G7</f>
        <v>3</v>
      </c>
      <c r="H8" s="212" t="str">
        <f>H7</f>
        <v>casing iphone</v>
      </c>
      <c r="I8" s="212" t="str">
        <f>I7</f>
        <v>sin-csg-iphone</v>
      </c>
      <c r="J8" s="212" t="str">
        <f>J7</f>
        <v>hardcase-iphone6</v>
      </c>
      <c r="K8" s="212" t="str">
        <f>K7</f>
        <v>piece</v>
      </c>
      <c r="M8" s="41">
        <f>M7</f>
        <v>60000</v>
      </c>
      <c r="N8" s="212">
        <f>N7</f>
        <v>50</v>
      </c>
      <c r="P8" s="41">
        <f t="shared" ref="P8:Y8" si="10">P7</f>
        <v>3000000</v>
      </c>
      <c r="Q8" s="212">
        <f t="shared" si="10"/>
        <v>1</v>
      </c>
      <c r="R8" s="212" t="str">
        <f t="shared" si="10"/>
        <v>PPn</v>
      </c>
      <c r="S8" s="212">
        <f t="shared" si="10"/>
        <v>0.1</v>
      </c>
      <c r="T8" s="212">
        <f t="shared" si="10"/>
        <v>300000</v>
      </c>
      <c r="U8" s="212">
        <f t="shared" si="10"/>
        <v>18</v>
      </c>
      <c r="V8" s="212">
        <f t="shared" si="10"/>
        <v>2</v>
      </c>
      <c r="W8" s="212" t="str">
        <f t="shared" si="10"/>
        <v>dijual_dibeli_disimpan</v>
      </c>
      <c r="X8" s="212">
        <f t="shared" si="10"/>
        <v>3</v>
      </c>
      <c r="Y8" s="212">
        <f t="shared" si="10"/>
        <v>4</v>
      </c>
      <c r="AA8" s="212">
        <f>'Received Goods'!X8</f>
        <v>0</v>
      </c>
      <c r="AB8" s="212">
        <f>'Received Goods'!Y8</f>
        <v>0</v>
      </c>
    </row>
    <row r="9" spans="1:28" x14ac:dyDescent="0.25">
      <c r="A9" s="145">
        <v>8</v>
      </c>
      <c r="B9" s="148" t="str">
        <f>'Received Goods'!C4</f>
        <v>8.2</v>
      </c>
      <c r="C9" s="1" t="str">
        <f>'Received Goods'!N4</f>
        <v>8.2</v>
      </c>
      <c r="D9" s="6">
        <f>'Received Goods'!R4</f>
        <v>43257</v>
      </c>
      <c r="E9" s="1">
        <f>'Received Goods'!U4</f>
        <v>2</v>
      </c>
      <c r="F9" s="1" t="str">
        <f>'Received Goods'!V4</f>
        <v>komplek timah</v>
      </c>
      <c r="G9" s="1">
        <f>produk!A5</f>
        <v>3</v>
      </c>
      <c r="H9" s="1" t="str">
        <f>produk!E5</f>
        <v>casing iphone</v>
      </c>
      <c r="I9" s="1" t="str">
        <f>produk!F5</f>
        <v>sin-csg-iphone</v>
      </c>
      <c r="J9" s="1" t="str">
        <f>produk!I5</f>
        <v>hardcase-iphone6</v>
      </c>
      <c r="K9" s="1" t="str">
        <f>produk!S5</f>
        <v>piece</v>
      </c>
      <c r="M9" s="41">
        <v>50000</v>
      </c>
      <c r="N9" s="1">
        <v>100</v>
      </c>
      <c r="P9" s="41">
        <f t="shared" ref="P9:P15" si="11">M9*N9</f>
        <v>5000000</v>
      </c>
      <c r="Q9" s="1">
        <f>produk!AO5</f>
        <v>1</v>
      </c>
      <c r="R9" s="1" t="str">
        <f>'data pajak'!B3</f>
        <v>PPn</v>
      </c>
      <c r="S9" s="3">
        <f>'data pajak'!D3</f>
        <v>0.1</v>
      </c>
      <c r="T9" s="41">
        <f t="shared" ref="T9:T15" si="12">P9*S9</f>
        <v>500000</v>
      </c>
      <c r="U9" s="1">
        <f>'data pajak'!E3</f>
        <v>18</v>
      </c>
      <c r="V9" s="1">
        <f>produk!AD5</f>
        <v>2</v>
      </c>
      <c r="W9" s="1" t="str">
        <f>'type produk'!B4</f>
        <v>dijual_dibeli_disimpan</v>
      </c>
      <c r="X9" s="1">
        <f>'type produk'!K4</f>
        <v>3</v>
      </c>
      <c r="Y9" s="1">
        <f>'type produk'!M4</f>
        <v>4</v>
      </c>
      <c r="AA9" s="1">
        <f>'Received Goods'!X4</f>
        <v>0</v>
      </c>
      <c r="AB9" s="1">
        <f>'Received Goods'!Y4</f>
        <v>0</v>
      </c>
    </row>
    <row r="10" spans="1:28" x14ac:dyDescent="0.25">
      <c r="A10" s="145">
        <v>9</v>
      </c>
      <c r="B10" s="148" t="str">
        <f>'Received Goods'!C5</f>
        <v>8.3</v>
      </c>
      <c r="C10" s="1" t="str">
        <f>'Received Goods'!N5</f>
        <v>8.3</v>
      </c>
      <c r="D10" s="6">
        <f>'Received Goods'!R5</f>
        <v>43257</v>
      </c>
      <c r="E10" s="1">
        <f>'Received Goods'!U5</f>
        <v>1</v>
      </c>
      <c r="F10" s="1" t="str">
        <f>'Received Goods'!V5</f>
        <v>cempaka putih</v>
      </c>
      <c r="G10" s="1">
        <f>produk!A3</f>
        <v>1</v>
      </c>
      <c r="H10" s="1" t="str">
        <f>produk!E3</f>
        <v>iphone</v>
      </c>
      <c r="I10" s="1" t="str">
        <f>produk!F3</f>
        <v>sin-iphone6-16Gb</v>
      </c>
      <c r="J10" s="1" t="str">
        <f>produk!I3</f>
        <v>iphone6-16gb-putih</v>
      </c>
      <c r="K10" s="1" t="str">
        <f>produk!S3</f>
        <v>unit</v>
      </c>
      <c r="M10" s="41">
        <v>2500000</v>
      </c>
      <c r="N10" s="1">
        <v>25</v>
      </c>
      <c r="P10" s="41">
        <f t="shared" si="11"/>
        <v>62500000</v>
      </c>
      <c r="Q10" s="1">
        <f>produk!AO3</f>
        <v>1</v>
      </c>
      <c r="R10" s="1" t="str">
        <f>'data pajak'!B3</f>
        <v>PPn</v>
      </c>
      <c r="S10" s="3">
        <f>'data pajak'!D3</f>
        <v>0.1</v>
      </c>
      <c r="T10" s="41">
        <f t="shared" si="12"/>
        <v>6250000</v>
      </c>
      <c r="U10" s="1">
        <f>'data pajak'!E3</f>
        <v>18</v>
      </c>
      <c r="V10" s="1">
        <f>produk!AD3</f>
        <v>2</v>
      </c>
      <c r="W10" s="1" t="str">
        <f>'type produk'!B4</f>
        <v>dijual_dibeli_disimpan</v>
      </c>
      <c r="X10" s="1">
        <f>'type produk'!K4</f>
        <v>3</v>
      </c>
      <c r="Y10" s="1">
        <f>'type produk'!M4</f>
        <v>4</v>
      </c>
      <c r="AA10" s="1">
        <f>'Received Goods'!X5</f>
        <v>0</v>
      </c>
      <c r="AB10" s="1">
        <f>'Received Goods'!Y5</f>
        <v>0</v>
      </c>
    </row>
    <row r="11" spans="1:28" x14ac:dyDescent="0.25">
      <c r="A11" s="145">
        <v>10</v>
      </c>
      <c r="B11" s="148" t="str">
        <f>'Received Goods'!C6</f>
        <v>8.4</v>
      </c>
      <c r="C11" s="1" t="str">
        <f>'Received Goods'!N6</f>
        <v>8.4</v>
      </c>
      <c r="D11" s="6">
        <f>'Received Goods'!R6</f>
        <v>43258</v>
      </c>
      <c r="E11" s="1">
        <f>'Received Goods'!U6</f>
        <v>1</v>
      </c>
      <c r="F11" s="1" t="str">
        <f>'Received Goods'!V6</f>
        <v>cempaka putih</v>
      </c>
      <c r="G11" s="1">
        <f>produk!A3</f>
        <v>1</v>
      </c>
      <c r="H11" s="1" t="str">
        <f>produk!E3</f>
        <v>iphone</v>
      </c>
      <c r="I11" s="1" t="str">
        <f>produk!F3</f>
        <v>sin-iphone6-16Gb</v>
      </c>
      <c r="J11" s="1" t="str">
        <f>produk!I3</f>
        <v>iphone6-16gb-putih</v>
      </c>
      <c r="K11" s="1" t="str">
        <f>produk!S3</f>
        <v>unit</v>
      </c>
      <c r="M11" s="41">
        <v>2400000</v>
      </c>
      <c r="N11" s="1">
        <v>50</v>
      </c>
      <c r="P11" s="41">
        <f t="shared" si="11"/>
        <v>120000000</v>
      </c>
      <c r="Q11" s="1">
        <f>produk!AO3</f>
        <v>1</v>
      </c>
      <c r="R11" s="1" t="str">
        <f>'data pajak'!B3</f>
        <v>PPn</v>
      </c>
      <c r="S11" s="3">
        <f>'data pajak'!D3</f>
        <v>0.1</v>
      </c>
      <c r="T11" s="41">
        <f t="shared" si="12"/>
        <v>12000000</v>
      </c>
      <c r="U11" s="1">
        <f>'data pajak'!E3</f>
        <v>18</v>
      </c>
      <c r="V11" s="1">
        <f>produk!AD3</f>
        <v>2</v>
      </c>
      <c r="W11" s="1" t="str">
        <f>'type produk'!B4</f>
        <v>dijual_dibeli_disimpan</v>
      </c>
      <c r="X11" s="1">
        <f>'type produk'!K4</f>
        <v>3</v>
      </c>
      <c r="Y11" s="1">
        <f>'type produk'!M4</f>
        <v>4</v>
      </c>
      <c r="AA11" s="1">
        <f>'Received Goods'!X6</f>
        <v>0</v>
      </c>
      <c r="AB11" s="1">
        <f>'Received Goods'!Y6</f>
        <v>0</v>
      </c>
    </row>
    <row r="12" spans="1:28" s="148" customFormat="1" x14ac:dyDescent="0.25">
      <c r="A12" s="148">
        <v>13</v>
      </c>
      <c r="B12" s="148" t="str">
        <f>'Received Goods'!C9</f>
        <v>8.9</v>
      </c>
      <c r="C12" s="224" t="str">
        <f>'Received Goods'!N9</f>
        <v>8.9</v>
      </c>
      <c r="D12" s="6">
        <f>'Received Goods'!R9</f>
        <v>43261</v>
      </c>
      <c r="E12" s="224">
        <f>'Received Goods'!U9</f>
        <v>1</v>
      </c>
      <c r="F12" s="224" t="str">
        <f>'Received Goods'!V9</f>
        <v>cempaka putih</v>
      </c>
      <c r="G12" s="148">
        <f>produk!A3</f>
        <v>1</v>
      </c>
      <c r="H12" s="148" t="str">
        <f>produk!E3</f>
        <v>iphone</v>
      </c>
      <c r="I12" s="148" t="str">
        <f>produk!F3</f>
        <v>sin-iphone6-16Gb</v>
      </c>
      <c r="J12" s="148" t="str">
        <f>produk!I3</f>
        <v>iphone6-16gb-putih</v>
      </c>
      <c r="K12" s="148" t="str">
        <f>produk!S3</f>
        <v>unit</v>
      </c>
      <c r="M12" s="167">
        <v>2300000</v>
      </c>
      <c r="N12" s="148">
        <v>10</v>
      </c>
      <c r="P12" s="167">
        <f t="shared" si="11"/>
        <v>23000000</v>
      </c>
      <c r="Q12" s="148">
        <f>produk!AO3</f>
        <v>1</v>
      </c>
      <c r="R12" s="148" t="str">
        <f>'data pajak'!B3</f>
        <v>PPn</v>
      </c>
      <c r="S12" s="213">
        <f>'data pajak'!D3</f>
        <v>0.1</v>
      </c>
      <c r="T12" s="41">
        <f t="shared" si="12"/>
        <v>2300000</v>
      </c>
      <c r="U12" s="148">
        <f>'data pajak'!E3</f>
        <v>18</v>
      </c>
      <c r="V12" s="148">
        <f>produk!AD3</f>
        <v>2</v>
      </c>
      <c r="W12" s="148" t="str">
        <f>'type produk'!B4</f>
        <v>dijual_dibeli_disimpan</v>
      </c>
      <c r="X12" s="148">
        <f>'type produk'!K4</f>
        <v>3</v>
      </c>
      <c r="Y12" s="148">
        <f>'type produk'!M4</f>
        <v>4</v>
      </c>
      <c r="AA12" s="224">
        <f>'Received Goods'!X9</f>
        <v>0</v>
      </c>
      <c r="AB12" s="224">
        <f>'Received Goods'!Y9</f>
        <v>0</v>
      </c>
    </row>
    <row r="13" spans="1:28" s="148" customFormat="1" x14ac:dyDescent="0.25">
      <c r="A13" s="148">
        <v>14</v>
      </c>
      <c r="B13" s="148" t="str">
        <f>'Received Goods'!C10</f>
        <v>8.10</v>
      </c>
      <c r="C13" s="224" t="str">
        <f>'Received Goods'!N10</f>
        <v>8.10</v>
      </c>
      <c r="D13" s="6">
        <f>'Received Goods'!R10</f>
        <v>43262</v>
      </c>
      <c r="E13" s="224">
        <f>'Received Goods'!U10</f>
        <v>1</v>
      </c>
      <c r="F13" s="224" t="str">
        <f>'Received Goods'!V10</f>
        <v>cempaka putih</v>
      </c>
      <c r="G13" s="148">
        <f>produk!A3</f>
        <v>1</v>
      </c>
      <c r="H13" s="148" t="str">
        <f>produk!E3</f>
        <v>iphone</v>
      </c>
      <c r="I13" s="148" t="str">
        <f>produk!F3</f>
        <v>sin-iphone6-16Gb</v>
      </c>
      <c r="J13" s="148" t="str">
        <f>produk!I3</f>
        <v>iphone6-16gb-putih</v>
      </c>
      <c r="K13" s="148" t="str">
        <f>produk!S3</f>
        <v>unit</v>
      </c>
      <c r="M13" s="167">
        <v>2350000</v>
      </c>
      <c r="N13" s="148">
        <v>10</v>
      </c>
      <c r="P13" s="167">
        <f t="shared" si="11"/>
        <v>23500000</v>
      </c>
      <c r="Q13" s="148">
        <f>produk!AO3</f>
        <v>1</v>
      </c>
      <c r="R13" s="148" t="str">
        <f>'data pajak'!B3</f>
        <v>PPn</v>
      </c>
      <c r="S13" s="213">
        <f>'data pajak'!D3</f>
        <v>0.1</v>
      </c>
      <c r="T13" s="41">
        <f t="shared" si="12"/>
        <v>2350000</v>
      </c>
      <c r="U13" s="148">
        <f>'data pajak'!E3</f>
        <v>18</v>
      </c>
      <c r="V13" s="148">
        <f>produk!AD3</f>
        <v>2</v>
      </c>
      <c r="W13" s="148" t="str">
        <f>'type produk'!B4</f>
        <v>dijual_dibeli_disimpan</v>
      </c>
      <c r="X13" s="148">
        <f>'type produk'!K4</f>
        <v>3</v>
      </c>
      <c r="Y13" s="148">
        <f>'type produk'!M4</f>
        <v>4</v>
      </c>
      <c r="AA13" s="224">
        <f>'Received Goods'!X10</f>
        <v>0</v>
      </c>
      <c r="AB13" s="224">
        <f>'Received Goods'!Y10</f>
        <v>0</v>
      </c>
    </row>
    <row r="14" spans="1:28" s="207" customFormat="1" x14ac:dyDescent="0.25">
      <c r="A14" s="145">
        <v>11</v>
      </c>
      <c r="B14" s="148" t="str">
        <f>'Received Goods'!C7</f>
        <v>8.7</v>
      </c>
      <c r="C14" s="207" t="str">
        <f>'Received Goods'!N7</f>
        <v>17.2</v>
      </c>
      <c r="D14" s="6">
        <f>'Received Goods'!R7</f>
        <v>43260</v>
      </c>
      <c r="E14" s="212">
        <f>'Received Goods'!U7</f>
        <v>2</v>
      </c>
      <c r="F14" s="212" t="str">
        <f>'Received Goods'!V7</f>
        <v>komplek timah</v>
      </c>
      <c r="G14" s="207">
        <f>produk!A5</f>
        <v>3</v>
      </c>
      <c r="H14" s="207" t="str">
        <f>produk!E5</f>
        <v>casing iphone</v>
      </c>
      <c r="I14" s="207" t="str">
        <f>produk!F5</f>
        <v>sin-csg-iphone</v>
      </c>
      <c r="J14" s="207" t="str">
        <f>produk!I5</f>
        <v>hardcase-iphone6</v>
      </c>
      <c r="K14" s="207" t="str">
        <f>produk!S5</f>
        <v>piece</v>
      </c>
      <c r="M14" s="41">
        <v>55000</v>
      </c>
      <c r="N14" s="207">
        <v>10</v>
      </c>
      <c r="P14" s="41">
        <f t="shared" si="11"/>
        <v>550000</v>
      </c>
      <c r="Q14" s="207">
        <f>produk!AO5</f>
        <v>1</v>
      </c>
      <c r="R14" s="207" t="str">
        <f>'data pajak'!B3</f>
        <v>PPn</v>
      </c>
      <c r="S14" s="3">
        <f>'data pajak'!D3</f>
        <v>0.1</v>
      </c>
      <c r="T14" s="41">
        <f t="shared" si="12"/>
        <v>55000</v>
      </c>
      <c r="U14" s="207">
        <f>'data pajak'!E3</f>
        <v>18</v>
      </c>
      <c r="V14" s="207">
        <f>produk!AD5</f>
        <v>2</v>
      </c>
      <c r="W14" s="207" t="str">
        <f>'type produk'!B4</f>
        <v>dijual_dibeli_disimpan</v>
      </c>
      <c r="X14" s="207">
        <f>'type produk'!K4</f>
        <v>3</v>
      </c>
      <c r="Y14" s="207">
        <f>'type produk'!M4</f>
        <v>4</v>
      </c>
      <c r="AA14" s="212">
        <f>'Received Goods'!X7</f>
        <v>0</v>
      </c>
      <c r="AB14" s="212">
        <f>'Received Goods'!Y7</f>
        <v>0</v>
      </c>
    </row>
    <row r="15" spans="1:28" x14ac:dyDescent="0.25">
      <c r="A15" s="145">
        <v>12</v>
      </c>
      <c r="B15" s="148" t="str">
        <f>'Purchase Return'!C3</f>
        <v>21.1</v>
      </c>
      <c r="C15" s="1" t="str">
        <f>C11</f>
        <v>8.4</v>
      </c>
      <c r="D15" s="6">
        <f>'Purchase Return'!P3</f>
        <v>43260</v>
      </c>
      <c r="E15" s="1">
        <f>'Purchase Return'!S3</f>
        <v>1</v>
      </c>
      <c r="F15" s="1" t="str">
        <f>'Purchase Return'!T3</f>
        <v>cempaka putih</v>
      </c>
      <c r="G15" s="1">
        <f>G11</f>
        <v>1</v>
      </c>
      <c r="H15" s="1" t="str">
        <f>produk!E3</f>
        <v>iphone</v>
      </c>
      <c r="I15" s="1" t="str">
        <f>produk!F3</f>
        <v>sin-iphone6-16Gb</v>
      </c>
      <c r="J15" s="1" t="str">
        <f>produk!F3</f>
        <v>sin-iphone6-16Gb</v>
      </c>
      <c r="K15" s="1" t="str">
        <f>produk!S3</f>
        <v>unit</v>
      </c>
      <c r="M15" s="41">
        <f>M11</f>
        <v>2400000</v>
      </c>
      <c r="N15" s="1">
        <v>10</v>
      </c>
      <c r="O15" s="1">
        <f>N11-N15</f>
        <v>40</v>
      </c>
      <c r="P15" s="41">
        <f t="shared" si="11"/>
        <v>24000000</v>
      </c>
      <c r="Q15" s="1">
        <f>Q11</f>
        <v>1</v>
      </c>
      <c r="R15" s="1" t="str">
        <f>'data pajak'!B3</f>
        <v>PPn</v>
      </c>
      <c r="S15" s="3">
        <f>'data pajak'!D3</f>
        <v>0.1</v>
      </c>
      <c r="T15" s="41">
        <f t="shared" si="12"/>
        <v>2400000</v>
      </c>
      <c r="U15" s="1">
        <f>'data pajak'!E3</f>
        <v>18</v>
      </c>
      <c r="V15" s="1">
        <f>produk!AD3</f>
        <v>2</v>
      </c>
      <c r="W15" s="1" t="str">
        <f>'type produk'!B4</f>
        <v>dijual_dibeli_disimpan</v>
      </c>
      <c r="X15" s="1">
        <f>'type produk'!K4</f>
        <v>3</v>
      </c>
      <c r="Y15" s="1">
        <f>'type produk'!M4</f>
        <v>4</v>
      </c>
      <c r="AA15" s="1">
        <f>'Purchase Return'!V3</f>
        <v>0</v>
      </c>
      <c r="AB15" s="1">
        <f>'Purchase Return'!W3</f>
        <v>0</v>
      </c>
    </row>
    <row r="16" spans="1:28" x14ac:dyDescent="0.25">
      <c r="A16" s="212"/>
      <c r="B16" s="148"/>
    </row>
    <row r="17" spans="2:2" x14ac:dyDescent="0.25">
      <c r="B17" s="1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U2"/>
  <sheetViews>
    <sheetView zoomScaleNormal="100" workbookViewId="0">
      <selection activeCell="C3" sqref="C3"/>
    </sheetView>
  </sheetViews>
  <sheetFormatPr defaultColWidth="9.140625" defaultRowHeight="15" x14ac:dyDescent="0.25"/>
  <cols>
    <col min="1" max="1" width="13.42578125" style="1" bestFit="1" customWidth="1"/>
    <col min="2" max="2" width="13.42578125" style="287" customWidth="1"/>
    <col min="3" max="3" width="18.85546875" style="1" bestFit="1" customWidth="1"/>
    <col min="4" max="4" width="10.7109375" style="1" bestFit="1" customWidth="1"/>
    <col min="5" max="5" width="8.85546875" style="1" bestFit="1" customWidth="1"/>
    <col min="6" max="6" width="14.42578125" style="1" bestFit="1" customWidth="1"/>
    <col min="7" max="7" width="10" style="1" bestFit="1" customWidth="1"/>
    <col min="8" max="8" width="14.140625" style="1" bestFit="1" customWidth="1"/>
    <col min="9" max="9" width="12.140625" style="1" bestFit="1" customWidth="1"/>
    <col min="10" max="10" width="11.42578125" style="1" bestFit="1" customWidth="1"/>
    <col min="11" max="11" width="10.28515625" style="41" bestFit="1" customWidth="1"/>
    <col min="12" max="12" width="11.28515625" style="1" bestFit="1" customWidth="1"/>
    <col min="13" max="13" width="15.42578125" style="41" bestFit="1" customWidth="1"/>
    <col min="14" max="14" width="8.42578125" style="1" bestFit="1" customWidth="1"/>
    <col min="15" max="15" width="5.7109375" style="1" bestFit="1" customWidth="1"/>
    <col min="16" max="16" width="10.85546875" style="1" bestFit="1" customWidth="1"/>
    <col min="17" max="17" width="15.42578125" style="41" bestFit="1" customWidth="1"/>
    <col min="18" max="18" width="18.42578125" style="1" bestFit="1" customWidth="1"/>
    <col min="19" max="19" width="12.42578125" style="1" bestFit="1" customWidth="1"/>
    <col min="20" max="20" width="14.42578125" style="1" bestFit="1" customWidth="1"/>
    <col min="21" max="21" width="19.42578125" style="1" bestFit="1" customWidth="1"/>
    <col min="22" max="30" width="15.140625" style="1" customWidth="1"/>
    <col min="31" max="16384" width="9.140625" style="1"/>
  </cols>
  <sheetData>
    <row r="1" spans="1:21" x14ac:dyDescent="0.25">
      <c r="A1" s="1" t="s">
        <v>144</v>
      </c>
      <c r="B1" s="287" t="s">
        <v>1685</v>
      </c>
      <c r="C1" s="1" t="s">
        <v>655</v>
      </c>
      <c r="D1" s="6" t="s">
        <v>481</v>
      </c>
      <c r="E1" s="1" t="s">
        <v>24</v>
      </c>
      <c r="F1" s="1" t="s">
        <v>501</v>
      </c>
      <c r="G1" s="1" t="s">
        <v>78</v>
      </c>
      <c r="H1" s="1" t="s">
        <v>88</v>
      </c>
      <c r="I1" s="1" t="s">
        <v>459</v>
      </c>
      <c r="J1" s="1" t="s">
        <v>145</v>
      </c>
      <c r="K1" s="41" t="s">
        <v>146</v>
      </c>
      <c r="L1" s="1" t="s">
        <v>147</v>
      </c>
      <c r="M1" s="41" t="s">
        <v>460</v>
      </c>
      <c r="N1" s="1" t="s">
        <v>82</v>
      </c>
      <c r="O1" s="1" t="s">
        <v>469</v>
      </c>
      <c r="P1" s="1" t="s">
        <v>468</v>
      </c>
      <c r="Q1" s="41" t="s">
        <v>30</v>
      </c>
      <c r="R1" s="1" t="s">
        <v>72</v>
      </c>
      <c r="S1" s="1" t="s">
        <v>109</v>
      </c>
      <c r="T1" s="1" t="s">
        <v>461</v>
      </c>
      <c r="U1" s="1" t="s">
        <v>462</v>
      </c>
    </row>
    <row r="2" spans="1:21" x14ac:dyDescent="0.25">
      <c r="A2" s="1">
        <v>1</v>
      </c>
      <c r="B2" s="1" t="str">
        <f>'Received Goods'!C4</f>
        <v>8.2</v>
      </c>
      <c r="C2" s="287" t="str">
        <f>'Received Goods'!N4</f>
        <v>8.2</v>
      </c>
      <c r="D2" s="6">
        <f>'Received Goods'!R4</f>
        <v>43257</v>
      </c>
      <c r="E2" s="1">
        <f>'Received Goods'!U4</f>
        <v>2</v>
      </c>
      <c r="F2" s="1" t="str">
        <f>'Received Goods'!V4</f>
        <v>komplek timah</v>
      </c>
      <c r="G2" s="1">
        <f>produk!A6</f>
        <v>4</v>
      </c>
      <c r="H2" s="1" t="str">
        <f>produk!F6</f>
        <v>sin-dlv-iphone</v>
      </c>
      <c r="I2" s="1" t="str">
        <f>produk!I6</f>
        <v>pengantaran</v>
      </c>
      <c r="J2" s="1">
        <v>1</v>
      </c>
      <c r="K2" s="41">
        <f>produk!L6</f>
        <v>500000</v>
      </c>
      <c r="L2" s="1">
        <v>0</v>
      </c>
      <c r="M2" s="41">
        <f>J2*K2</f>
        <v>500000</v>
      </c>
      <c r="N2" s="1">
        <f>produk!AO6</f>
        <v>2</v>
      </c>
      <c r="O2" s="1" t="str">
        <f>produk!AP6</f>
        <v>pph</v>
      </c>
      <c r="P2" s="3">
        <f>produk!AQ6</f>
        <v>0.02</v>
      </c>
      <c r="Q2" s="41">
        <f>K2*P2</f>
        <v>10000</v>
      </c>
      <c r="R2" s="1">
        <f>produk!AR6</f>
        <v>21</v>
      </c>
      <c r="S2" s="1">
        <f>produk!AL6</f>
        <v>37</v>
      </c>
      <c r="T2" s="1">
        <f>'Received Goods'!X4</f>
        <v>0</v>
      </c>
      <c r="U2" s="1">
        <f>'Received Goods'!Y4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M10"/>
  <sheetViews>
    <sheetView zoomScaleNormal="100" workbookViewId="0">
      <selection activeCell="I9" sqref="I9"/>
    </sheetView>
  </sheetViews>
  <sheetFormatPr defaultColWidth="9.140625" defaultRowHeight="15" x14ac:dyDescent="0.25"/>
  <cols>
    <col min="1" max="1" width="16.140625" style="1" customWidth="1"/>
    <col min="2" max="2" width="11.42578125" style="287" bestFit="1" customWidth="1"/>
    <col min="3" max="3" width="18.85546875" style="1" bestFit="1" customWidth="1"/>
    <col min="4" max="4" width="7.42578125" style="6" bestFit="1" customWidth="1"/>
    <col min="5" max="5" width="8.85546875" style="1" bestFit="1" customWidth="1"/>
    <col min="6" max="6" width="12" style="1" bestFit="1" customWidth="1"/>
    <col min="7" max="7" width="13.42578125" style="1" bestFit="1" customWidth="1"/>
    <col min="8" max="8" width="14.7109375" style="1" bestFit="1" customWidth="1"/>
    <col min="9" max="9" width="13.42578125" style="1" bestFit="1" customWidth="1"/>
    <col min="10" max="10" width="14.42578125" style="1" bestFit="1" customWidth="1"/>
    <col min="11" max="11" width="12.42578125" style="1" bestFit="1" customWidth="1"/>
    <col min="12" max="12" width="17.42578125" style="1" bestFit="1" customWidth="1"/>
    <col min="13" max="13" width="22.42578125" style="1" bestFit="1" customWidth="1"/>
    <col min="14" max="21" width="16.140625" style="1" customWidth="1"/>
    <col min="22" max="16384" width="9.140625" style="1"/>
  </cols>
  <sheetData>
    <row r="1" spans="1:13" ht="14.25" customHeight="1" x14ac:dyDescent="0.25">
      <c r="A1" s="1" t="s">
        <v>149</v>
      </c>
      <c r="B1" s="287" t="s">
        <v>1685</v>
      </c>
      <c r="C1" s="1" t="s">
        <v>655</v>
      </c>
      <c r="D1" s="6" t="s">
        <v>481</v>
      </c>
      <c r="E1" s="1" t="s">
        <v>24</v>
      </c>
      <c r="F1" s="1" t="s">
        <v>501</v>
      </c>
      <c r="G1" s="1" t="s">
        <v>150</v>
      </c>
      <c r="H1" s="1" t="s">
        <v>151</v>
      </c>
      <c r="I1" s="1" t="s">
        <v>455</v>
      </c>
      <c r="J1" s="1" t="s">
        <v>456</v>
      </c>
      <c r="K1" s="1" t="s">
        <v>31</v>
      </c>
      <c r="L1" s="1" t="s">
        <v>457</v>
      </c>
      <c r="M1" s="1" t="s">
        <v>458</v>
      </c>
    </row>
    <row r="10" spans="1:13" x14ac:dyDescent="0.25">
      <c r="D1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>
    <tabColor rgb="FF00B050"/>
    <pageSetUpPr autoPageBreaks="0"/>
  </sheetPr>
  <dimension ref="A1:AI51"/>
  <sheetViews>
    <sheetView topLeftCell="I1" zoomScale="85" zoomScaleNormal="85" workbookViewId="0">
      <pane ySplit="2" topLeftCell="A3" activePane="bottomLeft" state="frozen"/>
      <selection activeCell="D96" sqref="D96"/>
      <selection pane="bottomLeft" activeCell="N8" sqref="N8"/>
    </sheetView>
  </sheetViews>
  <sheetFormatPr defaultColWidth="23.85546875" defaultRowHeight="15" x14ac:dyDescent="0.25"/>
  <cols>
    <col min="1" max="1" width="37.7109375" style="1" bestFit="1" customWidth="1"/>
    <col min="2" max="2" width="36.7109375" style="1" customWidth="1"/>
    <col min="3" max="3" width="23.140625" style="1" bestFit="1" customWidth="1"/>
    <col min="4" max="4" width="35.42578125" style="1" bestFit="1" customWidth="1"/>
    <col min="5" max="5" width="15" style="41" bestFit="1" customWidth="1"/>
    <col min="6" max="6" width="15.85546875" style="41" bestFit="1" customWidth="1"/>
    <col min="7" max="7" width="37.7109375" style="1" bestFit="1" customWidth="1"/>
    <col min="8" max="8" width="18.7109375" style="1" bestFit="1" customWidth="1"/>
    <col min="9" max="9" width="15.7109375" style="1" bestFit="1" customWidth="1"/>
    <col min="10" max="10" width="14.42578125" style="1" bestFit="1" customWidth="1"/>
    <col min="11" max="11" width="18.28515625" style="1" bestFit="1" customWidth="1"/>
    <col min="12" max="12" width="14.85546875" style="1" bestFit="1" customWidth="1"/>
    <col min="13" max="13" width="27.42578125" style="1" bestFit="1" customWidth="1"/>
    <col min="14" max="14" width="15" style="1" bestFit="1" customWidth="1"/>
    <col min="15" max="15" width="12.140625" style="1" bestFit="1" customWidth="1"/>
    <col min="16" max="16" width="11.140625" style="1" bestFit="1" customWidth="1"/>
    <col min="17" max="17" width="26.7109375" style="1" bestFit="1" customWidth="1"/>
    <col min="18" max="18" width="23.42578125" style="1" bestFit="1" customWidth="1"/>
    <col min="19" max="19" width="18.28515625" style="6" bestFit="1" customWidth="1"/>
    <col min="20" max="20" width="10.42578125" style="6" bestFit="1" customWidth="1"/>
    <col min="21" max="21" width="37.85546875" style="1" bestFit="1" customWidth="1"/>
    <col min="22" max="22" width="15.42578125" style="1" bestFit="1" customWidth="1"/>
    <col min="23" max="23" width="13.140625" style="1" bestFit="1" customWidth="1"/>
    <col min="24" max="24" width="12" style="1" bestFit="1" customWidth="1"/>
    <col min="25" max="25" width="17.85546875" style="1" bestFit="1" customWidth="1"/>
    <col min="26" max="26" width="10.42578125" style="1" bestFit="1" customWidth="1"/>
    <col min="27" max="27" width="15.7109375" style="1" bestFit="1" customWidth="1"/>
    <col min="28" max="28" width="22.42578125" style="1" bestFit="1" customWidth="1"/>
    <col min="29" max="29" width="23.140625" style="1" bestFit="1" customWidth="1"/>
    <col min="30" max="30" width="35.42578125" style="1" bestFit="1" customWidth="1"/>
    <col min="31" max="31" width="15.85546875" style="41" bestFit="1" customWidth="1"/>
    <col min="32" max="32" width="15" style="41" bestFit="1" customWidth="1"/>
    <col min="33" max="33" width="11.140625" style="1" bestFit="1" customWidth="1"/>
    <col min="34" max="34" width="21.42578125" style="1" bestFit="1" customWidth="1"/>
    <col min="35" max="35" width="18.7109375" style="1" bestFit="1" customWidth="1"/>
    <col min="36" max="16384" width="23.85546875" style="1"/>
  </cols>
  <sheetData>
    <row r="1" spans="1:35" x14ac:dyDescent="0.25">
      <c r="C1" s="305" t="s">
        <v>1603</v>
      </c>
      <c r="D1" s="305"/>
      <c r="E1" s="305"/>
      <c r="F1" s="305"/>
      <c r="AB1" s="305" t="s">
        <v>1604</v>
      </c>
      <c r="AC1" s="305"/>
      <c r="AD1" s="305"/>
      <c r="AE1" s="305"/>
      <c r="AF1" s="305"/>
    </row>
    <row r="2" spans="1:35" x14ac:dyDescent="0.25">
      <c r="A2" s="90" t="s">
        <v>1615</v>
      </c>
      <c r="B2" s="38" t="s">
        <v>1691</v>
      </c>
      <c r="C2" s="199" t="s">
        <v>618</v>
      </c>
      <c r="D2" s="199" t="s">
        <v>854</v>
      </c>
      <c r="E2" s="200" t="s">
        <v>1587</v>
      </c>
      <c r="F2" s="200" t="s">
        <v>1588</v>
      </c>
      <c r="G2" s="90" t="s">
        <v>1594</v>
      </c>
      <c r="H2" s="90" t="s">
        <v>617</v>
      </c>
      <c r="I2" s="90" t="s">
        <v>614</v>
      </c>
      <c r="J2" s="90" t="s">
        <v>2</v>
      </c>
      <c r="K2" s="90" t="s">
        <v>18</v>
      </c>
      <c r="L2" s="90" t="s">
        <v>19</v>
      </c>
      <c r="M2" s="90" t="s">
        <v>20</v>
      </c>
      <c r="N2" s="90" t="s">
        <v>115</v>
      </c>
      <c r="O2" s="90" t="s">
        <v>21</v>
      </c>
      <c r="P2" s="90" t="s">
        <v>828</v>
      </c>
      <c r="Q2" s="90" t="s">
        <v>22</v>
      </c>
      <c r="R2" s="90" t="s">
        <v>23</v>
      </c>
      <c r="S2" s="91" t="s">
        <v>852</v>
      </c>
      <c r="T2" s="91" t="s">
        <v>435</v>
      </c>
      <c r="U2" s="90" t="s">
        <v>26</v>
      </c>
      <c r="V2" s="90" t="s">
        <v>556</v>
      </c>
      <c r="W2" s="90" t="s">
        <v>1490</v>
      </c>
      <c r="X2" s="90" t="s">
        <v>35</v>
      </c>
      <c r="Y2" s="90" t="s">
        <v>36</v>
      </c>
      <c r="Z2" s="90" t="s">
        <v>46</v>
      </c>
      <c r="AA2" s="90" t="s">
        <v>47</v>
      </c>
      <c r="AB2" s="201" t="s">
        <v>853</v>
      </c>
      <c r="AC2" s="201" t="s">
        <v>618</v>
      </c>
      <c r="AD2" s="201" t="s">
        <v>854</v>
      </c>
      <c r="AE2" s="202" t="s">
        <v>1587</v>
      </c>
      <c r="AF2" s="202" t="s">
        <v>1588</v>
      </c>
      <c r="AG2" s="1" t="s">
        <v>624</v>
      </c>
      <c r="AH2" s="1" t="s">
        <v>1593</v>
      </c>
      <c r="AI2" s="1" t="s">
        <v>848</v>
      </c>
    </row>
    <row r="3" spans="1:35" x14ac:dyDescent="0.25">
      <c r="A3" s="203">
        <v>1</v>
      </c>
      <c r="B3" s="203" t="str">
        <f>'Cash Activity'!D3</f>
        <v>5.1</v>
      </c>
      <c r="C3" s="203" t="str">
        <f>'Cash Activity'!F3</f>
        <v>.000001</v>
      </c>
      <c r="D3" s="203">
        <f>'Cash Activity'!V3</f>
        <v>6</v>
      </c>
      <c r="E3" s="204"/>
      <c r="F3" s="204">
        <v>100000</v>
      </c>
      <c r="G3" s="203">
        <f>'Cash Activity'!B3</f>
        <v>4</v>
      </c>
      <c r="H3" s="203">
        <f>'Cash Activity'!C3</f>
        <v>5</v>
      </c>
      <c r="I3" s="203" t="str">
        <f>'Cash Activity'!E3</f>
        <v>Cout</v>
      </c>
      <c r="J3" s="203">
        <f>'Cash Activity'!G3</f>
        <v>1</v>
      </c>
      <c r="K3" s="203" t="str">
        <f>'Cash Activity'!H3</f>
        <v>dimas dhaniarso</v>
      </c>
      <c r="L3" s="203">
        <f>'Cash Activity'!I3</f>
        <v>81273845323</v>
      </c>
      <c r="M3" s="203" t="str">
        <f>'Cash Activity'!J3</f>
        <v>dhadan33@gmail.com</v>
      </c>
      <c r="N3" s="203">
        <f>'Cash Activity'!K3</f>
        <v>1</v>
      </c>
      <c r="O3" s="203" t="str">
        <f>'Cash Activity'!L3</f>
        <v>IDR</v>
      </c>
      <c r="P3" s="203">
        <f>'Cash Activity'!M3</f>
        <v>1</v>
      </c>
      <c r="Q3" s="203">
        <f>'Cash Activity'!Q3</f>
        <v>0</v>
      </c>
      <c r="R3" s="203">
        <f>'Cash Activity'!R3</f>
        <v>0</v>
      </c>
      <c r="S3" s="205">
        <f>'Cash Activity'!N3</f>
        <v>43255</v>
      </c>
      <c r="T3" s="205"/>
      <c r="U3" s="203" t="s">
        <v>1617</v>
      </c>
      <c r="V3" s="203">
        <f>'Cash Activity'!O3</f>
        <v>0</v>
      </c>
      <c r="W3" s="203"/>
      <c r="X3" s="203">
        <f>'Cash Activity'!S3</f>
        <v>5</v>
      </c>
      <c r="Y3" s="203" t="str">
        <f>'Cash Activity'!T3</f>
        <v>gisela tria canitha</v>
      </c>
      <c r="Z3" s="203"/>
      <c r="AA3" s="203"/>
      <c r="AB3" s="203" t="str">
        <f>CONCATENATE(B3,".",A3)</f>
        <v>5.1.1</v>
      </c>
      <c r="AC3" s="203" t="str">
        <f>C3</f>
        <v>.000001</v>
      </c>
      <c r="AD3" s="203">
        <f>'rekening perkiraan'!A10</f>
        <v>8</v>
      </c>
      <c r="AE3" s="204">
        <v>100000</v>
      </c>
      <c r="AF3" s="204"/>
      <c r="AG3" s="203">
        <f>'Cash Activity'!Y3</f>
        <v>2</v>
      </c>
      <c r="AH3" s="203">
        <f>'Cash Activity'!Z3</f>
        <v>1</v>
      </c>
      <c r="AI3" s="203"/>
    </row>
    <row r="4" spans="1:35" x14ac:dyDescent="0.25">
      <c r="A4" s="203">
        <v>2</v>
      </c>
      <c r="B4" s="203" t="str">
        <f>'Cash Activity'!D3</f>
        <v>5.1</v>
      </c>
      <c r="C4" s="203" t="str">
        <f>'Cash Activity'!F3</f>
        <v>.000001</v>
      </c>
      <c r="D4" s="203">
        <f>'Cash Activity'!V3</f>
        <v>6</v>
      </c>
      <c r="E4" s="204"/>
      <c r="F4" s="204">
        <v>200000</v>
      </c>
      <c r="G4" s="203">
        <f>'Cash Activity'!B3</f>
        <v>4</v>
      </c>
      <c r="H4" s="203">
        <f>'Cash Activity'!C3</f>
        <v>5</v>
      </c>
      <c r="I4" s="203" t="str">
        <f>'Cash Activity'!E3</f>
        <v>Cout</v>
      </c>
      <c r="J4" s="203">
        <f>'Cash Activity'!G3</f>
        <v>1</v>
      </c>
      <c r="K4" s="203" t="str">
        <f>'Cash Activity'!H3</f>
        <v>dimas dhaniarso</v>
      </c>
      <c r="L4" s="203">
        <f>'Cash Activity'!I3</f>
        <v>81273845323</v>
      </c>
      <c r="M4" s="203" t="str">
        <f>'Cash Activity'!J3</f>
        <v>dhadan33@gmail.com</v>
      </c>
      <c r="N4" s="203">
        <f>'Cash Activity'!K3</f>
        <v>1</v>
      </c>
      <c r="O4" s="203" t="str">
        <f>'Cash Activity'!L3</f>
        <v>IDR</v>
      </c>
      <c r="P4" s="203">
        <f>'Cash Activity'!M3</f>
        <v>1</v>
      </c>
      <c r="Q4" s="203">
        <f>'Cash Activity'!Q3</f>
        <v>0</v>
      </c>
      <c r="R4" s="203">
        <f>'Cash Activity'!R3</f>
        <v>0</v>
      </c>
      <c r="S4" s="205">
        <f>'Cash Activity'!N3</f>
        <v>43255</v>
      </c>
      <c r="T4" s="205"/>
      <c r="U4" s="203" t="s">
        <v>1618</v>
      </c>
      <c r="V4" s="203">
        <f>'Cash Activity'!O3</f>
        <v>0</v>
      </c>
      <c r="W4" s="203"/>
      <c r="X4" s="203">
        <f>'Cash Activity'!S3</f>
        <v>5</v>
      </c>
      <c r="Y4" s="203" t="str">
        <f>'Cash Activity'!T3</f>
        <v>gisela tria canitha</v>
      </c>
      <c r="Z4" s="203"/>
      <c r="AA4" s="203"/>
      <c r="AB4" s="203" t="str">
        <f>CONCATENATE(B4,".",A4)</f>
        <v>5.1.2</v>
      </c>
      <c r="AC4" s="203" t="str">
        <f t="shared" ref="AC4:AC8" si="0">C4</f>
        <v>.000001</v>
      </c>
      <c r="AD4" s="203">
        <f>'rekening perkiraan'!A10</f>
        <v>8</v>
      </c>
      <c r="AE4" s="204">
        <v>200000</v>
      </c>
      <c r="AF4" s="204"/>
      <c r="AG4" s="203">
        <f>'Cash Activity'!Y3</f>
        <v>2</v>
      </c>
      <c r="AH4" s="203">
        <f>'Cash Activity'!Z3</f>
        <v>1</v>
      </c>
      <c r="AI4" s="203"/>
    </row>
    <row r="5" spans="1:35" x14ac:dyDescent="0.25">
      <c r="A5" s="203">
        <v>3</v>
      </c>
      <c r="B5" s="203" t="str">
        <f>'Cash Activity'!D3</f>
        <v>5.1</v>
      </c>
      <c r="C5" s="203" t="str">
        <f>'Cash Activity'!F3</f>
        <v>.000001</v>
      </c>
      <c r="D5" s="203">
        <f>'Cash Activity'!V3</f>
        <v>6</v>
      </c>
      <c r="E5" s="204"/>
      <c r="F5" s="204">
        <v>300000</v>
      </c>
      <c r="G5" s="203">
        <f>'Cash Activity'!B3</f>
        <v>4</v>
      </c>
      <c r="H5" s="203">
        <f>'Cash Activity'!C3</f>
        <v>5</v>
      </c>
      <c r="I5" s="203" t="str">
        <f>'Cash Activity'!E3</f>
        <v>Cout</v>
      </c>
      <c r="J5" s="203">
        <f>'Cash Activity'!G3</f>
        <v>1</v>
      </c>
      <c r="K5" s="203" t="str">
        <f>'Cash Activity'!H3</f>
        <v>dimas dhaniarso</v>
      </c>
      <c r="L5" s="203">
        <f>'Cash Activity'!I3</f>
        <v>81273845323</v>
      </c>
      <c r="M5" s="203" t="str">
        <f>'Cash Activity'!J3</f>
        <v>dhadan33@gmail.com</v>
      </c>
      <c r="N5" s="203">
        <f>'Cash Activity'!K3</f>
        <v>1</v>
      </c>
      <c r="O5" s="203" t="str">
        <f>'Cash Activity'!L3</f>
        <v>IDR</v>
      </c>
      <c r="P5" s="203">
        <f>'Cash Activity'!M3</f>
        <v>1</v>
      </c>
      <c r="Q5" s="203">
        <f>'Cash Activity'!Q3</f>
        <v>0</v>
      </c>
      <c r="R5" s="203">
        <f>'Cash Activity'!R3</f>
        <v>0</v>
      </c>
      <c r="S5" s="205">
        <f>'Cash Activity'!N3</f>
        <v>43255</v>
      </c>
      <c r="T5" s="205"/>
      <c r="U5" s="203" t="s">
        <v>1619</v>
      </c>
      <c r="V5" s="203">
        <f>'Cash Activity'!O3</f>
        <v>0</v>
      </c>
      <c r="W5" s="203"/>
      <c r="X5" s="203">
        <f>'Cash Activity'!S3</f>
        <v>5</v>
      </c>
      <c r="Y5" s="203" t="str">
        <f>'Cash Activity'!T3</f>
        <v>gisela tria canitha</v>
      </c>
      <c r="Z5" s="203"/>
      <c r="AA5" s="203"/>
      <c r="AB5" s="203" t="str">
        <f>CONCATENATE(B5,".",A5)</f>
        <v>5.1.3</v>
      </c>
      <c r="AC5" s="203" t="str">
        <f t="shared" si="0"/>
        <v>.000001</v>
      </c>
      <c r="AD5" s="203">
        <f>'rekening perkiraan'!A10</f>
        <v>8</v>
      </c>
      <c r="AE5" s="204">
        <v>300000</v>
      </c>
      <c r="AF5" s="204"/>
      <c r="AG5" s="203">
        <f>'Cash Activity'!Y3</f>
        <v>2</v>
      </c>
      <c r="AH5" s="203">
        <f>'Cash Activity'!Z3</f>
        <v>1</v>
      </c>
      <c r="AI5" s="203"/>
    </row>
    <row r="6" spans="1:35" x14ac:dyDescent="0.25">
      <c r="A6" s="203">
        <v>4</v>
      </c>
      <c r="B6" s="203" t="str">
        <f>'Cash Activity'!D4</f>
        <v>4.2</v>
      </c>
      <c r="C6" s="203" t="str">
        <f>'Cash Activity'!F4</f>
        <v>.000001</v>
      </c>
      <c r="D6" s="203">
        <f>'Cash Activity'!V4</f>
        <v>9</v>
      </c>
      <c r="E6" s="204">
        <v>150000</v>
      </c>
      <c r="F6" s="204"/>
      <c r="G6" s="203">
        <f>'Cash Activity'!B4</f>
        <v>3</v>
      </c>
      <c r="H6" s="203">
        <f>'Cash Activity'!C4</f>
        <v>4</v>
      </c>
      <c r="I6" s="203" t="str">
        <f>'Cash Activity'!E4</f>
        <v>CIn</v>
      </c>
      <c r="J6" s="203">
        <f>'Cash Activity'!G4</f>
        <v>1</v>
      </c>
      <c r="K6" s="203" t="str">
        <f>'Cash Activity'!H4</f>
        <v>dimas dhaniarso</v>
      </c>
      <c r="L6" s="203">
        <f>'Cash Activity'!I4</f>
        <v>81273845323</v>
      </c>
      <c r="M6" s="203" t="str">
        <f>'Cash Activity'!J4</f>
        <v>dhadan33@gmail.com</v>
      </c>
      <c r="N6" s="203">
        <f>'Cash Activity'!K4</f>
        <v>1</v>
      </c>
      <c r="O6" s="203" t="str">
        <f>'Cash Activity'!L4</f>
        <v>IDR</v>
      </c>
      <c r="P6" s="203">
        <f>'Cash Activity'!M4</f>
        <v>1</v>
      </c>
      <c r="Q6" s="203">
        <f>'Cash Activity'!Q4</f>
        <v>0</v>
      </c>
      <c r="R6" s="203">
        <f>'Cash Activity'!R4</f>
        <v>0</v>
      </c>
      <c r="S6" s="205">
        <f>'Cash Activity'!N4</f>
        <v>43255</v>
      </c>
      <c r="T6" s="205"/>
      <c r="U6" s="203" t="s">
        <v>1646</v>
      </c>
      <c r="V6" s="203">
        <f>'Cash Activity'!O4</f>
        <v>0</v>
      </c>
      <c r="W6" s="203"/>
      <c r="X6" s="203">
        <f>'Cash Activity'!S4</f>
        <v>6</v>
      </c>
      <c r="Y6" s="203" t="str">
        <f>'Cash Activity'!T4</f>
        <v>yusril</v>
      </c>
      <c r="Z6" s="203"/>
      <c r="AA6" s="203"/>
      <c r="AB6" s="203" t="str">
        <f>'modul hutang&amp;piutang'!E3</f>
        <v>5.1.2</v>
      </c>
      <c r="AC6" s="203" t="str">
        <f>'modul hutang&amp;piutang'!F3</f>
        <v>.000001</v>
      </c>
      <c r="AD6" s="203">
        <f>'modul hutang&amp;piutang'!G3</f>
        <v>8</v>
      </c>
      <c r="AE6" s="204"/>
      <c r="AF6" s="204">
        <v>150000</v>
      </c>
      <c r="AG6" s="203">
        <f>'Cash Activity'!Y4</f>
        <v>3</v>
      </c>
      <c r="AH6" s="203">
        <f>'Cash Activity'!Z4</f>
        <v>1</v>
      </c>
      <c r="AI6" s="203"/>
    </row>
    <row r="7" spans="1:35" x14ac:dyDescent="0.25">
      <c r="A7" s="203">
        <v>5</v>
      </c>
      <c r="B7" s="203" t="str">
        <f>'Cash Activity'!D5</f>
        <v>4.3</v>
      </c>
      <c r="C7" s="203" t="str">
        <f>'Cash Activity'!F5</f>
        <v>.000002</v>
      </c>
      <c r="D7" s="203">
        <f>'Cash Activity'!V5</f>
        <v>6</v>
      </c>
      <c r="E7" s="204">
        <v>50000</v>
      </c>
      <c r="F7" s="204"/>
      <c r="G7" s="203">
        <f>'Cash Activity'!B5</f>
        <v>3</v>
      </c>
      <c r="H7" s="203">
        <f>'Cash Activity'!C5</f>
        <v>4</v>
      </c>
      <c r="I7" s="203" t="str">
        <f>'Cash Activity'!E5</f>
        <v>CIn</v>
      </c>
      <c r="J7" s="203">
        <f>'Cash Activity'!G5</f>
        <v>1</v>
      </c>
      <c r="K7" s="203" t="str">
        <f>'Cash Activity'!H5</f>
        <v>dimas dhaniarso</v>
      </c>
      <c r="L7" s="203">
        <f>'Cash Activity'!I5</f>
        <v>81273845323</v>
      </c>
      <c r="M7" s="203" t="str">
        <f>'Cash Activity'!J5</f>
        <v>dhadan33@gmail.com</v>
      </c>
      <c r="N7" s="203">
        <f>'Cash Activity'!K5</f>
        <v>1</v>
      </c>
      <c r="O7" s="203" t="str">
        <f>'Cash Activity'!L5</f>
        <v>IDR</v>
      </c>
      <c r="P7" s="203">
        <f>'Cash Activity'!M5</f>
        <v>1</v>
      </c>
      <c r="Q7" s="203">
        <f>'Cash Activity'!Q5</f>
        <v>0</v>
      </c>
      <c r="R7" s="203">
        <f>'Cash Activity'!R5</f>
        <v>0</v>
      </c>
      <c r="S7" s="205">
        <f>'Cash Activity'!N5</f>
        <v>43256</v>
      </c>
      <c r="T7" s="205"/>
      <c r="U7" s="203" t="s">
        <v>1645</v>
      </c>
      <c r="V7" s="203">
        <f>'Cash Activity'!O5</f>
        <v>0</v>
      </c>
      <c r="W7" s="203"/>
      <c r="X7" s="203">
        <f>'Cash Activity'!S5</f>
        <v>6</v>
      </c>
      <c r="Y7" s="203" t="str">
        <f>'Cash Activity'!T5</f>
        <v>yusril</v>
      </c>
      <c r="Z7" s="203"/>
      <c r="AA7" s="203"/>
      <c r="AB7" s="203" t="str">
        <f>'modul hutang&amp;piutang'!E5</f>
        <v>5.1.2</v>
      </c>
      <c r="AC7" s="203" t="str">
        <f>'modul hutang&amp;piutang'!F5</f>
        <v>.000001</v>
      </c>
      <c r="AD7" s="203">
        <f>'modul hutang&amp;piutang'!G5</f>
        <v>8</v>
      </c>
      <c r="AE7" s="204"/>
      <c r="AF7" s="204">
        <v>50000</v>
      </c>
      <c r="AG7" s="203">
        <f>'Cash Activity'!Y5</f>
        <v>3</v>
      </c>
      <c r="AH7" s="203">
        <f>'Cash Activity'!Z5</f>
        <v>1</v>
      </c>
      <c r="AI7" s="203"/>
    </row>
    <row r="8" spans="1:35" x14ac:dyDescent="0.25">
      <c r="A8" s="94">
        <v>6</v>
      </c>
      <c r="B8" s="94" t="str">
        <f>'Cash Activity'!D6</f>
        <v>5.4</v>
      </c>
      <c r="C8" s="94" t="str">
        <f>'Cash Activity'!F6</f>
        <v>.000002</v>
      </c>
      <c r="D8" s="94">
        <f>'Cash Activity'!V6</f>
        <v>6</v>
      </c>
      <c r="E8" s="101"/>
      <c r="F8" s="101">
        <v>500000</v>
      </c>
      <c r="G8" s="94">
        <f>'Cash Activity'!B6</f>
        <v>4</v>
      </c>
      <c r="H8" s="94">
        <f>'Cash Activity'!C6</f>
        <v>5</v>
      </c>
      <c r="I8" s="94" t="str">
        <f>'Cash Activity'!E6</f>
        <v>Cout</v>
      </c>
      <c r="J8" s="94">
        <f>'Cash Activity'!G6</f>
        <v>2</v>
      </c>
      <c r="K8" s="94" t="str">
        <f>'Cash Activity'!H6</f>
        <v>yuli hendarto</v>
      </c>
      <c r="L8" s="94">
        <f>'Cash Activity'!I6</f>
        <v>8551003553</v>
      </c>
      <c r="M8" s="94" t="str">
        <f>'Cash Activity'!J6</f>
        <v>yuli_hendarto@yahoo.com</v>
      </c>
      <c r="N8" s="94">
        <f>'Cash Activity'!K6</f>
        <v>1</v>
      </c>
      <c r="O8" s="94" t="str">
        <f>'Cash Activity'!L6</f>
        <v>IDR</v>
      </c>
      <c r="P8" s="94">
        <f>'Cash Activity'!M6</f>
        <v>1</v>
      </c>
      <c r="Q8" s="94">
        <f>'Cash Activity'!Q6</f>
        <v>0</v>
      </c>
      <c r="R8" s="94">
        <f>'Cash Activity'!R6</f>
        <v>0</v>
      </c>
      <c r="S8" s="100">
        <f>'Cash Activity'!N6</f>
        <v>43256</v>
      </c>
      <c r="T8" s="100"/>
      <c r="U8" s="94" t="s">
        <v>1652</v>
      </c>
      <c r="V8" s="94">
        <f>'Cash Activity'!O6</f>
        <v>0</v>
      </c>
      <c r="W8" s="94">
        <f>'Cash Activity'!P6</f>
        <v>0</v>
      </c>
      <c r="X8" s="94">
        <f>'Cash Activity'!S6</f>
        <v>5</v>
      </c>
      <c r="Y8" s="94" t="str">
        <f>'Cash Activity'!T6</f>
        <v>gisela tria canitha</v>
      </c>
      <c r="Z8" s="94"/>
      <c r="AA8" s="94"/>
      <c r="AB8" s="94" t="str">
        <f>CONCATENATE(B8,".",A8)</f>
        <v>5.4.6</v>
      </c>
      <c r="AC8" s="94" t="str">
        <f t="shared" si="0"/>
        <v>.000002</v>
      </c>
      <c r="AD8" s="94">
        <f>'rekening perkiraan'!A9</f>
        <v>7</v>
      </c>
      <c r="AE8" s="101">
        <v>500000</v>
      </c>
      <c r="AF8" s="101"/>
      <c r="AG8" s="94">
        <f>'Cash Activity'!Y6</f>
        <v>2</v>
      </c>
      <c r="AH8" s="94">
        <f>'Cash Activity'!Z6</f>
        <v>1</v>
      </c>
      <c r="AI8" s="94"/>
    </row>
    <row r="9" spans="1:35" x14ac:dyDescent="0.25">
      <c r="A9" s="94">
        <v>7</v>
      </c>
      <c r="B9" s="94" t="str">
        <f>'Cash Activity'!D7</f>
        <v>4.5</v>
      </c>
      <c r="C9" s="94" t="str">
        <f>'Cash Activity'!F7</f>
        <v>.000003</v>
      </c>
      <c r="D9" s="94">
        <f>'Cash Activity'!V7</f>
        <v>9</v>
      </c>
      <c r="E9" s="101">
        <v>500000</v>
      </c>
      <c r="F9" s="101"/>
      <c r="G9" s="94">
        <f>'Cash Activity'!B7</f>
        <v>3</v>
      </c>
      <c r="H9" s="94">
        <f>'Cash Activity'!C7</f>
        <v>4</v>
      </c>
      <c r="I9" s="94" t="str">
        <f>'Cash Activity'!E7</f>
        <v>CIn</v>
      </c>
      <c r="J9" s="94">
        <f>'Cash Activity'!G7</f>
        <v>2</v>
      </c>
      <c r="K9" s="94" t="str">
        <f>'Cash Activity'!H7</f>
        <v>yuli hendarto</v>
      </c>
      <c r="L9" s="94">
        <f>'Cash Activity'!I7</f>
        <v>8551003553</v>
      </c>
      <c r="M9" s="94" t="str">
        <f>'Cash Activity'!J7</f>
        <v>yuli_hendarto@yahoo.com</v>
      </c>
      <c r="N9" s="94">
        <f>'Cash Activity'!K7</f>
        <v>1</v>
      </c>
      <c r="O9" s="94" t="str">
        <f>'Cash Activity'!L7</f>
        <v>IDR</v>
      </c>
      <c r="P9" s="94">
        <f>'Cash Activity'!M7</f>
        <v>1</v>
      </c>
      <c r="Q9" s="94">
        <f>'Cash Activity'!Q7</f>
        <v>0</v>
      </c>
      <c r="R9" s="94">
        <f>'Cash Activity'!R7</f>
        <v>0</v>
      </c>
      <c r="S9" s="100">
        <f>'Cash Activity'!N7</f>
        <v>43257</v>
      </c>
      <c r="T9" s="100"/>
      <c r="U9" s="94" t="s">
        <v>1623</v>
      </c>
      <c r="V9" s="94">
        <f>'Cash Activity'!O7</f>
        <v>0</v>
      </c>
      <c r="W9" s="94">
        <f>'Cash Activity'!P7</f>
        <v>0</v>
      </c>
      <c r="X9" s="94">
        <f>'Cash Activity'!S7</f>
        <v>6</v>
      </c>
      <c r="Y9" s="94" t="str">
        <f>'Cash Activity'!T7</f>
        <v>yusril</v>
      </c>
      <c r="Z9" s="94"/>
      <c r="AA9" s="94"/>
      <c r="AB9" s="94" t="str">
        <f>'modul hutang&amp;piutang'!E7</f>
        <v>5.4.6</v>
      </c>
      <c r="AC9" s="94" t="str">
        <f>'modul hutang&amp;piutang'!F7</f>
        <v>.000002</v>
      </c>
      <c r="AD9" s="94">
        <f>'modul hutang&amp;piutang'!G7</f>
        <v>7</v>
      </c>
      <c r="AE9" s="101"/>
      <c r="AF9" s="101">
        <f>'modul hutang&amp;piutang'!H7</f>
        <v>500000</v>
      </c>
      <c r="AG9" s="94">
        <f>'Cash Activity'!Y7</f>
        <v>3</v>
      </c>
      <c r="AH9" s="94">
        <f>'Cash Activity'!Z7</f>
        <v>1</v>
      </c>
      <c r="AI9" s="94"/>
    </row>
    <row r="10" spans="1:35" x14ac:dyDescent="0.25">
      <c r="A10" s="98">
        <v>8</v>
      </c>
      <c r="B10" s="98" t="str">
        <f>'Cash Activity'!D8</f>
        <v>5.6</v>
      </c>
      <c r="C10" s="98" t="str">
        <f>'Cash Activity'!F8</f>
        <v>.000003</v>
      </c>
      <c r="D10" s="98">
        <f>'Cash Activity'!V8</f>
        <v>25</v>
      </c>
      <c r="E10" s="99"/>
      <c r="F10" s="99">
        <v>200000</v>
      </c>
      <c r="G10" s="98">
        <f>'Cash Activity'!B8</f>
        <v>4</v>
      </c>
      <c r="H10" s="98">
        <f>'Cash Activity'!C8</f>
        <v>5</v>
      </c>
      <c r="I10" s="98" t="str">
        <f>'Cash Activity'!E8</f>
        <v>Cout</v>
      </c>
      <c r="J10" s="98">
        <f>'Cash Activity'!G8</f>
        <v>1</v>
      </c>
      <c r="K10" s="98" t="str">
        <f>'Cash Activity'!H8</f>
        <v>dimas dhaniarso</v>
      </c>
      <c r="L10" s="98">
        <f>'Cash Activity'!I8</f>
        <v>81273845323</v>
      </c>
      <c r="M10" s="98" t="str">
        <f>'Cash Activity'!J8</f>
        <v>dhadan33@gmail.com</v>
      </c>
      <c r="N10" s="98">
        <f>'Cash Activity'!K8</f>
        <v>1</v>
      </c>
      <c r="O10" s="98" t="str">
        <f>'Cash Activity'!L8</f>
        <v>IDR</v>
      </c>
      <c r="P10" s="98">
        <f>'Cash Activity'!M8</f>
        <v>1</v>
      </c>
      <c r="Q10" s="98">
        <f>'Cash Activity'!Q8</f>
        <v>0</v>
      </c>
      <c r="R10" s="98">
        <f>'Cash Activity'!R8</f>
        <v>0</v>
      </c>
      <c r="S10" s="102">
        <f>'Cash Activity'!N8</f>
        <v>43257</v>
      </c>
      <c r="T10" s="102"/>
      <c r="U10" s="98" t="s">
        <v>1624</v>
      </c>
      <c r="V10" s="98">
        <f>'Cash Activity'!O8</f>
        <v>1</v>
      </c>
      <c r="W10" s="98">
        <f>'Cash Activity'!P8</f>
        <v>3</v>
      </c>
      <c r="X10" s="98">
        <f>'Cash Activity'!S8</f>
        <v>4</v>
      </c>
      <c r="Y10" s="98" t="str">
        <f>'Cash Activity'!T8</f>
        <v>dea fitri maharani</v>
      </c>
      <c r="Z10" s="98"/>
      <c r="AA10" s="98"/>
      <c r="AB10" s="98" t="str">
        <f>CONCATENATE(B10,".",A10)</f>
        <v>5.6.8</v>
      </c>
      <c r="AC10" s="98" t="str">
        <f t="shared" ref="AC10" si="1">C10</f>
        <v>.000003</v>
      </c>
      <c r="AD10" s="98">
        <f>'rekening perkiraan'!A9</f>
        <v>7</v>
      </c>
      <c r="AE10" s="99">
        <v>200000</v>
      </c>
      <c r="AF10" s="99"/>
      <c r="AG10" s="98">
        <f>'Cash Activity'!Y8</f>
        <v>1</v>
      </c>
      <c r="AH10" s="98">
        <f>'Cash Activity'!Z8</f>
        <v>1</v>
      </c>
      <c r="AI10" s="98"/>
    </row>
    <row r="11" spans="1:35" x14ac:dyDescent="0.25">
      <c r="A11" s="98">
        <v>9</v>
      </c>
      <c r="B11" s="98" t="str">
        <f>'Cash Activity'!D9</f>
        <v>5.7</v>
      </c>
      <c r="C11" s="98" t="str">
        <f>'Cash Activity'!F9</f>
        <v>.000003</v>
      </c>
      <c r="D11" s="98">
        <f>'Cash Activity'!V9</f>
        <v>6</v>
      </c>
      <c r="E11" s="99"/>
      <c r="F11" s="99">
        <v>200000</v>
      </c>
      <c r="G11" s="98">
        <f>'Cash Activity'!B9</f>
        <v>4</v>
      </c>
      <c r="H11" s="98">
        <f>'Cash Activity'!C9</f>
        <v>5</v>
      </c>
      <c r="I11" s="98" t="str">
        <f>'Cash Activity'!E9</f>
        <v>Cout</v>
      </c>
      <c r="J11" s="98">
        <f>'Cash Activity'!G9</f>
        <v>1</v>
      </c>
      <c r="K11" s="98" t="str">
        <f>'Cash Activity'!H9</f>
        <v>dimas dhaniarso</v>
      </c>
      <c r="L11" s="98">
        <f>'Cash Activity'!I9</f>
        <v>81273845323</v>
      </c>
      <c r="M11" s="98" t="str">
        <f>'Cash Activity'!J9</f>
        <v>dhadan33@gmail.com</v>
      </c>
      <c r="N11" s="98">
        <f>'Cash Activity'!K9</f>
        <v>1</v>
      </c>
      <c r="O11" s="98" t="str">
        <f>'Cash Activity'!L9</f>
        <v>IDR</v>
      </c>
      <c r="P11" s="98">
        <f>'Cash Activity'!M9</f>
        <v>1</v>
      </c>
      <c r="Q11" s="98">
        <f>'Cash Activity'!Q9</f>
        <v>0</v>
      </c>
      <c r="R11" s="98">
        <f>'Cash Activity'!R9</f>
        <v>0</v>
      </c>
      <c r="S11" s="102">
        <f>'Cash Activity'!N9</f>
        <v>43258</v>
      </c>
      <c r="T11" s="102"/>
      <c r="U11" s="98" t="s">
        <v>1628</v>
      </c>
      <c r="V11" s="98">
        <f>'Cash Activity'!O9</f>
        <v>1</v>
      </c>
      <c r="W11" s="98">
        <f>'Cash Activity'!P9</f>
        <v>3</v>
      </c>
      <c r="X11" s="98">
        <f>'Cash Activity'!S9</f>
        <v>4</v>
      </c>
      <c r="Y11" s="98" t="str">
        <f>'Cash Activity'!T9</f>
        <v>dea fitri maharani</v>
      </c>
      <c r="Z11" s="98"/>
      <c r="AA11" s="98"/>
      <c r="AB11" s="98" t="str">
        <f>'modul hutang&amp;piutang'!E9</f>
        <v>5.6</v>
      </c>
      <c r="AC11" s="98" t="str">
        <f>'modul hutang&amp;piutang'!F9</f>
        <v>.000003</v>
      </c>
      <c r="AD11" s="98">
        <f>'modul hutang&amp;piutang'!G9</f>
        <v>25</v>
      </c>
      <c r="AE11" s="99">
        <f>'modul hutang&amp;piutang'!I9</f>
        <v>200000</v>
      </c>
      <c r="AF11" s="99"/>
      <c r="AG11" s="98">
        <f>'Cash Activity'!Y9</f>
        <v>2</v>
      </c>
      <c r="AH11" s="98">
        <f>'Cash Activity'!Z9</f>
        <v>1</v>
      </c>
      <c r="AI11" s="98"/>
    </row>
    <row r="12" spans="1:35" x14ac:dyDescent="0.25">
      <c r="A12" s="98">
        <v>10</v>
      </c>
      <c r="B12" s="98" t="str">
        <f>'Cash Activity'!D10</f>
        <v>4.8</v>
      </c>
      <c r="C12" s="98" t="str">
        <f>'Cash Activity'!F10</f>
        <v>.000004</v>
      </c>
      <c r="D12" s="98">
        <f>'Cash Activity'!V10</f>
        <v>24</v>
      </c>
      <c r="E12" s="99">
        <v>200000</v>
      </c>
      <c r="F12" s="99"/>
      <c r="G12" s="98">
        <f>'Cash Activity'!B10</f>
        <v>3</v>
      </c>
      <c r="H12" s="98">
        <f>'Cash Activity'!C10</f>
        <v>4</v>
      </c>
      <c r="I12" s="98" t="str">
        <f>'Cash Activity'!E10</f>
        <v>CIn</v>
      </c>
      <c r="J12" s="98">
        <f>'Cash Activity'!G10</f>
        <v>1</v>
      </c>
      <c r="K12" s="98" t="str">
        <f>'Cash Activity'!H10</f>
        <v>dimas dhaniarso</v>
      </c>
      <c r="L12" s="98">
        <f>'Cash Activity'!I10</f>
        <v>81273845323</v>
      </c>
      <c r="M12" s="98" t="str">
        <f>'Cash Activity'!J10</f>
        <v>dhadan33@gmail.com</v>
      </c>
      <c r="N12" s="98">
        <f>'Cash Activity'!K10</f>
        <v>1</v>
      </c>
      <c r="O12" s="98" t="str">
        <f>'Cash Activity'!L10</f>
        <v>IDR</v>
      </c>
      <c r="P12" s="98">
        <f>'Cash Activity'!M10</f>
        <v>1</v>
      </c>
      <c r="Q12" s="98">
        <f>'Cash Activity'!Q10</f>
        <v>0</v>
      </c>
      <c r="R12" s="98">
        <f>'Cash Activity'!R10</f>
        <v>0</v>
      </c>
      <c r="S12" s="102">
        <f>'Cash Activity'!N10</f>
        <v>43259</v>
      </c>
      <c r="T12" s="102"/>
      <c r="U12" s="98" t="s">
        <v>1626</v>
      </c>
      <c r="V12" s="98">
        <f>'Cash Activity'!O10</f>
        <v>1</v>
      </c>
      <c r="W12" s="98">
        <f>'Cash Activity'!P10</f>
        <v>4</v>
      </c>
      <c r="X12" s="98">
        <f>'Cash Activity'!S10</f>
        <v>6</v>
      </c>
      <c r="Y12" s="98" t="str">
        <f>'Cash Activity'!T10</f>
        <v>yusril</v>
      </c>
      <c r="Z12" s="98"/>
      <c r="AA12" s="98"/>
      <c r="AB12" s="98" t="str">
        <f>'modul hutang&amp;piutang'!E10</f>
        <v>5.6.8</v>
      </c>
      <c r="AC12" s="98" t="str">
        <f>'modul hutang&amp;piutang'!F10</f>
        <v>.000003</v>
      </c>
      <c r="AD12" s="98">
        <f>'modul hutang&amp;piutang'!G10</f>
        <v>7</v>
      </c>
      <c r="AE12" s="99"/>
      <c r="AF12" s="99">
        <v>200000</v>
      </c>
      <c r="AG12" s="98">
        <f>'Cash Activity'!Y10</f>
        <v>3</v>
      </c>
      <c r="AH12" s="98">
        <f>'Cash Activity'!Z10</f>
        <v>1</v>
      </c>
      <c r="AI12" s="98"/>
    </row>
    <row r="13" spans="1:35" x14ac:dyDescent="0.25">
      <c r="A13" s="98">
        <v>11</v>
      </c>
      <c r="B13" s="98" t="str">
        <f>'Cash Activity'!D11</f>
        <v>4.9</v>
      </c>
      <c r="C13" s="98" t="str">
        <f>'Cash Activity'!F11</f>
        <v>.000004</v>
      </c>
      <c r="D13" s="98">
        <f>'Cash Activity'!V11</f>
        <v>6</v>
      </c>
      <c r="E13" s="99">
        <v>200000</v>
      </c>
      <c r="F13" s="99"/>
      <c r="G13" s="98">
        <f>'Cash Activity'!B11</f>
        <v>3</v>
      </c>
      <c r="H13" s="98">
        <f>'Cash Activity'!C11</f>
        <v>4</v>
      </c>
      <c r="I13" s="98" t="str">
        <f>'Cash Activity'!E11</f>
        <v>CIn</v>
      </c>
      <c r="J13" s="98">
        <f>'Cash Activity'!G11</f>
        <v>1</v>
      </c>
      <c r="K13" s="98" t="str">
        <f>'Cash Activity'!H11</f>
        <v>dimas dhaniarso</v>
      </c>
      <c r="L13" s="98">
        <f>'Cash Activity'!I11</f>
        <v>81273845323</v>
      </c>
      <c r="M13" s="98" t="str">
        <f>'Cash Activity'!J11</f>
        <v>dhadan33@gmail.com</v>
      </c>
      <c r="N13" s="98">
        <f>'Cash Activity'!K11</f>
        <v>1</v>
      </c>
      <c r="O13" s="98" t="str">
        <f>'Cash Activity'!L11</f>
        <v>IDR</v>
      </c>
      <c r="P13" s="98">
        <f>'Cash Activity'!M11</f>
        <v>1</v>
      </c>
      <c r="Q13" s="98">
        <f>'Cash Activity'!Q11</f>
        <v>0</v>
      </c>
      <c r="R13" s="98">
        <f>'Cash Activity'!R11</f>
        <v>0</v>
      </c>
      <c r="S13" s="102">
        <f>'Cash Activity'!N11</f>
        <v>43260</v>
      </c>
      <c r="T13" s="102"/>
      <c r="U13" s="98" t="s">
        <v>1627</v>
      </c>
      <c r="V13" s="98">
        <f>'Cash Activity'!O11</f>
        <v>1</v>
      </c>
      <c r="W13" s="98">
        <f>'Cash Activity'!P11</f>
        <v>4</v>
      </c>
      <c r="X13" s="98">
        <f>'Cash Activity'!S11</f>
        <v>6</v>
      </c>
      <c r="Y13" s="98" t="str">
        <f>'Cash Activity'!T11</f>
        <v>yusril</v>
      </c>
      <c r="Z13" s="98"/>
      <c r="AA13" s="98"/>
      <c r="AB13" s="98" t="str">
        <f>'modul hutang&amp;piutang'!E12</f>
        <v>4.8</v>
      </c>
      <c r="AC13" s="98" t="str">
        <f>'modul hutang&amp;piutang'!F12</f>
        <v>.000004</v>
      </c>
      <c r="AD13" s="98">
        <f>'modul hutang&amp;piutang'!G12</f>
        <v>24</v>
      </c>
      <c r="AE13" s="99"/>
      <c r="AF13" s="99">
        <f>'modul hutang&amp;piutang'!H10</f>
        <v>200000</v>
      </c>
      <c r="AG13" s="98">
        <f>'Cash Activity'!Y11</f>
        <v>1</v>
      </c>
      <c r="AH13" s="98">
        <f>'Cash Activity'!Z11</f>
        <v>1</v>
      </c>
      <c r="AI13" s="98"/>
    </row>
    <row r="14" spans="1:35" x14ac:dyDescent="0.25">
      <c r="A14" s="7">
        <v>12</v>
      </c>
      <c r="B14" s="7" t="str">
        <f>'Cash Activity'!D12</f>
        <v>4.10</v>
      </c>
      <c r="C14" s="7" t="str">
        <f>'Cash Activity'!F12</f>
        <v>.000005</v>
      </c>
      <c r="D14" s="7">
        <f>'Cash Activity'!V12</f>
        <v>9</v>
      </c>
      <c r="E14" s="103">
        <v>300000</v>
      </c>
      <c r="F14" s="103"/>
      <c r="G14" s="7">
        <f>'Cash Activity'!B12</f>
        <v>3</v>
      </c>
      <c r="H14" s="7">
        <f>'Cash Activity'!C12</f>
        <v>4</v>
      </c>
      <c r="I14" s="7" t="str">
        <f>'Cash Activity'!E12</f>
        <v>CIn</v>
      </c>
      <c r="J14" s="7">
        <f>'Cash Activity'!G12</f>
        <v>7</v>
      </c>
      <c r="K14" s="7" t="str">
        <f>'Cash Activity'!H12</f>
        <v>djayakusuma</v>
      </c>
      <c r="L14" s="7">
        <f>'Cash Activity'!I12</f>
        <v>8170175139</v>
      </c>
      <c r="M14" s="7" t="str">
        <f>'Cash Activity'!J12</f>
        <v>djayakusuma@gmail.com</v>
      </c>
      <c r="N14" s="7">
        <f>'Cash Activity'!K12</f>
        <v>1</v>
      </c>
      <c r="O14" s="7" t="str">
        <f>'Cash Activity'!L12</f>
        <v>IDR</v>
      </c>
      <c r="P14" s="7">
        <f>'Cash Activity'!M12</f>
        <v>1</v>
      </c>
      <c r="Q14" s="7">
        <f>'Cash Activity'!Q12</f>
        <v>0</v>
      </c>
      <c r="R14" s="7">
        <f>'Cash Activity'!R12</f>
        <v>0</v>
      </c>
      <c r="S14" s="104">
        <f>'Cash Activity'!N12</f>
        <v>43260</v>
      </c>
      <c r="T14" s="104"/>
      <c r="U14" s="7" t="s">
        <v>1630</v>
      </c>
      <c r="V14" s="7">
        <f>'Cash Activity'!O12</f>
        <v>0</v>
      </c>
      <c r="W14" s="7">
        <f>'Cash Activity'!P12</f>
        <v>0</v>
      </c>
      <c r="X14" s="7">
        <f>'Cash Activity'!S12</f>
        <v>5</v>
      </c>
      <c r="Y14" s="7" t="str">
        <f>'Cash Activity'!T12</f>
        <v>gisela tria canitha</v>
      </c>
      <c r="Z14" s="7"/>
      <c r="AA14" s="7"/>
      <c r="AB14" s="7" t="str">
        <f t="shared" ref="AB14" si="2">CONCATENATE(B14,".",A14)</f>
        <v>4.10.12</v>
      </c>
      <c r="AC14" s="7" t="str">
        <f>C14</f>
        <v>.000005</v>
      </c>
      <c r="AD14" s="7">
        <f>'rekening perkiraan'!A10</f>
        <v>8</v>
      </c>
      <c r="AE14" s="103"/>
      <c r="AF14" s="103">
        <v>300000</v>
      </c>
      <c r="AG14" s="7">
        <f>'Cash Activity'!Y12</f>
        <v>2</v>
      </c>
      <c r="AH14" s="7">
        <f>'Cash Activity'!Z12</f>
        <v>1</v>
      </c>
      <c r="AI14" s="7"/>
    </row>
    <row r="15" spans="1:35" x14ac:dyDescent="0.25">
      <c r="A15" s="7">
        <v>13</v>
      </c>
      <c r="B15" s="7" t="str">
        <f>'Cash Activity'!D13</f>
        <v>5.11</v>
      </c>
      <c r="C15" s="7" t="str">
        <f>'Cash Activity'!F13</f>
        <v>.000004</v>
      </c>
      <c r="D15" s="7">
        <f>'Cash Activity'!V13</f>
        <v>6</v>
      </c>
      <c r="E15" s="103"/>
      <c r="F15" s="103">
        <v>300000</v>
      </c>
      <c r="G15" s="7">
        <f>'Cash Activity'!B13</f>
        <v>4</v>
      </c>
      <c r="H15" s="7">
        <f>'Cash Activity'!C13</f>
        <v>5</v>
      </c>
      <c r="I15" s="7" t="str">
        <f>'Cash Activity'!E13</f>
        <v>Cout</v>
      </c>
      <c r="J15" s="7">
        <f>'Cash Activity'!G13</f>
        <v>7</v>
      </c>
      <c r="K15" s="7" t="str">
        <f>'Cash Activity'!H13</f>
        <v>djayakusuma</v>
      </c>
      <c r="L15" s="7">
        <f>'Cash Activity'!I13</f>
        <v>8170175139</v>
      </c>
      <c r="M15" s="7" t="str">
        <f>'Cash Activity'!J13</f>
        <v>djayakusuma@gmail.com</v>
      </c>
      <c r="N15" s="7">
        <f>'Cash Activity'!K13</f>
        <v>1</v>
      </c>
      <c r="O15" s="7" t="str">
        <f>'Cash Activity'!L13</f>
        <v>IDR</v>
      </c>
      <c r="P15" s="7">
        <f>'Cash Activity'!M13</f>
        <v>1</v>
      </c>
      <c r="Q15" s="7">
        <f>'Cash Activity'!Q13</f>
        <v>0</v>
      </c>
      <c r="R15" s="7">
        <f>'Cash Activity'!R13</f>
        <v>0</v>
      </c>
      <c r="S15" s="104">
        <f>'Cash Activity'!N13</f>
        <v>43261</v>
      </c>
      <c r="T15" s="104"/>
      <c r="U15" s="7" t="s">
        <v>1629</v>
      </c>
      <c r="V15" s="7">
        <f>'Cash Activity'!O13</f>
        <v>0</v>
      </c>
      <c r="W15" s="7">
        <f>'Cash Activity'!P13</f>
        <v>0</v>
      </c>
      <c r="X15" s="7">
        <f>'Cash Activity'!S13</f>
        <v>6</v>
      </c>
      <c r="Y15" s="7" t="str">
        <f>'Cash Activity'!T13</f>
        <v>yusril</v>
      </c>
      <c r="Z15" s="7"/>
      <c r="AA15" s="7"/>
      <c r="AB15" s="7" t="str">
        <f>'modul hutang&amp;piutang'!E15</f>
        <v>4.10.12</v>
      </c>
      <c r="AC15" s="7" t="str">
        <f>'modul hutang&amp;piutang'!F15</f>
        <v>.000005</v>
      </c>
      <c r="AD15" s="7">
        <f>'modul hutang&amp;piutang'!G15</f>
        <v>8</v>
      </c>
      <c r="AE15" s="103">
        <f>'modul hutang&amp;piutang'!I15</f>
        <v>300000</v>
      </c>
      <c r="AF15" s="103"/>
      <c r="AG15" s="7">
        <f>'Cash Activity'!Y13</f>
        <v>3</v>
      </c>
      <c r="AH15" s="7">
        <f>'Cash Activity'!Z13</f>
        <v>1</v>
      </c>
      <c r="AI15" s="7"/>
    </row>
    <row r="16" spans="1:35" x14ac:dyDescent="0.25">
      <c r="A16" s="105">
        <v>14</v>
      </c>
      <c r="B16" s="105" t="str">
        <f>'Cash Activity'!D14</f>
        <v>4.12</v>
      </c>
      <c r="C16" s="105" t="str">
        <f>'Cash Activity'!F14</f>
        <v>.000006</v>
      </c>
      <c r="D16" s="105">
        <f>'Cash Activity'!V14</f>
        <v>24</v>
      </c>
      <c r="E16" s="106">
        <v>500000</v>
      </c>
      <c r="F16" s="106"/>
      <c r="G16" s="105">
        <f>'Cash Activity'!B14</f>
        <v>3</v>
      </c>
      <c r="H16" s="105">
        <f>'Cash Activity'!C14</f>
        <v>4</v>
      </c>
      <c r="I16" s="105" t="str">
        <f>'Cash Activity'!E14</f>
        <v>CIn</v>
      </c>
      <c r="J16" s="105">
        <f>'Cash Activity'!G14</f>
        <v>8</v>
      </c>
      <c r="K16" s="105" t="str">
        <f>'Cash Activity'!H14</f>
        <v>dodi kusuma</v>
      </c>
      <c r="L16" s="105">
        <f>'Cash Activity'!I14</f>
        <v>217229385</v>
      </c>
      <c r="M16" s="105" t="str">
        <f>'Cash Activity'!J14</f>
        <v>dodikusuma@yahoo.co.id</v>
      </c>
      <c r="N16" s="105">
        <f>'Cash Activity'!K14</f>
        <v>1</v>
      </c>
      <c r="O16" s="105" t="str">
        <f>'Cash Activity'!L14</f>
        <v>IDR</v>
      </c>
      <c r="P16" s="105">
        <f>'Cash Activity'!M14</f>
        <v>1</v>
      </c>
      <c r="Q16" s="105">
        <f>'Cash Activity'!Q14</f>
        <v>0</v>
      </c>
      <c r="R16" s="105">
        <f>'Cash Activity'!R14</f>
        <v>0</v>
      </c>
      <c r="S16" s="107">
        <f>'Cash Activity'!N14</f>
        <v>43262</v>
      </c>
      <c r="T16" s="107"/>
      <c r="U16" s="105" t="s">
        <v>1633</v>
      </c>
      <c r="V16" s="105">
        <f>'Cash Activity'!O14</f>
        <v>1</v>
      </c>
      <c r="W16" s="105">
        <f>'Cash Activity'!P14</f>
        <v>5</v>
      </c>
      <c r="X16" s="105">
        <f>'Cash Activity'!S14</f>
        <v>4</v>
      </c>
      <c r="Y16" s="105" t="str">
        <f>'Cash Activity'!T14</f>
        <v>dea fitri maharani</v>
      </c>
      <c r="Z16" s="105"/>
      <c r="AA16" s="105"/>
      <c r="AB16" s="105" t="str">
        <f t="shared" ref="AB16" si="3">CONCATENATE(B16,".",A16)</f>
        <v>4.12.14</v>
      </c>
      <c r="AC16" s="105" t="str">
        <f>C16</f>
        <v>.000006</v>
      </c>
      <c r="AD16" s="105">
        <f>'rekening perkiraan'!A10</f>
        <v>8</v>
      </c>
      <c r="AE16" s="106"/>
      <c r="AF16" s="106">
        <v>500000</v>
      </c>
      <c r="AG16" s="105">
        <f>'Cash Activity'!Y14</f>
        <v>1</v>
      </c>
      <c r="AH16" s="105">
        <f>'Cash Activity'!Z14</f>
        <v>1</v>
      </c>
      <c r="AI16" s="105"/>
    </row>
    <row r="17" spans="1:35" x14ac:dyDescent="0.25">
      <c r="A17" s="105">
        <v>15</v>
      </c>
      <c r="B17" s="105" t="str">
        <f>'Cash Activity'!D15</f>
        <v>4.13</v>
      </c>
      <c r="C17" s="105" t="str">
        <f>'Cash Activity'!F15</f>
        <v>.000006</v>
      </c>
      <c r="D17" s="105">
        <f>'Cash Activity'!V15</f>
        <v>6</v>
      </c>
      <c r="E17" s="106">
        <v>500000</v>
      </c>
      <c r="F17" s="106"/>
      <c r="G17" s="105">
        <f>'Cash Activity'!B15</f>
        <v>3</v>
      </c>
      <c r="H17" s="105">
        <f>'Cash Activity'!C15</f>
        <v>4</v>
      </c>
      <c r="I17" s="105" t="str">
        <f>'Cash Activity'!E15</f>
        <v>CIn</v>
      </c>
      <c r="J17" s="105">
        <f>'Cash Activity'!G15</f>
        <v>8</v>
      </c>
      <c r="K17" s="105" t="str">
        <f>'Cash Activity'!H15</f>
        <v>dodi kusuma</v>
      </c>
      <c r="L17" s="105">
        <f>'Cash Activity'!I15</f>
        <v>217229385</v>
      </c>
      <c r="M17" s="105" t="str">
        <f>'Cash Activity'!J15</f>
        <v>dodikusuma@yahoo.co.id</v>
      </c>
      <c r="N17" s="105">
        <f>'Cash Activity'!K15</f>
        <v>1</v>
      </c>
      <c r="O17" s="105" t="str">
        <f>'Cash Activity'!L15</f>
        <v>IDR</v>
      </c>
      <c r="P17" s="105">
        <f>'Cash Activity'!M15</f>
        <v>1</v>
      </c>
      <c r="Q17" s="105">
        <f>'Cash Activity'!Q15</f>
        <v>0</v>
      </c>
      <c r="R17" s="105">
        <f>'Cash Activity'!R15</f>
        <v>0</v>
      </c>
      <c r="S17" s="107">
        <f>'Cash Activity'!N15</f>
        <v>43262</v>
      </c>
      <c r="T17" s="107"/>
      <c r="U17" s="105" t="s">
        <v>1627</v>
      </c>
      <c r="V17" s="105">
        <f>'Cash Activity'!O15</f>
        <v>1</v>
      </c>
      <c r="W17" s="105">
        <f>'Cash Activity'!P15</f>
        <v>5</v>
      </c>
      <c r="X17" s="105">
        <f>'Cash Activity'!S15</f>
        <v>4</v>
      </c>
      <c r="Y17" s="105" t="str">
        <f>'Cash Activity'!T15</f>
        <v>dea fitri maharani</v>
      </c>
      <c r="Z17" s="105"/>
      <c r="AA17" s="105"/>
      <c r="AB17" s="105" t="str">
        <f>'modul hutang&amp;piutang'!E17</f>
        <v>4.12</v>
      </c>
      <c r="AC17" s="105" t="str">
        <f>'modul hutang&amp;piutang'!F17</f>
        <v>.000006</v>
      </c>
      <c r="AD17" s="105">
        <f>'modul hutang&amp;piutang'!G17</f>
        <v>24</v>
      </c>
      <c r="AE17" s="113"/>
      <c r="AF17" s="106">
        <f>'modul hutang&amp;piutang'!H17</f>
        <v>500000</v>
      </c>
      <c r="AG17" s="105">
        <f>'Cash Activity'!Y15</f>
        <v>2</v>
      </c>
      <c r="AH17" s="105">
        <f>'Cash Activity'!Z15</f>
        <v>1</v>
      </c>
      <c r="AI17" s="105"/>
    </row>
    <row r="18" spans="1:35" x14ac:dyDescent="0.25">
      <c r="A18" s="105">
        <v>16</v>
      </c>
      <c r="B18" s="105" t="str">
        <f>'Cash Activity'!D16</f>
        <v>5.14</v>
      </c>
      <c r="C18" s="105" t="str">
        <f>'Cash Activity'!F16</f>
        <v>.000005</v>
      </c>
      <c r="D18" s="105">
        <f>'Cash Activity'!V16</f>
        <v>25</v>
      </c>
      <c r="E18" s="106"/>
      <c r="F18" s="106">
        <v>500000</v>
      </c>
      <c r="G18" s="105">
        <f>'Cash Activity'!B16</f>
        <v>4</v>
      </c>
      <c r="H18" s="105">
        <f>'Cash Activity'!C16</f>
        <v>5</v>
      </c>
      <c r="I18" s="105" t="str">
        <f>'Cash Activity'!E16</f>
        <v>Cout</v>
      </c>
      <c r="J18" s="105">
        <f>'Cash Activity'!G16</f>
        <v>8</v>
      </c>
      <c r="K18" s="105" t="str">
        <f>'Cash Activity'!H16</f>
        <v>dodi kusuma</v>
      </c>
      <c r="L18" s="105">
        <f>'Cash Activity'!I16</f>
        <v>217229385</v>
      </c>
      <c r="M18" s="105" t="str">
        <f>'Cash Activity'!J16</f>
        <v>dodikusuma@yahoo.co.id</v>
      </c>
      <c r="N18" s="105">
        <f>'Cash Activity'!K16</f>
        <v>1</v>
      </c>
      <c r="O18" s="105" t="str">
        <f>'Cash Activity'!L16</f>
        <v>IDR</v>
      </c>
      <c r="P18" s="105">
        <f>'Cash Activity'!M16</f>
        <v>1</v>
      </c>
      <c r="Q18" s="105">
        <f>'Cash Activity'!Q16</f>
        <v>0</v>
      </c>
      <c r="R18" s="105">
        <f>'Cash Activity'!R16</f>
        <v>0</v>
      </c>
      <c r="S18" s="107">
        <f>'Cash Activity'!N16</f>
        <v>43263</v>
      </c>
      <c r="T18" s="107"/>
      <c r="U18" s="105" t="s">
        <v>1635</v>
      </c>
      <c r="V18" s="105">
        <f>'Cash Activity'!O16</f>
        <v>1</v>
      </c>
      <c r="W18" s="105">
        <f>'Cash Activity'!P16</f>
        <v>6</v>
      </c>
      <c r="X18" s="105">
        <f>'Cash Activity'!S16</f>
        <v>6</v>
      </c>
      <c r="Y18" s="105" t="str">
        <f>'Cash Activity'!T16</f>
        <v>yusril</v>
      </c>
      <c r="Z18" s="105"/>
      <c r="AA18" s="105"/>
      <c r="AB18" s="105" t="str">
        <f>'modul hutang&amp;piutang'!E18</f>
        <v>4.12.14</v>
      </c>
      <c r="AC18" s="105" t="str">
        <f>'modul hutang&amp;piutang'!F18</f>
        <v>.000006</v>
      </c>
      <c r="AD18" s="105">
        <f>'modul hutang&amp;piutang'!G18</f>
        <v>8</v>
      </c>
      <c r="AE18" s="106">
        <f>'modul hutang&amp;piutang'!I18</f>
        <v>500000</v>
      </c>
      <c r="AF18" s="113"/>
      <c r="AG18" s="105">
        <f>'Cash Activity'!Y16</f>
        <v>3</v>
      </c>
      <c r="AH18" s="105">
        <f>'Cash Activity'!Z16</f>
        <v>1</v>
      </c>
      <c r="AI18" s="105"/>
    </row>
    <row r="19" spans="1:35" x14ac:dyDescent="0.25">
      <c r="A19" s="105">
        <v>17</v>
      </c>
      <c r="B19" s="105" t="str">
        <f>'Cash Activity'!D17</f>
        <v>5.15</v>
      </c>
      <c r="C19" s="105" t="str">
        <f>'Cash Activity'!F17</f>
        <v>.000005</v>
      </c>
      <c r="D19" s="105">
        <f>'Cash Activity'!V17</f>
        <v>6</v>
      </c>
      <c r="E19" s="106"/>
      <c r="F19" s="106">
        <v>500000</v>
      </c>
      <c r="G19" s="105">
        <f>'Cash Activity'!B17</f>
        <v>4</v>
      </c>
      <c r="H19" s="105">
        <f>'Cash Activity'!C17</f>
        <v>5</v>
      </c>
      <c r="I19" s="105" t="str">
        <f>'Cash Activity'!E17</f>
        <v>Cout</v>
      </c>
      <c r="J19" s="105">
        <f>'Cash Activity'!G17</f>
        <v>8</v>
      </c>
      <c r="K19" s="105" t="str">
        <f>'Cash Activity'!H17</f>
        <v>dodi kusuma</v>
      </c>
      <c r="L19" s="105">
        <f>'Cash Activity'!I17</f>
        <v>217229385</v>
      </c>
      <c r="M19" s="105" t="str">
        <f>'Cash Activity'!J17</f>
        <v>dodikusuma@yahoo.co.id</v>
      </c>
      <c r="N19" s="105">
        <f>'Cash Activity'!K17</f>
        <v>1</v>
      </c>
      <c r="O19" s="105" t="str">
        <f>'Cash Activity'!L17</f>
        <v>IDR</v>
      </c>
      <c r="P19" s="105">
        <f>'Cash Activity'!M17</f>
        <v>1</v>
      </c>
      <c r="Q19" s="105">
        <f>'Cash Activity'!Q17</f>
        <v>0</v>
      </c>
      <c r="R19" s="105">
        <f>'Cash Activity'!R17</f>
        <v>0</v>
      </c>
      <c r="S19" s="107">
        <f>'Cash Activity'!N17</f>
        <v>43263</v>
      </c>
      <c r="T19" s="107"/>
      <c r="U19" s="105" t="s">
        <v>1628</v>
      </c>
      <c r="V19" s="105">
        <f>'Cash Activity'!O17</f>
        <v>1</v>
      </c>
      <c r="W19" s="105">
        <f>'Cash Activity'!P17</f>
        <v>6</v>
      </c>
      <c r="X19" s="105">
        <f>'Cash Activity'!S17</f>
        <v>6</v>
      </c>
      <c r="Y19" s="105" t="str">
        <f>'Cash Activity'!T17</f>
        <v>yusril</v>
      </c>
      <c r="Z19" s="105"/>
      <c r="AA19" s="105"/>
      <c r="AB19" s="105" t="str">
        <f>'modul hutang&amp;piutang'!E20</f>
        <v>5.14</v>
      </c>
      <c r="AC19" s="105" t="str">
        <f>'modul hutang&amp;piutang'!F20</f>
        <v>.000005</v>
      </c>
      <c r="AD19" s="105">
        <f>'modul hutang&amp;piutang'!G20</f>
        <v>25</v>
      </c>
      <c r="AE19" s="106">
        <f>'modul hutang&amp;piutang'!I20</f>
        <v>500000</v>
      </c>
      <c r="AF19" s="106"/>
      <c r="AG19" s="105">
        <f>'Cash Activity'!Y17</f>
        <v>1</v>
      </c>
      <c r="AH19" s="105">
        <f>'Cash Activity'!Z17</f>
        <v>1</v>
      </c>
      <c r="AI19" s="105"/>
    </row>
    <row r="20" spans="1:35" x14ac:dyDescent="0.25">
      <c r="A20" s="160">
        <v>18</v>
      </c>
      <c r="B20" s="160" t="str">
        <f>'Cash Activity'!D18</f>
        <v>6.16</v>
      </c>
      <c r="C20" s="16" t="str">
        <f>'Cash Activity'!F18</f>
        <v>.000001</v>
      </c>
      <c r="D20" s="16">
        <f>'Cash Activity'!V18</f>
        <v>6</v>
      </c>
      <c r="E20" s="108"/>
      <c r="F20" s="108">
        <v>150000</v>
      </c>
      <c r="G20" s="16">
        <f>'Cash Activity'!B18</f>
        <v>5</v>
      </c>
      <c r="H20" s="16">
        <f>'Cash Activity'!C18</f>
        <v>6</v>
      </c>
      <c r="I20" s="16" t="str">
        <f>'Cash Activity'!E18</f>
        <v>TR</v>
      </c>
      <c r="J20" s="16" t="str">
        <f>'Cash Activity'!G18</f>
        <v>-</v>
      </c>
      <c r="K20" s="16" t="str">
        <f>'Cash Activity'!H18</f>
        <v>-</v>
      </c>
      <c r="L20" s="16" t="str">
        <f>'Cash Activity'!I18</f>
        <v>-</v>
      </c>
      <c r="M20" s="16" t="str">
        <f>'Cash Activity'!J18</f>
        <v>-</v>
      </c>
      <c r="N20" s="16">
        <f>'Cash Activity'!K18</f>
        <v>1</v>
      </c>
      <c r="O20" s="16" t="str">
        <f>'Cash Activity'!L18</f>
        <v>IDR</v>
      </c>
      <c r="P20" s="16">
        <f>'Cash Activity'!M18</f>
        <v>1</v>
      </c>
      <c r="Q20" s="16">
        <f>'Cash Activity'!Q18</f>
        <v>0</v>
      </c>
      <c r="R20" s="16">
        <f>'Cash Activity'!R18</f>
        <v>0</v>
      </c>
      <c r="S20" s="109">
        <f>'Cash Activity'!N18</f>
        <v>43264</v>
      </c>
      <c r="T20" s="109"/>
      <c r="U20" s="16" t="s">
        <v>1636</v>
      </c>
      <c r="V20" s="16">
        <f>'Cash Activity'!O18</f>
        <v>0</v>
      </c>
      <c r="W20" s="16">
        <f>'Cash Activity'!P18</f>
        <v>0</v>
      </c>
      <c r="X20" s="16">
        <f>'Cash Activity'!S18</f>
        <v>4</v>
      </c>
      <c r="Y20" s="16" t="str">
        <f>'Cash Activity'!T18</f>
        <v>dea fitri maharani</v>
      </c>
      <c r="Z20" s="16"/>
      <c r="AA20" s="16"/>
      <c r="AB20" s="1" t="str">
        <f t="shared" ref="AB20" si="4">CONCATENATE(B20,".",A20)</f>
        <v>6.16.18</v>
      </c>
      <c r="AC20" s="16" t="str">
        <f>C20</f>
        <v>.000001</v>
      </c>
      <c r="AD20" s="16">
        <f>'rekening perkiraan'!A11</f>
        <v>9</v>
      </c>
      <c r="AE20" s="108">
        <v>150000</v>
      </c>
      <c r="AF20" s="108"/>
      <c r="AG20" s="16">
        <f>'Cash Activity'!Y18</f>
        <v>1</v>
      </c>
      <c r="AH20" s="16">
        <f>'Cash Activity'!Z18</f>
        <v>1</v>
      </c>
      <c r="AI20" s="16"/>
    </row>
    <row r="21" spans="1:35" x14ac:dyDescent="0.25">
      <c r="A21" s="16"/>
      <c r="B21" s="16"/>
      <c r="C21" s="16"/>
      <c r="D21" s="16"/>
      <c r="E21" s="108"/>
      <c r="F21" s="10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09"/>
      <c r="T21" s="109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08"/>
      <c r="AF21" s="108"/>
      <c r="AG21" s="16"/>
      <c r="AH21" s="16"/>
      <c r="AI21" s="16"/>
    </row>
    <row r="22" spans="1:35" x14ac:dyDescent="0.25">
      <c r="A22" s="150">
        <v>19</v>
      </c>
      <c r="B22" s="150" t="str">
        <f>'R&amp;PP'!D7</f>
        <v>3.1</v>
      </c>
      <c r="C22" s="150" t="str">
        <f>'R&amp;PP'!F7</f>
        <v>.000001</v>
      </c>
      <c r="D22" s="150">
        <f>'R&amp;PP'!S7</f>
        <v>6</v>
      </c>
      <c r="E22" s="151">
        <v>99000000</v>
      </c>
      <c r="F22" s="151"/>
      <c r="G22" s="150">
        <f>'R&amp;PP'!B7</f>
        <v>2</v>
      </c>
      <c r="H22" s="150">
        <f>'R&amp;PP'!C7</f>
        <v>3</v>
      </c>
      <c r="I22" s="150" t="str">
        <f>'R&amp;PP'!E7</f>
        <v>CR</v>
      </c>
      <c r="J22" s="150">
        <f>'R&amp;PP'!G7</f>
        <v>1</v>
      </c>
      <c r="K22" s="150" t="str">
        <f>'R&amp;PP'!H7</f>
        <v>dimas dhaniarso</v>
      </c>
      <c r="L22" s="150">
        <f>'R&amp;PP'!I7</f>
        <v>81273845323</v>
      </c>
      <c r="M22" s="150" t="str">
        <f>'R&amp;PP'!J7</f>
        <v>dhadan33@gmail.com</v>
      </c>
      <c r="N22" s="150">
        <f>'data mata uang'!A3</f>
        <v>1</v>
      </c>
      <c r="O22" s="150" t="str">
        <f>'data mata uang'!D3</f>
        <v>IDR</v>
      </c>
      <c r="P22" s="150">
        <f>'data mata uang'!G3</f>
        <v>1</v>
      </c>
      <c r="Q22" s="150">
        <f>'R&amp;PP'!N7</f>
        <v>0</v>
      </c>
      <c r="R22" s="150">
        <f>'R&amp;PP'!O7</f>
        <v>0</v>
      </c>
      <c r="S22" s="152">
        <f>'R&amp;PP'!K7</f>
        <v>43259</v>
      </c>
      <c r="T22" s="152"/>
      <c r="U22" s="150" t="s">
        <v>1638</v>
      </c>
      <c r="V22" s="150">
        <f>'R&amp;PP'!L7</f>
        <v>0</v>
      </c>
      <c r="W22" s="150">
        <f>'R&amp;PP'!M7</f>
        <v>0</v>
      </c>
      <c r="X22" s="150">
        <f>'R&amp;PP'!P7</f>
        <v>6</v>
      </c>
      <c r="Y22" s="150" t="str">
        <f>'R&amp;PP'!Q7</f>
        <v>yusril</v>
      </c>
      <c r="Z22" s="150"/>
      <c r="AA22" s="150"/>
      <c r="AB22" s="150" t="str">
        <f>'modul hutang&amp;piutang'!E25</f>
        <v>7.2</v>
      </c>
      <c r="AC22" s="150" t="str">
        <f>'modul hutang&amp;piutang'!F25</f>
        <v>SJ.000002</v>
      </c>
      <c r="AD22" s="150">
        <f>'modul hutang&amp;piutang'!G25</f>
        <v>7</v>
      </c>
      <c r="AE22" s="151"/>
      <c r="AF22" s="151">
        <v>99000000</v>
      </c>
      <c r="AG22" s="150">
        <f>'R&amp;PP'!V7</f>
        <v>3</v>
      </c>
      <c r="AH22" s="150">
        <f>'R&amp;PP'!W7</f>
        <v>1</v>
      </c>
      <c r="AI22" s="150"/>
    </row>
    <row r="23" spans="1:35" s="134" customFormat="1" x14ac:dyDescent="0.25">
      <c r="A23" s="150"/>
      <c r="B23" s="150" t="str">
        <f>'R&amp;PP'!D8</f>
        <v>2.4</v>
      </c>
      <c r="C23" s="150" t="str">
        <f>'R&amp;PP'!F8</f>
        <v>.000003</v>
      </c>
      <c r="D23" s="150">
        <f>'R&amp;PP'!S8</f>
        <v>6</v>
      </c>
      <c r="E23" s="151"/>
      <c r="F23" s="151">
        <v>132000000</v>
      </c>
      <c r="G23" s="150">
        <f>'R&amp;PP'!B8</f>
        <v>1</v>
      </c>
      <c r="H23" s="150">
        <f>'R&amp;PP'!C8</f>
        <v>2</v>
      </c>
      <c r="I23" s="150" t="str">
        <f>'R&amp;PP'!E8</f>
        <v>CD</v>
      </c>
      <c r="J23" s="150">
        <f>'R&amp;PP'!G8</f>
        <v>8</v>
      </c>
      <c r="K23" s="150" t="str">
        <f>'R&amp;PP'!H8</f>
        <v>dodi kusuma</v>
      </c>
      <c r="L23" s="150">
        <f>'R&amp;PP'!I8</f>
        <v>217229385</v>
      </c>
      <c r="M23" s="150" t="str">
        <f>'R&amp;PP'!J8</f>
        <v>dodikusuma@yahoo.co.id</v>
      </c>
      <c r="N23" s="150">
        <f>'data mata uang'!A3</f>
        <v>1</v>
      </c>
      <c r="O23" s="150" t="str">
        <f>'data mata uang'!D3</f>
        <v>IDR</v>
      </c>
      <c r="P23" s="150">
        <f>'data mata uang'!G3</f>
        <v>1</v>
      </c>
      <c r="Q23" s="150">
        <f>'R&amp;PP'!N8</f>
        <v>0</v>
      </c>
      <c r="R23" s="150">
        <f>'R&amp;PP'!O8</f>
        <v>0</v>
      </c>
      <c r="S23" s="152">
        <f>'R&amp;PP'!K8</f>
        <v>43259</v>
      </c>
      <c r="T23" s="152"/>
      <c r="U23" s="150" t="s">
        <v>1647</v>
      </c>
      <c r="V23" s="150">
        <f>'R&amp;PP'!L8</f>
        <v>0</v>
      </c>
      <c r="W23" s="150">
        <f>'R&amp;PP'!M8</f>
        <v>0</v>
      </c>
      <c r="X23" s="150">
        <f>'R&amp;PP'!P8</f>
        <v>6</v>
      </c>
      <c r="Y23" s="150" t="str">
        <f>'R&amp;PP'!Q8</f>
        <v>yusril</v>
      </c>
      <c r="Z23" s="150"/>
      <c r="AA23" s="150"/>
      <c r="AB23" s="150" t="str">
        <f>'modul hutang&amp;piutang'!E52</f>
        <v>8.4</v>
      </c>
      <c r="AC23" s="150" t="str">
        <f>'modul hutang&amp;piutang'!F52</f>
        <v>PJ.000004</v>
      </c>
      <c r="AD23" s="150">
        <f>'modul hutang&amp;piutang'!G52</f>
        <v>8</v>
      </c>
      <c r="AE23" s="151">
        <v>132000000</v>
      </c>
      <c r="AF23" s="151"/>
      <c r="AG23" s="150">
        <f>'R&amp;PP'!V8</f>
        <v>3</v>
      </c>
      <c r="AH23" s="150">
        <f>'R&amp;PP'!W8</f>
        <v>1</v>
      </c>
      <c r="AI23" s="150"/>
    </row>
    <row r="24" spans="1:35" s="148" customFormat="1" x14ac:dyDescent="0.25">
      <c r="A24" s="160"/>
      <c r="B24" s="160"/>
      <c r="C24" s="160"/>
      <c r="D24" s="160"/>
      <c r="E24" s="161"/>
      <c r="F24" s="16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2"/>
      <c r="T24" s="162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1"/>
      <c r="AF24" s="161"/>
      <c r="AG24" s="160"/>
      <c r="AH24" s="160"/>
      <c r="AI24" s="160"/>
    </row>
    <row r="25" spans="1:35" s="148" customFormat="1" x14ac:dyDescent="0.25">
      <c r="A25" s="150"/>
      <c r="B25" s="150" t="str">
        <f>'R&amp;PP'!D9</f>
        <v>3.3</v>
      </c>
      <c r="C25" s="150" t="str">
        <f>'R&amp;PP'!F9</f>
        <v>.000003</v>
      </c>
      <c r="D25" s="150">
        <f>'R&amp;PP'!S9</f>
        <v>9</v>
      </c>
      <c r="E25" s="151">
        <v>1600000</v>
      </c>
      <c r="F25" s="151"/>
      <c r="G25" s="150">
        <f>'R&amp;PP'!B9</f>
        <v>2</v>
      </c>
      <c r="H25" s="150">
        <f>'R&amp;PP'!C9</f>
        <v>3</v>
      </c>
      <c r="I25" s="150" t="str">
        <f>'R&amp;PP'!E9</f>
        <v>CR</v>
      </c>
      <c r="J25" s="150">
        <f>'R&amp;PP'!G9</f>
        <v>1</v>
      </c>
      <c r="K25" s="150" t="str">
        <f>'R&amp;PP'!H9</f>
        <v>dimas dhaniarso</v>
      </c>
      <c r="L25" s="150">
        <f>'R&amp;PP'!I9</f>
        <v>81273845323</v>
      </c>
      <c r="M25" s="150" t="str">
        <f>'R&amp;PP'!J9</f>
        <v>dhadan33@gmail.com</v>
      </c>
      <c r="N25" s="150">
        <f>'data mata uang'!A3</f>
        <v>1</v>
      </c>
      <c r="O25" s="150" t="str">
        <f>'data mata uang'!D3</f>
        <v>IDR</v>
      </c>
      <c r="P25" s="150">
        <f>'data mata uang'!G3</f>
        <v>1</v>
      </c>
      <c r="Q25" s="150">
        <f>'R&amp;PP'!N9</f>
        <v>0</v>
      </c>
      <c r="R25" s="150">
        <f>'R&amp;PP'!O9</f>
        <v>0</v>
      </c>
      <c r="S25" s="152">
        <f>'R&amp;PP'!K9</f>
        <v>43261</v>
      </c>
      <c r="T25" s="152"/>
      <c r="U25" s="150" t="s">
        <v>1648</v>
      </c>
      <c r="V25" s="150">
        <f>'R&amp;PP'!L9</f>
        <v>0</v>
      </c>
      <c r="W25" s="150">
        <f>'R&amp;PP'!M9</f>
        <v>0</v>
      </c>
      <c r="X25" s="150">
        <f>'R&amp;PP'!P9</f>
        <v>5</v>
      </c>
      <c r="Y25" s="150" t="str">
        <f>'R&amp;PP'!Q9</f>
        <v>gisela tria canitha</v>
      </c>
      <c r="Z25" s="150"/>
      <c r="AA25" s="150"/>
      <c r="AB25" s="150" t="str">
        <f>'modul hutang&amp;piutang'!E29</f>
        <v>18.1</v>
      </c>
      <c r="AC25" s="150" t="str">
        <f>'modul hutang&amp;piutang'!F29</f>
        <v>SJ.000003</v>
      </c>
      <c r="AD25" s="150">
        <f>'modul hutang&amp;piutang'!G29</f>
        <v>7</v>
      </c>
      <c r="AE25" s="151"/>
      <c r="AF25" s="151">
        <v>1600000</v>
      </c>
      <c r="AG25" s="150">
        <f>'R&amp;PP'!V9</f>
        <v>2</v>
      </c>
      <c r="AH25" s="150">
        <f>'R&amp;PP'!W9</f>
        <v>1</v>
      </c>
      <c r="AI25" s="150"/>
    </row>
    <row r="26" spans="1:35" s="148" customFormat="1" x14ac:dyDescent="0.25">
      <c r="A26" s="150">
        <v>20</v>
      </c>
      <c r="B26" s="169" t="str">
        <f>'R&amp;PP'!D10</f>
        <v>3.4</v>
      </c>
      <c r="C26" s="169" t="str">
        <f>'R&amp;PP'!F10</f>
        <v>.000004</v>
      </c>
      <c r="D26" s="169">
        <f>'R&amp;PP'!S10</f>
        <v>25</v>
      </c>
      <c r="E26" s="170">
        <v>5000000</v>
      </c>
      <c r="F26" s="170"/>
      <c r="G26" s="150">
        <f>'R&amp;PP'!B10</f>
        <v>2</v>
      </c>
      <c r="H26" s="150">
        <f>'R&amp;PP'!C10</f>
        <v>3</v>
      </c>
      <c r="I26" s="150" t="str">
        <f>'R&amp;PP'!E10</f>
        <v>CR</v>
      </c>
      <c r="J26" s="150">
        <f>'R&amp;PP'!G10</f>
        <v>1</v>
      </c>
      <c r="K26" s="150" t="str">
        <f>'R&amp;PP'!H10</f>
        <v>dimas dhaniarso</v>
      </c>
      <c r="L26" s="150">
        <f>'R&amp;PP'!I10</f>
        <v>81273845323</v>
      </c>
      <c r="M26" s="150" t="str">
        <f>'R&amp;PP'!J10</f>
        <v>dhadan33@gmail.com</v>
      </c>
      <c r="N26" s="150">
        <f>'data mata uang'!A3</f>
        <v>1</v>
      </c>
      <c r="O26" s="150" t="str">
        <f>'data mata uang'!D3</f>
        <v>IDR</v>
      </c>
      <c r="P26" s="150">
        <f>'data mata uang'!G3</f>
        <v>1</v>
      </c>
      <c r="Q26" s="150">
        <f>'R&amp;PP'!N10</f>
        <v>0</v>
      </c>
      <c r="R26" s="150">
        <f>'R&amp;PP'!O10</f>
        <v>0</v>
      </c>
      <c r="S26" s="152">
        <f>'R&amp;PP'!K10</f>
        <v>43262</v>
      </c>
      <c r="T26" s="152"/>
      <c r="U26" s="150" t="s">
        <v>1639</v>
      </c>
      <c r="V26" s="150">
        <f>'R&amp;PP'!L10</f>
        <v>1</v>
      </c>
      <c r="W26" s="150">
        <f>'R&amp;PP'!M10</f>
        <v>7</v>
      </c>
      <c r="X26" s="150">
        <f>'R&amp;PP'!P10</f>
        <v>6</v>
      </c>
      <c r="Y26" s="150" t="str">
        <f>'R&amp;PP'!Q10</f>
        <v>yusril</v>
      </c>
      <c r="Z26" s="150"/>
      <c r="AA26" s="150"/>
      <c r="AB26" s="150" t="str">
        <f>'modul hutang&amp;piutang'!E30</f>
        <v>18.1</v>
      </c>
      <c r="AC26" s="150" t="str">
        <f>'modul hutang&amp;piutang'!F30</f>
        <v>SJ.000003</v>
      </c>
      <c r="AD26" s="150">
        <f>'modul hutang&amp;piutang'!G30</f>
        <v>7</v>
      </c>
      <c r="AE26" s="151"/>
      <c r="AF26" s="151">
        <v>5000000</v>
      </c>
      <c r="AG26" s="150">
        <f>'R&amp;PP'!V10</f>
        <v>3</v>
      </c>
      <c r="AH26" s="150">
        <f>'R&amp;PP'!W10</f>
        <v>1</v>
      </c>
      <c r="AI26" s="150"/>
    </row>
    <row r="27" spans="1:35" x14ac:dyDescent="0.25">
      <c r="A27" s="150">
        <v>21</v>
      </c>
      <c r="B27" s="150" t="str">
        <f>'R&amp;PP'!D11</f>
        <v>3.5</v>
      </c>
      <c r="C27" s="150" t="str">
        <f>'R&amp;PP'!F11</f>
        <v>.000004</v>
      </c>
      <c r="D27" s="150">
        <f>'R&amp;PP'!S11</f>
        <v>6</v>
      </c>
      <c r="E27" s="151">
        <f>E26</f>
        <v>5000000</v>
      </c>
      <c r="F27" s="151"/>
      <c r="G27" s="150">
        <f>'R&amp;PP'!B11</f>
        <v>2</v>
      </c>
      <c r="H27" s="150">
        <f>'R&amp;PP'!C11</f>
        <v>3</v>
      </c>
      <c r="I27" s="150" t="str">
        <f>'R&amp;PP'!E11</f>
        <v>CR</v>
      </c>
      <c r="J27" s="150">
        <f>'R&amp;PP'!G11</f>
        <v>1</v>
      </c>
      <c r="K27" s="150" t="str">
        <f>'R&amp;PP'!H11</f>
        <v>dimas dhaniarso</v>
      </c>
      <c r="L27" s="150">
        <f>'R&amp;PP'!I11</f>
        <v>81273845323</v>
      </c>
      <c r="M27" s="150" t="str">
        <f>'R&amp;PP'!J11</f>
        <v>dhadan33@gmail.com</v>
      </c>
      <c r="N27" s="150">
        <f>'data mata uang'!A3</f>
        <v>1</v>
      </c>
      <c r="O27" s="150" t="str">
        <f>'data mata uang'!D3</f>
        <v>IDR</v>
      </c>
      <c r="P27" s="150">
        <f>'data mata uang'!G3</f>
        <v>1</v>
      </c>
      <c r="Q27" s="150">
        <f>'R&amp;PP'!N11</f>
        <v>0</v>
      </c>
      <c r="R27" s="150">
        <f>'R&amp;PP'!O11</f>
        <v>0</v>
      </c>
      <c r="S27" s="152">
        <f>'R&amp;PP'!K11</f>
        <v>43262</v>
      </c>
      <c r="T27" s="152"/>
      <c r="U27" s="150" t="s">
        <v>1627</v>
      </c>
      <c r="V27" s="150">
        <f>'R&amp;PP'!L11</f>
        <v>1</v>
      </c>
      <c r="W27" s="150">
        <f>'R&amp;PP'!M11</f>
        <v>7</v>
      </c>
      <c r="X27" s="150">
        <f>'R&amp;PP'!P11</f>
        <v>6</v>
      </c>
      <c r="Y27" s="150" t="str">
        <f>'R&amp;PP'!Q11</f>
        <v>yusril</v>
      </c>
      <c r="Z27" s="150"/>
      <c r="AA27" s="150"/>
      <c r="AB27" s="150" t="str">
        <f>'modul hutang&amp;piutang'!E32</f>
        <v>3.4</v>
      </c>
      <c r="AC27" s="150" t="str">
        <f>'modul hutang&amp;piutang'!F32</f>
        <v>.000004</v>
      </c>
      <c r="AD27" s="150">
        <f>'modul hutang&amp;piutang'!G32</f>
        <v>25</v>
      </c>
      <c r="AE27" s="151"/>
      <c r="AF27" s="151">
        <f>E27</f>
        <v>5000000</v>
      </c>
      <c r="AG27" s="150">
        <f>'R&amp;PP'!V11</f>
        <v>1</v>
      </c>
      <c r="AH27" s="150">
        <f>'R&amp;PP'!W11</f>
        <v>1</v>
      </c>
      <c r="AI27" s="150"/>
    </row>
    <row r="28" spans="1:35" s="148" customFormat="1" x14ac:dyDescent="0.25">
      <c r="A28" s="160"/>
      <c r="B28" s="160"/>
      <c r="C28" s="160"/>
      <c r="D28" s="160"/>
      <c r="E28" s="161"/>
      <c r="F28" s="16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2"/>
      <c r="T28" s="162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1"/>
      <c r="AF28" s="161"/>
      <c r="AG28" s="160"/>
      <c r="AH28" s="160"/>
      <c r="AI28" s="160"/>
    </row>
    <row r="29" spans="1:35" x14ac:dyDescent="0.25">
      <c r="A29" s="150"/>
      <c r="B29" s="150" t="str">
        <f>'R&amp;PP'!D3</f>
        <v>2.1</v>
      </c>
      <c r="C29" s="150" t="str">
        <f>'R&amp;PP'!F3</f>
        <v>.000001</v>
      </c>
      <c r="D29" s="150">
        <f>'R&amp;PP'!S3</f>
        <v>6</v>
      </c>
      <c r="E29" s="150"/>
      <c r="F29" s="151">
        <v>22000000</v>
      </c>
      <c r="G29" s="150">
        <f>'R&amp;PP'!B3</f>
        <v>1</v>
      </c>
      <c r="H29" s="150">
        <f>'R&amp;PP'!C3</f>
        <v>2</v>
      </c>
      <c r="I29" s="150" t="str">
        <f>'R&amp;PP'!E3</f>
        <v>CD</v>
      </c>
      <c r="J29" s="150">
        <f>'R&amp;PP'!G3</f>
        <v>7</v>
      </c>
      <c r="K29" s="150" t="str">
        <f>'R&amp;PP'!H3</f>
        <v>djayakusuma</v>
      </c>
      <c r="L29" s="150">
        <f>'R&amp;PP'!I3</f>
        <v>8170175139</v>
      </c>
      <c r="M29" s="150" t="str">
        <f>'R&amp;PP'!J3</f>
        <v>djayakusuma@gmail.com</v>
      </c>
      <c r="N29" s="150">
        <f>'data mata uang'!A3</f>
        <v>1</v>
      </c>
      <c r="O29" s="150" t="str">
        <f>'data mata uang'!D3</f>
        <v>IDR</v>
      </c>
      <c r="P29" s="150">
        <f>'data mata uang'!G3</f>
        <v>1</v>
      </c>
      <c r="Q29" s="150">
        <f>'R&amp;PP'!N3</f>
        <v>0</v>
      </c>
      <c r="R29" s="150">
        <f>'R&amp;PP'!O3</f>
        <v>0</v>
      </c>
      <c r="S29" s="152">
        <f>'R&amp;PP'!K3</f>
        <v>43257</v>
      </c>
      <c r="T29" s="152"/>
      <c r="U29" s="150" t="s">
        <v>1649</v>
      </c>
      <c r="V29" s="150">
        <f>'R&amp;PP'!L3</f>
        <v>0</v>
      </c>
      <c r="W29" s="150">
        <f>'R&amp;PP'!M3</f>
        <v>0</v>
      </c>
      <c r="X29" s="150">
        <f>'R&amp;PP'!P3</f>
        <v>4</v>
      </c>
      <c r="Y29" s="150" t="str">
        <f>'R&amp;PP'!Q3</f>
        <v>dea fitri maharani</v>
      </c>
      <c r="Z29" s="150"/>
      <c r="AA29" s="150"/>
      <c r="AB29" s="150" t="str">
        <f>'modul hutang&amp;piutang'!E46</f>
        <v>14.1</v>
      </c>
      <c r="AC29" s="150" t="str">
        <f>'modul hutang&amp;piutang'!F46</f>
        <v>PJ.000001</v>
      </c>
      <c r="AD29" s="150">
        <f>'modul hutang&amp;piutang'!G46</f>
        <v>8</v>
      </c>
      <c r="AE29" s="151">
        <v>22000000</v>
      </c>
      <c r="AF29" s="151"/>
      <c r="AG29" s="150">
        <f>'R&amp;PP'!V3</f>
        <v>1</v>
      </c>
      <c r="AH29" s="150">
        <f>'R&amp;PP'!W3</f>
        <v>1</v>
      </c>
      <c r="AI29" s="150"/>
    </row>
    <row r="30" spans="1:35" x14ac:dyDescent="0.25">
      <c r="A30" s="150"/>
      <c r="B30" s="169" t="str">
        <f>'R&amp;PP'!D4</f>
        <v>2.2</v>
      </c>
      <c r="C30" s="169" t="str">
        <f>'R&amp;PP'!F4</f>
        <v>.000002</v>
      </c>
      <c r="D30" s="169">
        <f>'R&amp;PP'!S4</f>
        <v>24</v>
      </c>
      <c r="E30" s="169"/>
      <c r="F30" s="170">
        <v>33000000</v>
      </c>
      <c r="G30" s="150">
        <f>'R&amp;PP'!B4</f>
        <v>1</v>
      </c>
      <c r="H30" s="150">
        <f>'R&amp;PP'!C4</f>
        <v>2</v>
      </c>
      <c r="I30" s="150" t="str">
        <f>'R&amp;PP'!E4</f>
        <v>CD</v>
      </c>
      <c r="J30" s="150">
        <f>'R&amp;PP'!G4</f>
        <v>7</v>
      </c>
      <c r="K30" s="150" t="str">
        <f>'R&amp;PP'!H4</f>
        <v>djayakusuma</v>
      </c>
      <c r="L30" s="150">
        <f>'R&amp;PP'!I4</f>
        <v>8170175139</v>
      </c>
      <c r="M30" s="150" t="str">
        <f>'R&amp;PP'!J4</f>
        <v>djayakusuma@gmail.com</v>
      </c>
      <c r="N30" s="150">
        <f>'data mata uang'!A3</f>
        <v>1</v>
      </c>
      <c r="O30" s="150" t="str">
        <f>'data mata uang'!D3</f>
        <v>IDR</v>
      </c>
      <c r="P30" s="150">
        <f>'data mata uang'!G3</f>
        <v>1</v>
      </c>
      <c r="Q30" s="150">
        <f>'R&amp;PP'!N4</f>
        <v>0</v>
      </c>
      <c r="R30" s="150">
        <f>'R&amp;PP'!O4</f>
        <v>0</v>
      </c>
      <c r="S30" s="152">
        <f>'R&amp;PP'!K4</f>
        <v>43258</v>
      </c>
      <c r="T30" s="152"/>
      <c r="U30" s="150" t="s">
        <v>1650</v>
      </c>
      <c r="V30" s="150">
        <f>'R&amp;PP'!L4</f>
        <v>1</v>
      </c>
      <c r="W30" s="150">
        <f>'R&amp;PP'!M4</f>
        <v>1</v>
      </c>
      <c r="X30" s="150">
        <f>'R&amp;PP'!P4</f>
        <v>5</v>
      </c>
      <c r="Y30" s="150" t="str">
        <f>'R&amp;PP'!Q4</f>
        <v>gisela tria canitha</v>
      </c>
      <c r="Z30" s="150"/>
      <c r="AA30" s="150"/>
      <c r="AB30" s="150" t="str">
        <f>'modul hutang&amp;piutang'!E47</f>
        <v>14.1</v>
      </c>
      <c r="AC30" s="150" t="str">
        <f>'modul hutang&amp;piutang'!F47</f>
        <v>PJ.000001</v>
      </c>
      <c r="AD30" s="150">
        <f>'modul hutang&amp;piutang'!G47</f>
        <v>8</v>
      </c>
      <c r="AE30" s="151">
        <v>33000000</v>
      </c>
      <c r="AF30" s="151"/>
      <c r="AG30" s="150">
        <f>'R&amp;PP'!V4</f>
        <v>2</v>
      </c>
      <c r="AH30" s="150">
        <f>'R&amp;PP'!W4</f>
        <v>1</v>
      </c>
      <c r="AI30" s="150"/>
    </row>
    <row r="31" spans="1:35" s="140" customFormat="1" x14ac:dyDescent="0.25">
      <c r="A31" s="150"/>
      <c r="B31" s="150" t="str">
        <f>'R&amp;PP'!D5</f>
        <v>2.9</v>
      </c>
      <c r="C31" s="150" t="str">
        <f>'R&amp;PP'!F5</f>
        <v>.000004</v>
      </c>
      <c r="D31" s="150">
        <f>'R&amp;PP'!S5</f>
        <v>9</v>
      </c>
      <c r="E31" s="150"/>
      <c r="F31" s="151">
        <f>F30</f>
        <v>33000000</v>
      </c>
      <c r="G31" s="150">
        <f>'R&amp;PP'!B5</f>
        <v>1</v>
      </c>
      <c r="H31" s="150">
        <f>'R&amp;PP'!C5</f>
        <v>2</v>
      </c>
      <c r="I31" s="150" t="str">
        <f>'R&amp;PP'!E5</f>
        <v>CD</v>
      </c>
      <c r="J31" s="150">
        <f>'R&amp;PP'!G5</f>
        <v>7</v>
      </c>
      <c r="K31" s="150" t="str">
        <f>'R&amp;PP'!H5</f>
        <v>djayakusuma</v>
      </c>
      <c r="L31" s="150">
        <f>'R&amp;PP'!I5</f>
        <v>8170175139</v>
      </c>
      <c r="M31" s="150" t="str">
        <f>'R&amp;PP'!J5</f>
        <v>djayakusuma@gmail.com</v>
      </c>
      <c r="N31" s="150">
        <f>'data mata uang'!A3</f>
        <v>1</v>
      </c>
      <c r="O31" s="150" t="str">
        <f>'data mata uang'!D3</f>
        <v>IDR</v>
      </c>
      <c r="P31" s="150">
        <f>'data mata uang'!G3</f>
        <v>1</v>
      </c>
      <c r="Q31" s="150">
        <f>'R&amp;PP'!N5</f>
        <v>0</v>
      </c>
      <c r="R31" s="150">
        <f>'R&amp;PP'!O5</f>
        <v>0</v>
      </c>
      <c r="S31" s="152">
        <f>'R&amp;PP'!K5</f>
        <v>43264</v>
      </c>
      <c r="T31" s="152"/>
      <c r="U31" s="150" t="s">
        <v>1628</v>
      </c>
      <c r="V31" s="150">
        <f>'R&amp;PP'!L5</f>
        <v>1</v>
      </c>
      <c r="W31" s="150">
        <f>'R&amp;PP'!M5</f>
        <v>1</v>
      </c>
      <c r="X31" s="150">
        <f>'R&amp;PP'!P5</f>
        <v>5</v>
      </c>
      <c r="Y31" s="150" t="str">
        <f>'R&amp;PP'!Q5</f>
        <v>gisela tria canitha</v>
      </c>
      <c r="Z31" s="150"/>
      <c r="AA31" s="150"/>
      <c r="AB31" s="150" t="str">
        <f>'modul hutang&amp;piutang'!E49</f>
        <v>2.2</v>
      </c>
      <c r="AC31" s="150" t="str">
        <f>'modul hutang&amp;piutang'!F49</f>
        <v>.000002</v>
      </c>
      <c r="AD31" s="150">
        <f>'modul hutang&amp;piutang'!G49</f>
        <v>24</v>
      </c>
      <c r="AE31" s="151">
        <f>F31</f>
        <v>33000000</v>
      </c>
      <c r="AF31" s="151"/>
      <c r="AG31" s="150">
        <f>'R&amp;PP'!V5</f>
        <v>2</v>
      </c>
      <c r="AH31" s="150">
        <f>'R&amp;PP'!W5</f>
        <v>1</v>
      </c>
      <c r="AI31" s="150"/>
    </row>
    <row r="32" spans="1:35" x14ac:dyDescent="0.25">
      <c r="A32" s="16"/>
      <c r="B32" s="16"/>
      <c r="C32" s="16"/>
      <c r="D32" s="16"/>
      <c r="E32" s="108"/>
      <c r="F32" s="108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10"/>
      <c r="T32" s="109"/>
      <c r="U32" s="16"/>
      <c r="V32" s="16"/>
      <c r="W32" s="16"/>
      <c r="X32" s="16"/>
      <c r="Y32" s="16"/>
      <c r="Z32" s="16"/>
      <c r="AA32" s="16"/>
      <c r="AB32" s="16"/>
      <c r="AC32" s="108"/>
      <c r="AD32" s="16"/>
      <c r="AE32" s="108"/>
      <c r="AF32" s="108"/>
      <c r="AG32" s="16"/>
      <c r="AH32" s="16"/>
      <c r="AI32" s="16"/>
    </row>
    <row r="33" spans="1:35" s="148" customFormat="1" x14ac:dyDescent="0.25">
      <c r="A33" s="150"/>
      <c r="B33" s="150" t="str">
        <f>'R&amp;PP'!D13</f>
        <v>3.2</v>
      </c>
      <c r="C33" s="150" t="str">
        <f>'R&amp;PP'!F13</f>
        <v>.000002</v>
      </c>
      <c r="D33" s="150">
        <f>'R&amp;PP'!S13</f>
        <v>9</v>
      </c>
      <c r="E33" s="151">
        <v>26400000</v>
      </c>
      <c r="F33" s="151"/>
      <c r="G33" s="150">
        <f>'R&amp;PP'!B13</f>
        <v>2</v>
      </c>
      <c r="H33" s="150">
        <f>'R&amp;PP'!C13</f>
        <v>3</v>
      </c>
      <c r="I33" s="150" t="str">
        <f>'R&amp;PP'!E13</f>
        <v>CR</v>
      </c>
      <c r="J33" s="150">
        <f>'R&amp;PP'!G13</f>
        <v>8</v>
      </c>
      <c r="K33" s="150" t="str">
        <f>'R&amp;PP'!H13</f>
        <v>dodi kusuma</v>
      </c>
      <c r="L33" s="150">
        <f>'R&amp;PP'!I13</f>
        <v>217229385</v>
      </c>
      <c r="M33" s="150" t="str">
        <f>'R&amp;PP'!J13</f>
        <v>dodikusuma@yahoo.co.id</v>
      </c>
      <c r="N33" s="150">
        <f>'data mata uang'!A3</f>
        <v>1</v>
      </c>
      <c r="O33" s="150" t="str">
        <f>'data mata uang'!D3</f>
        <v>IDR</v>
      </c>
      <c r="P33" s="150">
        <f>'data mata uang'!G3</f>
        <v>1</v>
      </c>
      <c r="Q33" s="150">
        <f>'R&amp;PP'!N13</f>
        <v>0</v>
      </c>
      <c r="R33" s="150">
        <f>'R&amp;PP'!O13</f>
        <v>0</v>
      </c>
      <c r="S33" s="152">
        <f>'R&amp;PP'!K13</f>
        <v>43261</v>
      </c>
      <c r="T33" s="152"/>
      <c r="U33" s="150" t="s">
        <v>1651</v>
      </c>
      <c r="V33" s="150">
        <f>'R&amp;PP'!L13</f>
        <v>0</v>
      </c>
      <c r="W33" s="150">
        <f>'R&amp;PP'!M13</f>
        <v>0</v>
      </c>
      <c r="X33" s="150">
        <f>'R&amp;PP'!P13</f>
        <v>4</v>
      </c>
      <c r="Y33" s="150" t="str">
        <f>'R&amp;PP'!Q13</f>
        <v>dea fitri maharani</v>
      </c>
      <c r="Z33" s="150"/>
      <c r="AA33" s="150"/>
      <c r="AB33" s="150" t="str">
        <f>'modul hutang&amp;piutang'!E36</f>
        <v>8.4</v>
      </c>
      <c r="AC33" s="150" t="str">
        <f>'modul hutang&amp;piutang'!F36</f>
        <v>PR.000001</v>
      </c>
      <c r="AD33" s="150">
        <f>'modul hutang&amp;piutang'!G36</f>
        <v>8</v>
      </c>
      <c r="AE33" s="151"/>
      <c r="AF33" s="151">
        <v>26400000</v>
      </c>
      <c r="AG33" s="150">
        <f>'R&amp;PP'!V13</f>
        <v>1</v>
      </c>
      <c r="AH33" s="150">
        <f>'R&amp;PP'!W13</f>
        <v>1</v>
      </c>
      <c r="AI33" s="150"/>
    </row>
    <row r="34" spans="1:35" s="140" customFormat="1" x14ac:dyDescent="0.25">
      <c r="A34" s="150"/>
      <c r="B34" s="150" t="str">
        <f>'R&amp;PP'!D14</f>
        <v>3.10</v>
      </c>
      <c r="C34" s="150" t="str">
        <f>'R&amp;PP'!F14</f>
        <v>.000005</v>
      </c>
      <c r="D34" s="150">
        <f>'R&amp;PP'!S14</f>
        <v>6</v>
      </c>
      <c r="E34" s="151"/>
      <c r="F34" s="151">
        <v>3300000</v>
      </c>
      <c r="G34" s="150">
        <f>'R&amp;PP'!B14</f>
        <v>2</v>
      </c>
      <c r="H34" s="150">
        <f>'R&amp;PP'!C14</f>
        <v>3</v>
      </c>
      <c r="I34" s="150" t="str">
        <f>'R&amp;PP'!E14</f>
        <v>CR</v>
      </c>
      <c r="J34" s="150">
        <f>'R&amp;PP'!G14</f>
        <v>1</v>
      </c>
      <c r="K34" s="150" t="str">
        <f>'R&amp;PP'!H14</f>
        <v>dimas dhaniarso</v>
      </c>
      <c r="L34" s="150">
        <f>'R&amp;PP'!I14</f>
        <v>81273845323</v>
      </c>
      <c r="M34" s="150" t="str">
        <f>'R&amp;PP'!J14</f>
        <v>dhadan33@gmail.com</v>
      </c>
      <c r="N34" s="150">
        <f>'data mata uang'!A3</f>
        <v>1</v>
      </c>
      <c r="O34" s="150" t="str">
        <f>'data mata uang'!D3</f>
        <v>IDR</v>
      </c>
      <c r="P34" s="150">
        <f>'data mata uang'!G3</f>
        <v>1</v>
      </c>
      <c r="Q34" s="150">
        <f>'R&amp;PP'!N14</f>
        <v>0</v>
      </c>
      <c r="R34" s="150">
        <f>'R&amp;PP'!O14</f>
        <v>0</v>
      </c>
      <c r="S34" s="152">
        <f>'R&amp;PP'!K14</f>
        <v>43261</v>
      </c>
      <c r="T34" s="152"/>
      <c r="U34" s="150" t="s">
        <v>1653</v>
      </c>
      <c r="V34" s="150">
        <f>'R&amp;PP'!L14</f>
        <v>0</v>
      </c>
      <c r="W34" s="150">
        <f>'R&amp;PP'!M14</f>
        <v>0</v>
      </c>
      <c r="X34" s="150">
        <f>'R&amp;PP'!P14</f>
        <v>4</v>
      </c>
      <c r="Y34" s="150" t="str">
        <f>'R&amp;PP'!Q14</f>
        <v>dea fitri maharani</v>
      </c>
      <c r="Z34" s="150"/>
      <c r="AA34" s="150"/>
      <c r="AB34" s="150" t="str">
        <f>'modul hutang&amp;piutang'!E40</f>
        <v>7.3</v>
      </c>
      <c r="AC34" s="150" t="str">
        <f>'modul hutang&amp;piutang'!F40</f>
        <v>SR.000001</v>
      </c>
      <c r="AD34" s="150">
        <f>'modul hutang&amp;piutang'!G40</f>
        <v>7</v>
      </c>
      <c r="AE34" s="151">
        <v>3300000</v>
      </c>
      <c r="AF34" s="151"/>
      <c r="AG34" s="150">
        <f>'R&amp;PP'!V14</f>
        <v>3</v>
      </c>
      <c r="AH34" s="150">
        <f>'R&amp;PP'!W14</f>
        <v>1</v>
      </c>
      <c r="AI34" s="150"/>
    </row>
    <row r="35" spans="1:35" s="140" customFormat="1" x14ac:dyDescent="0.25">
      <c r="A35" s="139"/>
      <c r="B35" s="139"/>
      <c r="C35" s="139"/>
      <c r="D35" s="139"/>
      <c r="E35" s="139"/>
      <c r="F35" s="108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09"/>
      <c r="T35" s="10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08"/>
      <c r="AF35" s="108"/>
      <c r="AG35" s="139"/>
      <c r="AH35" s="139"/>
      <c r="AI35" s="139"/>
    </row>
    <row r="36" spans="1:35" x14ac:dyDescent="0.25">
      <c r="A36" s="16"/>
      <c r="B36" s="16"/>
      <c r="C36" s="16"/>
      <c r="D36" s="16"/>
      <c r="E36" s="108"/>
      <c r="F36" s="108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10"/>
      <c r="T36" s="111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08"/>
      <c r="AF36" s="108"/>
      <c r="AG36" s="16"/>
      <c r="AH36" s="16"/>
      <c r="AI36" s="16"/>
    </row>
    <row r="37" spans="1:35" x14ac:dyDescent="0.25">
      <c r="A37" s="16"/>
      <c r="B37" s="16"/>
      <c r="C37" s="16"/>
      <c r="D37" s="16"/>
      <c r="E37" s="108"/>
      <c r="F37" s="108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10"/>
      <c r="T37" s="109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08"/>
      <c r="AF37" s="108"/>
      <c r="AG37" s="16"/>
      <c r="AH37" s="16"/>
      <c r="AI37" s="16"/>
    </row>
    <row r="38" spans="1:35" x14ac:dyDescent="0.25">
      <c r="A38" s="16"/>
      <c r="B38" s="16"/>
      <c r="C38" s="16"/>
      <c r="D38" s="16"/>
      <c r="E38" s="108"/>
      <c r="F38" s="108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10"/>
      <c r="T38" s="109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08"/>
      <c r="AF38" s="108"/>
      <c r="AG38" s="16"/>
      <c r="AH38" s="16"/>
      <c r="AI38" s="16"/>
    </row>
    <row r="39" spans="1:35" x14ac:dyDescent="0.25">
      <c r="A39" s="16"/>
      <c r="B39" s="16"/>
      <c r="C39" s="16"/>
      <c r="D39" s="16"/>
      <c r="E39" s="108"/>
      <c r="F39" s="108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10"/>
      <c r="T39" s="109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08"/>
      <c r="AF39" s="108"/>
      <c r="AG39" s="16"/>
      <c r="AH39" s="16"/>
      <c r="AI39" s="16"/>
    </row>
    <row r="40" spans="1:35" x14ac:dyDescent="0.25">
      <c r="A40" s="16"/>
      <c r="B40" s="16"/>
      <c r="C40" s="16"/>
      <c r="D40" s="16"/>
      <c r="E40" s="108"/>
      <c r="F40" s="108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10"/>
      <c r="T40" s="109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08"/>
      <c r="AF40" s="108"/>
      <c r="AG40" s="16"/>
      <c r="AH40" s="16"/>
      <c r="AI40" s="16"/>
    </row>
    <row r="41" spans="1:35" x14ac:dyDescent="0.25">
      <c r="A41" s="16"/>
      <c r="B41" s="16"/>
      <c r="C41" s="16"/>
      <c r="D41" s="16"/>
      <c r="E41" s="108"/>
      <c r="F41" s="108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10"/>
      <c r="T41" s="109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08"/>
      <c r="AF41" s="108"/>
      <c r="AG41" s="16"/>
      <c r="AH41" s="16"/>
      <c r="AI41" s="16"/>
    </row>
    <row r="42" spans="1:35" x14ac:dyDescent="0.25">
      <c r="A42" s="16"/>
      <c r="B42" s="16"/>
      <c r="C42" s="16"/>
      <c r="D42" s="16"/>
      <c r="E42" s="108"/>
      <c r="F42" s="108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10"/>
      <c r="T42" s="109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08"/>
      <c r="AF42" s="108"/>
      <c r="AG42" s="16"/>
      <c r="AH42" s="16"/>
      <c r="AI42" s="16"/>
    </row>
    <row r="43" spans="1:35" x14ac:dyDescent="0.25">
      <c r="A43" s="16"/>
      <c r="B43" s="16"/>
      <c r="C43" s="16"/>
      <c r="D43" s="16"/>
      <c r="E43" s="108"/>
      <c r="F43" s="108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10"/>
      <c r="T43" s="109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08"/>
      <c r="AF43" s="108"/>
      <c r="AG43" s="16"/>
      <c r="AH43" s="16"/>
      <c r="AI43" s="16"/>
    </row>
    <row r="44" spans="1:35" x14ac:dyDescent="0.25">
      <c r="A44" s="16"/>
      <c r="B44" s="16"/>
      <c r="C44" s="16"/>
      <c r="D44" s="16"/>
      <c r="E44" s="108"/>
      <c r="F44" s="108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10"/>
      <c r="T44" s="109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08"/>
      <c r="AF44" s="108"/>
      <c r="AG44" s="16"/>
      <c r="AH44" s="16"/>
      <c r="AI44" s="16"/>
    </row>
    <row r="45" spans="1:35" x14ac:dyDescent="0.25">
      <c r="S45" s="82"/>
    </row>
    <row r="51" spans="1:1" x14ac:dyDescent="0.25">
      <c r="A51" s="1" t="s">
        <v>1489</v>
      </c>
    </row>
  </sheetData>
  <mergeCells count="2">
    <mergeCell ref="C1:F1"/>
    <mergeCell ref="AB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A089-B8AA-45EF-BEED-30BC7E23CF05}">
  <dimension ref="A1:J123"/>
  <sheetViews>
    <sheetView zoomScale="85" zoomScaleNormal="85" workbookViewId="0">
      <selection activeCell="H7" sqref="H7"/>
    </sheetView>
  </sheetViews>
  <sheetFormatPr defaultColWidth="8.85546875" defaultRowHeight="15" x14ac:dyDescent="0.25"/>
  <cols>
    <col min="3" max="3" width="38.140625" bestFit="1" customWidth="1"/>
    <col min="4" max="4" width="35" bestFit="1" customWidth="1"/>
    <col min="5" max="5" width="21.42578125" bestFit="1" customWidth="1"/>
    <col min="6" max="6" width="16" style="22" bestFit="1" customWidth="1"/>
    <col min="7" max="7" width="10.28515625" bestFit="1" customWidth="1"/>
    <col min="8" max="10" width="9.140625" customWidth="1"/>
  </cols>
  <sheetData>
    <row r="1" spans="1:9" x14ac:dyDescent="0.25">
      <c r="A1" s="295" t="s">
        <v>1725</v>
      </c>
      <c r="B1" s="295"/>
      <c r="C1" s="295"/>
      <c r="D1" s="295"/>
      <c r="E1" s="295"/>
      <c r="F1" s="295"/>
    </row>
    <row r="2" spans="1:9" x14ac:dyDescent="0.25">
      <c r="A2" s="295"/>
      <c r="B2" s="295"/>
      <c r="C2" s="295"/>
      <c r="D2" s="295"/>
      <c r="E2" s="295"/>
      <c r="F2" s="295"/>
    </row>
    <row r="5" spans="1:9" ht="15" customHeight="1" x14ac:dyDescent="0.25">
      <c r="C5" s="292" t="s">
        <v>1540</v>
      </c>
      <c r="D5" s="292"/>
      <c r="E5" s="292"/>
      <c r="F5" s="292"/>
      <c r="G5" s="19"/>
      <c r="H5" s="19"/>
      <c r="I5" s="19"/>
    </row>
    <row r="6" spans="1:9" ht="15" customHeight="1" x14ac:dyDescent="0.25">
      <c r="C6" s="292"/>
      <c r="D6" s="292"/>
      <c r="E6" s="292"/>
      <c r="F6" s="292"/>
      <c r="G6" s="19"/>
      <c r="H6" s="19"/>
      <c r="I6" s="19"/>
    </row>
    <row r="7" spans="1:9" ht="15" customHeight="1" x14ac:dyDescent="0.25">
      <c r="C7" s="293"/>
      <c r="D7" s="293"/>
      <c r="E7" s="293"/>
      <c r="F7" s="293"/>
      <c r="G7" s="20"/>
      <c r="H7" s="20"/>
      <c r="I7" s="20"/>
    </row>
    <row r="8" spans="1:9" ht="15" customHeight="1" x14ac:dyDescent="0.25">
      <c r="C8" s="293"/>
      <c r="D8" s="293"/>
      <c r="E8" s="293"/>
      <c r="F8" s="293"/>
      <c r="G8" s="20"/>
      <c r="H8" s="20"/>
      <c r="I8" s="20"/>
    </row>
    <row r="9" spans="1:9" x14ac:dyDescent="0.25">
      <c r="C9" s="294"/>
      <c r="D9" s="294"/>
      <c r="E9" s="294"/>
      <c r="F9" s="294"/>
      <c r="G9" s="21"/>
      <c r="H9" s="21"/>
      <c r="I9" s="21"/>
    </row>
    <row r="11" spans="1:9" x14ac:dyDescent="0.25">
      <c r="C11" t="s">
        <v>1703</v>
      </c>
      <c r="F11" s="37" t="s">
        <v>484</v>
      </c>
    </row>
    <row r="12" spans="1:9" x14ac:dyDescent="0.25">
      <c r="D12" s="67" t="str">
        <f>'klasifikasi akun'!B7</f>
        <v>piutang dagang</v>
      </c>
    </row>
    <row r="13" spans="1:9" x14ac:dyDescent="0.25">
      <c r="D13" s="67"/>
      <c r="E13" t="str">
        <f>'rekening perkiraan'!B9</f>
        <v>piutang usaha</v>
      </c>
      <c r="F13" s="22">
        <f>SUM(-'BUKU BESAR'!R25+'BUKU BESAR'!Q27-'BUKU BESAR'!R44-'BUKU BESAR'!R56+'BUKU BESAR'!Q67)</f>
        <v>-97300000</v>
      </c>
    </row>
    <row r="14" spans="1:9" x14ac:dyDescent="0.25">
      <c r="D14" s="67"/>
      <c r="E14" t="str">
        <f>'rekening perkiraan'!B26</f>
        <v>piutang giro</v>
      </c>
      <c r="F14" s="22">
        <f>SUM(-'BUKU BESAR'!R31+'BUKU BESAR'!Q83)</f>
        <v>32500000</v>
      </c>
    </row>
    <row r="15" spans="1:9" x14ac:dyDescent="0.25">
      <c r="D15" s="68" t="s">
        <v>1509</v>
      </c>
      <c r="F15" s="272">
        <f>SUM(F13:F14)</f>
        <v>-64800000</v>
      </c>
    </row>
    <row r="16" spans="1:9" x14ac:dyDescent="0.25">
      <c r="D16" s="68"/>
    </row>
    <row r="17" spans="4:6" x14ac:dyDescent="0.25">
      <c r="D17" s="67" t="str">
        <f>'klasifikasi akun'!B15</f>
        <v>persediaan</v>
      </c>
    </row>
    <row r="18" spans="4:6" x14ac:dyDescent="0.25">
      <c r="D18" s="67"/>
      <c r="E18" t="str">
        <f>'rekening perkiraan'!B5</f>
        <v>persediaan 1</v>
      </c>
      <c r="F18" s="22">
        <f>SUM(-'BUKU BESAR'!R40+'BUKU BESAR'!Q84+'BUKU BESAR'!Q89)</f>
        <v>67450000</v>
      </c>
    </row>
    <row r="19" spans="4:6" x14ac:dyDescent="0.25">
      <c r="D19" s="68" t="s">
        <v>1510</v>
      </c>
      <c r="F19" s="272">
        <f>SUM(F18:F18)</f>
        <v>67450000</v>
      </c>
    </row>
    <row r="20" spans="4:6" x14ac:dyDescent="0.25">
      <c r="D20" s="68"/>
    </row>
    <row r="21" spans="4:6" x14ac:dyDescent="0.25">
      <c r="D21" s="67" t="str">
        <f>'klasifikasi akun'!B20</f>
        <v>biaya dibayar dimuka</v>
      </c>
    </row>
    <row r="22" spans="4:6" x14ac:dyDescent="0.25">
      <c r="D22" s="67"/>
      <c r="E22" t="str">
        <f>'rekening perkiraan'!B20</f>
        <v>pajak dibayar dimuka</v>
      </c>
      <c r="F22" s="22">
        <f>SUM(-'BUKU BESAR'!R41+'BUKU BESAR'!Q85+'BUKU BESAR'!Q90)</f>
        <v>6700000</v>
      </c>
    </row>
    <row r="23" spans="4:6" x14ac:dyDescent="0.25">
      <c r="D23" s="68" t="s">
        <v>782</v>
      </c>
      <c r="F23" s="272">
        <f>SUM(F22)</f>
        <v>6700000</v>
      </c>
    </row>
    <row r="24" spans="4:6" x14ac:dyDescent="0.25">
      <c r="D24" s="68"/>
    </row>
    <row r="25" spans="4:6" x14ac:dyDescent="0.25">
      <c r="D25" s="67" t="str">
        <f>'klasifikasi akun'!B24</f>
        <v>harta tetap berwujud</v>
      </c>
    </row>
    <row r="26" spans="4:6" x14ac:dyDescent="0.25">
      <c r="D26" s="68"/>
      <c r="E26" t="str">
        <f>'rekening perkiraan'!B32</f>
        <v>bangunan</v>
      </c>
      <c r="F26" s="22">
        <f>SUM('BUKU BESAR'!Q154)</f>
        <v>4600000000</v>
      </c>
    </row>
    <row r="27" spans="4:6" x14ac:dyDescent="0.25">
      <c r="D27" s="68" t="s">
        <v>784</v>
      </c>
      <c r="F27" s="272">
        <f>SUM(F26)</f>
        <v>4600000000</v>
      </c>
    </row>
    <row r="28" spans="4:6" x14ac:dyDescent="0.25">
      <c r="D28" s="68"/>
    </row>
    <row r="29" spans="4:6" x14ac:dyDescent="0.25">
      <c r="D29" s="67" t="str">
        <f>'klasifikasi akun'!B10</f>
        <v xml:space="preserve">pendapatan usaha </v>
      </c>
    </row>
    <row r="30" spans="4:6" x14ac:dyDescent="0.25">
      <c r="D30" s="67"/>
      <c r="E30" t="str">
        <f>'rekening perkiraan'!B4</f>
        <v>penjualan produk 1</v>
      </c>
      <c r="F30" s="22">
        <f>SUM(-'BUKU BESAR'!R39)</f>
        <v>-500000</v>
      </c>
    </row>
    <row r="31" spans="4:6" x14ac:dyDescent="0.25">
      <c r="D31" s="68"/>
      <c r="E31" t="str">
        <f>'rekening perkiraan'!B39</f>
        <v>penjualan service 1</v>
      </c>
      <c r="F31" s="22">
        <f>SUM('BUKU BESAR'!Q86)</f>
        <v>500000</v>
      </c>
    </row>
    <row r="32" spans="4:6" x14ac:dyDescent="0.25">
      <c r="D32" s="68" t="s">
        <v>761</v>
      </c>
      <c r="F32" s="272">
        <f>SUM(F30:F31)</f>
        <v>0</v>
      </c>
    </row>
    <row r="33" spans="3:6" x14ac:dyDescent="0.25">
      <c r="D33" s="68"/>
    </row>
    <row r="34" spans="3:6" x14ac:dyDescent="0.25">
      <c r="D34" s="67" t="s">
        <v>4</v>
      </c>
    </row>
    <row r="35" spans="3:6" x14ac:dyDescent="0.25">
      <c r="D35" s="68"/>
      <c r="E35" t="str">
        <f>'rekening perkiraan'!B3</f>
        <v>biaya 1</v>
      </c>
      <c r="F35" s="22">
        <f>SUM('BUKU BESAR'!Q38)</f>
        <v>50000</v>
      </c>
    </row>
    <row r="36" spans="3:6" x14ac:dyDescent="0.25">
      <c r="D36" s="68" t="s">
        <v>763</v>
      </c>
      <c r="F36" s="272">
        <f>SUM(F35)</f>
        <v>50000</v>
      </c>
    </row>
    <row r="37" spans="3:6" x14ac:dyDescent="0.25">
      <c r="D37" s="68"/>
    </row>
    <row r="38" spans="3:6" x14ac:dyDescent="0.25">
      <c r="D38" s="67" t="str">
        <f>'klasifikasi akun'!B18</f>
        <v>hutang lancar</v>
      </c>
    </row>
    <row r="39" spans="3:6" x14ac:dyDescent="0.25">
      <c r="D39" s="67"/>
      <c r="E39" t="str">
        <f>'rekening perkiraan'!B10</f>
        <v>hutang usaha</v>
      </c>
      <c r="F39">
        <f>SUM('BUKU BESAR'!Q79+'BUKU BESAR'!Q96-'BUKU BESAR'!R101)</f>
        <v>127600000</v>
      </c>
    </row>
    <row r="40" spans="3:6" x14ac:dyDescent="0.25">
      <c r="D40" s="67"/>
      <c r="E40" t="str">
        <f>'rekening perkiraan'!B23</f>
        <v>kartu kredit</v>
      </c>
      <c r="F40">
        <f>SUM('BUKU BESAR'!Q87)</f>
        <v>10000</v>
      </c>
    </row>
    <row r="41" spans="3:6" x14ac:dyDescent="0.25">
      <c r="D41" s="67"/>
      <c r="E41" t="str">
        <f>'rekening perkiraan'!B27</f>
        <v>hutang giro</v>
      </c>
      <c r="F41">
        <f>SUM('BUKU BESAR'!Q35-'BUKU BESAR'!R60)</f>
        <v>-4500000</v>
      </c>
    </row>
    <row r="42" spans="3:6" x14ac:dyDescent="0.25">
      <c r="D42" s="67"/>
      <c r="E42" t="str">
        <f>'rekening perkiraan'!B28</f>
        <v>gaji</v>
      </c>
      <c r="F42">
        <f>SUM('BUKU BESAR'!Q146+'BUKU BESAR'!Q148)</f>
        <v>8050000</v>
      </c>
    </row>
    <row r="43" spans="3:6" x14ac:dyDescent="0.25">
      <c r="D43" s="68" t="s">
        <v>1513</v>
      </c>
      <c r="F43" s="272">
        <f>SUM(F39:F42)</f>
        <v>131160000</v>
      </c>
    </row>
    <row r="44" spans="3:6" x14ac:dyDescent="0.25">
      <c r="D44" s="68"/>
      <c r="F44" s="272"/>
    </row>
    <row r="45" spans="3:6" x14ac:dyDescent="0.25">
      <c r="C45" s="69" t="s">
        <v>1707</v>
      </c>
      <c r="F45" s="69">
        <f>SUM(F15+F19+F23+F27+F32+F36+F43)</f>
        <v>4740560000</v>
      </c>
    </row>
    <row r="46" spans="3:6" x14ac:dyDescent="0.25">
      <c r="D46" s="68"/>
      <c r="F46"/>
    </row>
    <row r="47" spans="3:6" x14ac:dyDescent="0.25">
      <c r="C47" t="s">
        <v>1704</v>
      </c>
      <c r="F47"/>
    </row>
    <row r="48" spans="3:6" x14ac:dyDescent="0.25">
      <c r="D48" s="67" t="str">
        <f>'klasifikasi akun'!B41</f>
        <v>modal</v>
      </c>
      <c r="F48"/>
    </row>
    <row r="49" spans="2:10" x14ac:dyDescent="0.25">
      <c r="D49" s="68" t="s">
        <v>1516</v>
      </c>
      <c r="F49">
        <v>0</v>
      </c>
    </row>
    <row r="50" spans="2:10" x14ac:dyDescent="0.25">
      <c r="D50" s="67" t="str">
        <f>'klasifikasi akun'!B34</f>
        <v>pendapatan luar usaha</v>
      </c>
      <c r="F50"/>
    </row>
    <row r="51" spans="2:10" x14ac:dyDescent="0.25">
      <c r="D51" s="68" t="s">
        <v>1705</v>
      </c>
      <c r="F51">
        <v>0</v>
      </c>
    </row>
    <row r="52" spans="2:10" x14ac:dyDescent="0.25">
      <c r="D52" s="67" t="str">
        <f>'klasifikasi akun'!B37</f>
        <v>pengeluaran luar usaha</v>
      </c>
      <c r="F52"/>
    </row>
    <row r="53" spans="2:10" x14ac:dyDescent="0.25">
      <c r="D53" s="68" t="s">
        <v>1706</v>
      </c>
      <c r="F53">
        <v>0</v>
      </c>
    </row>
    <row r="54" spans="2:10" x14ac:dyDescent="0.25">
      <c r="F54"/>
    </row>
    <row r="55" spans="2:10" x14ac:dyDescent="0.25">
      <c r="C55" s="69" t="s">
        <v>1708</v>
      </c>
      <c r="F55" s="69">
        <f>SUM(F49+F51+F53)</f>
        <v>0</v>
      </c>
    </row>
    <row r="56" spans="2:10" x14ac:dyDescent="0.25">
      <c r="F56"/>
    </row>
    <row r="57" spans="2:10" x14ac:dyDescent="0.25">
      <c r="B57" s="66"/>
      <c r="C57" s="273" t="s">
        <v>1709</v>
      </c>
      <c r="D57" s="66"/>
      <c r="E57" s="66"/>
      <c r="F57" s="273">
        <f>SUM(F45+F55)</f>
        <v>4740560000</v>
      </c>
      <c r="G57" s="66"/>
      <c r="H57" s="66"/>
      <c r="I57" s="66"/>
      <c r="J57" s="66"/>
    </row>
    <row r="58" spans="2:10" x14ac:dyDescent="0.25">
      <c r="B58" s="66"/>
      <c r="C58" s="273" t="s">
        <v>1710</v>
      </c>
      <c r="D58" s="66"/>
      <c r="E58" s="66"/>
      <c r="F58" s="273">
        <v>0</v>
      </c>
      <c r="G58" s="66"/>
      <c r="H58" s="66"/>
      <c r="I58" s="66"/>
      <c r="J58" s="66"/>
    </row>
    <row r="59" spans="2:10" x14ac:dyDescent="0.25">
      <c r="B59" s="66"/>
      <c r="C59" s="273" t="s">
        <v>1711</v>
      </c>
      <c r="D59" s="66"/>
      <c r="E59" s="66"/>
      <c r="F59" s="273">
        <f>SUM(F57+F58)</f>
        <v>4740560000</v>
      </c>
      <c r="G59" s="66"/>
      <c r="H59" s="66"/>
      <c r="I59" s="66"/>
      <c r="J59" s="66"/>
    </row>
    <row r="60" spans="2:10" x14ac:dyDescent="0.25">
      <c r="B60" s="66"/>
      <c r="C60" s="66"/>
      <c r="D60" s="66"/>
      <c r="E60" s="66"/>
      <c r="F60" s="66"/>
      <c r="G60" s="66"/>
      <c r="H60" s="66"/>
      <c r="I60" s="66"/>
      <c r="J60" s="66"/>
    </row>
    <row r="61" spans="2:10" x14ac:dyDescent="0.25">
      <c r="B61" s="66"/>
      <c r="C61" s="66"/>
      <c r="D61" s="66"/>
      <c r="E61" s="66"/>
      <c r="F61" s="66"/>
      <c r="G61" s="66"/>
      <c r="H61" s="66"/>
      <c r="I61" s="66"/>
      <c r="J61" s="66"/>
    </row>
    <row r="62" spans="2:10" x14ac:dyDescent="0.25">
      <c r="B62" s="66"/>
      <c r="C62" s="66"/>
      <c r="D62" s="66"/>
      <c r="E62" s="66"/>
      <c r="F62" s="66"/>
      <c r="G62" s="66"/>
      <c r="H62" s="66"/>
      <c r="I62" s="66"/>
      <c r="J62" s="66"/>
    </row>
    <row r="63" spans="2:10" x14ac:dyDescent="0.25">
      <c r="F63"/>
    </row>
    <row r="64" spans="2:10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</sheetData>
  <mergeCells count="4">
    <mergeCell ref="C5:F6"/>
    <mergeCell ref="C7:F8"/>
    <mergeCell ref="C9:F9"/>
    <mergeCell ref="A1:F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Z27"/>
  <sheetViews>
    <sheetView zoomScale="70" zoomScaleNormal="70" workbookViewId="0">
      <selection activeCell="D13" sqref="D13"/>
    </sheetView>
  </sheetViews>
  <sheetFormatPr defaultColWidth="9.140625" defaultRowHeight="15" x14ac:dyDescent="0.25"/>
  <cols>
    <col min="1" max="1" width="10" style="1" bestFit="1" customWidth="1"/>
    <col min="2" max="2" width="16.85546875" style="1" bestFit="1" customWidth="1"/>
    <col min="3" max="3" width="18.7109375" style="1" bestFit="1" customWidth="1"/>
    <col min="4" max="4" width="12.42578125" style="256" bestFit="1" customWidth="1"/>
    <col min="5" max="5" width="15.7109375" style="1" bestFit="1" customWidth="1"/>
    <col min="6" max="6" width="17.7109375" style="1" bestFit="1" customWidth="1"/>
    <col min="7" max="7" width="14.42578125" style="1" bestFit="1" customWidth="1"/>
    <col min="8" max="8" width="18.28515625" style="1" bestFit="1" customWidth="1"/>
    <col min="9" max="9" width="14.85546875" style="1" bestFit="1" customWidth="1"/>
    <col min="10" max="10" width="26.7109375" style="1" bestFit="1" customWidth="1"/>
    <col min="11" max="11" width="18.28515625" style="1" bestFit="1" customWidth="1"/>
    <col min="12" max="12" width="15.42578125" style="1" bestFit="1" customWidth="1"/>
    <col min="13" max="13" width="13.140625" style="1" bestFit="1" customWidth="1"/>
    <col min="14" max="14" width="26.7109375" style="1" bestFit="1" customWidth="1"/>
    <col min="15" max="15" width="23.42578125" style="1" bestFit="1" customWidth="1"/>
    <col min="16" max="16" width="12" style="1" bestFit="1" customWidth="1"/>
    <col min="17" max="17" width="17.85546875" style="1" bestFit="1" customWidth="1"/>
    <col min="18" max="18" width="21.42578125" style="1" bestFit="1" customWidth="1"/>
    <col min="19" max="19" width="13.42578125" style="1" bestFit="1" customWidth="1"/>
    <col min="20" max="20" width="17.28515625" style="1" bestFit="1" customWidth="1"/>
    <col min="21" max="21" width="21" style="41" bestFit="1" customWidth="1"/>
    <col min="22" max="22" width="11.140625" style="1" bestFit="1" customWidth="1"/>
    <col min="23" max="23" width="22.140625" style="1" bestFit="1" customWidth="1"/>
    <col min="24" max="24" width="18.7109375" style="1" bestFit="1" customWidth="1"/>
    <col min="25" max="25" width="40.28515625" style="1" bestFit="1" customWidth="1"/>
    <col min="26" max="26" width="20" style="1" bestFit="1" customWidth="1"/>
    <col min="27" max="16384" width="9.140625" style="1"/>
  </cols>
  <sheetData>
    <row r="1" spans="1:26" s="44" customFormat="1" x14ac:dyDescent="0.25">
      <c r="B1" s="44" t="s">
        <v>1480</v>
      </c>
      <c r="D1" s="255"/>
      <c r="F1" s="44" t="s">
        <v>1481</v>
      </c>
      <c r="G1" s="297" t="s">
        <v>1482</v>
      </c>
      <c r="H1" s="297"/>
      <c r="I1" s="44" t="s">
        <v>1387</v>
      </c>
      <c r="J1" s="44" t="s">
        <v>980</v>
      </c>
      <c r="K1" s="45" t="s">
        <v>1483</v>
      </c>
      <c r="L1" s="297" t="s">
        <v>1484</v>
      </c>
      <c r="M1" s="297"/>
      <c r="N1" s="297" t="s">
        <v>916</v>
      </c>
      <c r="O1" s="297"/>
      <c r="P1" s="297" t="s">
        <v>924</v>
      </c>
      <c r="Q1" s="297"/>
      <c r="R1" s="44" t="s">
        <v>1464</v>
      </c>
      <c r="S1" s="297" t="s">
        <v>1526</v>
      </c>
      <c r="T1" s="297"/>
      <c r="U1" s="79" t="s">
        <v>1485</v>
      </c>
      <c r="Y1" s="130" t="s">
        <v>920</v>
      </c>
      <c r="Z1" s="130"/>
    </row>
    <row r="2" spans="1:26" x14ac:dyDescent="0.25">
      <c r="A2" s="1" t="s">
        <v>1486</v>
      </c>
      <c r="B2" s="1" t="s">
        <v>1637</v>
      </c>
      <c r="C2" s="1" t="s">
        <v>617</v>
      </c>
      <c r="D2" s="256" t="s">
        <v>1685</v>
      </c>
      <c r="E2" s="1" t="s">
        <v>614</v>
      </c>
      <c r="F2" s="1" t="s">
        <v>851</v>
      </c>
      <c r="G2" s="1" t="s">
        <v>2</v>
      </c>
      <c r="H2" s="1" t="s">
        <v>18</v>
      </c>
      <c r="I2" s="1" t="s">
        <v>19</v>
      </c>
      <c r="J2" s="1" t="s">
        <v>20</v>
      </c>
      <c r="K2" s="6" t="s">
        <v>852</v>
      </c>
      <c r="L2" s="1" t="s">
        <v>556</v>
      </c>
      <c r="M2" s="1" t="s">
        <v>1490</v>
      </c>
      <c r="N2" s="1" t="s">
        <v>22</v>
      </c>
      <c r="O2" s="1" t="s">
        <v>23</v>
      </c>
      <c r="P2" s="1" t="s">
        <v>35</v>
      </c>
      <c r="Q2" s="1" t="s">
        <v>36</v>
      </c>
      <c r="R2" s="1" t="s">
        <v>1469</v>
      </c>
      <c r="S2" s="1" t="s">
        <v>543</v>
      </c>
      <c r="T2" s="1" t="s">
        <v>656</v>
      </c>
      <c r="U2" s="41" t="s">
        <v>644</v>
      </c>
      <c r="V2" s="1" t="s">
        <v>624</v>
      </c>
      <c r="W2" s="1" t="s">
        <v>1129</v>
      </c>
      <c r="X2" s="1" t="s">
        <v>848</v>
      </c>
      <c r="Y2" s="130" t="s">
        <v>26</v>
      </c>
      <c r="Z2" s="130" t="s">
        <v>655</v>
      </c>
    </row>
    <row r="3" spans="1:26" x14ac:dyDescent="0.25">
      <c r="A3" s="153">
        <v>1</v>
      </c>
      <c r="B3" s="153">
        <f>'dropdown payment&amp;cash activity'!A2</f>
        <v>1</v>
      </c>
      <c r="C3" s="153">
        <f>'dropdown payment&amp;cash activity'!C2</f>
        <v>2</v>
      </c>
      <c r="D3" s="153" t="str">
        <f>CONCATENATE(C3,".",A3)</f>
        <v>2.1</v>
      </c>
      <c r="E3" s="153" t="str">
        <f>'kode transaksi'!B3</f>
        <v>CD</v>
      </c>
      <c r="F3" s="153" t="s">
        <v>1595</v>
      </c>
      <c r="G3" s="153">
        <f>kontak!A9</f>
        <v>7</v>
      </c>
      <c r="H3" s="153" t="str">
        <f>kontak!G9</f>
        <v>djayakusuma</v>
      </c>
      <c r="I3" s="153">
        <f>kontak!K9</f>
        <v>8170175139</v>
      </c>
      <c r="J3" s="153" t="str">
        <f>kontak!O9</f>
        <v>djayakusuma@gmail.com</v>
      </c>
      <c r="K3" s="166">
        <v>43257</v>
      </c>
      <c r="L3" s="153">
        <v>0</v>
      </c>
      <c r="M3" s="153">
        <v>0</v>
      </c>
      <c r="N3" s="153">
        <v>0</v>
      </c>
      <c r="O3" s="153">
        <v>0</v>
      </c>
      <c r="P3" s="153">
        <f>kontak!A6</f>
        <v>4</v>
      </c>
      <c r="Q3" s="153" t="str">
        <f>kontak!G6</f>
        <v>dea fitri maharani</v>
      </c>
      <c r="R3" s="153">
        <v>0</v>
      </c>
      <c r="S3" s="153">
        <f>'rekening perkiraan'!A8</f>
        <v>6</v>
      </c>
      <c r="T3" s="153" t="str">
        <f>'rekening perkiraan'!B8</f>
        <v>bank</v>
      </c>
      <c r="U3" s="154"/>
      <c r="V3" s="153">
        <f>'user id'!A2</f>
        <v>1</v>
      </c>
      <c r="W3" s="153">
        <f>'periode akuntansi'!A2</f>
        <v>1</v>
      </c>
      <c r="X3" s="153"/>
      <c r="Y3" s="130" t="s">
        <v>1550</v>
      </c>
    </row>
    <row r="4" spans="1:26" x14ac:dyDescent="0.25">
      <c r="A4" s="153">
        <v>2</v>
      </c>
      <c r="B4" s="153">
        <f>'dropdown payment&amp;cash activity'!A2</f>
        <v>1</v>
      </c>
      <c r="C4" s="153">
        <f>'dropdown payment&amp;cash activity'!C2</f>
        <v>2</v>
      </c>
      <c r="D4" s="153" t="str">
        <f>CONCATENATE(C4,".",A4)</f>
        <v>2.2</v>
      </c>
      <c r="E4" s="153" t="str">
        <f>'kode transaksi'!B3</f>
        <v>CD</v>
      </c>
      <c r="F4" s="153" t="s">
        <v>1596</v>
      </c>
      <c r="G4" s="153">
        <f>kontak!A9</f>
        <v>7</v>
      </c>
      <c r="H4" s="153" t="str">
        <f>kontak!G9</f>
        <v>djayakusuma</v>
      </c>
      <c r="I4" s="153">
        <f>kontak!K9</f>
        <v>8170175139</v>
      </c>
      <c r="J4" s="153" t="str">
        <f>kontak!O9</f>
        <v>djayakusuma@gmail.com</v>
      </c>
      <c r="K4" s="166">
        <v>43258</v>
      </c>
      <c r="L4" s="153">
        <v>1</v>
      </c>
      <c r="M4" s="153">
        <f>'data giro'!A2</f>
        <v>1</v>
      </c>
      <c r="N4" s="153">
        <v>0</v>
      </c>
      <c r="O4" s="153">
        <v>0</v>
      </c>
      <c r="P4" s="153">
        <f>kontak!A7</f>
        <v>5</v>
      </c>
      <c r="Q4" s="153" t="str">
        <f>kontak!G7</f>
        <v>gisela tria canitha</v>
      </c>
      <c r="R4" s="153">
        <v>0</v>
      </c>
      <c r="S4" s="153">
        <f>'rekening perkiraan'!A26</f>
        <v>24</v>
      </c>
      <c r="T4" s="153" t="str">
        <f>'rekening perkiraan'!B26</f>
        <v>piutang giro</v>
      </c>
      <c r="U4" s="154"/>
      <c r="V4" s="153">
        <f>'user id'!A3</f>
        <v>2</v>
      </c>
      <c r="W4" s="153">
        <f>'periode akuntansi'!A2</f>
        <v>1</v>
      </c>
      <c r="X4" s="153"/>
      <c r="Y4" s="130" t="s">
        <v>1574</v>
      </c>
    </row>
    <row r="5" spans="1:26" x14ac:dyDescent="0.25">
      <c r="A5" s="153">
        <v>9</v>
      </c>
      <c r="B5" s="153">
        <f>'dropdown payment&amp;cash activity'!A2</f>
        <v>1</v>
      </c>
      <c r="C5" s="153">
        <f>'dropdown payment&amp;cash activity'!C2</f>
        <v>2</v>
      </c>
      <c r="D5" s="153" t="str">
        <f>CONCATENATE(C5,".",A5)</f>
        <v>2.9</v>
      </c>
      <c r="E5" s="153" t="str">
        <f>'kode transaksi'!B3</f>
        <v>CD</v>
      </c>
      <c r="F5" s="153" t="s">
        <v>1598</v>
      </c>
      <c r="G5" s="153">
        <f>G4</f>
        <v>7</v>
      </c>
      <c r="H5" s="153" t="str">
        <f>H4</f>
        <v>djayakusuma</v>
      </c>
      <c r="I5" s="153">
        <f>I4</f>
        <v>8170175139</v>
      </c>
      <c r="J5" s="153" t="str">
        <f>J4</f>
        <v>djayakusuma@gmail.com</v>
      </c>
      <c r="K5" s="155">
        <v>43264</v>
      </c>
      <c r="L5" s="153">
        <f>L4</f>
        <v>1</v>
      </c>
      <c r="M5" s="153">
        <f>M4</f>
        <v>1</v>
      </c>
      <c r="N5" s="153">
        <f>N4</f>
        <v>0</v>
      </c>
      <c r="O5" s="153">
        <f>O4</f>
        <v>0</v>
      </c>
      <c r="P5" s="153">
        <f t="shared" ref="P5:Q5" si="0">P4</f>
        <v>5</v>
      </c>
      <c r="Q5" s="153" t="str">
        <f t="shared" si="0"/>
        <v>gisela tria canitha</v>
      </c>
      <c r="R5" s="153">
        <f>R4</f>
        <v>0</v>
      </c>
      <c r="S5" s="153">
        <f>'rekening perkiraan'!A11</f>
        <v>9</v>
      </c>
      <c r="T5" s="153" t="str">
        <f>'rekening perkiraan'!B11</f>
        <v>kas</v>
      </c>
      <c r="U5" s="154"/>
      <c r="V5" s="153">
        <f>V4</f>
        <v>2</v>
      </c>
      <c r="W5" s="153">
        <f>'periode akuntansi'!A2</f>
        <v>1</v>
      </c>
      <c r="X5" s="153"/>
      <c r="Y5" s="130" t="str">
        <f>Y4</f>
        <v>pembayaran beli barang 2 (pake giro)</v>
      </c>
    </row>
    <row r="6" spans="1:26" s="140" customFormat="1" x14ac:dyDescent="0.25">
      <c r="C6" s="148"/>
      <c r="D6" s="148"/>
      <c r="K6" s="6"/>
      <c r="U6" s="41"/>
      <c r="Y6" s="130"/>
    </row>
    <row r="7" spans="1:26" x14ac:dyDescent="0.25">
      <c r="A7" s="153">
        <v>1</v>
      </c>
      <c r="B7" s="153">
        <f>'dropdown payment&amp;cash activity'!A3</f>
        <v>2</v>
      </c>
      <c r="C7" s="153">
        <f>'dropdown payment&amp;cash activity'!C3</f>
        <v>3</v>
      </c>
      <c r="D7" s="153" t="str">
        <f>CONCATENATE(C7,".",A7)</f>
        <v>3.1</v>
      </c>
      <c r="E7" s="153" t="str">
        <f>'kode transaksi'!B4</f>
        <v>CR</v>
      </c>
      <c r="F7" s="153" t="s">
        <v>1595</v>
      </c>
      <c r="G7" s="153">
        <f>kontak!A3</f>
        <v>1</v>
      </c>
      <c r="H7" s="153" t="str">
        <f>kontak!G3</f>
        <v>dimas dhaniarso</v>
      </c>
      <c r="I7" s="153">
        <f>kontak!K3</f>
        <v>81273845323</v>
      </c>
      <c r="J7" s="153" t="str">
        <f>kontak!O3</f>
        <v>dhadan33@gmail.com</v>
      </c>
      <c r="K7" s="166">
        <v>43259</v>
      </c>
      <c r="L7" s="153">
        <v>0</v>
      </c>
      <c r="M7" s="153">
        <v>0</v>
      </c>
      <c r="N7" s="153">
        <v>0</v>
      </c>
      <c r="O7" s="153">
        <v>0</v>
      </c>
      <c r="P7" s="153">
        <f>kontak!A8</f>
        <v>6</v>
      </c>
      <c r="Q7" s="153" t="str">
        <f>kontak!G8</f>
        <v>yusril</v>
      </c>
      <c r="R7" s="153">
        <v>0</v>
      </c>
      <c r="S7" s="153">
        <f>'rekening perkiraan'!A8</f>
        <v>6</v>
      </c>
      <c r="T7" s="153" t="str">
        <f>'rekening perkiraan'!B8</f>
        <v>bank</v>
      </c>
      <c r="U7" s="154">
        <f>'order transaksi cash'!E22</f>
        <v>99000000</v>
      </c>
      <c r="V7" s="153">
        <f>'user id'!A4</f>
        <v>3</v>
      </c>
      <c r="W7" s="153">
        <f>'periode akuntansi'!A2</f>
        <v>1</v>
      </c>
      <c r="X7" s="153"/>
      <c r="Y7" s="130" t="s">
        <v>1568</v>
      </c>
    </row>
    <row r="8" spans="1:26" x14ac:dyDescent="0.25">
      <c r="A8" s="153">
        <v>4</v>
      </c>
      <c r="B8" s="153">
        <f>'dropdown payment&amp;cash activity'!A2</f>
        <v>1</v>
      </c>
      <c r="C8" s="153">
        <f>'dropdown payment&amp;cash activity'!C2</f>
        <v>2</v>
      </c>
      <c r="D8" s="153" t="str">
        <f>CONCATENATE(C8,".",A8)</f>
        <v>2.4</v>
      </c>
      <c r="E8" s="153" t="str">
        <f>'kode transaksi'!B3</f>
        <v>CD</v>
      </c>
      <c r="F8" s="153" t="s">
        <v>1597</v>
      </c>
      <c r="G8" s="153">
        <f>kontak!A10</f>
        <v>8</v>
      </c>
      <c r="H8" s="153" t="str">
        <f>kontak!G10</f>
        <v>dodi kusuma</v>
      </c>
      <c r="I8" s="153">
        <f>kontak!K10</f>
        <v>217229385</v>
      </c>
      <c r="J8" s="153" t="str">
        <f>kontak!O10</f>
        <v>dodikusuma@yahoo.co.id</v>
      </c>
      <c r="K8" s="166">
        <v>43259</v>
      </c>
      <c r="L8" s="153">
        <v>0</v>
      </c>
      <c r="M8" s="153">
        <v>0</v>
      </c>
      <c r="N8" s="153">
        <v>0</v>
      </c>
      <c r="O8" s="153">
        <v>0</v>
      </c>
      <c r="P8" s="153">
        <f>kontak!A8</f>
        <v>6</v>
      </c>
      <c r="Q8" s="153" t="str">
        <f>kontak!G8</f>
        <v>yusril</v>
      </c>
      <c r="R8" s="153">
        <v>0</v>
      </c>
      <c r="S8" s="153">
        <f>'rekening perkiraan'!A8</f>
        <v>6</v>
      </c>
      <c r="T8" s="153" t="str">
        <f>'rekening perkiraan'!B8</f>
        <v>bank</v>
      </c>
      <c r="U8" s="154"/>
      <c r="V8" s="153">
        <f>'user id'!A4</f>
        <v>3</v>
      </c>
      <c r="W8" s="153">
        <f>'periode akuntansi'!A2</f>
        <v>1</v>
      </c>
      <c r="X8" s="153"/>
      <c r="Y8" s="130" t="s">
        <v>1556</v>
      </c>
    </row>
    <row r="9" spans="1:26" x14ac:dyDescent="0.25">
      <c r="A9" s="153">
        <v>3</v>
      </c>
      <c r="B9" s="153">
        <f>'dropdown payment&amp;cash activity'!A3</f>
        <v>2</v>
      </c>
      <c r="C9" s="153">
        <f>'dropdown payment&amp;cash activity'!C3</f>
        <v>3</v>
      </c>
      <c r="D9" s="153" t="str">
        <f>CONCATENATE(C9,".",A9)</f>
        <v>3.3</v>
      </c>
      <c r="E9" s="153" t="str">
        <f>'kode transaksi'!B4</f>
        <v>CR</v>
      </c>
      <c r="F9" s="153" t="s">
        <v>1597</v>
      </c>
      <c r="G9" s="153">
        <f>kontak!A3</f>
        <v>1</v>
      </c>
      <c r="H9" s="153" t="str">
        <f>kontak!G3</f>
        <v>dimas dhaniarso</v>
      </c>
      <c r="I9" s="153">
        <f>kontak!K3</f>
        <v>81273845323</v>
      </c>
      <c r="J9" s="153" t="str">
        <f>kontak!O3</f>
        <v>dhadan33@gmail.com</v>
      </c>
      <c r="K9" s="166">
        <v>43261</v>
      </c>
      <c r="L9" s="153">
        <v>0</v>
      </c>
      <c r="M9" s="153">
        <v>0</v>
      </c>
      <c r="N9" s="153">
        <v>0</v>
      </c>
      <c r="O9" s="153">
        <v>0</v>
      </c>
      <c r="P9" s="153">
        <f>kontak!A7</f>
        <v>5</v>
      </c>
      <c r="Q9" s="153" t="str">
        <f>kontak!G7</f>
        <v>gisela tria canitha</v>
      </c>
      <c r="R9" s="153">
        <v>0</v>
      </c>
      <c r="S9" s="153">
        <f>'rekening perkiraan'!A11</f>
        <v>9</v>
      </c>
      <c r="T9" s="153" t="str">
        <f>'rekening perkiraan'!B11</f>
        <v>kas</v>
      </c>
      <c r="U9" s="154"/>
      <c r="V9" s="153">
        <f>'user id'!A3</f>
        <v>2</v>
      </c>
      <c r="W9" s="153">
        <f>'periode akuntansi'!A2</f>
        <v>1</v>
      </c>
      <c r="X9" s="153"/>
      <c r="Y9" s="130" t="s">
        <v>1571</v>
      </c>
    </row>
    <row r="10" spans="1:26" x14ac:dyDescent="0.25">
      <c r="A10" s="153">
        <v>4</v>
      </c>
      <c r="B10" s="153">
        <f>'dropdown payment&amp;cash activity'!A3</f>
        <v>2</v>
      </c>
      <c r="C10" s="153">
        <f>'dropdown payment&amp;cash activity'!C3</f>
        <v>3</v>
      </c>
      <c r="D10" s="153" t="str">
        <f>CONCATENATE(C10,".",A10)</f>
        <v>3.4</v>
      </c>
      <c r="E10" s="153" t="str">
        <f>'kode transaksi'!B4</f>
        <v>CR</v>
      </c>
      <c r="F10" s="153" t="s">
        <v>1598</v>
      </c>
      <c r="G10" s="153">
        <f>kontak!A3</f>
        <v>1</v>
      </c>
      <c r="H10" s="153" t="str">
        <f>kontak!G3</f>
        <v>dimas dhaniarso</v>
      </c>
      <c r="I10" s="153">
        <f>kontak!K3</f>
        <v>81273845323</v>
      </c>
      <c r="J10" s="153" t="str">
        <f>kontak!O3</f>
        <v>dhadan33@gmail.com</v>
      </c>
      <c r="K10" s="166">
        <v>43262</v>
      </c>
      <c r="L10" s="153">
        <v>1</v>
      </c>
      <c r="M10" s="153">
        <f>'data giro'!A8</f>
        <v>7</v>
      </c>
      <c r="N10" s="153">
        <v>0</v>
      </c>
      <c r="O10" s="153">
        <v>0</v>
      </c>
      <c r="P10" s="153">
        <f>kontak!A8</f>
        <v>6</v>
      </c>
      <c r="Q10" s="153" t="str">
        <f>kontak!G8</f>
        <v>yusril</v>
      </c>
      <c r="R10" s="153">
        <v>0</v>
      </c>
      <c r="S10" s="153">
        <f>'rekening perkiraan'!A27</f>
        <v>25</v>
      </c>
      <c r="T10" s="153" t="str">
        <f>'rekening perkiraan'!B27</f>
        <v>hutang giro</v>
      </c>
      <c r="U10" s="154">
        <f>'order transaksi cash'!E26</f>
        <v>5000000</v>
      </c>
      <c r="V10" s="153">
        <f>'user id'!A4</f>
        <v>3</v>
      </c>
      <c r="W10" s="153">
        <f>'periode akuntansi'!A2</f>
        <v>1</v>
      </c>
      <c r="X10" s="153"/>
      <c r="Y10" s="130" t="s">
        <v>1572</v>
      </c>
    </row>
    <row r="11" spans="1:26" x14ac:dyDescent="0.25">
      <c r="A11" s="153">
        <v>5</v>
      </c>
      <c r="B11" s="153">
        <f>B10</f>
        <v>2</v>
      </c>
      <c r="C11" s="153">
        <f t="shared" ref="C11" si="1">C10</f>
        <v>3</v>
      </c>
      <c r="D11" s="153" t="str">
        <f>CONCATENATE(C11,".",A11)</f>
        <v>3.5</v>
      </c>
      <c r="E11" s="153" t="str">
        <f t="shared" ref="E11:R11" si="2">E10</f>
        <v>CR</v>
      </c>
      <c r="F11" s="153" t="str">
        <f t="shared" si="2"/>
        <v>.000004</v>
      </c>
      <c r="G11" s="153">
        <f t="shared" si="2"/>
        <v>1</v>
      </c>
      <c r="H11" s="153" t="str">
        <f t="shared" si="2"/>
        <v>dimas dhaniarso</v>
      </c>
      <c r="I11" s="153">
        <f t="shared" si="2"/>
        <v>81273845323</v>
      </c>
      <c r="J11" s="153" t="str">
        <f t="shared" si="2"/>
        <v>dhadan33@gmail.com</v>
      </c>
      <c r="K11" s="166">
        <f>K10</f>
        <v>43262</v>
      </c>
      <c r="L11" s="153">
        <f t="shared" si="2"/>
        <v>1</v>
      </c>
      <c r="M11" s="153">
        <f t="shared" si="2"/>
        <v>7</v>
      </c>
      <c r="N11" s="153">
        <f t="shared" si="2"/>
        <v>0</v>
      </c>
      <c r="O11" s="153">
        <f t="shared" si="2"/>
        <v>0</v>
      </c>
      <c r="P11" s="153">
        <f t="shared" si="2"/>
        <v>6</v>
      </c>
      <c r="Q11" s="153" t="str">
        <f t="shared" si="2"/>
        <v>yusril</v>
      </c>
      <c r="R11" s="153">
        <f t="shared" si="2"/>
        <v>0</v>
      </c>
      <c r="S11" s="153">
        <f>'rekening perkiraan'!A8</f>
        <v>6</v>
      </c>
      <c r="T11" s="153" t="str">
        <f>'rekening perkiraan'!B8</f>
        <v>bank</v>
      </c>
      <c r="U11" s="154">
        <f>'order transaksi cash'!E27</f>
        <v>5000000</v>
      </c>
      <c r="V11" s="153">
        <f>'user id'!A2</f>
        <v>1</v>
      </c>
      <c r="W11" s="153">
        <f>'periode akuntansi'!A2</f>
        <v>1</v>
      </c>
      <c r="X11" s="153"/>
      <c r="Y11" s="130" t="str">
        <f>Y10</f>
        <v>pembayaran SJ000003 (part 2 pake giro)</v>
      </c>
    </row>
    <row r="12" spans="1:26" x14ac:dyDescent="0.25">
      <c r="C12" s="148"/>
      <c r="D12" s="148"/>
      <c r="E12" s="148"/>
      <c r="K12" s="6"/>
      <c r="Y12" s="130"/>
    </row>
    <row r="13" spans="1:26" x14ac:dyDescent="0.25">
      <c r="A13" s="153">
        <v>2</v>
      </c>
      <c r="B13" s="153">
        <f>'dropdown payment&amp;cash activity'!A3</f>
        <v>2</v>
      </c>
      <c r="C13" s="153">
        <f>'dropdown payment&amp;cash activity'!C3</f>
        <v>3</v>
      </c>
      <c r="D13" s="153" t="str">
        <f>CONCATENATE(C13,".",A13)</f>
        <v>3.2</v>
      </c>
      <c r="E13" s="153" t="str">
        <f>'kode transaksi'!B4</f>
        <v>CR</v>
      </c>
      <c r="F13" s="153" t="s">
        <v>1596</v>
      </c>
      <c r="G13" s="153">
        <f>kontak!A10</f>
        <v>8</v>
      </c>
      <c r="H13" s="153" t="str">
        <f>kontak!G10</f>
        <v>dodi kusuma</v>
      </c>
      <c r="I13" s="153">
        <f>kontak!K10</f>
        <v>217229385</v>
      </c>
      <c r="J13" s="153" t="str">
        <f>kontak!O10</f>
        <v>dodikusuma@yahoo.co.id</v>
      </c>
      <c r="K13" s="166">
        <v>43261</v>
      </c>
      <c r="L13" s="153">
        <v>0</v>
      </c>
      <c r="M13" s="153"/>
      <c r="N13" s="153">
        <v>0</v>
      </c>
      <c r="O13" s="153">
        <v>0</v>
      </c>
      <c r="P13" s="153">
        <f>kontak!A6</f>
        <v>4</v>
      </c>
      <c r="Q13" s="153" t="str">
        <f>kontak!G6</f>
        <v>dea fitri maharani</v>
      </c>
      <c r="R13" s="153">
        <v>0</v>
      </c>
      <c r="S13" s="153">
        <f>'rekening perkiraan'!A11</f>
        <v>9</v>
      </c>
      <c r="T13" s="153" t="str">
        <f>'rekening perkiraan'!B11</f>
        <v>kas</v>
      </c>
      <c r="U13" s="154"/>
      <c r="V13" s="153">
        <f>'user id'!A2</f>
        <v>1</v>
      </c>
      <c r="W13" s="153">
        <f>'periode akuntansi'!A2</f>
        <v>1</v>
      </c>
      <c r="X13" s="153"/>
      <c r="Y13" s="130" t="s">
        <v>1567</v>
      </c>
    </row>
    <row r="14" spans="1:26" x14ac:dyDescent="0.25">
      <c r="A14" s="1">
        <v>10</v>
      </c>
      <c r="B14" s="148">
        <f>'dropdown payment&amp;cash activity'!A3</f>
        <v>2</v>
      </c>
      <c r="C14" s="148">
        <f>'dropdown payment&amp;cash activity'!C3</f>
        <v>3</v>
      </c>
      <c r="D14" s="148" t="str">
        <f>CONCATENATE(C14,".",A14)</f>
        <v>3.10</v>
      </c>
      <c r="E14" s="148" t="str">
        <f>'kode transaksi'!B4</f>
        <v>CR</v>
      </c>
      <c r="F14" s="148" t="s">
        <v>1599</v>
      </c>
      <c r="G14" s="171">
        <f>kontak!A3</f>
        <v>1</v>
      </c>
      <c r="H14" s="171" t="str">
        <f>kontak!G3</f>
        <v>dimas dhaniarso</v>
      </c>
      <c r="I14" s="171">
        <f>kontak!K3</f>
        <v>81273845323</v>
      </c>
      <c r="J14" s="171" t="str">
        <f>kontak!O3</f>
        <v>dhadan33@gmail.com</v>
      </c>
      <c r="K14" s="6">
        <v>43261</v>
      </c>
      <c r="L14" s="1">
        <v>0</v>
      </c>
      <c r="M14" s="1">
        <v>0</v>
      </c>
      <c r="N14" s="1">
        <v>0</v>
      </c>
      <c r="O14" s="1">
        <v>0</v>
      </c>
      <c r="P14" s="171">
        <f>kontak!A6</f>
        <v>4</v>
      </c>
      <c r="Q14" s="171" t="str">
        <f>kontak!G6</f>
        <v>dea fitri maharani</v>
      </c>
      <c r="R14" s="1">
        <v>0</v>
      </c>
      <c r="S14" s="171">
        <f>'rekening perkiraan'!A8</f>
        <v>6</v>
      </c>
      <c r="T14" s="171" t="str">
        <f>'rekening perkiraan'!B8</f>
        <v>bank</v>
      </c>
      <c r="V14" s="171">
        <f>'user id'!A4</f>
        <v>3</v>
      </c>
      <c r="W14" s="171">
        <f>'periode akuntansi'!A2</f>
        <v>1</v>
      </c>
      <c r="Y14" s="130"/>
    </row>
    <row r="15" spans="1:26" x14ac:dyDescent="0.25">
      <c r="K15" s="6"/>
      <c r="Y15" s="130"/>
      <c r="Z15" s="130"/>
    </row>
    <row r="16" spans="1:26" x14ac:dyDescent="0.25">
      <c r="K16" s="6"/>
      <c r="Y16" s="130"/>
      <c r="Z16" s="130"/>
    </row>
    <row r="17" spans="11:26" x14ac:dyDescent="0.25">
      <c r="K17" s="6"/>
      <c r="Y17" s="130"/>
      <c r="Z17" s="130"/>
    </row>
    <row r="18" spans="11:26" x14ac:dyDescent="0.25">
      <c r="K18" s="6"/>
      <c r="Y18" s="130"/>
      <c r="Z18" s="130"/>
    </row>
    <row r="19" spans="11:26" x14ac:dyDescent="0.25">
      <c r="K19" s="6"/>
      <c r="Y19" s="130"/>
      <c r="Z19" s="130"/>
    </row>
    <row r="20" spans="11:26" x14ac:dyDescent="0.25">
      <c r="K20" s="6"/>
      <c r="Y20" s="130"/>
      <c r="Z20" s="130"/>
    </row>
    <row r="21" spans="11:26" x14ac:dyDescent="0.25">
      <c r="K21" s="6"/>
      <c r="Y21" s="130"/>
      <c r="Z21" s="130"/>
    </row>
    <row r="22" spans="11:26" x14ac:dyDescent="0.25">
      <c r="K22" s="6"/>
      <c r="Y22" s="130"/>
      <c r="Z22" s="130"/>
    </row>
    <row r="23" spans="11:26" x14ac:dyDescent="0.25">
      <c r="K23" s="6"/>
      <c r="Y23" s="130"/>
      <c r="Z23" s="130"/>
    </row>
    <row r="24" spans="11:26" x14ac:dyDescent="0.25">
      <c r="K24" s="6"/>
      <c r="Y24" s="130"/>
      <c r="Z24" s="130"/>
    </row>
    <row r="25" spans="11:26" x14ac:dyDescent="0.25">
      <c r="K25" s="6"/>
      <c r="Y25" s="130"/>
      <c r="Z25" s="130"/>
    </row>
    <row r="26" spans="11:26" x14ac:dyDescent="0.25">
      <c r="K26" s="6"/>
      <c r="Y26" s="130"/>
      <c r="Z26" s="130"/>
    </row>
    <row r="27" spans="11:26" x14ac:dyDescent="0.25">
      <c r="K27" s="13"/>
      <c r="Y27" s="130"/>
      <c r="Z27" s="130"/>
    </row>
  </sheetData>
  <mergeCells count="5">
    <mergeCell ref="G1:H1"/>
    <mergeCell ref="N1:O1"/>
    <mergeCell ref="P1:Q1"/>
    <mergeCell ref="S1:T1"/>
    <mergeCell ref="L1:M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>
    <tabColor rgb="FF00B050"/>
  </sheetPr>
  <dimension ref="A1:AA18"/>
  <sheetViews>
    <sheetView topLeftCell="J1" zoomScale="70" zoomScaleNormal="70" workbookViewId="0">
      <selection activeCell="J3" sqref="J3"/>
    </sheetView>
  </sheetViews>
  <sheetFormatPr defaultColWidth="9.140625" defaultRowHeight="15" x14ac:dyDescent="0.25"/>
  <cols>
    <col min="1" max="1" width="17.42578125" style="1" bestFit="1" customWidth="1"/>
    <col min="2" max="2" width="25.140625" style="1" bestFit="1" customWidth="1"/>
    <col min="3" max="3" width="18.42578125" style="1" bestFit="1" customWidth="1"/>
    <col min="4" max="4" width="12.42578125" style="256" bestFit="1" customWidth="1"/>
    <col min="5" max="5" width="15.42578125" style="1" bestFit="1" customWidth="1"/>
    <col min="6" max="6" width="18.140625" style="1" bestFit="1" customWidth="1"/>
    <col min="7" max="7" width="10.28515625" style="1" bestFit="1" customWidth="1"/>
    <col min="8" max="8" width="17" style="1" bestFit="1" customWidth="1"/>
    <col min="9" max="9" width="14.140625" style="1" bestFit="1" customWidth="1"/>
    <col min="10" max="10" width="26.140625" style="1" bestFit="1" customWidth="1"/>
    <col min="11" max="11" width="14.42578125" style="1" bestFit="1" customWidth="1"/>
    <col min="12" max="12" width="11.42578125" style="1" bestFit="1" customWidth="1"/>
    <col min="13" max="13" width="10.7109375" style="1" bestFit="1" customWidth="1"/>
    <col min="14" max="14" width="19.42578125" style="1" bestFit="1" customWidth="1"/>
    <col min="15" max="15" width="14.140625" style="1" bestFit="1" customWidth="1"/>
    <col min="16" max="16" width="12.7109375" style="1" bestFit="1" customWidth="1"/>
    <col min="17" max="17" width="26" style="1" bestFit="1" customWidth="1"/>
    <col min="18" max="18" width="23" style="1" bestFit="1" customWidth="1"/>
    <col min="19" max="19" width="11.42578125" style="1" bestFit="1" customWidth="1"/>
    <col min="20" max="20" width="18.28515625" style="1" bestFit="1" customWidth="1"/>
    <col min="21" max="21" width="19.42578125" style="1" bestFit="1" customWidth="1"/>
    <col min="22" max="22" width="12.7109375" style="1" bestFit="1" customWidth="1"/>
    <col min="23" max="23" width="16.28515625" style="1" bestFit="1" customWidth="1"/>
    <col min="24" max="24" width="20.28515625" style="41" bestFit="1" customWidth="1"/>
    <col min="25" max="25" width="10.85546875" style="1" bestFit="1" customWidth="1"/>
    <col min="26" max="26" width="22" style="1" bestFit="1" customWidth="1"/>
    <col min="27" max="27" width="16" style="1" bestFit="1" customWidth="1"/>
    <col min="28" max="28" width="11" style="1" bestFit="1" customWidth="1"/>
    <col min="29" max="29" width="22.28515625" style="1" bestFit="1" customWidth="1"/>
    <col min="30" max="30" width="21.42578125" style="1" bestFit="1" customWidth="1"/>
    <col min="31" max="31" width="24.42578125" style="1" bestFit="1" customWidth="1"/>
    <col min="32" max="32" width="10.85546875" style="1" bestFit="1" customWidth="1"/>
    <col min="33" max="33" width="11.140625" style="1" bestFit="1" customWidth="1"/>
    <col min="34" max="34" width="27.28515625" style="1" bestFit="1" customWidth="1"/>
    <col min="35" max="35" width="10.7109375" style="1" bestFit="1" customWidth="1"/>
    <col min="36" max="36" width="16.85546875" style="1" bestFit="1" customWidth="1"/>
    <col min="37" max="37" width="10.28515625" style="1" bestFit="1" customWidth="1"/>
    <col min="38" max="38" width="16.42578125" style="1" bestFit="1" customWidth="1"/>
    <col min="39" max="39" width="17.28515625" style="1" bestFit="1" customWidth="1"/>
    <col min="40" max="40" width="16.85546875" style="1" bestFit="1" customWidth="1"/>
    <col min="41" max="41" width="17.28515625" style="1" bestFit="1" customWidth="1"/>
    <col min="42" max="42" width="9.85546875" style="1" bestFit="1" customWidth="1"/>
    <col min="43" max="43" width="14.85546875" style="1" bestFit="1" customWidth="1"/>
    <col min="44" max="16384" width="9.140625" style="1"/>
  </cols>
  <sheetData>
    <row r="1" spans="1:27" s="44" customFormat="1" x14ac:dyDescent="0.25">
      <c r="B1" s="306" t="s">
        <v>1523</v>
      </c>
      <c r="C1" s="306"/>
      <c r="D1" s="306"/>
      <c r="E1" s="306"/>
      <c r="F1" s="94" t="s">
        <v>1524</v>
      </c>
      <c r="G1" s="306" t="s">
        <v>1482</v>
      </c>
      <c r="H1" s="306"/>
      <c r="I1" s="44" t="s">
        <v>1387</v>
      </c>
      <c r="J1" s="44" t="s">
        <v>980</v>
      </c>
      <c r="K1" s="297" t="s">
        <v>1145</v>
      </c>
      <c r="L1" s="297"/>
      <c r="M1" s="297"/>
      <c r="N1" s="44" t="s">
        <v>1525</v>
      </c>
      <c r="O1" s="44" t="s">
        <v>556</v>
      </c>
      <c r="Q1" s="297" t="s">
        <v>916</v>
      </c>
      <c r="R1" s="297"/>
      <c r="S1" s="306" t="s">
        <v>924</v>
      </c>
      <c r="T1" s="306"/>
      <c r="V1" s="306" t="s">
        <v>1526</v>
      </c>
      <c r="W1" s="306"/>
      <c r="X1" s="79" t="s">
        <v>1485</v>
      </c>
    </row>
    <row r="2" spans="1:27" x14ac:dyDescent="0.25">
      <c r="A2" s="90" t="s">
        <v>1600</v>
      </c>
      <c r="B2" s="93" t="s">
        <v>1616</v>
      </c>
      <c r="C2" s="93" t="s">
        <v>617</v>
      </c>
      <c r="D2" s="93" t="s">
        <v>1685</v>
      </c>
      <c r="E2" s="93" t="s">
        <v>614</v>
      </c>
      <c r="F2" s="93" t="s">
        <v>1601</v>
      </c>
      <c r="G2" s="93" t="s">
        <v>394</v>
      </c>
      <c r="H2" s="93" t="s">
        <v>540</v>
      </c>
      <c r="I2" s="90" t="s">
        <v>19</v>
      </c>
      <c r="J2" s="90" t="s">
        <v>20</v>
      </c>
      <c r="K2" s="90" t="s">
        <v>115</v>
      </c>
      <c r="L2" s="90" t="s">
        <v>21</v>
      </c>
      <c r="M2" s="90" t="s">
        <v>828</v>
      </c>
      <c r="N2" s="90" t="s">
        <v>481</v>
      </c>
      <c r="O2" s="90" t="s">
        <v>556</v>
      </c>
      <c r="P2" s="90" t="s">
        <v>1490</v>
      </c>
      <c r="Q2" s="90" t="s">
        <v>22</v>
      </c>
      <c r="R2" s="90" t="s">
        <v>23</v>
      </c>
      <c r="S2" s="93" t="s">
        <v>35</v>
      </c>
      <c r="T2" s="93" t="s">
        <v>36</v>
      </c>
      <c r="U2" s="90" t="s">
        <v>1469</v>
      </c>
      <c r="V2" s="7" t="s">
        <v>543</v>
      </c>
      <c r="W2" s="7" t="s">
        <v>656</v>
      </c>
      <c r="X2" s="96" t="s">
        <v>641</v>
      </c>
      <c r="Y2" s="1" t="s">
        <v>624</v>
      </c>
      <c r="Z2" s="1" t="s">
        <v>1129</v>
      </c>
      <c r="AA2" s="6" t="s">
        <v>1602</v>
      </c>
    </row>
    <row r="3" spans="1:27" x14ac:dyDescent="0.25">
      <c r="A3" s="1">
        <v>1</v>
      </c>
      <c r="B3" s="1">
        <f>'dropdown payment&amp;cash activity'!A5</f>
        <v>4</v>
      </c>
      <c r="C3" s="1">
        <f>'dropdown payment&amp;cash activity'!C5</f>
        <v>5</v>
      </c>
      <c r="D3" s="256" t="str">
        <f>CONCATENATE(C3,".",A3)</f>
        <v>5.1</v>
      </c>
      <c r="E3" s="1" t="str">
        <f>'dropdown payment&amp;cash activity'!D5</f>
        <v>Cout</v>
      </c>
      <c r="F3" s="1" t="s">
        <v>1595</v>
      </c>
      <c r="G3" s="1">
        <f>kontak!A3</f>
        <v>1</v>
      </c>
      <c r="H3" s="1" t="str">
        <f>kontak!G3</f>
        <v>dimas dhaniarso</v>
      </c>
      <c r="I3" s="1">
        <f>kontak!K3</f>
        <v>81273845323</v>
      </c>
      <c r="J3" s="1" t="str">
        <f>kontak!O3</f>
        <v>dhadan33@gmail.com</v>
      </c>
      <c r="K3" s="1">
        <f>'data mata uang'!A3</f>
        <v>1</v>
      </c>
      <c r="L3" s="1" t="str">
        <f>'data mata uang'!D3</f>
        <v>IDR</v>
      </c>
      <c r="M3" s="1">
        <f>'data mata uang'!G3</f>
        <v>1</v>
      </c>
      <c r="N3" s="6">
        <v>43255</v>
      </c>
      <c r="O3" s="1">
        <v>0</v>
      </c>
      <c r="P3" s="1">
        <v>0</v>
      </c>
      <c r="Q3" s="1">
        <v>0</v>
      </c>
      <c r="R3" s="1">
        <v>0</v>
      </c>
      <c r="S3" s="1">
        <f>kontak!A7</f>
        <v>5</v>
      </c>
      <c r="T3" s="1" t="str">
        <f>kontak!G7</f>
        <v>gisela tria canitha</v>
      </c>
      <c r="U3" s="1">
        <v>0</v>
      </c>
      <c r="V3" s="1">
        <f>'rekening perkiraan'!A8</f>
        <v>6</v>
      </c>
      <c r="W3" s="1" t="str">
        <f>'rekening perkiraan'!B8</f>
        <v>bank</v>
      </c>
      <c r="X3" s="41">
        <f>SUM('order transaksi cash'!F3:F5)</f>
        <v>600000</v>
      </c>
      <c r="Y3" s="1">
        <f>'user id'!A3</f>
        <v>2</v>
      </c>
      <c r="Z3" s="1">
        <f>'periode akuntansi'!A2</f>
        <v>1</v>
      </c>
    </row>
    <row r="4" spans="1:27" x14ac:dyDescent="0.25">
      <c r="A4" s="1">
        <v>2</v>
      </c>
      <c r="B4" s="1">
        <f>'dropdown payment&amp;cash activity'!A4</f>
        <v>3</v>
      </c>
      <c r="C4" s="1">
        <f>'dropdown payment&amp;cash activity'!C4</f>
        <v>4</v>
      </c>
      <c r="D4" s="257" t="str">
        <f t="shared" ref="D4:D18" si="0">CONCATENATE(C4,".",A4)</f>
        <v>4.2</v>
      </c>
      <c r="E4" s="1" t="str">
        <f>'dropdown payment&amp;cash activity'!D4</f>
        <v>CIn</v>
      </c>
      <c r="F4" s="1" t="s">
        <v>1595</v>
      </c>
      <c r="G4" s="1">
        <f>kontak!A3</f>
        <v>1</v>
      </c>
      <c r="H4" s="1" t="str">
        <f>kontak!G3</f>
        <v>dimas dhaniarso</v>
      </c>
      <c r="I4" s="1">
        <f>kontak!K3</f>
        <v>81273845323</v>
      </c>
      <c r="J4" s="1" t="str">
        <f>kontak!O3</f>
        <v>dhadan33@gmail.com</v>
      </c>
      <c r="K4" s="1">
        <f>'data mata uang'!A3</f>
        <v>1</v>
      </c>
      <c r="L4" s="1" t="str">
        <f>'data mata uang'!D3</f>
        <v>IDR</v>
      </c>
      <c r="M4" s="1">
        <f>'data mata uang'!G3</f>
        <v>1</v>
      </c>
      <c r="N4" s="6">
        <v>43255</v>
      </c>
      <c r="O4" s="1">
        <v>0</v>
      </c>
      <c r="P4" s="1">
        <v>0</v>
      </c>
      <c r="Q4" s="1">
        <v>0</v>
      </c>
      <c r="R4" s="1">
        <v>0</v>
      </c>
      <c r="S4" s="1">
        <f>kontak!A8</f>
        <v>6</v>
      </c>
      <c r="T4" s="1" t="str">
        <f>kontak!G8</f>
        <v>yusril</v>
      </c>
      <c r="U4" s="1">
        <v>0</v>
      </c>
      <c r="V4" s="1">
        <f>'rekening perkiraan'!A11</f>
        <v>9</v>
      </c>
      <c r="W4" s="1" t="str">
        <f>'rekening perkiraan'!B11</f>
        <v>kas</v>
      </c>
      <c r="X4" s="41">
        <f>'order transaksi cash'!E6</f>
        <v>150000</v>
      </c>
      <c r="Y4" s="1">
        <f>'user id'!A4</f>
        <v>3</v>
      </c>
      <c r="Z4" s="1">
        <f>'periode akuntansi'!A2</f>
        <v>1</v>
      </c>
    </row>
    <row r="5" spans="1:27" x14ac:dyDescent="0.25">
      <c r="A5" s="1">
        <v>3</v>
      </c>
      <c r="B5" s="1">
        <f>'dropdown payment&amp;cash activity'!A4</f>
        <v>3</v>
      </c>
      <c r="C5" s="1">
        <f>'dropdown payment&amp;cash activity'!C4</f>
        <v>4</v>
      </c>
      <c r="D5" s="257" t="str">
        <f t="shared" si="0"/>
        <v>4.3</v>
      </c>
      <c r="E5" s="1" t="str">
        <f>'dropdown payment&amp;cash activity'!D4</f>
        <v>CIn</v>
      </c>
      <c r="F5" s="1" t="s">
        <v>1596</v>
      </c>
      <c r="G5" s="1">
        <f>kontak!A3</f>
        <v>1</v>
      </c>
      <c r="H5" s="1" t="str">
        <f>kontak!G3</f>
        <v>dimas dhaniarso</v>
      </c>
      <c r="I5" s="1">
        <f>kontak!K3</f>
        <v>81273845323</v>
      </c>
      <c r="J5" s="1" t="str">
        <f>kontak!O3</f>
        <v>dhadan33@gmail.com</v>
      </c>
      <c r="K5" s="1">
        <f>'data mata uang'!A3</f>
        <v>1</v>
      </c>
      <c r="L5" s="1" t="str">
        <f>'data mata uang'!D3</f>
        <v>IDR</v>
      </c>
      <c r="M5" s="1">
        <f>'data mata uang'!G3</f>
        <v>1</v>
      </c>
      <c r="N5" s="6">
        <v>43256</v>
      </c>
      <c r="O5" s="1">
        <v>0</v>
      </c>
      <c r="P5" s="1">
        <v>0</v>
      </c>
      <c r="Q5" s="1">
        <v>0</v>
      </c>
      <c r="R5" s="1">
        <v>0</v>
      </c>
      <c r="S5" s="1">
        <f>kontak!A8</f>
        <v>6</v>
      </c>
      <c r="T5" s="1" t="str">
        <f>kontak!G8</f>
        <v>yusril</v>
      </c>
      <c r="U5" s="1">
        <v>0</v>
      </c>
      <c r="V5" s="1">
        <f>'rekening perkiraan'!A8</f>
        <v>6</v>
      </c>
      <c r="W5" s="1" t="str">
        <f>'rekening perkiraan'!B8</f>
        <v>bank</v>
      </c>
      <c r="X5" s="41">
        <f>'order transaksi cash'!E7</f>
        <v>50000</v>
      </c>
      <c r="Y5" s="1">
        <f>'user id'!A4</f>
        <v>3</v>
      </c>
      <c r="Z5" s="1">
        <f>'periode akuntansi'!A2</f>
        <v>1</v>
      </c>
    </row>
    <row r="6" spans="1:27" x14ac:dyDescent="0.25">
      <c r="A6" s="94">
        <v>4</v>
      </c>
      <c r="B6" s="94">
        <f>'dropdown payment&amp;cash activity'!A5</f>
        <v>4</v>
      </c>
      <c r="C6" s="259">
        <f>'dropdown payment&amp;cash activity'!C5</f>
        <v>5</v>
      </c>
      <c r="D6" s="259" t="str">
        <f t="shared" si="0"/>
        <v>5.4</v>
      </c>
      <c r="E6" s="259" t="str">
        <f>'dropdown payment&amp;cash activity'!D5</f>
        <v>Cout</v>
      </c>
      <c r="F6" s="94" t="s">
        <v>1596</v>
      </c>
      <c r="G6" s="94">
        <f>kontak!A4</f>
        <v>2</v>
      </c>
      <c r="H6" s="94" t="str">
        <f>kontak!G4</f>
        <v>yuli hendarto</v>
      </c>
      <c r="I6" s="94">
        <f>kontak!K4</f>
        <v>8551003553</v>
      </c>
      <c r="J6" s="94" t="str">
        <f>kontak!O4</f>
        <v>yuli_hendarto@yahoo.com</v>
      </c>
      <c r="K6" s="94">
        <f>'data mata uang'!A3</f>
        <v>1</v>
      </c>
      <c r="L6" s="94" t="str">
        <f>'data mata uang'!D3</f>
        <v>IDR</v>
      </c>
      <c r="M6" s="94">
        <f>'data mata uang'!G3</f>
        <v>1</v>
      </c>
      <c r="N6" s="100">
        <v>43256</v>
      </c>
      <c r="O6" s="94">
        <v>0</v>
      </c>
      <c r="P6" s="94">
        <v>0</v>
      </c>
      <c r="Q6" s="94">
        <v>0</v>
      </c>
      <c r="R6" s="94">
        <v>0</v>
      </c>
      <c r="S6" s="94">
        <f>kontak!A7</f>
        <v>5</v>
      </c>
      <c r="T6" s="94" t="str">
        <f>kontak!G7</f>
        <v>gisela tria canitha</v>
      </c>
      <c r="U6" s="94">
        <v>0</v>
      </c>
      <c r="V6" s="94">
        <f>'rekening perkiraan'!A8</f>
        <v>6</v>
      </c>
      <c r="W6" s="94" t="str">
        <f>'rekening perkiraan'!B8</f>
        <v>bank</v>
      </c>
      <c r="X6" s="101">
        <f>'order transaksi cash'!F8</f>
        <v>500000</v>
      </c>
      <c r="Y6" s="94">
        <f>'user id'!A3</f>
        <v>2</v>
      </c>
      <c r="Z6" s="94">
        <f>'periode akuntansi'!A2</f>
        <v>1</v>
      </c>
      <c r="AA6" s="94"/>
    </row>
    <row r="7" spans="1:27" x14ac:dyDescent="0.25">
      <c r="A7" s="94">
        <v>5</v>
      </c>
      <c r="B7" s="94">
        <f>'dropdown payment&amp;cash activity'!A4</f>
        <v>3</v>
      </c>
      <c r="C7" s="259">
        <f>'dropdown payment&amp;cash activity'!C4</f>
        <v>4</v>
      </c>
      <c r="D7" s="259" t="str">
        <f t="shared" si="0"/>
        <v>4.5</v>
      </c>
      <c r="E7" s="259" t="str">
        <f>'dropdown payment&amp;cash activity'!D4</f>
        <v>CIn</v>
      </c>
      <c r="F7" s="94" t="s">
        <v>1597</v>
      </c>
      <c r="G7" s="94">
        <f>kontak!A4</f>
        <v>2</v>
      </c>
      <c r="H7" s="94" t="str">
        <f>kontak!G4</f>
        <v>yuli hendarto</v>
      </c>
      <c r="I7" s="94">
        <f>kontak!K4</f>
        <v>8551003553</v>
      </c>
      <c r="J7" s="94" t="str">
        <f>kontak!O4</f>
        <v>yuli_hendarto@yahoo.com</v>
      </c>
      <c r="K7" s="94">
        <f>'data mata uang'!A3</f>
        <v>1</v>
      </c>
      <c r="L7" s="94" t="str">
        <f>'data mata uang'!D3</f>
        <v>IDR</v>
      </c>
      <c r="M7" s="94">
        <f>'data mata uang'!G3</f>
        <v>1</v>
      </c>
      <c r="N7" s="100">
        <v>43257</v>
      </c>
      <c r="O7" s="94">
        <v>0</v>
      </c>
      <c r="P7" s="94">
        <v>0</v>
      </c>
      <c r="Q7" s="94">
        <v>0</v>
      </c>
      <c r="R7" s="94">
        <v>0</v>
      </c>
      <c r="S7" s="94">
        <f>kontak!A8</f>
        <v>6</v>
      </c>
      <c r="T7" s="94" t="str">
        <f>kontak!G8</f>
        <v>yusril</v>
      </c>
      <c r="U7" s="94">
        <v>0</v>
      </c>
      <c r="V7" s="94">
        <f>'rekening perkiraan'!A11</f>
        <v>9</v>
      </c>
      <c r="W7" s="94" t="str">
        <f>'rekening perkiraan'!B11</f>
        <v>kas</v>
      </c>
      <c r="X7" s="101">
        <f>'order transaksi cash'!E9</f>
        <v>500000</v>
      </c>
      <c r="Y7" s="94">
        <f>'user id'!A4</f>
        <v>3</v>
      </c>
      <c r="Z7" s="94">
        <f>'periode akuntansi'!A2</f>
        <v>1</v>
      </c>
      <c r="AA7" s="94"/>
    </row>
    <row r="8" spans="1:27" x14ac:dyDescent="0.25">
      <c r="A8" s="98">
        <v>6</v>
      </c>
      <c r="B8" s="98">
        <f>'dropdown payment&amp;cash activity'!A5</f>
        <v>4</v>
      </c>
      <c r="C8" s="98">
        <f>'dropdown payment&amp;cash activity'!C5</f>
        <v>5</v>
      </c>
      <c r="D8" s="98" t="str">
        <f t="shared" si="0"/>
        <v>5.6</v>
      </c>
      <c r="E8" s="98" t="str">
        <f>'dropdown payment&amp;cash activity'!D5</f>
        <v>Cout</v>
      </c>
      <c r="F8" s="98" t="s">
        <v>1597</v>
      </c>
      <c r="G8" s="98">
        <f>kontak!A3</f>
        <v>1</v>
      </c>
      <c r="H8" s="98" t="str">
        <f>kontak!G3</f>
        <v>dimas dhaniarso</v>
      </c>
      <c r="I8" s="98">
        <f>kontak!K3</f>
        <v>81273845323</v>
      </c>
      <c r="J8" s="98" t="str">
        <f>kontak!O3</f>
        <v>dhadan33@gmail.com</v>
      </c>
      <c r="K8" s="98">
        <f>'data mata uang'!A3</f>
        <v>1</v>
      </c>
      <c r="L8" s="98" t="str">
        <f>'data mata uang'!D3</f>
        <v>IDR</v>
      </c>
      <c r="M8" s="98">
        <f>'data mata uang'!G3</f>
        <v>1</v>
      </c>
      <c r="N8" s="102">
        <v>43257</v>
      </c>
      <c r="O8" s="98">
        <v>1</v>
      </c>
      <c r="P8" s="98">
        <f>'data giro'!A4</f>
        <v>3</v>
      </c>
      <c r="Q8" s="98">
        <v>0</v>
      </c>
      <c r="R8" s="98">
        <v>0</v>
      </c>
      <c r="S8" s="98">
        <f>kontak!A6</f>
        <v>4</v>
      </c>
      <c r="T8" s="98" t="str">
        <f>kontak!G6</f>
        <v>dea fitri maharani</v>
      </c>
      <c r="U8" s="98">
        <v>0</v>
      </c>
      <c r="V8" s="98">
        <f>'rekening perkiraan'!A27</f>
        <v>25</v>
      </c>
      <c r="W8" s="98" t="str">
        <f>'rekening perkiraan'!B27</f>
        <v>hutang giro</v>
      </c>
      <c r="X8" s="99">
        <f>'order transaksi cash'!F10</f>
        <v>200000</v>
      </c>
      <c r="Y8" s="98">
        <f>'user id'!A2</f>
        <v>1</v>
      </c>
      <c r="Z8" s="98">
        <f>'periode akuntansi'!A2</f>
        <v>1</v>
      </c>
      <c r="AA8" s="98"/>
    </row>
    <row r="9" spans="1:27" x14ac:dyDescent="0.25">
      <c r="A9" s="98">
        <v>7</v>
      </c>
      <c r="B9" s="98">
        <f>B8</f>
        <v>4</v>
      </c>
      <c r="C9" s="98">
        <f t="shared" ref="C9:R9" si="1">C8</f>
        <v>5</v>
      </c>
      <c r="D9" s="98" t="str">
        <f t="shared" si="0"/>
        <v>5.7</v>
      </c>
      <c r="E9" s="98" t="str">
        <f t="shared" si="1"/>
        <v>Cout</v>
      </c>
      <c r="F9" s="98" t="str">
        <f t="shared" si="1"/>
        <v>.000003</v>
      </c>
      <c r="G9" s="98">
        <f t="shared" si="1"/>
        <v>1</v>
      </c>
      <c r="H9" s="98" t="str">
        <f t="shared" si="1"/>
        <v>dimas dhaniarso</v>
      </c>
      <c r="I9" s="98">
        <f t="shared" si="1"/>
        <v>81273845323</v>
      </c>
      <c r="J9" s="98" t="str">
        <f t="shared" si="1"/>
        <v>dhadan33@gmail.com</v>
      </c>
      <c r="K9" s="98">
        <f t="shared" si="1"/>
        <v>1</v>
      </c>
      <c r="L9" s="98" t="str">
        <f t="shared" si="1"/>
        <v>IDR</v>
      </c>
      <c r="M9" s="98">
        <f t="shared" si="1"/>
        <v>1</v>
      </c>
      <c r="N9" s="102">
        <v>43258</v>
      </c>
      <c r="O9" s="98">
        <f t="shared" si="1"/>
        <v>1</v>
      </c>
      <c r="P9" s="98">
        <f t="shared" si="1"/>
        <v>3</v>
      </c>
      <c r="Q9" s="98">
        <f t="shared" si="1"/>
        <v>0</v>
      </c>
      <c r="R9" s="98">
        <f t="shared" si="1"/>
        <v>0</v>
      </c>
      <c r="S9" s="98">
        <f t="shared" ref="S9" si="2">S8</f>
        <v>4</v>
      </c>
      <c r="T9" s="98" t="str">
        <f t="shared" ref="T9" si="3">T8</f>
        <v>dea fitri maharani</v>
      </c>
      <c r="U9" s="98">
        <v>0</v>
      </c>
      <c r="V9" s="98">
        <f>'rekening perkiraan'!A8</f>
        <v>6</v>
      </c>
      <c r="W9" s="98" t="str">
        <f>'rekening perkiraan'!B8</f>
        <v>bank</v>
      </c>
      <c r="X9" s="99">
        <f>'order transaksi cash'!F11</f>
        <v>200000</v>
      </c>
      <c r="Y9" s="98">
        <f>'user id'!A3</f>
        <v>2</v>
      </c>
      <c r="Z9" s="98">
        <f>'periode akuntansi'!A2</f>
        <v>1</v>
      </c>
      <c r="AA9" s="98"/>
    </row>
    <row r="10" spans="1:27" x14ac:dyDescent="0.25">
      <c r="A10" s="98">
        <v>8</v>
      </c>
      <c r="B10" s="98">
        <f>'dropdown payment&amp;cash activity'!A4</f>
        <v>3</v>
      </c>
      <c r="C10" s="98">
        <f>'dropdown payment&amp;cash activity'!C4</f>
        <v>4</v>
      </c>
      <c r="D10" s="98" t="str">
        <f t="shared" si="0"/>
        <v>4.8</v>
      </c>
      <c r="E10" s="98" t="str">
        <f>'dropdown payment&amp;cash activity'!D4</f>
        <v>CIn</v>
      </c>
      <c r="F10" s="98" t="s">
        <v>1598</v>
      </c>
      <c r="G10" s="98">
        <f>kontak!A3</f>
        <v>1</v>
      </c>
      <c r="H10" s="98" t="str">
        <f>kontak!G3</f>
        <v>dimas dhaniarso</v>
      </c>
      <c r="I10" s="98">
        <f>kontak!K3</f>
        <v>81273845323</v>
      </c>
      <c r="J10" s="98" t="str">
        <f>kontak!O3</f>
        <v>dhadan33@gmail.com</v>
      </c>
      <c r="K10" s="98">
        <f>'data mata uang'!A3</f>
        <v>1</v>
      </c>
      <c r="L10" s="98" t="str">
        <f>'data mata uang'!D3</f>
        <v>IDR</v>
      </c>
      <c r="M10" s="98">
        <f>'data mata uang'!G3</f>
        <v>1</v>
      </c>
      <c r="N10" s="102">
        <v>43259</v>
      </c>
      <c r="O10" s="98">
        <v>1</v>
      </c>
      <c r="P10" s="98">
        <f>'data giro'!A5</f>
        <v>4</v>
      </c>
      <c r="Q10" s="98">
        <v>0</v>
      </c>
      <c r="R10" s="98">
        <v>0</v>
      </c>
      <c r="S10" s="98">
        <f>kontak!A8</f>
        <v>6</v>
      </c>
      <c r="T10" s="98" t="str">
        <f>kontak!G8</f>
        <v>yusril</v>
      </c>
      <c r="U10" s="98">
        <v>0</v>
      </c>
      <c r="V10" s="98">
        <f>'rekening perkiraan'!A26</f>
        <v>24</v>
      </c>
      <c r="W10" s="98" t="str">
        <f>'rekening perkiraan'!B26</f>
        <v>piutang giro</v>
      </c>
      <c r="X10" s="99">
        <f>'order transaksi cash'!E12</f>
        <v>200000</v>
      </c>
      <c r="Y10" s="98">
        <f>'user id'!A4</f>
        <v>3</v>
      </c>
      <c r="Z10" s="98">
        <f>'periode akuntansi'!A2</f>
        <v>1</v>
      </c>
      <c r="AA10" s="98"/>
    </row>
    <row r="11" spans="1:27" x14ac:dyDescent="0.25">
      <c r="A11" s="98">
        <v>9</v>
      </c>
      <c r="B11" s="98">
        <f t="shared" ref="B11:L11" si="4">B10</f>
        <v>3</v>
      </c>
      <c r="C11" s="98">
        <f t="shared" si="4"/>
        <v>4</v>
      </c>
      <c r="D11" s="98" t="str">
        <f t="shared" si="0"/>
        <v>4.9</v>
      </c>
      <c r="E11" s="98" t="str">
        <f t="shared" si="4"/>
        <v>CIn</v>
      </c>
      <c r="F11" s="98" t="str">
        <f t="shared" si="4"/>
        <v>.000004</v>
      </c>
      <c r="G11" s="98">
        <f t="shared" si="4"/>
        <v>1</v>
      </c>
      <c r="H11" s="98" t="str">
        <f t="shared" si="4"/>
        <v>dimas dhaniarso</v>
      </c>
      <c r="I11" s="98">
        <f t="shared" si="4"/>
        <v>81273845323</v>
      </c>
      <c r="J11" s="98" t="str">
        <f t="shared" si="4"/>
        <v>dhadan33@gmail.com</v>
      </c>
      <c r="K11" s="98">
        <f t="shared" si="4"/>
        <v>1</v>
      </c>
      <c r="L11" s="98" t="str">
        <f t="shared" si="4"/>
        <v>IDR</v>
      </c>
      <c r="M11" s="98">
        <f>M10</f>
        <v>1</v>
      </c>
      <c r="N11" s="102">
        <v>43260</v>
      </c>
      <c r="O11" s="98">
        <f>O10</f>
        <v>1</v>
      </c>
      <c r="P11" s="98">
        <f>P10</f>
        <v>4</v>
      </c>
      <c r="Q11" s="98">
        <f t="shared" ref="Q11:S11" si="5">Q10</f>
        <v>0</v>
      </c>
      <c r="R11" s="98">
        <f t="shared" si="5"/>
        <v>0</v>
      </c>
      <c r="S11" s="98">
        <f t="shared" si="5"/>
        <v>6</v>
      </c>
      <c r="T11" s="98" t="str">
        <f>T10</f>
        <v>yusril</v>
      </c>
      <c r="U11" s="98">
        <v>0</v>
      </c>
      <c r="V11" s="98">
        <f>'rekening perkiraan'!A8</f>
        <v>6</v>
      </c>
      <c r="W11" s="98" t="str">
        <f>'rekening perkiraan'!B8</f>
        <v>bank</v>
      </c>
      <c r="X11" s="99">
        <f>'order transaksi cash'!E13</f>
        <v>200000</v>
      </c>
      <c r="Y11" s="98">
        <f>'user id'!A2</f>
        <v>1</v>
      </c>
      <c r="Z11" s="98">
        <f>'periode akuntansi'!A2</f>
        <v>1</v>
      </c>
      <c r="AA11" s="98"/>
    </row>
    <row r="12" spans="1:27" x14ac:dyDescent="0.25">
      <c r="A12" s="7">
        <v>10</v>
      </c>
      <c r="B12" s="7">
        <f>'dropdown payment&amp;cash activity'!A4</f>
        <v>3</v>
      </c>
      <c r="C12" s="7">
        <f>'dropdown payment&amp;cash activity'!C4</f>
        <v>4</v>
      </c>
      <c r="D12" s="7" t="str">
        <f t="shared" si="0"/>
        <v>4.10</v>
      </c>
      <c r="E12" s="7" t="str">
        <f>'dropdown payment&amp;cash activity'!D4</f>
        <v>CIn</v>
      </c>
      <c r="F12" s="7" t="s">
        <v>1599</v>
      </c>
      <c r="G12" s="7">
        <f>kontak!A9</f>
        <v>7</v>
      </c>
      <c r="H12" s="7" t="str">
        <f>kontak!G9</f>
        <v>djayakusuma</v>
      </c>
      <c r="I12" s="7">
        <f>kontak!K9</f>
        <v>8170175139</v>
      </c>
      <c r="J12" s="7" t="str">
        <f>kontak!O9</f>
        <v>djayakusuma@gmail.com</v>
      </c>
      <c r="K12" s="7">
        <f>'data mata uang'!A3</f>
        <v>1</v>
      </c>
      <c r="L12" s="7" t="str">
        <f>'data mata uang'!D3</f>
        <v>IDR</v>
      </c>
      <c r="M12" s="7">
        <f>'data mata uang'!G3</f>
        <v>1</v>
      </c>
      <c r="N12" s="104">
        <v>43260</v>
      </c>
      <c r="O12" s="7">
        <v>0</v>
      </c>
      <c r="P12" s="7">
        <v>0</v>
      </c>
      <c r="Q12" s="7">
        <v>0</v>
      </c>
      <c r="R12" s="7">
        <v>0</v>
      </c>
      <c r="S12" s="7">
        <f>kontak!A7</f>
        <v>5</v>
      </c>
      <c r="T12" s="7" t="str">
        <f>kontak!G7</f>
        <v>gisela tria canitha</v>
      </c>
      <c r="U12" s="7">
        <v>0</v>
      </c>
      <c r="V12" s="7">
        <f>'rekening perkiraan'!A11</f>
        <v>9</v>
      </c>
      <c r="W12" s="7" t="str">
        <f>'rekening perkiraan'!B11</f>
        <v>kas</v>
      </c>
      <c r="X12" s="103">
        <f>'order transaksi cash'!E14</f>
        <v>300000</v>
      </c>
      <c r="Y12" s="7">
        <f>'user id'!A3</f>
        <v>2</v>
      </c>
      <c r="Z12" s="7">
        <f>'periode akuntansi'!A2</f>
        <v>1</v>
      </c>
      <c r="AA12" s="7"/>
    </row>
    <row r="13" spans="1:27" x14ac:dyDescent="0.25">
      <c r="A13" s="7">
        <v>11</v>
      </c>
      <c r="B13" s="7">
        <f>'dropdown payment&amp;cash activity'!A5</f>
        <v>4</v>
      </c>
      <c r="C13" s="7">
        <f>'dropdown payment&amp;cash activity'!C5</f>
        <v>5</v>
      </c>
      <c r="D13" s="7" t="str">
        <f t="shared" si="0"/>
        <v>5.11</v>
      </c>
      <c r="E13" s="7" t="str">
        <f>'dropdown payment&amp;cash activity'!D5</f>
        <v>Cout</v>
      </c>
      <c r="F13" s="7" t="s">
        <v>1598</v>
      </c>
      <c r="G13" s="7">
        <f>kontak!A9</f>
        <v>7</v>
      </c>
      <c r="H13" s="7" t="str">
        <f>kontak!G9</f>
        <v>djayakusuma</v>
      </c>
      <c r="I13" s="7">
        <f>kontak!K9</f>
        <v>8170175139</v>
      </c>
      <c r="J13" s="7" t="str">
        <f>kontak!O9</f>
        <v>djayakusuma@gmail.com</v>
      </c>
      <c r="K13" s="7">
        <f>'data mata uang'!A3</f>
        <v>1</v>
      </c>
      <c r="L13" s="7" t="str">
        <f>'data mata uang'!D3</f>
        <v>IDR</v>
      </c>
      <c r="M13" s="7">
        <f>'data mata uang'!G3</f>
        <v>1</v>
      </c>
      <c r="N13" s="104">
        <v>43261</v>
      </c>
      <c r="O13" s="7">
        <v>0</v>
      </c>
      <c r="P13" s="7">
        <v>0</v>
      </c>
      <c r="Q13" s="7">
        <v>0</v>
      </c>
      <c r="R13" s="7">
        <v>0</v>
      </c>
      <c r="S13" s="7">
        <f>kontak!A8</f>
        <v>6</v>
      </c>
      <c r="T13" s="7" t="str">
        <f>kontak!G8</f>
        <v>yusril</v>
      </c>
      <c r="U13" s="7">
        <v>0</v>
      </c>
      <c r="V13" s="7">
        <f>'rekening perkiraan'!A8</f>
        <v>6</v>
      </c>
      <c r="W13" s="7" t="str">
        <f>'rekening perkiraan'!B8</f>
        <v>bank</v>
      </c>
      <c r="X13" s="103">
        <f>'order transaksi cash'!F15</f>
        <v>300000</v>
      </c>
      <c r="Y13" s="7">
        <f>'user id'!A4</f>
        <v>3</v>
      </c>
      <c r="Z13" s="7">
        <f>'periode akuntansi'!A2</f>
        <v>1</v>
      </c>
      <c r="AA13" s="7"/>
    </row>
    <row r="14" spans="1:27" x14ac:dyDescent="0.25">
      <c r="A14" s="105">
        <v>12</v>
      </c>
      <c r="B14" s="105">
        <f>'dropdown payment&amp;cash activity'!A4</f>
        <v>3</v>
      </c>
      <c r="C14" s="105">
        <f>'dropdown payment&amp;cash activity'!C4</f>
        <v>4</v>
      </c>
      <c r="D14" s="105" t="str">
        <f t="shared" si="0"/>
        <v>4.12</v>
      </c>
      <c r="E14" s="105" t="str">
        <f>'dropdown payment&amp;cash activity'!D4</f>
        <v>CIn</v>
      </c>
      <c r="F14" s="105" t="s">
        <v>1631</v>
      </c>
      <c r="G14" s="105">
        <f>kontak!A10</f>
        <v>8</v>
      </c>
      <c r="H14" s="105" t="str">
        <f>kontak!G10</f>
        <v>dodi kusuma</v>
      </c>
      <c r="I14" s="105">
        <f>kontak!K10</f>
        <v>217229385</v>
      </c>
      <c r="J14" s="105" t="str">
        <f>kontak!O10</f>
        <v>dodikusuma@yahoo.co.id</v>
      </c>
      <c r="K14" s="105">
        <f>'data mata uang'!A3</f>
        <v>1</v>
      </c>
      <c r="L14" s="105" t="str">
        <f>'data mata uang'!D3</f>
        <v>IDR</v>
      </c>
      <c r="M14" s="105">
        <f>'data mata uang'!G3</f>
        <v>1</v>
      </c>
      <c r="N14" s="107">
        <v>43262</v>
      </c>
      <c r="O14" s="105">
        <v>1</v>
      </c>
      <c r="P14" s="105">
        <f>'data giro'!A6</f>
        <v>5</v>
      </c>
      <c r="Q14" s="105">
        <v>0</v>
      </c>
      <c r="R14" s="105">
        <v>0</v>
      </c>
      <c r="S14" s="105">
        <f>kontak!A6</f>
        <v>4</v>
      </c>
      <c r="T14" s="105" t="str">
        <f>kontak!G6</f>
        <v>dea fitri maharani</v>
      </c>
      <c r="U14" s="105">
        <v>0</v>
      </c>
      <c r="V14" s="105">
        <f>'rekening perkiraan'!A26</f>
        <v>24</v>
      </c>
      <c r="W14" s="105" t="str">
        <f>'rekening perkiraan'!B26</f>
        <v>piutang giro</v>
      </c>
      <c r="X14" s="106">
        <f>'order transaksi cash'!E16</f>
        <v>500000</v>
      </c>
      <c r="Y14" s="105">
        <f>'user id'!A2</f>
        <v>1</v>
      </c>
      <c r="Z14" s="105">
        <f>'periode akuntansi'!A2</f>
        <v>1</v>
      </c>
      <c r="AA14" s="105"/>
    </row>
    <row r="15" spans="1:27" x14ac:dyDescent="0.25">
      <c r="A15" s="105">
        <v>13</v>
      </c>
      <c r="B15" s="105">
        <f t="shared" ref="B15:L15" si="6">B14</f>
        <v>3</v>
      </c>
      <c r="C15" s="105">
        <f t="shared" si="6"/>
        <v>4</v>
      </c>
      <c r="D15" s="105" t="str">
        <f t="shared" si="0"/>
        <v>4.13</v>
      </c>
      <c r="E15" s="105" t="str">
        <f t="shared" si="6"/>
        <v>CIn</v>
      </c>
      <c r="F15" s="105" t="str">
        <f t="shared" si="6"/>
        <v>.000006</v>
      </c>
      <c r="G15" s="105">
        <f t="shared" si="6"/>
        <v>8</v>
      </c>
      <c r="H15" s="105" t="str">
        <f t="shared" si="6"/>
        <v>dodi kusuma</v>
      </c>
      <c r="I15" s="105">
        <f t="shared" si="6"/>
        <v>217229385</v>
      </c>
      <c r="J15" s="105" t="str">
        <f t="shared" si="6"/>
        <v>dodikusuma@yahoo.co.id</v>
      </c>
      <c r="K15" s="105">
        <f t="shared" si="6"/>
        <v>1</v>
      </c>
      <c r="L15" s="105" t="str">
        <f t="shared" si="6"/>
        <v>IDR</v>
      </c>
      <c r="M15" s="105">
        <f>M14</f>
        <v>1</v>
      </c>
      <c r="N15" s="107">
        <v>43262</v>
      </c>
      <c r="O15" s="105">
        <f t="shared" ref="O15:S15" si="7">O14</f>
        <v>1</v>
      </c>
      <c r="P15" s="105">
        <f t="shared" si="7"/>
        <v>5</v>
      </c>
      <c r="Q15" s="105">
        <f t="shared" si="7"/>
        <v>0</v>
      </c>
      <c r="R15" s="105">
        <f t="shared" si="7"/>
        <v>0</v>
      </c>
      <c r="S15" s="105">
        <f t="shared" si="7"/>
        <v>4</v>
      </c>
      <c r="T15" s="105" t="str">
        <f>T14</f>
        <v>dea fitri maharani</v>
      </c>
      <c r="U15" s="105">
        <v>0</v>
      </c>
      <c r="V15" s="105">
        <f>'rekening perkiraan'!A8</f>
        <v>6</v>
      </c>
      <c r="W15" s="105" t="str">
        <f>'rekening perkiraan'!B8</f>
        <v>bank</v>
      </c>
      <c r="X15" s="106">
        <f>'order transaksi cash'!E17</f>
        <v>500000</v>
      </c>
      <c r="Y15" s="105">
        <f>'user id'!A3</f>
        <v>2</v>
      </c>
      <c r="Z15" s="105">
        <f>'periode akuntansi'!A2</f>
        <v>1</v>
      </c>
      <c r="AA15" s="105"/>
    </row>
    <row r="16" spans="1:27" x14ac:dyDescent="0.25">
      <c r="A16" s="105">
        <v>14</v>
      </c>
      <c r="B16" s="105">
        <f>'dropdown payment&amp;cash activity'!A5</f>
        <v>4</v>
      </c>
      <c r="C16" s="105">
        <f>'dropdown payment&amp;cash activity'!C5</f>
        <v>5</v>
      </c>
      <c r="D16" s="105" t="str">
        <f t="shared" si="0"/>
        <v>5.14</v>
      </c>
      <c r="E16" s="105" t="str">
        <f>'dropdown payment&amp;cash activity'!D5</f>
        <v>Cout</v>
      </c>
      <c r="F16" s="105" t="s">
        <v>1599</v>
      </c>
      <c r="G16" s="105">
        <f>kontak!A10</f>
        <v>8</v>
      </c>
      <c r="H16" s="105" t="str">
        <f>kontak!G10</f>
        <v>dodi kusuma</v>
      </c>
      <c r="I16" s="105">
        <f>kontak!K10</f>
        <v>217229385</v>
      </c>
      <c r="J16" s="105" t="str">
        <f>kontak!O10</f>
        <v>dodikusuma@yahoo.co.id</v>
      </c>
      <c r="K16" s="105">
        <f>'data mata uang'!A3</f>
        <v>1</v>
      </c>
      <c r="L16" s="105" t="str">
        <f>'data mata uang'!D3</f>
        <v>IDR</v>
      </c>
      <c r="M16" s="105">
        <f>'data mata uang'!G3</f>
        <v>1</v>
      </c>
      <c r="N16" s="107">
        <v>43263</v>
      </c>
      <c r="O16" s="105">
        <v>1</v>
      </c>
      <c r="P16" s="105">
        <f>'data giro'!A7</f>
        <v>6</v>
      </c>
      <c r="Q16" s="105">
        <v>0</v>
      </c>
      <c r="R16" s="105">
        <v>0</v>
      </c>
      <c r="S16" s="105">
        <f>kontak!A8</f>
        <v>6</v>
      </c>
      <c r="T16" s="105" t="str">
        <f>kontak!G8</f>
        <v>yusril</v>
      </c>
      <c r="U16" s="105">
        <v>0</v>
      </c>
      <c r="V16" s="105">
        <f>'rekening perkiraan'!A27</f>
        <v>25</v>
      </c>
      <c r="W16" s="105" t="str">
        <f>'rekening perkiraan'!B27</f>
        <v>hutang giro</v>
      </c>
      <c r="X16" s="106">
        <f>'order transaksi cash'!F18</f>
        <v>500000</v>
      </c>
      <c r="Y16" s="105">
        <f>'user id'!A4</f>
        <v>3</v>
      </c>
      <c r="Z16" s="105">
        <f>'periode akuntansi'!A2</f>
        <v>1</v>
      </c>
      <c r="AA16" s="105"/>
    </row>
    <row r="17" spans="1:27" x14ac:dyDescent="0.25">
      <c r="A17" s="105">
        <v>15</v>
      </c>
      <c r="B17" s="105">
        <f t="shared" ref="B17:L17" si="8">B16</f>
        <v>4</v>
      </c>
      <c r="C17" s="105">
        <f t="shared" si="8"/>
        <v>5</v>
      </c>
      <c r="D17" s="105" t="str">
        <f t="shared" si="0"/>
        <v>5.15</v>
      </c>
      <c r="E17" s="105" t="str">
        <f t="shared" si="8"/>
        <v>Cout</v>
      </c>
      <c r="F17" s="105" t="str">
        <f t="shared" si="8"/>
        <v>.000005</v>
      </c>
      <c r="G17" s="105">
        <f t="shared" si="8"/>
        <v>8</v>
      </c>
      <c r="H17" s="105" t="str">
        <f t="shared" si="8"/>
        <v>dodi kusuma</v>
      </c>
      <c r="I17" s="105">
        <f t="shared" si="8"/>
        <v>217229385</v>
      </c>
      <c r="J17" s="105" t="str">
        <f t="shared" si="8"/>
        <v>dodikusuma@yahoo.co.id</v>
      </c>
      <c r="K17" s="105">
        <f t="shared" si="8"/>
        <v>1</v>
      </c>
      <c r="L17" s="105" t="str">
        <f t="shared" si="8"/>
        <v>IDR</v>
      </c>
      <c r="M17" s="105">
        <f>M16</f>
        <v>1</v>
      </c>
      <c r="N17" s="107">
        <v>43263</v>
      </c>
      <c r="O17" s="105">
        <f>O16</f>
        <v>1</v>
      </c>
      <c r="P17" s="105">
        <f t="shared" ref="P17:T17" si="9">P16</f>
        <v>6</v>
      </c>
      <c r="Q17" s="105">
        <f t="shared" si="9"/>
        <v>0</v>
      </c>
      <c r="R17" s="105">
        <f t="shared" si="9"/>
        <v>0</v>
      </c>
      <c r="S17" s="105">
        <f t="shared" si="9"/>
        <v>6</v>
      </c>
      <c r="T17" s="105" t="str">
        <f t="shared" si="9"/>
        <v>yusril</v>
      </c>
      <c r="U17" s="105">
        <v>0</v>
      </c>
      <c r="V17" s="105">
        <f>'rekening perkiraan'!A8</f>
        <v>6</v>
      </c>
      <c r="W17" s="105" t="str">
        <f>'rekening perkiraan'!B8</f>
        <v>bank</v>
      </c>
      <c r="X17" s="106">
        <f>'order transaksi cash'!F19</f>
        <v>500000</v>
      </c>
      <c r="Y17" s="105">
        <f>'user id'!A2</f>
        <v>1</v>
      </c>
      <c r="Z17" s="105">
        <f>'periode akuntansi'!A2</f>
        <v>1</v>
      </c>
      <c r="AA17" s="105"/>
    </row>
    <row r="18" spans="1:27" x14ac:dyDescent="0.25">
      <c r="A18" s="16">
        <v>16</v>
      </c>
      <c r="B18" s="16">
        <f>'dropdown payment&amp;cash activity'!A6</f>
        <v>5</v>
      </c>
      <c r="C18" s="16">
        <f>'dropdown payment&amp;cash activity'!C6</f>
        <v>6</v>
      </c>
      <c r="D18" s="258" t="str">
        <f t="shared" si="0"/>
        <v>6.16</v>
      </c>
      <c r="E18" s="16" t="str">
        <f>'dropdown payment&amp;cash activity'!D6</f>
        <v>TR</v>
      </c>
      <c r="F18" s="16" t="s">
        <v>1595</v>
      </c>
      <c r="G18" s="16" t="s">
        <v>667</v>
      </c>
      <c r="H18" s="16" t="s">
        <v>667</v>
      </c>
      <c r="I18" s="16" t="s">
        <v>667</v>
      </c>
      <c r="J18" s="16" t="s">
        <v>667</v>
      </c>
      <c r="K18" s="16">
        <f>'data mata uang'!A3</f>
        <v>1</v>
      </c>
      <c r="L18" s="16" t="str">
        <f>'data mata uang'!D3</f>
        <v>IDR</v>
      </c>
      <c r="M18" s="16">
        <f>'data mata uang'!G3</f>
        <v>1</v>
      </c>
      <c r="N18" s="109">
        <v>43264</v>
      </c>
      <c r="O18" s="16">
        <v>0</v>
      </c>
      <c r="P18" s="16">
        <v>0</v>
      </c>
      <c r="Q18" s="16">
        <v>0</v>
      </c>
      <c r="R18" s="16">
        <v>0</v>
      </c>
      <c r="S18" s="16">
        <f>kontak!A6</f>
        <v>4</v>
      </c>
      <c r="T18" s="16" t="str">
        <f>kontak!G6</f>
        <v>dea fitri maharani</v>
      </c>
      <c r="U18" s="16">
        <v>0</v>
      </c>
      <c r="V18" s="16">
        <f>'rekening perkiraan'!A8</f>
        <v>6</v>
      </c>
      <c r="W18" s="16" t="str">
        <f>'rekening perkiraan'!B8</f>
        <v>bank</v>
      </c>
      <c r="X18" s="108">
        <f>'order transaksi cash'!F20</f>
        <v>150000</v>
      </c>
      <c r="Y18" s="16">
        <f>'user id'!A2</f>
        <v>1</v>
      </c>
      <c r="Z18" s="16">
        <f>'periode akuntansi'!A2</f>
        <v>1</v>
      </c>
      <c r="AA18" s="16"/>
    </row>
  </sheetData>
  <mergeCells count="6">
    <mergeCell ref="B1:E1"/>
    <mergeCell ref="G1:H1"/>
    <mergeCell ref="K1:M1"/>
    <mergeCell ref="Q1:R1"/>
    <mergeCell ref="V1:W1"/>
    <mergeCell ref="S1:T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622D-1738-4DC3-9501-00BE7A7A2026}">
  <sheetPr>
    <tabColor rgb="FF00B050"/>
  </sheetPr>
  <dimension ref="A1:D8"/>
  <sheetViews>
    <sheetView zoomScale="160" zoomScaleNormal="160" workbookViewId="0">
      <selection activeCell="C2" sqref="C2"/>
    </sheetView>
  </sheetViews>
  <sheetFormatPr defaultColWidth="8.85546875" defaultRowHeight="15" x14ac:dyDescent="0.25"/>
  <cols>
    <col min="1" max="1" width="34.28515625" bestFit="1" customWidth="1"/>
    <col min="2" max="2" width="20.85546875" bestFit="1" customWidth="1"/>
    <col min="3" max="3" width="20.85546875" customWidth="1"/>
    <col min="4" max="4" width="13.85546875" style="1" bestFit="1" customWidth="1"/>
  </cols>
  <sheetData>
    <row r="1" spans="1:4" x14ac:dyDescent="0.25">
      <c r="A1" s="16" t="s">
        <v>1586</v>
      </c>
      <c r="B1" s="16" t="s">
        <v>665</v>
      </c>
      <c r="C1" s="16" t="s">
        <v>617</v>
      </c>
      <c r="D1" s="16" t="s">
        <v>614</v>
      </c>
    </row>
    <row r="2" spans="1:4" x14ac:dyDescent="0.25">
      <c r="A2" s="92">
        <v>1</v>
      </c>
      <c r="B2" s="92" t="s">
        <v>659</v>
      </c>
      <c r="C2" s="92">
        <f>'kode transaksi'!A3</f>
        <v>2</v>
      </c>
      <c r="D2" s="92" t="str">
        <f>'kode transaksi'!B3</f>
        <v>CD</v>
      </c>
    </row>
    <row r="3" spans="1:4" x14ac:dyDescent="0.25">
      <c r="A3" s="92">
        <v>2</v>
      </c>
      <c r="B3" s="92" t="s">
        <v>658</v>
      </c>
      <c r="C3" s="92">
        <f>'kode transaksi'!A4</f>
        <v>3</v>
      </c>
      <c r="D3" s="92" t="str">
        <f>'kode transaksi'!B4</f>
        <v>CR</v>
      </c>
    </row>
    <row r="4" spans="1:4" x14ac:dyDescent="0.25">
      <c r="A4" s="87">
        <v>3</v>
      </c>
      <c r="B4" s="87" t="s">
        <v>1613</v>
      </c>
      <c r="C4" s="87">
        <f>'kode transaksi'!A5</f>
        <v>4</v>
      </c>
      <c r="D4" s="87" t="str">
        <f>'kode transaksi'!B5</f>
        <v>CIn</v>
      </c>
    </row>
    <row r="5" spans="1:4" x14ac:dyDescent="0.25">
      <c r="A5" s="87">
        <v>4</v>
      </c>
      <c r="B5" s="87" t="s">
        <v>1612</v>
      </c>
      <c r="C5" s="87">
        <f>'kode transaksi'!A6</f>
        <v>5</v>
      </c>
      <c r="D5" s="87" t="str">
        <f>'kode transaksi'!B6</f>
        <v>Cout</v>
      </c>
    </row>
    <row r="6" spans="1:4" x14ac:dyDescent="0.25">
      <c r="A6" s="87">
        <v>5</v>
      </c>
      <c r="B6" s="87" t="s">
        <v>663</v>
      </c>
      <c r="C6" s="87">
        <f>'kode transaksi'!A7</f>
        <v>6</v>
      </c>
      <c r="D6" s="87" t="str">
        <f>'kode transaksi'!B7</f>
        <v>TR</v>
      </c>
    </row>
    <row r="7" spans="1:4" x14ac:dyDescent="0.25">
      <c r="A7" s="87">
        <v>6</v>
      </c>
      <c r="B7" s="87" t="s">
        <v>255</v>
      </c>
      <c r="C7" s="87">
        <f>'kode transaksi'!A24</f>
        <v>23</v>
      </c>
      <c r="D7" s="87" t="str">
        <f>'kode transaksi'!B24</f>
        <v>PA</v>
      </c>
    </row>
    <row r="8" spans="1:4" x14ac:dyDescent="0.25">
      <c r="A8" s="87">
        <v>7</v>
      </c>
      <c r="B8" s="87" t="s">
        <v>256</v>
      </c>
      <c r="C8" s="87">
        <f>'kode transaksi'!A25</f>
        <v>24</v>
      </c>
      <c r="D8" s="87" t="str">
        <f>'kode transaksi'!B25</f>
        <v>SA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3"/>
  <sheetViews>
    <sheetView workbookViewId="0">
      <selection activeCell="A2" sqref="A2"/>
    </sheetView>
  </sheetViews>
  <sheetFormatPr defaultColWidth="9.140625" defaultRowHeight="15" x14ac:dyDescent="0.25"/>
  <cols>
    <col min="1" max="1" width="27.42578125" style="1" bestFit="1" customWidth="1"/>
    <col min="2" max="2" width="19.42578125" style="1" bestFit="1" customWidth="1"/>
    <col min="3" max="3" width="12.42578125" style="1" bestFit="1" customWidth="1"/>
    <col min="4" max="16384" width="9.140625" style="1"/>
  </cols>
  <sheetData>
    <row r="1" spans="1:3" x14ac:dyDescent="0.25">
      <c r="A1" s="1" t="s">
        <v>855</v>
      </c>
      <c r="B1" s="1" t="s">
        <v>665</v>
      </c>
      <c r="C1" s="1" t="s">
        <v>666</v>
      </c>
    </row>
    <row r="2" spans="1:3" x14ac:dyDescent="0.25">
      <c r="A2" s="1">
        <v>1</v>
      </c>
      <c r="B2" s="1" t="s">
        <v>659</v>
      </c>
      <c r="C2" s="1">
        <v>9</v>
      </c>
    </row>
    <row r="3" spans="1:3" x14ac:dyDescent="0.25">
      <c r="A3" s="1">
        <v>2</v>
      </c>
      <c r="B3" s="1" t="s">
        <v>658</v>
      </c>
      <c r="C3" s="1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6"/>
  <sheetViews>
    <sheetView zoomScale="145" zoomScaleNormal="145" workbookViewId="0">
      <selection activeCell="B6" sqref="B6"/>
    </sheetView>
  </sheetViews>
  <sheetFormatPr defaultColWidth="9.140625" defaultRowHeight="15" x14ac:dyDescent="0.25"/>
  <cols>
    <col min="1" max="1" width="16.140625" style="1" bestFit="1" customWidth="1"/>
    <col min="2" max="2" width="20.85546875" style="1" bestFit="1" customWidth="1"/>
    <col min="3" max="3" width="12.42578125" style="1" bestFit="1" customWidth="1"/>
    <col min="4" max="16384" width="9.140625" style="1"/>
  </cols>
  <sheetData>
    <row r="1" spans="1:3" x14ac:dyDescent="0.25">
      <c r="A1" s="1" t="s">
        <v>664</v>
      </c>
      <c r="B1" s="1" t="s">
        <v>665</v>
      </c>
      <c r="C1" s="1" t="s">
        <v>666</v>
      </c>
    </row>
    <row r="2" spans="1:3" x14ac:dyDescent="0.25">
      <c r="A2" s="1">
        <v>1</v>
      </c>
      <c r="B2" s="1" t="s">
        <v>511</v>
      </c>
      <c r="C2" s="1">
        <v>25</v>
      </c>
    </row>
    <row r="3" spans="1:3" x14ac:dyDescent="0.25">
      <c r="A3" s="1">
        <v>2</v>
      </c>
      <c r="B3" s="1" t="s">
        <v>510</v>
      </c>
      <c r="C3" s="1">
        <v>26</v>
      </c>
    </row>
    <row r="4" spans="1:3" x14ac:dyDescent="0.25">
      <c r="A4" s="1">
        <v>3</v>
      </c>
      <c r="B4" s="1" t="s">
        <v>663</v>
      </c>
      <c r="C4" s="1">
        <v>27</v>
      </c>
    </row>
    <row r="5" spans="1:3" x14ac:dyDescent="0.25">
      <c r="A5" s="1">
        <v>4</v>
      </c>
      <c r="B5" s="1" t="s">
        <v>255</v>
      </c>
      <c r="C5" s="1">
        <v>41</v>
      </c>
    </row>
    <row r="6" spans="1:3" x14ac:dyDescent="0.25">
      <c r="A6" s="1">
        <v>5</v>
      </c>
      <c r="B6" s="1" t="s">
        <v>256</v>
      </c>
      <c r="C6" s="1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22.42578125" style="1" bestFit="1" customWidth="1"/>
    <col min="2" max="2" width="19.42578125" style="1" bestFit="1" customWidth="1"/>
    <col min="3" max="16384" width="9.140625" style="1"/>
  </cols>
  <sheetData>
    <row r="1" spans="1:2" x14ac:dyDescent="0.25">
      <c r="A1" s="1" t="s">
        <v>880</v>
      </c>
      <c r="B1" s="1" t="s">
        <v>879</v>
      </c>
    </row>
    <row r="2" spans="1:2" x14ac:dyDescent="0.25">
      <c r="A2" s="1">
        <v>1</v>
      </c>
      <c r="B2" s="1" t="s">
        <v>881</v>
      </c>
    </row>
    <row r="3" spans="1:2" x14ac:dyDescent="0.25">
      <c r="A3" s="1">
        <v>2</v>
      </c>
      <c r="B3" s="1" t="s">
        <v>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E8"/>
  <sheetViews>
    <sheetView zoomScale="160" zoomScaleNormal="160" workbookViewId="0">
      <selection activeCell="A9" sqref="A9"/>
    </sheetView>
  </sheetViews>
  <sheetFormatPr defaultColWidth="9.140625" defaultRowHeight="15" x14ac:dyDescent="0.25"/>
  <cols>
    <col min="1" max="1" width="12" style="1" bestFit="1" customWidth="1"/>
    <col min="2" max="2" width="11.28515625" style="1" bestFit="1" customWidth="1"/>
    <col min="3" max="3" width="17" style="1" bestFit="1" customWidth="1"/>
    <col min="4" max="4" width="11.140625" style="1" bestFit="1" customWidth="1"/>
    <col min="5" max="5" width="20.42578125" style="1" bestFit="1" customWidth="1"/>
    <col min="6" max="16384" width="9.140625" style="1"/>
  </cols>
  <sheetData>
    <row r="1" spans="1:5" x14ac:dyDescent="0.25">
      <c r="A1" s="1" t="s">
        <v>1490</v>
      </c>
      <c r="B1" s="1" t="s">
        <v>1488</v>
      </c>
      <c r="C1" s="1" t="s">
        <v>1487</v>
      </c>
      <c r="D1" s="1" t="s">
        <v>557</v>
      </c>
      <c r="E1" s="1" t="s">
        <v>558</v>
      </c>
    </row>
    <row r="2" spans="1:5" x14ac:dyDescent="0.25">
      <c r="A2" s="1">
        <v>1</v>
      </c>
      <c r="B2" s="1">
        <v>6635278</v>
      </c>
      <c r="C2" s="6">
        <v>43264</v>
      </c>
      <c r="D2" s="1" t="s">
        <v>1573</v>
      </c>
      <c r="E2" s="1">
        <v>21244322</v>
      </c>
    </row>
    <row r="3" spans="1:5" x14ac:dyDescent="0.25">
      <c r="A3" s="1">
        <v>2</v>
      </c>
      <c r="B3" s="1">
        <v>3113424</v>
      </c>
      <c r="C3" s="6">
        <v>43262</v>
      </c>
      <c r="D3" s="1" t="s">
        <v>563</v>
      </c>
      <c r="E3" s="1">
        <v>15547875</v>
      </c>
    </row>
    <row r="4" spans="1:5" x14ac:dyDescent="0.25">
      <c r="A4" s="1">
        <v>3</v>
      </c>
      <c r="B4" s="1">
        <v>2243452</v>
      </c>
      <c r="C4" s="6">
        <v>43258</v>
      </c>
      <c r="D4" s="1" t="s">
        <v>1622</v>
      </c>
      <c r="E4" s="1">
        <v>43325353</v>
      </c>
    </row>
    <row r="5" spans="1:5" x14ac:dyDescent="0.25">
      <c r="A5" s="1">
        <v>4</v>
      </c>
      <c r="B5" s="1">
        <v>3232132</v>
      </c>
      <c r="C5" s="6">
        <v>43260</v>
      </c>
      <c r="D5" s="1" t="s">
        <v>1625</v>
      </c>
      <c r="E5" s="1">
        <v>2345672</v>
      </c>
    </row>
    <row r="6" spans="1:5" x14ac:dyDescent="0.25">
      <c r="A6" s="1">
        <v>5</v>
      </c>
      <c r="B6" s="1">
        <v>8656666</v>
      </c>
      <c r="C6" s="6">
        <v>43262</v>
      </c>
      <c r="D6" s="1" t="s">
        <v>1632</v>
      </c>
      <c r="E6" s="1">
        <v>2435742</v>
      </c>
    </row>
    <row r="7" spans="1:5" x14ac:dyDescent="0.25">
      <c r="A7" s="1">
        <v>6</v>
      </c>
      <c r="B7" s="1">
        <v>786554</v>
      </c>
      <c r="C7" s="6">
        <v>43263</v>
      </c>
      <c r="D7" s="1" t="s">
        <v>1634</v>
      </c>
      <c r="E7" s="1">
        <v>9008889987</v>
      </c>
    </row>
    <row r="8" spans="1:5" x14ac:dyDescent="0.25">
      <c r="A8" s="1">
        <v>7</v>
      </c>
      <c r="B8" s="1">
        <v>5534567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N2"/>
  <sheetViews>
    <sheetView topLeftCell="E1" zoomScaleNormal="100" workbookViewId="0">
      <selection activeCell="G23" sqref="G23"/>
    </sheetView>
  </sheetViews>
  <sheetFormatPr defaultColWidth="9.140625" defaultRowHeight="15" x14ac:dyDescent="0.25"/>
  <cols>
    <col min="1" max="1" width="19.140625" style="1" bestFit="1" customWidth="1"/>
    <col min="2" max="2" width="17.28515625" style="1" bestFit="1" customWidth="1"/>
    <col min="3" max="3" width="10.7109375" style="1" bestFit="1" customWidth="1"/>
    <col min="4" max="4" width="18.42578125" style="1" bestFit="1" customWidth="1"/>
    <col min="5" max="5" width="18.140625" style="1" bestFit="1" customWidth="1"/>
    <col min="6" max="6" width="19.42578125" style="1" bestFit="1" customWidth="1"/>
    <col min="7" max="7" width="18.140625" style="1" bestFit="1" customWidth="1"/>
    <col min="8" max="8" width="9.7109375" style="1" bestFit="1" customWidth="1"/>
    <col min="9" max="9" width="16.85546875" style="1" bestFit="1" customWidth="1"/>
    <col min="10" max="10" width="20.42578125" style="1" bestFit="1" customWidth="1"/>
    <col min="11" max="11" width="7.42578125" style="1" bestFit="1" customWidth="1"/>
    <col min="12" max="12" width="19.42578125" style="1" bestFit="1" customWidth="1"/>
    <col min="13" max="13" width="19.28515625" style="1" bestFit="1" customWidth="1"/>
    <col min="14" max="14" width="17.28515625" style="1" bestFit="1" customWidth="1"/>
    <col min="15" max="16384" width="9.140625" style="1"/>
  </cols>
  <sheetData>
    <row r="1" spans="1:14" x14ac:dyDescent="0.25">
      <c r="A1" s="1" t="s">
        <v>1413</v>
      </c>
      <c r="B1" s="1" t="s">
        <v>617</v>
      </c>
      <c r="C1" s="1" t="s">
        <v>481</v>
      </c>
      <c r="D1" s="1" t="s">
        <v>1491</v>
      </c>
      <c r="E1" s="1" t="s">
        <v>1496</v>
      </c>
      <c r="F1" s="1" t="s">
        <v>1529</v>
      </c>
      <c r="G1" s="1" t="s">
        <v>1499</v>
      </c>
      <c r="H1" s="1" t="s">
        <v>394</v>
      </c>
      <c r="I1" s="1" t="s">
        <v>36</v>
      </c>
      <c r="J1" s="1" t="s">
        <v>1415</v>
      </c>
      <c r="K1" s="1" t="s">
        <v>625</v>
      </c>
      <c r="L1" s="1" t="s">
        <v>1416</v>
      </c>
      <c r="M1" s="1" t="s">
        <v>1644</v>
      </c>
    </row>
    <row r="2" spans="1:14" x14ac:dyDescent="0.25">
      <c r="A2" s="1">
        <v>1</v>
      </c>
      <c r="B2" s="1">
        <f>'kode transaksi'!A30</f>
        <v>29</v>
      </c>
      <c r="C2" s="6">
        <v>43266</v>
      </c>
      <c r="D2" s="1">
        <f>'rekening perkiraan'!A8</f>
        <v>6</v>
      </c>
      <c r="E2" s="1">
        <f>'rekening perkiraan'!A28</f>
        <v>26</v>
      </c>
      <c r="F2" s="1">
        <v>0</v>
      </c>
      <c r="H2" s="1">
        <f>kontak!A6</f>
        <v>4</v>
      </c>
      <c r="I2" s="1" t="str">
        <f>kontak!G6</f>
        <v>dea fitri maharani</v>
      </c>
      <c r="J2" s="1">
        <f>SUM('order pembayaran gaji'!Q2:Q3)</f>
        <v>8050000</v>
      </c>
      <c r="K2" s="1">
        <f>'user id'!A2</f>
        <v>1</v>
      </c>
      <c r="L2" s="1">
        <f>'periode akuntansi'!A2</f>
        <v>1</v>
      </c>
      <c r="M2" s="6"/>
      <c r="N2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A5E9-8447-4BE2-8584-F524EB7E4DEE}">
  <sheetPr>
    <tabColor rgb="FFFF0000"/>
  </sheetPr>
  <dimension ref="A1:AF282"/>
  <sheetViews>
    <sheetView zoomScale="152" zoomScaleNormal="152" workbookViewId="0">
      <pane ySplit="1" topLeftCell="A153" activePane="bottomLeft" state="frozen"/>
      <selection activeCell="G1" sqref="G1"/>
      <selection pane="bottomLeft" activeCell="B157" sqref="B157"/>
    </sheetView>
  </sheetViews>
  <sheetFormatPr defaultColWidth="31.42578125" defaultRowHeight="15" x14ac:dyDescent="0.25"/>
  <cols>
    <col min="1" max="1" width="9.42578125" style="183" bestFit="1" customWidth="1"/>
    <col min="2" max="2" width="9.42578125" style="18" bestFit="1" customWidth="1"/>
    <col min="3" max="3" width="22.42578125" style="18" bestFit="1" customWidth="1"/>
    <col min="4" max="4" width="23" style="18" bestFit="1" customWidth="1"/>
    <col min="5" max="5" width="34.140625" style="18" bestFit="1" customWidth="1"/>
    <col min="6" max="6" width="22.85546875" style="18" bestFit="1" customWidth="1"/>
    <col min="7" max="7" width="25.28515625" style="18" customWidth="1"/>
    <col min="8" max="8" width="22.140625" style="18" customWidth="1"/>
    <col min="9" max="9" width="29.7109375" style="18" customWidth="1"/>
    <col min="10" max="10" width="15" style="64" customWidth="1"/>
    <col min="11" max="11" width="50.42578125" style="51" customWidth="1"/>
    <col min="12" max="12" width="21.42578125" style="18" customWidth="1"/>
    <col min="13" max="13" width="18.7109375" style="18" customWidth="1"/>
    <col min="14" max="14" width="17.7109375" style="18" customWidth="1"/>
    <col min="15" max="15" width="24.85546875" style="46" customWidth="1"/>
    <col min="16" max="16" width="25.28515625" style="46" customWidth="1"/>
    <col min="17" max="18" width="18.28515625" style="46" bestFit="1" customWidth="1"/>
    <col min="19" max="19" width="13.42578125" style="18" bestFit="1" customWidth="1"/>
    <col min="20" max="20" width="20.140625" style="18" customWidth="1"/>
    <col min="21" max="21" width="13.140625" style="18" bestFit="1" customWidth="1"/>
    <col min="22" max="22" width="9.7109375" style="18" bestFit="1" customWidth="1"/>
    <col min="23" max="23" width="10.28515625" style="18" bestFit="1" customWidth="1"/>
    <col min="24" max="24" width="10" style="18" bestFit="1" customWidth="1"/>
    <col min="25" max="25" width="15.42578125" style="18" bestFit="1" customWidth="1"/>
    <col min="26" max="26" width="9" style="18" bestFit="1" customWidth="1"/>
    <col min="27" max="27" width="13.140625" style="18" bestFit="1" customWidth="1"/>
    <col min="28" max="28" width="10.85546875" style="18" bestFit="1" customWidth="1"/>
    <col min="29" max="29" width="20.7109375" style="18" bestFit="1" customWidth="1"/>
    <col min="30" max="30" width="19" style="18" bestFit="1" customWidth="1"/>
    <col min="31" max="31" width="12.28515625" style="18" bestFit="1" customWidth="1"/>
    <col min="32" max="16384" width="31.42578125" style="18"/>
  </cols>
  <sheetData>
    <row r="1" spans="1:32" x14ac:dyDescent="0.25">
      <c r="A1" s="179" t="s">
        <v>0</v>
      </c>
      <c r="B1" s="17" t="s">
        <v>1690</v>
      </c>
      <c r="C1" s="17" t="s">
        <v>541</v>
      </c>
      <c r="D1" s="17" t="s">
        <v>615</v>
      </c>
      <c r="E1" s="17" t="s">
        <v>542</v>
      </c>
      <c r="F1" s="17" t="s">
        <v>1541</v>
      </c>
      <c r="G1" s="17" t="s">
        <v>617</v>
      </c>
      <c r="H1" s="17" t="s">
        <v>614</v>
      </c>
      <c r="I1" s="17" t="s">
        <v>618</v>
      </c>
      <c r="J1" s="61" t="s">
        <v>481</v>
      </c>
      <c r="K1" s="17" t="s">
        <v>396</v>
      </c>
      <c r="L1" s="17" t="s">
        <v>115</v>
      </c>
      <c r="M1" s="17" t="s">
        <v>21</v>
      </c>
      <c r="N1" s="17" t="s">
        <v>828</v>
      </c>
      <c r="O1" s="83" t="s">
        <v>825</v>
      </c>
      <c r="P1" s="83" t="s">
        <v>826</v>
      </c>
      <c r="Q1" s="83" t="s">
        <v>482</v>
      </c>
      <c r="R1" s="83" t="s">
        <v>483</v>
      </c>
      <c r="S1" s="17" t="s">
        <v>1575</v>
      </c>
      <c r="T1" s="17" t="s">
        <v>655</v>
      </c>
      <c r="U1" s="17" t="s">
        <v>1</v>
      </c>
      <c r="V1" s="17" t="s">
        <v>24</v>
      </c>
      <c r="W1" s="17" t="s">
        <v>394</v>
      </c>
      <c r="X1" s="17" t="s">
        <v>46</v>
      </c>
      <c r="Y1" s="131" t="s">
        <v>47</v>
      </c>
      <c r="Z1" s="17" t="s">
        <v>485</v>
      </c>
      <c r="AA1" s="17" t="s">
        <v>827</v>
      </c>
      <c r="AB1" s="17" t="s">
        <v>624</v>
      </c>
      <c r="AC1" s="17" t="s">
        <v>1583</v>
      </c>
      <c r="AD1" s="17" t="s">
        <v>848</v>
      </c>
      <c r="AE1" s="17" t="s">
        <v>1505</v>
      </c>
      <c r="AF1" s="18" t="s">
        <v>566</v>
      </c>
    </row>
    <row r="2" spans="1:32" x14ac:dyDescent="0.25">
      <c r="A2" s="179">
        <v>1</v>
      </c>
      <c r="B2" s="17"/>
      <c r="C2" s="17">
        <f>'order transaksi cash'!D3</f>
        <v>6</v>
      </c>
      <c r="D2" s="17" t="str">
        <f>'rekening perkiraan'!E8</f>
        <v>1.2.4.6</v>
      </c>
      <c r="E2" s="17" t="str">
        <f>'rekening perkiraan'!B8</f>
        <v>bank</v>
      </c>
      <c r="F2" s="17" t="str">
        <f>'rekening perkiraan'!D8</f>
        <v>bank</v>
      </c>
      <c r="G2" s="17">
        <f>'order transaksi cash'!H3</f>
        <v>5</v>
      </c>
      <c r="H2" s="17" t="str">
        <f>'kode transaksi'!B6</f>
        <v>Cout</v>
      </c>
      <c r="I2" s="17" t="str">
        <f>'order transaksi cash'!C3</f>
        <v>.000001</v>
      </c>
      <c r="J2" s="61">
        <f>'order transaksi cash'!S3</f>
        <v>43255</v>
      </c>
      <c r="K2" s="84" t="str">
        <f>'order transaksi cash'!U3</f>
        <v>memberikan pinjaman 1</v>
      </c>
      <c r="L2" s="17">
        <f>'order transaksi cash'!N3</f>
        <v>1</v>
      </c>
      <c r="M2" s="17" t="str">
        <f>'data mata uang'!D3</f>
        <v>IDR</v>
      </c>
      <c r="N2" s="17">
        <f>'data mata uang'!G3</f>
        <v>1</v>
      </c>
      <c r="O2" s="83"/>
      <c r="P2" s="83">
        <f>'order transaksi cash'!F3</f>
        <v>100000</v>
      </c>
      <c r="Q2" s="83"/>
      <c r="R2" s="83">
        <f t="shared" ref="R2:R11" si="0">N2*P2</f>
        <v>100000</v>
      </c>
      <c r="S2" s="17">
        <v>1</v>
      </c>
      <c r="T2" s="17" t="str">
        <f>'order transaksi cash'!B3</f>
        <v>5.1</v>
      </c>
      <c r="U2" s="17">
        <f>'order transaksi cash'!X3</f>
        <v>5</v>
      </c>
      <c r="V2" s="17" t="s">
        <v>667</v>
      </c>
      <c r="W2" s="17">
        <f>'order transaksi cash'!J3</f>
        <v>1</v>
      </c>
      <c r="X2" s="17">
        <f>'order transaksi cash'!Z3</f>
        <v>0</v>
      </c>
      <c r="Y2" s="131">
        <f>'order transaksi cash'!AA3</f>
        <v>0</v>
      </c>
      <c r="Z2" s="17"/>
      <c r="AA2" s="17"/>
      <c r="AB2" s="17">
        <f>'order transaksi cash'!AG3</f>
        <v>2</v>
      </c>
      <c r="AC2" s="17">
        <f>'order transaksi cash'!AH3</f>
        <v>1</v>
      </c>
      <c r="AD2" s="17"/>
      <c r="AE2" s="17"/>
    </row>
    <row r="3" spans="1:32" x14ac:dyDescent="0.25">
      <c r="A3" s="179">
        <v>2</v>
      </c>
      <c r="B3" s="17"/>
      <c r="C3" s="17">
        <f>'order transaksi cash'!AD3</f>
        <v>8</v>
      </c>
      <c r="D3" s="17" t="str">
        <f>'rekening perkiraan'!E10</f>
        <v>15.16.17.8</v>
      </c>
      <c r="E3" s="17" t="str">
        <f>'rekening perkiraan'!B10</f>
        <v>hutang usaha</v>
      </c>
      <c r="F3" s="17" t="str">
        <f>'rekening perkiraan'!D10</f>
        <v>hutang lancar</v>
      </c>
      <c r="G3" s="17">
        <f>'order transaksi cash'!H3</f>
        <v>5</v>
      </c>
      <c r="H3" s="17" t="str">
        <f>'kode transaksi'!B6</f>
        <v>Cout</v>
      </c>
      <c r="I3" s="17" t="str">
        <f>'order transaksi cash'!C3</f>
        <v>.000001</v>
      </c>
      <c r="J3" s="61">
        <f>'order transaksi cash'!S3</f>
        <v>43255</v>
      </c>
      <c r="K3" s="84" t="str">
        <f>'order transaksi cash'!U3</f>
        <v>memberikan pinjaman 1</v>
      </c>
      <c r="L3" s="17">
        <f>'order transaksi cash'!N3</f>
        <v>1</v>
      </c>
      <c r="M3" s="17" t="str">
        <f>'data mata uang'!D3</f>
        <v>IDR</v>
      </c>
      <c r="N3" s="17">
        <f>'data mata uang'!G3</f>
        <v>1</v>
      </c>
      <c r="O3" s="83">
        <f>'order transaksi cash'!AE3</f>
        <v>100000</v>
      </c>
      <c r="P3" s="83"/>
      <c r="Q3" s="83">
        <f t="shared" ref="Q3:Q10" si="1">N3*O3</f>
        <v>100000</v>
      </c>
      <c r="R3" s="83"/>
      <c r="S3" s="17">
        <v>1</v>
      </c>
      <c r="T3" s="17" t="str">
        <f>'order transaksi cash'!B3</f>
        <v>5.1</v>
      </c>
      <c r="U3" s="17">
        <f>'order transaksi cash'!X3</f>
        <v>5</v>
      </c>
      <c r="V3" s="17" t="s">
        <v>667</v>
      </c>
      <c r="W3" s="17">
        <f>'order transaksi cash'!J3</f>
        <v>1</v>
      </c>
      <c r="X3" s="17">
        <f>'order transaksi cash'!Z3</f>
        <v>0</v>
      </c>
      <c r="Y3" s="131">
        <f>'order transaksi cash'!AA3</f>
        <v>0</v>
      </c>
      <c r="Z3" s="17"/>
      <c r="AA3" s="17"/>
      <c r="AB3" s="17">
        <f>'order transaksi cash'!AG3</f>
        <v>2</v>
      </c>
      <c r="AC3" s="17">
        <f>'order transaksi cash'!AH3</f>
        <v>1</v>
      </c>
      <c r="AD3" s="17"/>
      <c r="AE3" s="17"/>
    </row>
    <row r="4" spans="1:32" x14ac:dyDescent="0.25">
      <c r="A4" s="179">
        <v>3</v>
      </c>
      <c r="B4" s="17"/>
      <c r="C4" s="17">
        <f>'order transaksi cash'!D4</f>
        <v>6</v>
      </c>
      <c r="D4" s="17" t="str">
        <f>'rekening perkiraan'!E8</f>
        <v>1.2.4.6</v>
      </c>
      <c r="E4" s="17" t="str">
        <f>'rekening perkiraan'!B8</f>
        <v>bank</v>
      </c>
      <c r="F4" s="17" t="str">
        <f>'rekening perkiraan'!D8</f>
        <v>bank</v>
      </c>
      <c r="G4" s="17">
        <f>'order transaksi cash'!H4</f>
        <v>5</v>
      </c>
      <c r="H4" s="17" t="str">
        <f>'kode transaksi'!B6</f>
        <v>Cout</v>
      </c>
      <c r="I4" s="17" t="str">
        <f>'order transaksi cash'!C4</f>
        <v>.000001</v>
      </c>
      <c r="J4" s="61">
        <f>'order transaksi cash'!S4</f>
        <v>43255</v>
      </c>
      <c r="K4" s="84" t="str">
        <f>'order transaksi cash'!U4</f>
        <v>memberikan pinjaman 2</v>
      </c>
      <c r="L4" s="17">
        <f>'order transaksi cash'!N4</f>
        <v>1</v>
      </c>
      <c r="M4" s="17" t="str">
        <f>'data mata uang'!D3</f>
        <v>IDR</v>
      </c>
      <c r="N4" s="17">
        <f>'data mata uang'!G3</f>
        <v>1</v>
      </c>
      <c r="P4" s="83">
        <f>'order transaksi cash'!F4</f>
        <v>200000</v>
      </c>
      <c r="Q4" s="83"/>
      <c r="R4" s="83">
        <f t="shared" si="0"/>
        <v>200000</v>
      </c>
      <c r="S4" s="17">
        <v>1</v>
      </c>
      <c r="T4" s="17" t="str">
        <f>'order transaksi cash'!B4</f>
        <v>5.1</v>
      </c>
      <c r="U4" s="17">
        <f>'order transaksi cash'!X4</f>
        <v>5</v>
      </c>
      <c r="V4" s="17" t="s">
        <v>667</v>
      </c>
      <c r="W4" s="17">
        <f>'order transaksi cash'!J4</f>
        <v>1</v>
      </c>
      <c r="X4" s="17">
        <f>'order transaksi cash'!Z4</f>
        <v>0</v>
      </c>
      <c r="Y4" s="131">
        <f>'order transaksi cash'!AA4</f>
        <v>0</v>
      </c>
      <c r="Z4" s="17"/>
      <c r="AA4" s="17"/>
      <c r="AB4" s="17">
        <f>'order transaksi cash'!AG4</f>
        <v>2</v>
      </c>
      <c r="AC4" s="17">
        <f>'order transaksi cash'!AH4</f>
        <v>1</v>
      </c>
      <c r="AD4" s="17"/>
      <c r="AE4" s="17"/>
    </row>
    <row r="5" spans="1:32" x14ac:dyDescent="0.25">
      <c r="A5" s="179">
        <v>4</v>
      </c>
      <c r="B5" s="17"/>
      <c r="C5" s="17">
        <f>'order transaksi cash'!AD4</f>
        <v>8</v>
      </c>
      <c r="D5" s="17" t="str">
        <f>'rekening perkiraan'!E10</f>
        <v>15.16.17.8</v>
      </c>
      <c r="E5" s="17" t="str">
        <f>'rekening perkiraan'!B10</f>
        <v>hutang usaha</v>
      </c>
      <c r="F5" s="17" t="str">
        <f>'rekening perkiraan'!D10</f>
        <v>hutang lancar</v>
      </c>
      <c r="G5" s="17">
        <f>'order transaksi cash'!H4</f>
        <v>5</v>
      </c>
      <c r="H5" s="17" t="str">
        <f>'kode transaksi'!B6</f>
        <v>Cout</v>
      </c>
      <c r="I5" s="17" t="str">
        <f>'order transaksi cash'!C4</f>
        <v>.000001</v>
      </c>
      <c r="J5" s="61">
        <f>'order transaksi cash'!S4</f>
        <v>43255</v>
      </c>
      <c r="K5" s="84" t="str">
        <f>'order transaksi cash'!U4</f>
        <v>memberikan pinjaman 2</v>
      </c>
      <c r="L5" s="17">
        <f>'order transaksi cash'!N4</f>
        <v>1</v>
      </c>
      <c r="M5" s="17" t="str">
        <f>'data mata uang'!D3</f>
        <v>IDR</v>
      </c>
      <c r="N5" s="17">
        <f>'data mata uang'!G3</f>
        <v>1</v>
      </c>
      <c r="O5" s="83">
        <f>'order transaksi cash'!AE4</f>
        <v>200000</v>
      </c>
      <c r="P5" s="83"/>
      <c r="Q5" s="83">
        <f t="shared" si="1"/>
        <v>200000</v>
      </c>
      <c r="R5" s="83"/>
      <c r="S5" s="17">
        <v>1</v>
      </c>
      <c r="T5" s="17" t="str">
        <f>'order transaksi cash'!B4</f>
        <v>5.1</v>
      </c>
      <c r="U5" s="17">
        <f>'order transaksi cash'!X4</f>
        <v>5</v>
      </c>
      <c r="V5" s="17" t="s">
        <v>667</v>
      </c>
      <c r="W5" s="17">
        <f>'order transaksi cash'!J4</f>
        <v>1</v>
      </c>
      <c r="X5" s="17">
        <f>'order transaksi cash'!Z4</f>
        <v>0</v>
      </c>
      <c r="Y5" s="131">
        <f>'order transaksi cash'!AA4</f>
        <v>0</v>
      </c>
      <c r="Z5" s="17"/>
      <c r="AA5" s="17"/>
      <c r="AB5" s="17">
        <f>'order transaksi cash'!AG4</f>
        <v>2</v>
      </c>
      <c r="AC5" s="17">
        <f>'order transaksi cash'!AH4</f>
        <v>1</v>
      </c>
      <c r="AD5" s="17"/>
      <c r="AE5" s="17"/>
    </row>
    <row r="6" spans="1:32" x14ac:dyDescent="0.25">
      <c r="A6" s="179">
        <v>5</v>
      </c>
      <c r="B6" s="17"/>
      <c r="C6" s="17">
        <f>'order transaksi cash'!D5</f>
        <v>6</v>
      </c>
      <c r="D6" s="17" t="str">
        <f>'rekening perkiraan'!E8</f>
        <v>1.2.4.6</v>
      </c>
      <c r="E6" s="17" t="str">
        <f>'rekening perkiraan'!B8</f>
        <v>bank</v>
      </c>
      <c r="F6" s="17" t="str">
        <f>'rekening perkiraan'!D8</f>
        <v>bank</v>
      </c>
      <c r="G6" s="17">
        <f>'order transaksi cash'!H5</f>
        <v>5</v>
      </c>
      <c r="H6" s="17" t="str">
        <f>'kode transaksi'!B6</f>
        <v>Cout</v>
      </c>
      <c r="I6" s="17" t="str">
        <f>'order transaksi cash'!C5</f>
        <v>.000001</v>
      </c>
      <c r="J6" s="61">
        <f>'order transaksi cash'!S5</f>
        <v>43255</v>
      </c>
      <c r="K6" s="84" t="str">
        <f>'order transaksi cash'!U5</f>
        <v>memberikan pinjaman 3</v>
      </c>
      <c r="L6" s="17">
        <f>'order transaksi cash'!N5</f>
        <v>1</v>
      </c>
      <c r="M6" s="17" t="str">
        <f>'data mata uang'!D3</f>
        <v>IDR</v>
      </c>
      <c r="N6" s="17">
        <f>'data mata uang'!G3</f>
        <v>1</v>
      </c>
      <c r="O6" s="83"/>
      <c r="P6" s="83">
        <f>'order transaksi cash'!F5</f>
        <v>300000</v>
      </c>
      <c r="Q6" s="83"/>
      <c r="R6" s="83">
        <f t="shared" si="0"/>
        <v>300000</v>
      </c>
      <c r="S6" s="17">
        <v>1</v>
      </c>
      <c r="T6" s="17" t="str">
        <f>'order transaksi cash'!B5</f>
        <v>5.1</v>
      </c>
      <c r="U6" s="17">
        <f>'order transaksi cash'!X5</f>
        <v>5</v>
      </c>
      <c r="V6" s="17" t="s">
        <v>667</v>
      </c>
      <c r="W6" s="17">
        <f>'order transaksi cash'!J5</f>
        <v>1</v>
      </c>
      <c r="X6" s="17">
        <f>'order transaksi cash'!Z5</f>
        <v>0</v>
      </c>
      <c r="Y6" s="131">
        <f>'order transaksi cash'!AA5</f>
        <v>0</v>
      </c>
      <c r="Z6" s="17"/>
      <c r="AA6" s="17"/>
      <c r="AB6" s="17">
        <f>'order transaksi cash'!AG5</f>
        <v>2</v>
      </c>
      <c r="AC6" s="17">
        <f>'order transaksi cash'!AH5</f>
        <v>1</v>
      </c>
      <c r="AD6" s="17"/>
      <c r="AE6" s="17"/>
    </row>
    <row r="7" spans="1:32" x14ac:dyDescent="0.25">
      <c r="A7" s="179">
        <v>6</v>
      </c>
      <c r="B7" s="17"/>
      <c r="C7" s="17">
        <f>'order transaksi cash'!AD5</f>
        <v>8</v>
      </c>
      <c r="D7" s="17" t="str">
        <f>'rekening perkiraan'!E10</f>
        <v>15.16.17.8</v>
      </c>
      <c r="E7" s="17" t="str">
        <f>'rekening perkiraan'!B10</f>
        <v>hutang usaha</v>
      </c>
      <c r="F7" s="17" t="str">
        <f>'rekening perkiraan'!D10</f>
        <v>hutang lancar</v>
      </c>
      <c r="G7" s="17">
        <f>'order transaksi cash'!H5</f>
        <v>5</v>
      </c>
      <c r="H7" s="17" t="str">
        <f>'kode transaksi'!B6</f>
        <v>Cout</v>
      </c>
      <c r="I7" s="17" t="str">
        <f>'order transaksi cash'!C5</f>
        <v>.000001</v>
      </c>
      <c r="J7" s="61">
        <f>'order transaksi cash'!S5</f>
        <v>43255</v>
      </c>
      <c r="K7" s="84" t="str">
        <f>'order transaksi cash'!U5</f>
        <v>memberikan pinjaman 3</v>
      </c>
      <c r="L7" s="17">
        <f>'order transaksi cash'!N5</f>
        <v>1</v>
      </c>
      <c r="M7" s="17" t="str">
        <f>'data mata uang'!D3</f>
        <v>IDR</v>
      </c>
      <c r="N7" s="17">
        <f>'data mata uang'!G3</f>
        <v>1</v>
      </c>
      <c r="O7" s="83">
        <f>'order transaksi cash'!AE5</f>
        <v>300000</v>
      </c>
      <c r="P7" s="83"/>
      <c r="Q7" s="83">
        <f t="shared" si="1"/>
        <v>300000</v>
      </c>
      <c r="R7" s="83"/>
      <c r="S7" s="17">
        <v>1</v>
      </c>
      <c r="T7" s="17" t="str">
        <f>'order transaksi cash'!B5</f>
        <v>5.1</v>
      </c>
      <c r="U7" s="17">
        <f>'order transaksi cash'!X5</f>
        <v>5</v>
      </c>
      <c r="V7" s="17" t="s">
        <v>667</v>
      </c>
      <c r="W7" s="17">
        <f>'order transaksi cash'!J5</f>
        <v>1</v>
      </c>
      <c r="X7" s="17">
        <f>'order transaksi cash'!Z5</f>
        <v>0</v>
      </c>
      <c r="Y7" s="131">
        <f>'order transaksi cash'!AA5</f>
        <v>0</v>
      </c>
      <c r="Z7" s="17"/>
      <c r="AA7" s="17"/>
      <c r="AB7" s="17">
        <f>'order transaksi cash'!AG5</f>
        <v>2</v>
      </c>
      <c r="AC7" s="17">
        <f>'order transaksi cash'!AH5</f>
        <v>1</v>
      </c>
      <c r="AD7" s="17"/>
      <c r="AE7" s="17"/>
    </row>
    <row r="8" spans="1:32" x14ac:dyDescent="0.25">
      <c r="A8" s="179">
        <v>7</v>
      </c>
      <c r="B8" s="17"/>
      <c r="C8" s="17">
        <f>'order transaksi cash'!D6</f>
        <v>9</v>
      </c>
      <c r="D8" s="17" t="str">
        <f>'rekening perkiraan'!E11</f>
        <v>1.2.3.9</v>
      </c>
      <c r="E8" s="17" t="str">
        <f>'rekening perkiraan'!B11</f>
        <v>kas</v>
      </c>
      <c r="F8" s="17" t="str">
        <f>'rekening perkiraan'!D11</f>
        <v>kas</v>
      </c>
      <c r="G8" s="17">
        <f>'order transaksi cash'!H6</f>
        <v>4</v>
      </c>
      <c r="H8" s="17" t="str">
        <f>'kode transaksi'!B5</f>
        <v>CIn</v>
      </c>
      <c r="I8" s="17" t="str">
        <f>'order transaksi cash'!C6</f>
        <v>.000001</v>
      </c>
      <c r="J8" s="61">
        <f>'order transaksi cash'!S6</f>
        <v>43255</v>
      </c>
      <c r="K8" s="84" t="str">
        <f>'order transaksi cash'!U6</f>
        <v>terima pembayaran pinjaman 2 (part 1)</v>
      </c>
      <c r="L8" s="17">
        <f>'order transaksi cash'!N6</f>
        <v>1</v>
      </c>
      <c r="M8" s="17" t="str">
        <f>'data mata uang'!D3</f>
        <v>IDR</v>
      </c>
      <c r="N8" s="17">
        <f>'data mata uang'!G3</f>
        <v>1</v>
      </c>
      <c r="O8" s="83">
        <f>'order transaksi cash'!E6</f>
        <v>150000</v>
      </c>
      <c r="P8" s="83"/>
      <c r="Q8" s="83">
        <f t="shared" si="1"/>
        <v>150000</v>
      </c>
      <c r="R8" s="83"/>
      <c r="S8" s="17">
        <v>1</v>
      </c>
      <c r="T8" s="17" t="str">
        <f>'order transaksi cash'!B6</f>
        <v>4.2</v>
      </c>
      <c r="U8" s="17">
        <f>'order transaksi cash'!X6</f>
        <v>6</v>
      </c>
      <c r="V8" s="17" t="s">
        <v>667</v>
      </c>
      <c r="W8" s="17">
        <f>'order transaksi cash'!J6</f>
        <v>1</v>
      </c>
      <c r="X8" s="17">
        <f>'order transaksi cash'!Z6</f>
        <v>0</v>
      </c>
      <c r="Y8" s="131">
        <f>'order transaksi cash'!AA6</f>
        <v>0</v>
      </c>
      <c r="Z8" s="17"/>
      <c r="AA8" s="17"/>
      <c r="AB8" s="17">
        <f>'order transaksi cash'!AG6</f>
        <v>3</v>
      </c>
      <c r="AC8" s="17">
        <f>'order transaksi cash'!AH6</f>
        <v>1</v>
      </c>
      <c r="AD8" s="17"/>
      <c r="AE8" s="17"/>
    </row>
    <row r="9" spans="1:32" x14ac:dyDescent="0.25">
      <c r="A9" s="179">
        <v>8</v>
      </c>
      <c r="B9" s="17"/>
      <c r="C9" s="17">
        <f>'order transaksi cash'!AD6</f>
        <v>8</v>
      </c>
      <c r="D9" s="17" t="str">
        <f>'rekening perkiraan'!E10</f>
        <v>15.16.17.8</v>
      </c>
      <c r="E9" s="17" t="str">
        <f>'rekening perkiraan'!B10</f>
        <v>hutang usaha</v>
      </c>
      <c r="F9" s="17" t="str">
        <f>'rekening perkiraan'!D10</f>
        <v>hutang lancar</v>
      </c>
      <c r="G9" s="17">
        <f>'order transaksi cash'!H6</f>
        <v>4</v>
      </c>
      <c r="H9" s="17" t="str">
        <f>'kode transaksi'!B5</f>
        <v>CIn</v>
      </c>
      <c r="I9" s="17" t="str">
        <f>'order transaksi cash'!C6</f>
        <v>.000001</v>
      </c>
      <c r="J9" s="61">
        <f>'order transaksi cash'!S6</f>
        <v>43255</v>
      </c>
      <c r="K9" s="84" t="str">
        <f>'order transaksi cash'!U6</f>
        <v>terima pembayaran pinjaman 2 (part 1)</v>
      </c>
      <c r="L9" s="17">
        <f>'order transaksi cash'!N6</f>
        <v>1</v>
      </c>
      <c r="M9" s="17" t="str">
        <f>'data mata uang'!D3</f>
        <v>IDR</v>
      </c>
      <c r="N9" s="17">
        <f>'data mata uang'!G3</f>
        <v>1</v>
      </c>
      <c r="P9" s="83">
        <f>'order transaksi cash'!AF6</f>
        <v>150000</v>
      </c>
      <c r="Q9" s="83"/>
      <c r="R9" s="83">
        <f t="shared" si="0"/>
        <v>150000</v>
      </c>
      <c r="S9" s="17">
        <v>1</v>
      </c>
      <c r="T9" s="17" t="str">
        <f>'order transaksi cash'!B6</f>
        <v>4.2</v>
      </c>
      <c r="U9" s="17">
        <f>'order transaksi cash'!X6</f>
        <v>6</v>
      </c>
      <c r="V9" s="17"/>
      <c r="W9" s="17">
        <f>'order transaksi cash'!J6</f>
        <v>1</v>
      </c>
      <c r="X9" s="17">
        <f>'order transaksi cash'!Z6</f>
        <v>0</v>
      </c>
      <c r="Y9" s="131">
        <f>'order transaksi cash'!AA6</f>
        <v>0</v>
      </c>
      <c r="Z9" s="17"/>
      <c r="AA9" s="17"/>
      <c r="AB9" s="17">
        <f>'order transaksi cash'!AG6</f>
        <v>3</v>
      </c>
      <c r="AC9" s="17">
        <f>'order transaksi cash'!AH6</f>
        <v>1</v>
      </c>
      <c r="AD9" s="17"/>
      <c r="AE9" s="17"/>
    </row>
    <row r="10" spans="1:32" x14ac:dyDescent="0.25">
      <c r="A10" s="179">
        <v>9</v>
      </c>
      <c r="B10" s="17"/>
      <c r="C10" s="17">
        <f>'order transaksi cash'!D7</f>
        <v>6</v>
      </c>
      <c r="D10" s="17" t="str">
        <f>'rekening perkiraan'!E8</f>
        <v>1.2.4.6</v>
      </c>
      <c r="E10" s="17" t="str">
        <f>'rekening perkiraan'!B8</f>
        <v>bank</v>
      </c>
      <c r="F10" s="17" t="str">
        <f>'rekening perkiraan'!D8</f>
        <v>bank</v>
      </c>
      <c r="G10" s="17">
        <f>'order transaksi cash'!H7</f>
        <v>4</v>
      </c>
      <c r="H10" s="17" t="str">
        <f>'kode transaksi'!B5</f>
        <v>CIn</v>
      </c>
      <c r="I10" s="17" t="str">
        <f>'order transaksi cash'!C7</f>
        <v>.000002</v>
      </c>
      <c r="J10" s="61">
        <f>'order transaksi cash'!S7</f>
        <v>43256</v>
      </c>
      <c r="K10" s="84" t="str">
        <f>'order transaksi cash'!U7</f>
        <v>terima pembayaran pinjaman 2 (part 2)</v>
      </c>
      <c r="L10" s="17">
        <f>'order transaksi cash'!N6</f>
        <v>1</v>
      </c>
      <c r="M10" s="17" t="str">
        <f>'data mata uang'!D3</f>
        <v>IDR</v>
      </c>
      <c r="N10" s="17">
        <f>'data mata uang'!G3</f>
        <v>1</v>
      </c>
      <c r="O10" s="83">
        <f>'order transaksi cash'!E7</f>
        <v>50000</v>
      </c>
      <c r="P10" s="83"/>
      <c r="Q10" s="83">
        <f t="shared" si="1"/>
        <v>50000</v>
      </c>
      <c r="R10" s="83"/>
      <c r="S10" s="17">
        <v>1</v>
      </c>
      <c r="T10" s="17" t="str">
        <f>'order transaksi cash'!B7</f>
        <v>4.3</v>
      </c>
      <c r="U10" s="17">
        <f>'order transaksi cash'!X7</f>
        <v>6</v>
      </c>
      <c r="V10" s="17"/>
      <c r="W10" s="17">
        <f>'order transaksi cash'!J7</f>
        <v>1</v>
      </c>
      <c r="X10" s="17">
        <f>'order transaksi cash'!Z7</f>
        <v>0</v>
      </c>
      <c r="Y10" s="131">
        <f>'order transaksi cash'!AA7</f>
        <v>0</v>
      </c>
      <c r="Z10" s="17"/>
      <c r="AA10" s="17"/>
      <c r="AB10" s="17">
        <f>'order transaksi cash'!AG7</f>
        <v>3</v>
      </c>
      <c r="AC10" s="17">
        <f>'order transaksi cash'!AH7</f>
        <v>1</v>
      </c>
      <c r="AD10" s="17"/>
      <c r="AE10" s="17"/>
    </row>
    <row r="11" spans="1:32" x14ac:dyDescent="0.25">
      <c r="A11" s="179">
        <v>10</v>
      </c>
      <c r="B11" s="17"/>
      <c r="C11" s="17">
        <f>'order transaksi cash'!AD7</f>
        <v>8</v>
      </c>
      <c r="D11" s="17" t="str">
        <f>'rekening perkiraan'!E10</f>
        <v>15.16.17.8</v>
      </c>
      <c r="E11" s="17" t="str">
        <f>'rekening perkiraan'!B10</f>
        <v>hutang usaha</v>
      </c>
      <c r="F11" s="17" t="str">
        <f>'rekening perkiraan'!D10</f>
        <v>hutang lancar</v>
      </c>
      <c r="G11" s="17">
        <f>'order transaksi cash'!H7</f>
        <v>4</v>
      </c>
      <c r="H11" s="77" t="str">
        <f>'kode transaksi'!B5</f>
        <v>CIn</v>
      </c>
      <c r="I11" s="77" t="str">
        <f>'order transaksi cash'!C7</f>
        <v>.000002</v>
      </c>
      <c r="J11" s="78">
        <f>'order transaksi cash'!S7</f>
        <v>43256</v>
      </c>
      <c r="K11" s="97" t="str">
        <f>'order transaksi cash'!U7</f>
        <v>terima pembayaran pinjaman 2 (part 2)</v>
      </c>
      <c r="L11" s="77">
        <f>'order transaksi cash'!N6</f>
        <v>1</v>
      </c>
      <c r="M11" s="77" t="str">
        <f>'data mata uang'!D3</f>
        <v>IDR</v>
      </c>
      <c r="N11" s="77">
        <f>'data mata uang'!G3</f>
        <v>1</v>
      </c>
      <c r="O11" s="112"/>
      <c r="P11" s="83">
        <f>'order transaksi cash'!AF7</f>
        <v>50000</v>
      </c>
      <c r="Q11" s="83"/>
      <c r="R11" s="83">
        <f t="shared" si="0"/>
        <v>50000</v>
      </c>
      <c r="S11" s="17">
        <v>1</v>
      </c>
      <c r="T11" s="17" t="str">
        <f>'order transaksi cash'!B7</f>
        <v>4.3</v>
      </c>
      <c r="U11" s="77">
        <f>'order transaksi cash'!X7</f>
        <v>6</v>
      </c>
      <c r="V11" s="77"/>
      <c r="W11" s="77">
        <f>'order transaksi cash'!J7</f>
        <v>1</v>
      </c>
      <c r="X11" s="77">
        <f>'order transaksi cash'!Z7</f>
        <v>0</v>
      </c>
      <c r="Y11" s="184">
        <f>'order transaksi cash'!AA7</f>
        <v>0</v>
      </c>
      <c r="Z11" s="17"/>
      <c r="AA11" s="17"/>
      <c r="AB11" s="17">
        <f>'order transaksi cash'!AG7</f>
        <v>3</v>
      </c>
      <c r="AC11" s="17">
        <f>'order transaksi cash'!AH7</f>
        <v>1</v>
      </c>
      <c r="AD11" s="17"/>
      <c r="AE11" s="17"/>
    </row>
    <row r="12" spans="1:32" x14ac:dyDescent="0.25">
      <c r="A12" s="179">
        <v>11</v>
      </c>
      <c r="B12" s="114"/>
      <c r="C12" s="114">
        <f>'order transaksi cash'!D8</f>
        <v>6</v>
      </c>
      <c r="D12" s="114" t="str">
        <f>'rekening perkiraan'!E8</f>
        <v>1.2.4.6</v>
      </c>
      <c r="E12" s="114" t="str">
        <f>'rekening perkiraan'!B8</f>
        <v>bank</v>
      </c>
      <c r="F12" s="114" t="str">
        <f>'rekening perkiraan'!D8</f>
        <v>bank</v>
      </c>
      <c r="G12" s="114">
        <f>'order transaksi cash'!H8</f>
        <v>5</v>
      </c>
      <c r="H12" s="114" t="str">
        <f>'order transaksi cash'!I8</f>
        <v>Cout</v>
      </c>
      <c r="I12" s="114" t="str">
        <f>'order transaksi cash'!C8</f>
        <v>.000002</v>
      </c>
      <c r="J12" s="115">
        <f>'order transaksi cash'!S8</f>
        <v>43256</v>
      </c>
      <c r="K12" s="116" t="str">
        <f>'order transaksi cash'!U8</f>
        <v>memberikan pinjaman dr akun bank</v>
      </c>
      <c r="L12" s="114">
        <f>'order transaksi cash'!N8</f>
        <v>1</v>
      </c>
      <c r="M12" s="114" t="str">
        <f>'order transaksi cash'!O8</f>
        <v>IDR</v>
      </c>
      <c r="N12" s="114">
        <f>'order transaksi cash'!P8</f>
        <v>1</v>
      </c>
      <c r="O12" s="117"/>
      <c r="P12" s="117">
        <f>'order transaksi cash'!F8</f>
        <v>500000</v>
      </c>
      <c r="Q12" s="117"/>
      <c r="R12" s="117">
        <f>N12*P12</f>
        <v>500000</v>
      </c>
      <c r="S12" s="114">
        <v>1</v>
      </c>
      <c r="T12" s="114" t="str">
        <f>'order transaksi cash'!B8</f>
        <v>5.4</v>
      </c>
      <c r="U12" s="114">
        <f>'order transaksi cash'!X8</f>
        <v>5</v>
      </c>
      <c r="V12" s="114"/>
      <c r="W12" s="114">
        <f>'order transaksi cash'!J8</f>
        <v>2</v>
      </c>
      <c r="X12" s="114">
        <f>'order transaksi cash'!Z8</f>
        <v>0</v>
      </c>
      <c r="Y12" s="185">
        <f>'order transaksi cash'!AA8</f>
        <v>0</v>
      </c>
      <c r="Z12" s="114"/>
      <c r="AA12" s="114"/>
      <c r="AB12" s="114">
        <f>'order transaksi cash'!AG8</f>
        <v>2</v>
      </c>
      <c r="AC12" s="114">
        <f>'order transaksi cash'!AH8</f>
        <v>1</v>
      </c>
      <c r="AD12" s="114"/>
      <c r="AE12" s="114"/>
    </row>
    <row r="13" spans="1:32" x14ac:dyDescent="0.25">
      <c r="A13" s="179">
        <v>12</v>
      </c>
      <c r="B13" s="114"/>
      <c r="C13" s="114">
        <f>'order transaksi cash'!AD8</f>
        <v>7</v>
      </c>
      <c r="D13" s="114" t="str">
        <f>'rekening perkiraan'!E10</f>
        <v>15.16.17.8</v>
      </c>
      <c r="E13" s="114" t="str">
        <f>'rekening perkiraan'!B10</f>
        <v>hutang usaha</v>
      </c>
      <c r="F13" s="114" t="str">
        <f>'rekening perkiraan'!D10</f>
        <v>hutang lancar</v>
      </c>
      <c r="G13" s="114">
        <f>'order transaksi cash'!H8</f>
        <v>5</v>
      </c>
      <c r="H13" s="114" t="str">
        <f>'order transaksi cash'!I8</f>
        <v>Cout</v>
      </c>
      <c r="I13" s="114" t="str">
        <f>'order transaksi cash'!C8</f>
        <v>.000002</v>
      </c>
      <c r="J13" s="115">
        <f>'order transaksi cash'!S8</f>
        <v>43256</v>
      </c>
      <c r="K13" s="116" t="str">
        <f>'order transaksi cash'!U8</f>
        <v>memberikan pinjaman dr akun bank</v>
      </c>
      <c r="L13" s="114">
        <f>'order transaksi cash'!N8</f>
        <v>1</v>
      </c>
      <c r="M13" s="114" t="str">
        <f>'order transaksi cash'!O8</f>
        <v>IDR</v>
      </c>
      <c r="N13" s="114">
        <f>'order transaksi cash'!P8</f>
        <v>1</v>
      </c>
      <c r="O13" s="117">
        <f>'order transaksi cash'!AE8</f>
        <v>500000</v>
      </c>
      <c r="P13" s="117"/>
      <c r="Q13" s="117">
        <f t="shared" ref="Q13:Q37" si="2">N13*O13</f>
        <v>500000</v>
      </c>
      <c r="R13" s="117"/>
      <c r="S13" s="114">
        <v>1</v>
      </c>
      <c r="T13" s="114" t="str">
        <f>'order transaksi cash'!AB8</f>
        <v>5.4.6</v>
      </c>
      <c r="U13" s="114">
        <f>'order transaksi cash'!X8</f>
        <v>5</v>
      </c>
      <c r="V13" s="114"/>
      <c r="W13" s="114">
        <f>'order transaksi cash'!J8</f>
        <v>2</v>
      </c>
      <c r="X13" s="114">
        <f>'order transaksi cash'!Z8</f>
        <v>0</v>
      </c>
      <c r="Y13" s="185">
        <f>'order transaksi cash'!AA8</f>
        <v>0</v>
      </c>
      <c r="Z13" s="114"/>
      <c r="AA13" s="114"/>
      <c r="AB13" s="114">
        <f>'order transaksi cash'!AG8</f>
        <v>2</v>
      </c>
      <c r="AC13" s="114">
        <f>'order transaksi cash'!AH8</f>
        <v>1</v>
      </c>
      <c r="AD13" s="114"/>
      <c r="AE13" s="114"/>
    </row>
    <row r="14" spans="1:32" x14ac:dyDescent="0.25">
      <c r="A14" s="179">
        <v>13</v>
      </c>
      <c r="B14" s="114"/>
      <c r="C14" s="114">
        <f>'order transaksi cash'!D9</f>
        <v>9</v>
      </c>
      <c r="D14" s="114" t="str">
        <f>'rekening perkiraan'!E11</f>
        <v>1.2.3.9</v>
      </c>
      <c r="E14" s="114" t="str">
        <f>'rekening perkiraan'!B11</f>
        <v>kas</v>
      </c>
      <c r="F14" s="114" t="str">
        <f>'rekening perkiraan'!D11</f>
        <v>kas</v>
      </c>
      <c r="G14" s="114">
        <f>'order transaksi cash'!H9</f>
        <v>4</v>
      </c>
      <c r="H14" s="114" t="str">
        <f>'order transaksi cash'!I9</f>
        <v>CIn</v>
      </c>
      <c r="I14" s="114" t="str">
        <f>'order transaksi cash'!C9</f>
        <v>.000003</v>
      </c>
      <c r="J14" s="115">
        <f>'order transaksi cash'!S9</f>
        <v>43257</v>
      </c>
      <c r="K14" s="116" t="str">
        <f>'order transaksi cash'!U9</f>
        <v>bayar pinjaman</v>
      </c>
      <c r="L14" s="114">
        <f>'order transaksi cash'!N9</f>
        <v>1</v>
      </c>
      <c r="M14" s="114" t="str">
        <f>'order transaksi cash'!O9</f>
        <v>IDR</v>
      </c>
      <c r="N14" s="114">
        <f>'order transaksi cash'!P9</f>
        <v>1</v>
      </c>
      <c r="O14" s="117">
        <f>'order transaksi cash'!E9</f>
        <v>500000</v>
      </c>
      <c r="P14" s="117"/>
      <c r="Q14" s="117">
        <f t="shared" si="2"/>
        <v>500000</v>
      </c>
      <c r="R14" s="117"/>
      <c r="S14" s="114">
        <v>1</v>
      </c>
      <c r="T14" s="114" t="str">
        <f>'order transaksi cash'!B9</f>
        <v>4.5</v>
      </c>
      <c r="U14" s="114">
        <f>'order transaksi cash'!X9</f>
        <v>6</v>
      </c>
      <c r="V14" s="114"/>
      <c r="W14" s="114">
        <f>'order transaksi cash'!J9</f>
        <v>2</v>
      </c>
      <c r="X14" s="114">
        <f>'order transaksi cash'!Z9</f>
        <v>0</v>
      </c>
      <c r="Y14" s="185">
        <f>'order transaksi cash'!AA9</f>
        <v>0</v>
      </c>
      <c r="Z14" s="114"/>
      <c r="AA14" s="114"/>
      <c r="AB14" s="114">
        <f>'order transaksi cash'!AG9</f>
        <v>3</v>
      </c>
      <c r="AC14" s="114">
        <f>'order transaksi cash'!AH9</f>
        <v>1</v>
      </c>
      <c r="AD14" s="114"/>
      <c r="AE14" s="114"/>
    </row>
    <row r="15" spans="1:32" x14ac:dyDescent="0.25">
      <c r="A15" s="179">
        <v>14</v>
      </c>
      <c r="B15" s="114"/>
      <c r="C15" s="114">
        <f>'order transaksi cash'!AD9</f>
        <v>7</v>
      </c>
      <c r="D15" s="114" t="str">
        <f>'rekening perkiraan'!E10</f>
        <v>15.16.17.8</v>
      </c>
      <c r="E15" s="114" t="str">
        <f>'rekening perkiraan'!B10</f>
        <v>hutang usaha</v>
      </c>
      <c r="F15" s="114" t="str">
        <f>'rekening perkiraan'!D10</f>
        <v>hutang lancar</v>
      </c>
      <c r="G15" s="114">
        <f>'order transaksi cash'!H9</f>
        <v>4</v>
      </c>
      <c r="H15" s="114" t="str">
        <f>'order transaksi cash'!I9</f>
        <v>CIn</v>
      </c>
      <c r="I15" s="114" t="str">
        <f>'order transaksi cash'!C9</f>
        <v>.000003</v>
      </c>
      <c r="J15" s="115">
        <f>'order transaksi cash'!S9</f>
        <v>43257</v>
      </c>
      <c r="K15" s="116" t="str">
        <f>'order transaksi cash'!U9</f>
        <v>bayar pinjaman</v>
      </c>
      <c r="L15" s="114">
        <f>'order transaksi cash'!N9</f>
        <v>1</v>
      </c>
      <c r="M15" s="114" t="str">
        <f>'order transaksi cash'!O9</f>
        <v>IDR</v>
      </c>
      <c r="N15" s="114">
        <f>'order transaksi cash'!P9</f>
        <v>1</v>
      </c>
      <c r="O15" s="117"/>
      <c r="P15" s="117">
        <f>'order transaksi cash'!AF9</f>
        <v>500000</v>
      </c>
      <c r="Q15" s="117"/>
      <c r="R15" s="117">
        <f t="shared" ref="R15:R36" si="3">N15*P15</f>
        <v>500000</v>
      </c>
      <c r="S15" s="114">
        <v>1</v>
      </c>
      <c r="T15" s="114" t="str">
        <f>'order transaksi cash'!AB9</f>
        <v>5.4.6</v>
      </c>
      <c r="U15" s="114">
        <f>'order transaksi cash'!X9</f>
        <v>6</v>
      </c>
      <c r="V15" s="114"/>
      <c r="W15" s="114">
        <f>'order transaksi cash'!J9</f>
        <v>2</v>
      </c>
      <c r="X15" s="114">
        <f>'order transaksi cash'!Z9</f>
        <v>0</v>
      </c>
      <c r="Y15" s="185">
        <f>'order transaksi cash'!AA9</f>
        <v>0</v>
      </c>
      <c r="Z15" s="114"/>
      <c r="AA15" s="114"/>
      <c r="AB15" s="114">
        <f>'order transaksi cash'!AG9</f>
        <v>3</v>
      </c>
      <c r="AC15" s="114">
        <f>'order transaksi cash'!AH9</f>
        <v>1</v>
      </c>
      <c r="AD15" s="114"/>
      <c r="AE15" s="114"/>
    </row>
    <row r="16" spans="1:32" x14ac:dyDescent="0.25">
      <c r="A16" s="179">
        <v>15</v>
      </c>
      <c r="B16" s="118"/>
      <c r="C16" s="118">
        <f>'order transaksi cash'!D10</f>
        <v>25</v>
      </c>
      <c r="D16" s="118" t="str">
        <f>'rekening perkiraan'!E27</f>
        <v>15.16.17.25</v>
      </c>
      <c r="E16" s="118" t="str">
        <f>'rekening perkiraan'!B27</f>
        <v>hutang giro</v>
      </c>
      <c r="F16" s="118" t="str">
        <f>'rekening perkiraan'!D27</f>
        <v>hutang lancar</v>
      </c>
      <c r="G16" s="118">
        <f>'order transaksi cash'!H10</f>
        <v>5</v>
      </c>
      <c r="H16" s="118" t="str">
        <f>'order transaksi cash'!I10</f>
        <v>Cout</v>
      </c>
      <c r="I16" s="118" t="str">
        <f>'order transaksi cash'!C10</f>
        <v>.000003</v>
      </c>
      <c r="J16" s="119">
        <f>'order transaksi cash'!S10</f>
        <v>43257</v>
      </c>
      <c r="K16" s="120" t="str">
        <f>'order transaksi cash'!U10</f>
        <v>beri pinjaman giro</v>
      </c>
      <c r="L16" s="118">
        <f>'order transaksi cash'!N10</f>
        <v>1</v>
      </c>
      <c r="M16" s="118" t="str">
        <f>'order transaksi cash'!O10</f>
        <v>IDR</v>
      </c>
      <c r="N16" s="118">
        <f>'order transaksi cash'!P10</f>
        <v>1</v>
      </c>
      <c r="O16" s="121"/>
      <c r="P16" s="121">
        <f>'order transaksi cash'!F10</f>
        <v>200000</v>
      </c>
      <c r="Q16" s="121"/>
      <c r="R16" s="121">
        <f t="shared" si="3"/>
        <v>200000</v>
      </c>
      <c r="S16" s="118">
        <v>0</v>
      </c>
      <c r="T16" s="118" t="str">
        <f>'order transaksi cash'!B10</f>
        <v>5.6</v>
      </c>
      <c r="U16" s="118">
        <f>'order transaksi cash'!X10</f>
        <v>4</v>
      </c>
      <c r="V16" s="118"/>
      <c r="W16" s="118">
        <f>'order transaksi cash'!J10</f>
        <v>1</v>
      </c>
      <c r="X16" s="118">
        <f>'order transaksi cash'!Z10</f>
        <v>0</v>
      </c>
      <c r="Y16" s="186">
        <f>'order transaksi cash'!AA10</f>
        <v>0</v>
      </c>
      <c r="Z16" s="118"/>
      <c r="AA16" s="118"/>
      <c r="AB16" s="118">
        <f>'order transaksi cash'!AG10</f>
        <v>1</v>
      </c>
      <c r="AC16" s="118">
        <f>'order transaksi cash'!AH10</f>
        <v>1</v>
      </c>
      <c r="AD16" s="118"/>
      <c r="AE16" s="118"/>
    </row>
    <row r="17" spans="1:31" x14ac:dyDescent="0.25">
      <c r="A17" s="179">
        <v>16</v>
      </c>
      <c r="B17" s="118"/>
      <c r="C17" s="118">
        <f>'order transaksi cash'!AD10</f>
        <v>7</v>
      </c>
      <c r="D17" s="118" t="str">
        <f>'rekening perkiraan'!E10</f>
        <v>15.16.17.8</v>
      </c>
      <c r="E17" s="118" t="str">
        <f>'rekening perkiraan'!B10</f>
        <v>hutang usaha</v>
      </c>
      <c r="F17" s="118" t="str">
        <f>'rekening perkiraan'!D10</f>
        <v>hutang lancar</v>
      </c>
      <c r="G17" s="118">
        <f>'order transaksi cash'!H10</f>
        <v>5</v>
      </c>
      <c r="H17" s="118" t="str">
        <f>'order transaksi cash'!I10</f>
        <v>Cout</v>
      </c>
      <c r="I17" s="118" t="str">
        <f>'order transaksi cash'!C10</f>
        <v>.000003</v>
      </c>
      <c r="J17" s="119">
        <f>'order transaksi cash'!S10</f>
        <v>43257</v>
      </c>
      <c r="K17" s="120" t="str">
        <f>'order transaksi cash'!U10</f>
        <v>beri pinjaman giro</v>
      </c>
      <c r="L17" s="118">
        <f>'order transaksi cash'!N10</f>
        <v>1</v>
      </c>
      <c r="M17" s="118" t="str">
        <f>'order transaksi cash'!O10</f>
        <v>IDR</v>
      </c>
      <c r="N17" s="118">
        <f>'order transaksi cash'!P10</f>
        <v>1</v>
      </c>
      <c r="O17" s="121">
        <f>'order transaksi cash'!AE10</f>
        <v>200000</v>
      </c>
      <c r="P17" s="121"/>
      <c r="Q17" s="121">
        <f t="shared" si="2"/>
        <v>200000</v>
      </c>
      <c r="R17" s="121"/>
      <c r="S17" s="118">
        <v>0</v>
      </c>
      <c r="T17" s="118" t="str">
        <f>'order transaksi cash'!AB10</f>
        <v>5.6.8</v>
      </c>
      <c r="U17" s="118">
        <f>'order transaksi cash'!X10</f>
        <v>4</v>
      </c>
      <c r="V17" s="118"/>
      <c r="W17" s="118">
        <f>'order transaksi cash'!J10</f>
        <v>1</v>
      </c>
      <c r="X17" s="118">
        <f>'order transaksi cash'!Z10</f>
        <v>0</v>
      </c>
      <c r="Y17" s="186">
        <f>'order transaksi cash'!AA10</f>
        <v>0</v>
      </c>
      <c r="Z17" s="118"/>
      <c r="AA17" s="118"/>
      <c r="AB17" s="118">
        <f>'order transaksi cash'!AG10</f>
        <v>1</v>
      </c>
      <c r="AC17" s="118">
        <f>'order transaksi cash'!AH10</f>
        <v>1</v>
      </c>
      <c r="AD17" s="118"/>
      <c r="AE17" s="118"/>
    </row>
    <row r="18" spans="1:31" x14ac:dyDescent="0.25">
      <c r="A18" s="179">
        <v>17</v>
      </c>
      <c r="B18" s="118"/>
      <c r="C18" s="118">
        <f>'order transaksi cash'!D11</f>
        <v>6</v>
      </c>
      <c r="D18" s="118" t="str">
        <f>'rekening perkiraan'!E8</f>
        <v>1.2.4.6</v>
      </c>
      <c r="E18" s="118" t="str">
        <f>'rekening perkiraan'!B8</f>
        <v>bank</v>
      </c>
      <c r="F18" s="118" t="str">
        <f>'rekening perkiraan'!D8</f>
        <v>bank</v>
      </c>
      <c r="G18" s="118">
        <f>'order transaksi cash'!H11</f>
        <v>5</v>
      </c>
      <c r="H18" s="118" t="str">
        <f>'order transaksi cash'!I11</f>
        <v>Cout</v>
      </c>
      <c r="I18" s="118" t="str">
        <f>'order transaksi cash'!C11</f>
        <v>.000003</v>
      </c>
      <c r="J18" s="119">
        <f>'order transaksi cash'!S11</f>
        <v>43258</v>
      </c>
      <c r="K18" s="120" t="str">
        <f>'order transaksi cash'!U11</f>
        <v>pencairan giro keluar</v>
      </c>
      <c r="L18" s="118">
        <f>'order transaksi cash'!N11</f>
        <v>1</v>
      </c>
      <c r="M18" s="118" t="str">
        <f>'order transaksi cash'!O11</f>
        <v>IDR</v>
      </c>
      <c r="N18" s="118">
        <f>'order transaksi cash'!P11</f>
        <v>1</v>
      </c>
      <c r="O18" s="121"/>
      <c r="P18" s="121">
        <f>'order transaksi cash'!F11</f>
        <v>200000</v>
      </c>
      <c r="Q18" s="121"/>
      <c r="R18" s="121">
        <f t="shared" si="3"/>
        <v>200000</v>
      </c>
      <c r="S18" s="118">
        <v>1</v>
      </c>
      <c r="T18" s="118" t="str">
        <f>'order transaksi cash'!B11</f>
        <v>5.7</v>
      </c>
      <c r="U18" s="118">
        <f>'order transaksi cash'!X11</f>
        <v>4</v>
      </c>
      <c r="V18" s="118"/>
      <c r="W18" s="118">
        <f>'order transaksi cash'!J11</f>
        <v>1</v>
      </c>
      <c r="X18" s="118">
        <f>'order transaksi cash'!Z11</f>
        <v>0</v>
      </c>
      <c r="Y18" s="186">
        <f>'order transaksi cash'!AA11</f>
        <v>0</v>
      </c>
      <c r="Z18" s="118"/>
      <c r="AA18" s="118"/>
      <c r="AB18" s="118">
        <f>'order transaksi cash'!AG11</f>
        <v>2</v>
      </c>
      <c r="AC18" s="118">
        <f>'order transaksi cash'!AH11</f>
        <v>1</v>
      </c>
      <c r="AD18" s="118"/>
      <c r="AE18" s="118"/>
    </row>
    <row r="19" spans="1:31" x14ac:dyDescent="0.25">
      <c r="A19" s="179">
        <v>18</v>
      </c>
      <c r="B19" s="118"/>
      <c r="C19" s="118">
        <f>'order transaksi cash'!AD11</f>
        <v>25</v>
      </c>
      <c r="D19" s="118" t="str">
        <f>'rekening perkiraan'!E27</f>
        <v>15.16.17.25</v>
      </c>
      <c r="E19" s="118" t="str">
        <f>'rekening perkiraan'!B27</f>
        <v>hutang giro</v>
      </c>
      <c r="F19" s="118" t="str">
        <f>'rekening perkiraan'!D27</f>
        <v>hutang lancar</v>
      </c>
      <c r="G19" s="118">
        <f>'order transaksi cash'!H11</f>
        <v>5</v>
      </c>
      <c r="H19" s="118" t="str">
        <f>'order transaksi cash'!I11</f>
        <v>Cout</v>
      </c>
      <c r="I19" s="118" t="str">
        <f>'order transaksi cash'!C11</f>
        <v>.000003</v>
      </c>
      <c r="J19" s="119">
        <f>'order transaksi cash'!S11</f>
        <v>43258</v>
      </c>
      <c r="K19" s="120" t="str">
        <f>'order transaksi cash'!U11</f>
        <v>pencairan giro keluar</v>
      </c>
      <c r="L19" s="118">
        <f>'order transaksi cash'!N11</f>
        <v>1</v>
      </c>
      <c r="M19" s="118" t="str">
        <f>'order transaksi cash'!O11</f>
        <v>IDR</v>
      </c>
      <c r="N19" s="118">
        <f>'order transaksi cash'!P11</f>
        <v>1</v>
      </c>
      <c r="O19" s="121">
        <f>'order transaksi cash'!AE11</f>
        <v>200000</v>
      </c>
      <c r="P19" s="121"/>
      <c r="Q19" s="121">
        <f t="shared" si="2"/>
        <v>200000</v>
      </c>
      <c r="R19" s="121"/>
      <c r="S19" s="118">
        <v>1</v>
      </c>
      <c r="T19" s="118" t="str">
        <f>'order transaksi cash'!AB11</f>
        <v>5.6</v>
      </c>
      <c r="U19" s="118">
        <f>'order transaksi cash'!X11</f>
        <v>4</v>
      </c>
      <c r="V19" s="118"/>
      <c r="W19" s="118">
        <f>'order transaksi cash'!J11</f>
        <v>1</v>
      </c>
      <c r="X19" s="118">
        <f>'order transaksi cash'!Z11</f>
        <v>0</v>
      </c>
      <c r="Y19" s="186">
        <f>'order transaksi cash'!AA11</f>
        <v>0</v>
      </c>
      <c r="Z19" s="118"/>
      <c r="AA19" s="118"/>
      <c r="AB19" s="118">
        <f>'order transaksi cash'!AG11</f>
        <v>2</v>
      </c>
      <c r="AC19" s="118">
        <f>'order transaksi cash'!AH11</f>
        <v>1</v>
      </c>
      <c r="AD19" s="118"/>
      <c r="AE19" s="118"/>
    </row>
    <row r="20" spans="1:31" x14ac:dyDescent="0.25">
      <c r="A20" s="179">
        <v>19</v>
      </c>
      <c r="B20" s="118"/>
      <c r="C20" s="118">
        <f>'order transaksi cash'!D12</f>
        <v>24</v>
      </c>
      <c r="D20" s="118" t="str">
        <f>'rekening perkiraan'!E26</f>
        <v>1.2.5.24</v>
      </c>
      <c r="E20" s="118" t="str">
        <f>'rekening perkiraan'!B26</f>
        <v>piutang giro</v>
      </c>
      <c r="F20" s="118" t="str">
        <f>'rekening perkiraan'!D26</f>
        <v>piutang dagang</v>
      </c>
      <c r="G20" s="118">
        <f>'order transaksi cash'!H12</f>
        <v>4</v>
      </c>
      <c r="H20" s="118" t="str">
        <f>'order transaksi cash'!I12</f>
        <v>CIn</v>
      </c>
      <c r="I20" s="118" t="str">
        <f>'order transaksi cash'!C12</f>
        <v>.000004</v>
      </c>
      <c r="J20" s="119">
        <f>'order transaksi cash'!S12</f>
        <v>43259</v>
      </c>
      <c r="K20" s="120" t="str">
        <f>'order transaksi cash'!U12</f>
        <v>pembayaran pinjaman dgn giro</v>
      </c>
      <c r="L20" s="118">
        <f>'order transaksi cash'!N12</f>
        <v>1</v>
      </c>
      <c r="M20" s="118" t="str">
        <f>'order transaksi cash'!O12</f>
        <v>IDR</v>
      </c>
      <c r="N20" s="118">
        <f>'order transaksi cash'!P12</f>
        <v>1</v>
      </c>
      <c r="O20" s="121">
        <f>'order transaksi cash'!E12</f>
        <v>200000</v>
      </c>
      <c r="P20" s="121"/>
      <c r="Q20" s="121">
        <f t="shared" si="2"/>
        <v>200000</v>
      </c>
      <c r="R20" s="121"/>
      <c r="S20" s="118">
        <v>0</v>
      </c>
      <c r="T20" s="118" t="str">
        <f>'order transaksi cash'!B12</f>
        <v>4.8</v>
      </c>
      <c r="U20" s="118">
        <f>'order transaksi cash'!X12</f>
        <v>6</v>
      </c>
      <c r="V20" s="118"/>
      <c r="W20" s="118">
        <f>'order transaksi cash'!J12</f>
        <v>1</v>
      </c>
      <c r="X20" s="118">
        <f>'order transaksi cash'!Z12</f>
        <v>0</v>
      </c>
      <c r="Y20" s="186">
        <f>'order transaksi cash'!AA12</f>
        <v>0</v>
      </c>
      <c r="Z20" s="118"/>
      <c r="AA20" s="118"/>
      <c r="AB20" s="118">
        <f>'order transaksi cash'!AG12</f>
        <v>3</v>
      </c>
      <c r="AC20" s="118">
        <f>'order transaksi cash'!AH12</f>
        <v>1</v>
      </c>
      <c r="AD20" s="118"/>
      <c r="AE20" s="118"/>
    </row>
    <row r="21" spans="1:31" x14ac:dyDescent="0.25">
      <c r="A21" s="179">
        <v>20</v>
      </c>
      <c r="B21" s="118"/>
      <c r="C21" s="118">
        <f>'order transaksi cash'!AD12</f>
        <v>7</v>
      </c>
      <c r="D21" s="118" t="str">
        <f>'rekening perkiraan'!E10</f>
        <v>15.16.17.8</v>
      </c>
      <c r="E21" s="118" t="str">
        <f>'rekening perkiraan'!B10</f>
        <v>hutang usaha</v>
      </c>
      <c r="F21" s="118" t="str">
        <f>'rekening perkiraan'!D10</f>
        <v>hutang lancar</v>
      </c>
      <c r="G21" s="118">
        <f>'order transaksi cash'!H12</f>
        <v>4</v>
      </c>
      <c r="H21" s="118" t="str">
        <f>'order transaksi cash'!I12</f>
        <v>CIn</v>
      </c>
      <c r="I21" s="118" t="str">
        <f>'order transaksi cash'!C12</f>
        <v>.000004</v>
      </c>
      <c r="J21" s="119">
        <f>'order transaksi cash'!S12</f>
        <v>43259</v>
      </c>
      <c r="K21" s="120" t="str">
        <f>'order transaksi cash'!U12</f>
        <v>pembayaran pinjaman dgn giro</v>
      </c>
      <c r="L21" s="118">
        <f>'order transaksi cash'!N12</f>
        <v>1</v>
      </c>
      <c r="M21" s="118" t="str">
        <f>'order transaksi cash'!O12</f>
        <v>IDR</v>
      </c>
      <c r="N21" s="118">
        <f>'order transaksi cash'!P12</f>
        <v>1</v>
      </c>
      <c r="O21" s="121"/>
      <c r="P21" s="121">
        <f>'order transaksi cash'!AF12</f>
        <v>200000</v>
      </c>
      <c r="Q21" s="121"/>
      <c r="R21" s="121">
        <f t="shared" si="3"/>
        <v>200000</v>
      </c>
      <c r="S21" s="118">
        <v>0</v>
      </c>
      <c r="T21" s="118" t="str">
        <f>'order transaksi cash'!AB12</f>
        <v>5.6.8</v>
      </c>
      <c r="U21" s="118">
        <f>'order transaksi cash'!X12</f>
        <v>6</v>
      </c>
      <c r="V21" s="118"/>
      <c r="W21" s="118">
        <f>'order transaksi cash'!J12</f>
        <v>1</v>
      </c>
      <c r="X21" s="118">
        <f>'order transaksi cash'!Z12</f>
        <v>0</v>
      </c>
      <c r="Y21" s="186">
        <f>'order transaksi cash'!AA12</f>
        <v>0</v>
      </c>
      <c r="Z21" s="118"/>
      <c r="AA21" s="118"/>
      <c r="AB21" s="118">
        <f>'order transaksi cash'!AG12</f>
        <v>3</v>
      </c>
      <c r="AC21" s="118">
        <f>'order transaksi cash'!AH12</f>
        <v>1</v>
      </c>
      <c r="AD21" s="118"/>
      <c r="AE21" s="118"/>
    </row>
    <row r="22" spans="1:31" x14ac:dyDescent="0.25">
      <c r="A22" s="179">
        <v>21</v>
      </c>
      <c r="B22" s="118"/>
      <c r="C22" s="118">
        <f>'order transaksi cash'!D13</f>
        <v>6</v>
      </c>
      <c r="D22" s="118" t="str">
        <f>'rekening perkiraan'!E8</f>
        <v>1.2.4.6</v>
      </c>
      <c r="E22" s="118" t="str">
        <f>'rekening perkiraan'!B8</f>
        <v>bank</v>
      </c>
      <c r="F22" s="118" t="str">
        <f>'rekening perkiraan'!D8</f>
        <v>bank</v>
      </c>
      <c r="G22" s="118">
        <f>'order transaksi cash'!H13</f>
        <v>4</v>
      </c>
      <c r="H22" s="118" t="str">
        <f>'order transaksi cash'!I13</f>
        <v>CIn</v>
      </c>
      <c r="I22" s="118" t="str">
        <f>'order transaksi cash'!C13</f>
        <v>.000004</v>
      </c>
      <c r="J22" s="119">
        <f>'order transaksi cash'!S13</f>
        <v>43260</v>
      </c>
      <c r="K22" s="120" t="str">
        <f>'order transaksi cash'!U13</f>
        <v>pencairan giro masuk</v>
      </c>
      <c r="L22" s="118">
        <f>'order transaksi cash'!N13</f>
        <v>1</v>
      </c>
      <c r="M22" s="118" t="str">
        <f>'order transaksi cash'!O13</f>
        <v>IDR</v>
      </c>
      <c r="N22" s="118">
        <f>'order transaksi cash'!P13</f>
        <v>1</v>
      </c>
      <c r="O22" s="121">
        <f>'order transaksi cash'!E13</f>
        <v>200000</v>
      </c>
      <c r="P22" s="121"/>
      <c r="Q22" s="121">
        <f t="shared" si="2"/>
        <v>200000</v>
      </c>
      <c r="R22" s="121"/>
      <c r="S22" s="118">
        <v>1</v>
      </c>
      <c r="T22" s="118" t="str">
        <f>'order transaksi cash'!B13</f>
        <v>4.9</v>
      </c>
      <c r="U22" s="118">
        <f>'order transaksi cash'!X13</f>
        <v>6</v>
      </c>
      <c r="V22" s="118"/>
      <c r="W22" s="118">
        <f>'order transaksi cash'!J13</f>
        <v>1</v>
      </c>
      <c r="X22" s="118">
        <f>'order transaksi cash'!Z13</f>
        <v>0</v>
      </c>
      <c r="Y22" s="186">
        <f>'order transaksi cash'!AA13</f>
        <v>0</v>
      </c>
      <c r="Z22" s="118"/>
      <c r="AA22" s="118"/>
      <c r="AB22" s="118">
        <f>'order transaksi cash'!AG13</f>
        <v>1</v>
      </c>
      <c r="AC22" s="118">
        <f>'order transaksi cash'!AH13</f>
        <v>1</v>
      </c>
      <c r="AD22" s="118"/>
      <c r="AE22" s="118"/>
    </row>
    <row r="23" spans="1:31" x14ac:dyDescent="0.25">
      <c r="A23" s="179">
        <v>22</v>
      </c>
      <c r="B23" s="118"/>
      <c r="C23" s="118">
        <f>'order transaksi cash'!AD13</f>
        <v>24</v>
      </c>
      <c r="D23" s="118" t="str">
        <f>'rekening perkiraan'!E26</f>
        <v>1.2.5.24</v>
      </c>
      <c r="E23" s="118" t="str">
        <f>'rekening perkiraan'!B26</f>
        <v>piutang giro</v>
      </c>
      <c r="F23" s="118" t="str">
        <f>'rekening perkiraan'!D26</f>
        <v>piutang dagang</v>
      </c>
      <c r="G23" s="118">
        <f>'order transaksi cash'!H13</f>
        <v>4</v>
      </c>
      <c r="H23" s="118" t="str">
        <f>'order transaksi cash'!I13</f>
        <v>CIn</v>
      </c>
      <c r="I23" s="118" t="str">
        <f>'order transaksi cash'!C13</f>
        <v>.000004</v>
      </c>
      <c r="J23" s="119">
        <f>'order transaksi cash'!S13</f>
        <v>43260</v>
      </c>
      <c r="K23" s="120" t="str">
        <f>'order transaksi cash'!U13</f>
        <v>pencairan giro masuk</v>
      </c>
      <c r="L23" s="118">
        <f>'order transaksi cash'!N13</f>
        <v>1</v>
      </c>
      <c r="M23" s="118" t="str">
        <f>'order transaksi cash'!O13</f>
        <v>IDR</v>
      </c>
      <c r="N23" s="118">
        <f>'order transaksi cash'!P13</f>
        <v>1</v>
      </c>
      <c r="O23" s="121"/>
      <c r="P23" s="121">
        <f>'order transaksi cash'!AF13</f>
        <v>200000</v>
      </c>
      <c r="Q23" s="121"/>
      <c r="R23" s="121">
        <f t="shared" si="3"/>
        <v>200000</v>
      </c>
      <c r="S23" s="118">
        <v>1</v>
      </c>
      <c r="T23" s="118" t="str">
        <f>'order transaksi cash'!AB13</f>
        <v>4.8</v>
      </c>
      <c r="U23" s="118">
        <f>'order transaksi cash'!X13</f>
        <v>6</v>
      </c>
      <c r="V23" s="118"/>
      <c r="W23" s="118">
        <f>'order transaksi cash'!J13</f>
        <v>1</v>
      </c>
      <c r="X23" s="118">
        <f>'order transaksi cash'!Z13</f>
        <v>0</v>
      </c>
      <c r="Y23" s="186">
        <f>'order transaksi cash'!AA13</f>
        <v>0</v>
      </c>
      <c r="Z23" s="118"/>
      <c r="AA23" s="118"/>
      <c r="AB23" s="118">
        <f>'order transaksi cash'!AG13</f>
        <v>1</v>
      </c>
      <c r="AC23" s="118">
        <f>'order transaksi cash'!AH13</f>
        <v>1</v>
      </c>
      <c r="AD23" s="118"/>
      <c r="AE23" s="118"/>
    </row>
    <row r="24" spans="1:31" x14ac:dyDescent="0.25">
      <c r="A24" s="179">
        <v>23</v>
      </c>
      <c r="B24" s="122"/>
      <c r="C24" s="122">
        <f>'order transaksi cash'!D14</f>
        <v>9</v>
      </c>
      <c r="D24" s="122" t="str">
        <f>'rekening perkiraan'!E11</f>
        <v>1.2.3.9</v>
      </c>
      <c r="E24" s="122" t="str">
        <f>'rekening perkiraan'!B11</f>
        <v>kas</v>
      </c>
      <c r="F24" s="122" t="str">
        <f>'rekening perkiraan'!D11</f>
        <v>kas</v>
      </c>
      <c r="G24" s="122">
        <f>'order transaksi cash'!H14</f>
        <v>4</v>
      </c>
      <c r="H24" s="122" t="str">
        <f>'order transaksi cash'!I14</f>
        <v>CIn</v>
      </c>
      <c r="I24" s="122" t="str">
        <f>'order transaksi cash'!C14</f>
        <v>.000005</v>
      </c>
      <c r="J24" s="123">
        <f>'order transaksi cash'!S14</f>
        <v>43260</v>
      </c>
      <c r="K24" s="124" t="str">
        <f>'order transaksi cash'!U14</f>
        <v>mendapat dana pinjaman</v>
      </c>
      <c r="L24" s="122">
        <f>'order transaksi cash'!N14</f>
        <v>1</v>
      </c>
      <c r="M24" s="122" t="str">
        <f>'order transaksi cash'!O14</f>
        <v>IDR</v>
      </c>
      <c r="N24" s="122">
        <f>'order transaksi cash'!P14</f>
        <v>1</v>
      </c>
      <c r="O24" s="125">
        <f>'order transaksi cash'!E14</f>
        <v>300000</v>
      </c>
      <c r="P24" s="125"/>
      <c r="Q24" s="125">
        <f t="shared" si="2"/>
        <v>300000</v>
      </c>
      <c r="R24" s="125"/>
      <c r="S24" s="122">
        <v>1</v>
      </c>
      <c r="T24" s="122" t="str">
        <f>'order transaksi cash'!B14</f>
        <v>4.10</v>
      </c>
      <c r="U24" s="122">
        <f>'order transaksi cash'!X14</f>
        <v>5</v>
      </c>
      <c r="V24" s="122"/>
      <c r="W24" s="122">
        <f>'order transaksi cash'!J14</f>
        <v>7</v>
      </c>
      <c r="X24" s="122">
        <f>'order transaksi cash'!Z14</f>
        <v>0</v>
      </c>
      <c r="Y24" s="187">
        <f>'order transaksi cash'!AA14</f>
        <v>0</v>
      </c>
      <c r="Z24" s="122"/>
      <c r="AA24" s="122"/>
      <c r="AB24" s="122">
        <f>'order transaksi cash'!AG14</f>
        <v>2</v>
      </c>
      <c r="AC24" s="122">
        <f>'order transaksi cash'!AH14</f>
        <v>1</v>
      </c>
      <c r="AD24" s="122"/>
      <c r="AE24" s="122"/>
    </row>
    <row r="25" spans="1:31" x14ac:dyDescent="0.25">
      <c r="A25" s="179">
        <v>24</v>
      </c>
      <c r="B25" s="122"/>
      <c r="C25" s="122">
        <f>'order transaksi cash'!AD14</f>
        <v>8</v>
      </c>
      <c r="D25" s="122" t="str">
        <f>'rekening perkiraan'!E9</f>
        <v>1.2.5.7</v>
      </c>
      <c r="E25" s="122" t="str">
        <f>'rekening perkiraan'!B9</f>
        <v>piutang usaha</v>
      </c>
      <c r="F25" s="122" t="str">
        <f>'rekening perkiraan'!D9</f>
        <v>piutang dagang</v>
      </c>
      <c r="G25" s="122">
        <f>'order transaksi cash'!H14</f>
        <v>4</v>
      </c>
      <c r="H25" s="122" t="str">
        <f>'order transaksi cash'!I14</f>
        <v>CIn</v>
      </c>
      <c r="I25" s="122" t="str">
        <f>'order transaksi cash'!C14</f>
        <v>.000005</v>
      </c>
      <c r="J25" s="123">
        <f>'order transaksi cash'!S14</f>
        <v>43260</v>
      </c>
      <c r="K25" s="124" t="str">
        <f>'order transaksi cash'!U14</f>
        <v>mendapat dana pinjaman</v>
      </c>
      <c r="L25" s="122">
        <f>'order transaksi cash'!N14</f>
        <v>1</v>
      </c>
      <c r="M25" s="122" t="str">
        <f>'order transaksi cash'!O14</f>
        <v>IDR</v>
      </c>
      <c r="N25" s="122">
        <f>'order transaksi cash'!P14</f>
        <v>1</v>
      </c>
      <c r="O25" s="125"/>
      <c r="P25" s="125">
        <f>'order transaksi cash'!AF14</f>
        <v>300000</v>
      </c>
      <c r="Q25" s="125"/>
      <c r="R25" s="125">
        <f t="shared" si="3"/>
        <v>300000</v>
      </c>
      <c r="S25" s="122">
        <v>1</v>
      </c>
      <c r="T25" s="122" t="str">
        <f>'order transaksi cash'!AB14</f>
        <v>4.10.12</v>
      </c>
      <c r="U25" s="122">
        <f>'order transaksi cash'!X14</f>
        <v>5</v>
      </c>
      <c r="V25" s="122"/>
      <c r="W25" s="122">
        <f>'order transaksi cash'!J14</f>
        <v>7</v>
      </c>
      <c r="X25" s="122">
        <f>'order transaksi cash'!Z14</f>
        <v>0</v>
      </c>
      <c r="Y25" s="187">
        <f>'order transaksi cash'!AA14</f>
        <v>0</v>
      </c>
      <c r="Z25" s="122"/>
      <c r="AA25" s="122"/>
      <c r="AB25" s="122">
        <f>'order transaksi cash'!AG14</f>
        <v>2</v>
      </c>
      <c r="AC25" s="122">
        <f>'order transaksi cash'!AH14</f>
        <v>1</v>
      </c>
      <c r="AD25" s="122"/>
      <c r="AE25" s="122"/>
    </row>
    <row r="26" spans="1:31" x14ac:dyDescent="0.25">
      <c r="A26" s="179">
        <v>25</v>
      </c>
      <c r="B26" s="122"/>
      <c r="C26" s="122">
        <f>'order transaksi cash'!D15</f>
        <v>6</v>
      </c>
      <c r="D26" s="122" t="str">
        <f>'rekening perkiraan'!E8</f>
        <v>1.2.4.6</v>
      </c>
      <c r="E26" s="122" t="str">
        <f>'rekening perkiraan'!B8</f>
        <v>bank</v>
      </c>
      <c r="F26" s="122" t="str">
        <f>'rekening perkiraan'!D8</f>
        <v>bank</v>
      </c>
      <c r="G26" s="122">
        <f>'order transaksi cash'!H15</f>
        <v>5</v>
      </c>
      <c r="H26" s="122" t="str">
        <f>'order transaksi cash'!I15</f>
        <v>Cout</v>
      </c>
      <c r="I26" s="122" t="str">
        <f>'order transaksi cash'!C15</f>
        <v>.000004</v>
      </c>
      <c r="J26" s="123">
        <f>'order transaksi cash'!S15</f>
        <v>43261</v>
      </c>
      <c r="K26" s="124" t="str">
        <f>'order transaksi cash'!U15</f>
        <v>membayar dana pinjaman</v>
      </c>
      <c r="L26" s="122">
        <f>'order transaksi cash'!N15</f>
        <v>1</v>
      </c>
      <c r="M26" s="122" t="str">
        <f>'order transaksi cash'!O15</f>
        <v>IDR</v>
      </c>
      <c r="N26" s="122">
        <f>'order transaksi cash'!P15</f>
        <v>1</v>
      </c>
      <c r="O26" s="125"/>
      <c r="P26" s="125">
        <f>'order transaksi cash'!F15</f>
        <v>300000</v>
      </c>
      <c r="Q26" s="125"/>
      <c r="R26" s="125">
        <f t="shared" si="3"/>
        <v>300000</v>
      </c>
      <c r="S26" s="122">
        <v>1</v>
      </c>
      <c r="T26" s="122" t="str">
        <f>'order transaksi cash'!B15</f>
        <v>5.11</v>
      </c>
      <c r="U26" s="122">
        <f>'order transaksi cash'!X15</f>
        <v>6</v>
      </c>
      <c r="V26" s="122"/>
      <c r="W26" s="122">
        <f>'order transaksi cash'!J15</f>
        <v>7</v>
      </c>
      <c r="X26" s="122">
        <f>'order transaksi cash'!Z15</f>
        <v>0</v>
      </c>
      <c r="Y26" s="187">
        <f>'order transaksi cash'!AA15</f>
        <v>0</v>
      </c>
      <c r="Z26" s="122"/>
      <c r="AA26" s="122"/>
      <c r="AB26" s="122">
        <f>'order transaksi cash'!AG15</f>
        <v>3</v>
      </c>
      <c r="AC26" s="122">
        <f>'order transaksi cash'!AH15</f>
        <v>1</v>
      </c>
      <c r="AD26" s="122"/>
      <c r="AE26" s="122"/>
    </row>
    <row r="27" spans="1:31" x14ac:dyDescent="0.25">
      <c r="A27" s="179">
        <v>26</v>
      </c>
      <c r="B27" s="122"/>
      <c r="C27" s="122">
        <f>'order transaksi cash'!AD15</f>
        <v>8</v>
      </c>
      <c r="D27" s="122" t="str">
        <f>'rekening perkiraan'!E9</f>
        <v>1.2.5.7</v>
      </c>
      <c r="E27" s="122" t="str">
        <f>'rekening perkiraan'!B9</f>
        <v>piutang usaha</v>
      </c>
      <c r="F27" s="122" t="str">
        <f>'rekening perkiraan'!D9</f>
        <v>piutang dagang</v>
      </c>
      <c r="G27" s="122">
        <f>'order transaksi cash'!H15</f>
        <v>5</v>
      </c>
      <c r="H27" s="122" t="str">
        <f>'order transaksi cash'!I15</f>
        <v>Cout</v>
      </c>
      <c r="I27" s="122" t="str">
        <f>'order transaksi cash'!C15</f>
        <v>.000004</v>
      </c>
      <c r="J27" s="123">
        <f>'order transaksi cash'!S15</f>
        <v>43261</v>
      </c>
      <c r="K27" s="124" t="str">
        <f>'order transaksi cash'!U15</f>
        <v>membayar dana pinjaman</v>
      </c>
      <c r="L27" s="122">
        <f>'order transaksi cash'!N15</f>
        <v>1</v>
      </c>
      <c r="M27" s="122" t="str">
        <f>'order transaksi cash'!O15</f>
        <v>IDR</v>
      </c>
      <c r="N27" s="122">
        <f>'order transaksi cash'!P15</f>
        <v>1</v>
      </c>
      <c r="O27" s="125">
        <f>'order transaksi cash'!AE15</f>
        <v>300000</v>
      </c>
      <c r="P27" s="125"/>
      <c r="Q27" s="125">
        <f t="shared" si="2"/>
        <v>300000</v>
      </c>
      <c r="R27" s="125"/>
      <c r="S27" s="122">
        <v>1</v>
      </c>
      <c r="T27" s="122" t="str">
        <f>'order transaksi cash'!AB15</f>
        <v>4.10.12</v>
      </c>
      <c r="U27" s="122">
        <f>'order transaksi cash'!X15</f>
        <v>6</v>
      </c>
      <c r="V27" s="122"/>
      <c r="W27" s="122">
        <f>'order transaksi cash'!J15</f>
        <v>7</v>
      </c>
      <c r="X27" s="122">
        <f>'order transaksi cash'!Z15</f>
        <v>0</v>
      </c>
      <c r="Y27" s="187">
        <f>'order transaksi cash'!AA15</f>
        <v>0</v>
      </c>
      <c r="Z27" s="122"/>
      <c r="AA27" s="122"/>
      <c r="AB27" s="122">
        <f>'order transaksi cash'!AG15</f>
        <v>3</v>
      </c>
      <c r="AC27" s="122">
        <f>'order transaksi cash'!AH15</f>
        <v>1</v>
      </c>
      <c r="AD27" s="122"/>
      <c r="AE27" s="122"/>
    </row>
    <row r="28" spans="1:31" x14ac:dyDescent="0.25">
      <c r="A28" s="179">
        <v>27</v>
      </c>
      <c r="B28" s="126"/>
      <c r="C28" s="126">
        <f>'order transaksi cash'!D16</f>
        <v>24</v>
      </c>
      <c r="D28" s="126" t="str">
        <f>'rekening perkiraan'!E26</f>
        <v>1.2.5.24</v>
      </c>
      <c r="E28" s="126" t="str">
        <f>'rekening perkiraan'!B26</f>
        <v>piutang giro</v>
      </c>
      <c r="F28" s="126" t="str">
        <f>'rekening perkiraan'!D26</f>
        <v>piutang dagang</v>
      </c>
      <c r="G28" s="126">
        <f>'order transaksi cash'!H16</f>
        <v>4</v>
      </c>
      <c r="H28" s="126" t="str">
        <f>'order transaksi cash'!I16</f>
        <v>CIn</v>
      </c>
      <c r="I28" s="126" t="str">
        <f>'order transaksi cash'!C16</f>
        <v>.000006</v>
      </c>
      <c r="J28" s="127">
        <f>'order transaksi cash'!S16</f>
        <v>43262</v>
      </c>
      <c r="K28" s="128" t="str">
        <f>'order transaksi cash'!U16</f>
        <v>mendapat pinjaman dgn giro</v>
      </c>
      <c r="L28" s="126">
        <f>'order transaksi cash'!N16</f>
        <v>1</v>
      </c>
      <c r="M28" s="126" t="str">
        <f>'order transaksi cash'!O16</f>
        <v>IDR</v>
      </c>
      <c r="N28" s="126">
        <f>'order transaksi cash'!P16</f>
        <v>1</v>
      </c>
      <c r="O28" s="129">
        <f>'order transaksi cash'!E16</f>
        <v>500000</v>
      </c>
      <c r="P28" s="129"/>
      <c r="Q28" s="129">
        <f t="shared" si="2"/>
        <v>500000</v>
      </c>
      <c r="R28" s="129"/>
      <c r="S28" s="126">
        <v>0</v>
      </c>
      <c r="T28" s="126" t="str">
        <f>'order transaksi cash'!B16</f>
        <v>4.12</v>
      </c>
      <c r="U28" s="126">
        <f>'order transaksi cash'!X16</f>
        <v>4</v>
      </c>
      <c r="V28" s="126"/>
      <c r="W28" s="126">
        <f>'order transaksi cash'!J16</f>
        <v>8</v>
      </c>
      <c r="X28" s="126">
        <f>'order transaksi cash'!Z16</f>
        <v>0</v>
      </c>
      <c r="Y28" s="188">
        <f>'order transaksi cash'!AA16</f>
        <v>0</v>
      </c>
      <c r="Z28" s="126"/>
      <c r="AA28" s="126"/>
      <c r="AB28" s="126">
        <f>'order transaksi cash'!AG16</f>
        <v>1</v>
      </c>
      <c r="AC28" s="126">
        <f>'order transaksi cash'!AH16</f>
        <v>1</v>
      </c>
      <c r="AD28" s="126"/>
      <c r="AE28" s="126"/>
    </row>
    <row r="29" spans="1:31" x14ac:dyDescent="0.25">
      <c r="A29" s="179">
        <v>28</v>
      </c>
      <c r="B29" s="126"/>
      <c r="C29" s="126">
        <f>'order transaksi cash'!AD16</f>
        <v>8</v>
      </c>
      <c r="D29" s="126" t="str">
        <f>'rekening perkiraan'!E9</f>
        <v>1.2.5.7</v>
      </c>
      <c r="E29" s="126" t="str">
        <f>'rekening perkiraan'!B9</f>
        <v>piutang usaha</v>
      </c>
      <c r="F29" s="126" t="str">
        <f>'rekening perkiraan'!D9</f>
        <v>piutang dagang</v>
      </c>
      <c r="G29" s="126">
        <f>'order transaksi cash'!H16</f>
        <v>4</v>
      </c>
      <c r="H29" s="126" t="str">
        <f>'order transaksi cash'!I16</f>
        <v>CIn</v>
      </c>
      <c r="I29" s="126" t="str">
        <f>'order transaksi cash'!C16</f>
        <v>.000006</v>
      </c>
      <c r="J29" s="127">
        <f>'order transaksi cash'!S16</f>
        <v>43262</v>
      </c>
      <c r="K29" s="128" t="str">
        <f>'order transaksi cash'!U16</f>
        <v>mendapat pinjaman dgn giro</v>
      </c>
      <c r="L29" s="126">
        <f>'order transaksi cash'!N16</f>
        <v>1</v>
      </c>
      <c r="M29" s="126" t="str">
        <f>'order transaksi cash'!O16</f>
        <v>IDR</v>
      </c>
      <c r="N29" s="126">
        <f>'order transaksi cash'!P16</f>
        <v>1</v>
      </c>
      <c r="O29" s="129"/>
      <c r="P29" s="129">
        <f>'order transaksi cash'!AF16</f>
        <v>500000</v>
      </c>
      <c r="Q29" s="129"/>
      <c r="R29" s="129">
        <f t="shared" si="3"/>
        <v>500000</v>
      </c>
      <c r="S29" s="126">
        <v>0</v>
      </c>
      <c r="T29" s="126" t="str">
        <f>'order transaksi cash'!AB16</f>
        <v>4.12.14</v>
      </c>
      <c r="U29" s="126">
        <f>'order transaksi cash'!X16</f>
        <v>4</v>
      </c>
      <c r="V29" s="126"/>
      <c r="W29" s="126">
        <f>'order transaksi cash'!J16</f>
        <v>8</v>
      </c>
      <c r="X29" s="126">
        <f>'order transaksi cash'!Z16</f>
        <v>0</v>
      </c>
      <c r="Y29" s="188">
        <f>'order transaksi cash'!AA16</f>
        <v>0</v>
      </c>
      <c r="Z29" s="126"/>
      <c r="AA29" s="126"/>
      <c r="AB29" s="126">
        <f>'order transaksi cash'!AG16</f>
        <v>1</v>
      </c>
      <c r="AC29" s="126">
        <f>'order transaksi cash'!AH16</f>
        <v>1</v>
      </c>
      <c r="AD29" s="126"/>
      <c r="AE29" s="126"/>
    </row>
    <row r="30" spans="1:31" x14ac:dyDescent="0.25">
      <c r="A30" s="179">
        <v>29</v>
      </c>
      <c r="B30" s="126"/>
      <c r="C30" s="126">
        <f>'order transaksi cash'!D17</f>
        <v>6</v>
      </c>
      <c r="D30" s="126" t="str">
        <f>'rekening perkiraan'!E8</f>
        <v>1.2.4.6</v>
      </c>
      <c r="E30" s="126" t="str">
        <f>'rekening perkiraan'!B8</f>
        <v>bank</v>
      </c>
      <c r="F30" s="126" t="str">
        <f>'rekening perkiraan'!D8</f>
        <v>bank</v>
      </c>
      <c r="G30" s="126">
        <f>'order transaksi cash'!H17</f>
        <v>4</v>
      </c>
      <c r="H30" s="126" t="str">
        <f>'order transaksi cash'!I17</f>
        <v>CIn</v>
      </c>
      <c r="I30" s="126" t="str">
        <f>'order transaksi cash'!C17</f>
        <v>.000006</v>
      </c>
      <c r="J30" s="127">
        <f>'order transaksi cash'!S17</f>
        <v>43262</v>
      </c>
      <c r="K30" s="128" t="str">
        <f>'order transaksi cash'!U17</f>
        <v>pencairan giro masuk</v>
      </c>
      <c r="L30" s="126">
        <f>'order transaksi cash'!N17</f>
        <v>1</v>
      </c>
      <c r="M30" s="126" t="str">
        <f>'order transaksi cash'!O17</f>
        <v>IDR</v>
      </c>
      <c r="N30" s="126">
        <f>'order transaksi cash'!P17</f>
        <v>1</v>
      </c>
      <c r="O30" s="129">
        <f>'order transaksi cash'!E17</f>
        <v>500000</v>
      </c>
      <c r="P30" s="129"/>
      <c r="Q30" s="129">
        <f t="shared" si="2"/>
        <v>500000</v>
      </c>
      <c r="R30" s="129"/>
      <c r="S30" s="126">
        <v>1</v>
      </c>
      <c r="T30" s="126" t="str">
        <f>'order transaksi cash'!B17</f>
        <v>4.13</v>
      </c>
      <c r="U30" s="126">
        <f>'order transaksi cash'!X17</f>
        <v>4</v>
      </c>
      <c r="V30" s="126"/>
      <c r="W30" s="126">
        <f>'order transaksi cash'!J17</f>
        <v>8</v>
      </c>
      <c r="X30" s="126">
        <f>'order transaksi cash'!Z17</f>
        <v>0</v>
      </c>
      <c r="Y30" s="188">
        <f>'order transaksi cash'!AA17</f>
        <v>0</v>
      </c>
      <c r="Z30" s="126"/>
      <c r="AA30" s="126"/>
      <c r="AB30" s="126">
        <f>'order transaksi cash'!AG17</f>
        <v>2</v>
      </c>
      <c r="AC30" s="126">
        <f>'order transaksi cash'!AH17</f>
        <v>1</v>
      </c>
      <c r="AD30" s="126"/>
      <c r="AE30" s="126"/>
    </row>
    <row r="31" spans="1:31" x14ac:dyDescent="0.25">
      <c r="A31" s="179">
        <v>30</v>
      </c>
      <c r="B31" s="126"/>
      <c r="C31" s="126">
        <f>'order transaksi cash'!AD17</f>
        <v>24</v>
      </c>
      <c r="D31" s="126" t="str">
        <f>'rekening perkiraan'!E26</f>
        <v>1.2.5.24</v>
      </c>
      <c r="E31" s="126" t="str">
        <f>'rekening perkiraan'!B26</f>
        <v>piutang giro</v>
      </c>
      <c r="F31" s="126" t="str">
        <f>'rekening perkiraan'!D26</f>
        <v>piutang dagang</v>
      </c>
      <c r="G31" s="126">
        <f>'order transaksi cash'!H17</f>
        <v>4</v>
      </c>
      <c r="H31" s="126" t="str">
        <f>'order transaksi cash'!I17</f>
        <v>CIn</v>
      </c>
      <c r="I31" s="126" t="str">
        <f>'order transaksi cash'!C17</f>
        <v>.000006</v>
      </c>
      <c r="J31" s="127">
        <f>'order transaksi cash'!S17</f>
        <v>43262</v>
      </c>
      <c r="K31" s="128" t="str">
        <f>'order transaksi cash'!U17</f>
        <v>pencairan giro masuk</v>
      </c>
      <c r="L31" s="126">
        <f>'order transaksi cash'!N17</f>
        <v>1</v>
      </c>
      <c r="M31" s="126" t="str">
        <f>'order transaksi cash'!O17</f>
        <v>IDR</v>
      </c>
      <c r="N31" s="126">
        <f>'order transaksi cash'!P17</f>
        <v>1</v>
      </c>
      <c r="O31" s="129"/>
      <c r="P31" s="129">
        <f>'order transaksi cash'!AF17</f>
        <v>500000</v>
      </c>
      <c r="Q31" s="129"/>
      <c r="R31" s="129">
        <f t="shared" si="3"/>
        <v>500000</v>
      </c>
      <c r="S31" s="126">
        <v>1</v>
      </c>
      <c r="T31" s="126" t="str">
        <f>'order transaksi cash'!AB17</f>
        <v>4.12</v>
      </c>
      <c r="U31" s="126">
        <f>'order transaksi cash'!X17</f>
        <v>4</v>
      </c>
      <c r="V31" s="126"/>
      <c r="W31" s="126">
        <f>'order transaksi cash'!J17</f>
        <v>8</v>
      </c>
      <c r="X31" s="126">
        <f>'order transaksi cash'!Z17</f>
        <v>0</v>
      </c>
      <c r="Y31" s="188">
        <f>'order transaksi cash'!AA17</f>
        <v>0</v>
      </c>
      <c r="Z31" s="126"/>
      <c r="AA31" s="126"/>
      <c r="AB31" s="126">
        <f>'order transaksi cash'!AG17</f>
        <v>2</v>
      </c>
      <c r="AC31" s="126">
        <f>'order transaksi cash'!AH17</f>
        <v>1</v>
      </c>
      <c r="AD31" s="126"/>
      <c r="AE31" s="126"/>
    </row>
    <row r="32" spans="1:31" x14ac:dyDescent="0.25">
      <c r="A32" s="179">
        <v>31</v>
      </c>
      <c r="B32" s="126"/>
      <c r="C32" s="126">
        <f>'order transaksi cash'!D18</f>
        <v>25</v>
      </c>
      <c r="D32" s="126" t="str">
        <f>'rekening perkiraan'!E27</f>
        <v>15.16.17.25</v>
      </c>
      <c r="E32" s="126" t="str">
        <f>'rekening perkiraan'!B27</f>
        <v>hutang giro</v>
      </c>
      <c r="F32" s="126" t="str">
        <f>'rekening perkiraan'!D27</f>
        <v>hutang lancar</v>
      </c>
      <c r="G32" s="126">
        <f>'order transaksi cash'!H18</f>
        <v>5</v>
      </c>
      <c r="H32" s="126" t="str">
        <f>'order transaksi cash'!I18</f>
        <v>Cout</v>
      </c>
      <c r="I32" s="126" t="str">
        <f>'order transaksi cash'!C18</f>
        <v>.000005</v>
      </c>
      <c r="J32" s="127">
        <f>'order transaksi cash'!S18</f>
        <v>43263</v>
      </c>
      <c r="K32" s="128" t="str">
        <f>'order transaksi cash'!U18</f>
        <v>membayar pinjaman dgn giro</v>
      </c>
      <c r="L32" s="126">
        <f>'order transaksi cash'!N18</f>
        <v>1</v>
      </c>
      <c r="M32" s="126" t="str">
        <f>'order transaksi cash'!O18</f>
        <v>IDR</v>
      </c>
      <c r="N32" s="126">
        <f>'order transaksi cash'!P18</f>
        <v>1</v>
      </c>
      <c r="O32" s="129"/>
      <c r="P32" s="129">
        <f>'order transaksi cash'!F18</f>
        <v>500000</v>
      </c>
      <c r="Q32" s="129"/>
      <c r="R32" s="129">
        <f t="shared" si="3"/>
        <v>500000</v>
      </c>
      <c r="S32" s="126">
        <v>0</v>
      </c>
      <c r="T32" s="126" t="str">
        <f>'order transaksi cash'!B18</f>
        <v>5.14</v>
      </c>
      <c r="U32" s="126">
        <f>'order transaksi cash'!X18</f>
        <v>6</v>
      </c>
      <c r="V32" s="126"/>
      <c r="W32" s="126">
        <f>'order transaksi cash'!J18</f>
        <v>8</v>
      </c>
      <c r="X32" s="126">
        <f>'order transaksi cash'!Z18</f>
        <v>0</v>
      </c>
      <c r="Y32" s="188">
        <f>'order transaksi cash'!AA18</f>
        <v>0</v>
      </c>
      <c r="Z32" s="126"/>
      <c r="AA32" s="126"/>
      <c r="AB32" s="126">
        <f>'order transaksi cash'!AG18</f>
        <v>3</v>
      </c>
      <c r="AC32" s="126">
        <f>'order transaksi cash'!AH18</f>
        <v>1</v>
      </c>
      <c r="AD32" s="126"/>
      <c r="AE32" s="126"/>
    </row>
    <row r="33" spans="1:31" x14ac:dyDescent="0.25">
      <c r="A33" s="179">
        <v>32</v>
      </c>
      <c r="B33" s="126"/>
      <c r="C33" s="126">
        <f>'order transaksi cash'!AD18</f>
        <v>8</v>
      </c>
      <c r="D33" s="126" t="str">
        <f>'rekening perkiraan'!E9</f>
        <v>1.2.5.7</v>
      </c>
      <c r="E33" s="126" t="str">
        <f>'rekening perkiraan'!B9</f>
        <v>piutang usaha</v>
      </c>
      <c r="F33" s="126" t="str">
        <f>'rekening perkiraan'!D9</f>
        <v>piutang dagang</v>
      </c>
      <c r="G33" s="126">
        <f>'order transaksi cash'!H18</f>
        <v>5</v>
      </c>
      <c r="H33" s="126" t="str">
        <f>'order transaksi cash'!I18</f>
        <v>Cout</v>
      </c>
      <c r="I33" s="126" t="str">
        <f>'order transaksi cash'!C18</f>
        <v>.000005</v>
      </c>
      <c r="J33" s="127">
        <f>'order transaksi cash'!S18</f>
        <v>43263</v>
      </c>
      <c r="K33" s="128" t="str">
        <f>'order transaksi cash'!U18</f>
        <v>membayar pinjaman dgn giro</v>
      </c>
      <c r="L33" s="126">
        <f>'order transaksi cash'!N18</f>
        <v>1</v>
      </c>
      <c r="M33" s="126" t="str">
        <f>'order transaksi cash'!O18</f>
        <v>IDR</v>
      </c>
      <c r="N33" s="126">
        <f>'order transaksi cash'!P18</f>
        <v>1</v>
      </c>
      <c r="O33" s="129">
        <f>'order transaksi cash'!AE18</f>
        <v>500000</v>
      </c>
      <c r="P33" s="129"/>
      <c r="Q33" s="129">
        <f t="shared" si="2"/>
        <v>500000</v>
      </c>
      <c r="R33" s="129"/>
      <c r="S33" s="126">
        <v>0</v>
      </c>
      <c r="T33" s="126" t="str">
        <f>'order transaksi cash'!AB18</f>
        <v>4.12.14</v>
      </c>
      <c r="U33" s="126">
        <f>'order transaksi cash'!X18</f>
        <v>6</v>
      </c>
      <c r="V33" s="126"/>
      <c r="W33" s="126">
        <f>'order transaksi cash'!J18</f>
        <v>8</v>
      </c>
      <c r="X33" s="126">
        <f>'order transaksi cash'!Z18</f>
        <v>0</v>
      </c>
      <c r="Y33" s="188">
        <f>'order transaksi cash'!AA18</f>
        <v>0</v>
      </c>
      <c r="Z33" s="126"/>
      <c r="AA33" s="126"/>
      <c r="AB33" s="126">
        <f>'order transaksi cash'!AG18</f>
        <v>3</v>
      </c>
      <c r="AC33" s="126">
        <f>'order transaksi cash'!AH18</f>
        <v>1</v>
      </c>
      <c r="AD33" s="126"/>
      <c r="AE33" s="126"/>
    </row>
    <row r="34" spans="1:31" x14ac:dyDescent="0.25">
      <c r="A34" s="179">
        <v>33</v>
      </c>
      <c r="B34" s="126"/>
      <c r="C34" s="126">
        <f>'order transaksi cash'!D19</f>
        <v>6</v>
      </c>
      <c r="D34" s="126" t="str">
        <f>'rekening perkiraan'!E8</f>
        <v>1.2.4.6</v>
      </c>
      <c r="E34" s="126" t="str">
        <f>'rekening perkiraan'!B8</f>
        <v>bank</v>
      </c>
      <c r="F34" s="126" t="str">
        <f>'rekening perkiraan'!D8</f>
        <v>bank</v>
      </c>
      <c r="G34" s="126">
        <f>'order transaksi cash'!H19</f>
        <v>5</v>
      </c>
      <c r="H34" s="126" t="str">
        <f>'order transaksi cash'!I19</f>
        <v>Cout</v>
      </c>
      <c r="I34" s="126" t="str">
        <f>'order transaksi cash'!C19</f>
        <v>.000005</v>
      </c>
      <c r="J34" s="127">
        <f>'order transaksi cash'!S19</f>
        <v>43263</v>
      </c>
      <c r="K34" s="128" t="str">
        <f>'order transaksi cash'!U19</f>
        <v>pencairan giro keluar</v>
      </c>
      <c r="L34" s="126">
        <f>'order transaksi cash'!N19</f>
        <v>1</v>
      </c>
      <c r="M34" s="126" t="str">
        <f>'order transaksi cash'!O19</f>
        <v>IDR</v>
      </c>
      <c r="N34" s="126">
        <f>'order transaksi cash'!P19</f>
        <v>1</v>
      </c>
      <c r="O34" s="129"/>
      <c r="P34" s="129">
        <f>'order transaksi cash'!F19</f>
        <v>500000</v>
      </c>
      <c r="Q34" s="129"/>
      <c r="R34" s="129">
        <f t="shared" si="3"/>
        <v>500000</v>
      </c>
      <c r="S34" s="126">
        <v>1</v>
      </c>
      <c r="T34" s="126" t="str">
        <f>'order transaksi cash'!B19</f>
        <v>5.15</v>
      </c>
      <c r="U34" s="126">
        <f>'order transaksi cash'!X19</f>
        <v>6</v>
      </c>
      <c r="V34" s="126"/>
      <c r="W34" s="126">
        <f>'order transaksi cash'!J19</f>
        <v>8</v>
      </c>
      <c r="X34" s="126">
        <f>'order transaksi cash'!Z19</f>
        <v>0</v>
      </c>
      <c r="Y34" s="188">
        <f>'order transaksi cash'!AA19</f>
        <v>0</v>
      </c>
      <c r="Z34" s="126"/>
      <c r="AA34" s="126"/>
      <c r="AB34" s="126">
        <f>'order transaksi cash'!AG19</f>
        <v>1</v>
      </c>
      <c r="AC34" s="126">
        <f>'order transaksi cash'!AH19</f>
        <v>1</v>
      </c>
      <c r="AD34" s="126"/>
      <c r="AE34" s="126"/>
    </row>
    <row r="35" spans="1:31" x14ac:dyDescent="0.25">
      <c r="A35" s="179">
        <v>34</v>
      </c>
      <c r="B35" s="126"/>
      <c r="C35" s="126">
        <f>'order transaksi cash'!AD19</f>
        <v>25</v>
      </c>
      <c r="D35" s="126" t="str">
        <f>'rekening perkiraan'!E27</f>
        <v>15.16.17.25</v>
      </c>
      <c r="E35" s="126" t="str">
        <f>'rekening perkiraan'!B27</f>
        <v>hutang giro</v>
      </c>
      <c r="F35" s="126" t="str">
        <f>'rekening perkiraan'!D27</f>
        <v>hutang lancar</v>
      </c>
      <c r="G35" s="126">
        <f>'order transaksi cash'!H19</f>
        <v>5</v>
      </c>
      <c r="H35" s="126" t="str">
        <f>'order transaksi cash'!I19</f>
        <v>Cout</v>
      </c>
      <c r="I35" s="126" t="str">
        <f>'order transaksi cash'!C19</f>
        <v>.000005</v>
      </c>
      <c r="J35" s="127">
        <f>'order transaksi cash'!S19</f>
        <v>43263</v>
      </c>
      <c r="K35" s="128" t="str">
        <f>'order transaksi cash'!U19</f>
        <v>pencairan giro keluar</v>
      </c>
      <c r="L35" s="126">
        <f>'order transaksi cash'!N19</f>
        <v>1</v>
      </c>
      <c r="M35" s="126" t="str">
        <f>'order transaksi cash'!O19</f>
        <v>IDR</v>
      </c>
      <c r="N35" s="126">
        <f>'order transaksi cash'!P19</f>
        <v>1</v>
      </c>
      <c r="O35" s="129">
        <f>'order transaksi cash'!AE19</f>
        <v>500000</v>
      </c>
      <c r="P35" s="129"/>
      <c r="Q35" s="129">
        <f t="shared" si="2"/>
        <v>500000</v>
      </c>
      <c r="R35" s="129"/>
      <c r="S35" s="126">
        <v>1</v>
      </c>
      <c r="T35" s="126" t="str">
        <f>'order transaksi cash'!AB19</f>
        <v>5.14</v>
      </c>
      <c r="U35" s="126">
        <f>'order transaksi cash'!X19</f>
        <v>6</v>
      </c>
      <c r="V35" s="126"/>
      <c r="W35" s="126">
        <f>'order transaksi cash'!J19</f>
        <v>8</v>
      </c>
      <c r="X35" s="126">
        <f>'order transaksi cash'!Z19</f>
        <v>0</v>
      </c>
      <c r="Y35" s="188">
        <f>'order transaksi cash'!AA19</f>
        <v>0</v>
      </c>
      <c r="Z35" s="126"/>
      <c r="AA35" s="126"/>
      <c r="AB35" s="126">
        <f>'order transaksi cash'!AG19</f>
        <v>1</v>
      </c>
      <c r="AC35" s="126">
        <f>'order transaksi cash'!AH19</f>
        <v>1</v>
      </c>
      <c r="AD35" s="126"/>
      <c r="AE35" s="126"/>
    </row>
    <row r="36" spans="1:31" x14ac:dyDescent="0.25">
      <c r="A36" s="179">
        <v>35</v>
      </c>
      <c r="B36" s="17"/>
      <c r="C36" s="17">
        <f>'order transaksi cash'!D20</f>
        <v>6</v>
      </c>
      <c r="D36" s="17" t="str">
        <f>'rekening perkiraan'!E8</f>
        <v>1.2.4.6</v>
      </c>
      <c r="E36" s="17" t="str">
        <f>'rekening perkiraan'!B8</f>
        <v>bank</v>
      </c>
      <c r="F36" s="17" t="str">
        <f>'rekening perkiraan'!D8</f>
        <v>bank</v>
      </c>
      <c r="G36" s="17">
        <f>'order transaksi cash'!H20</f>
        <v>6</v>
      </c>
      <c r="H36" s="17" t="str">
        <f>'order transaksi cash'!I20</f>
        <v>TR</v>
      </c>
      <c r="I36" s="17" t="str">
        <f>'order transaksi cash'!C20</f>
        <v>.000001</v>
      </c>
      <c r="J36" s="61">
        <f>'order transaksi cash'!S20</f>
        <v>43264</v>
      </c>
      <c r="K36" s="84" t="str">
        <f>'order transaksi cash'!U20</f>
        <v>transfer bank ke kas</v>
      </c>
      <c r="L36" s="17">
        <f>'order transaksi cash'!N20</f>
        <v>1</v>
      </c>
      <c r="M36" s="17" t="str">
        <f>'order transaksi cash'!O20</f>
        <v>IDR</v>
      </c>
      <c r="N36" s="17">
        <f>'order transaksi cash'!P20</f>
        <v>1</v>
      </c>
      <c r="O36" s="83"/>
      <c r="P36" s="83">
        <f>'order transaksi cash'!F20</f>
        <v>150000</v>
      </c>
      <c r="Q36" s="83"/>
      <c r="R36" s="83">
        <f t="shared" si="3"/>
        <v>150000</v>
      </c>
      <c r="S36" s="17">
        <v>1</v>
      </c>
      <c r="T36" s="17" t="str">
        <f>'order transaksi cash'!B20</f>
        <v>6.16</v>
      </c>
      <c r="U36" s="17">
        <f>'order transaksi cash'!X20</f>
        <v>4</v>
      </c>
      <c r="V36" s="17"/>
      <c r="W36" s="17" t="str">
        <f>'order transaksi cash'!J20</f>
        <v>-</v>
      </c>
      <c r="X36" s="17">
        <f>'order transaksi cash'!Z20</f>
        <v>0</v>
      </c>
      <c r="Y36" s="131">
        <f>'order transaksi cash'!AA20</f>
        <v>0</v>
      </c>
      <c r="Z36" s="17"/>
      <c r="AA36" s="17"/>
      <c r="AB36" s="17">
        <f>'order transaksi cash'!AG20</f>
        <v>1</v>
      </c>
      <c r="AC36" s="17">
        <f>'order transaksi cash'!AH20</f>
        <v>1</v>
      </c>
      <c r="AD36" s="17"/>
      <c r="AE36" s="17"/>
    </row>
    <row r="37" spans="1:31" x14ac:dyDescent="0.25">
      <c r="A37" s="179">
        <v>36</v>
      </c>
      <c r="B37" s="17"/>
      <c r="C37" s="17">
        <f>'order transaksi cash'!AD20</f>
        <v>9</v>
      </c>
      <c r="D37" s="17" t="str">
        <f>'rekening perkiraan'!E11</f>
        <v>1.2.3.9</v>
      </c>
      <c r="E37" s="17" t="str">
        <f>'rekening perkiraan'!B11</f>
        <v>kas</v>
      </c>
      <c r="F37" s="17" t="str">
        <f>'rekening perkiraan'!D11</f>
        <v>kas</v>
      </c>
      <c r="G37" s="17">
        <f>'order transaksi cash'!H20</f>
        <v>6</v>
      </c>
      <c r="H37" s="17" t="str">
        <f>'order transaksi cash'!I20</f>
        <v>TR</v>
      </c>
      <c r="I37" s="17" t="str">
        <f>'order transaksi cash'!C20</f>
        <v>.000001</v>
      </c>
      <c r="J37" s="61">
        <f>'order transaksi cash'!S20</f>
        <v>43264</v>
      </c>
      <c r="K37" s="84" t="str">
        <f>'order transaksi cash'!U20</f>
        <v>transfer bank ke kas</v>
      </c>
      <c r="L37" s="17">
        <f>'order transaksi cash'!N20</f>
        <v>1</v>
      </c>
      <c r="M37" s="17" t="str">
        <f>'order transaksi cash'!O20</f>
        <v>IDR</v>
      </c>
      <c r="N37" s="17">
        <f>'order transaksi cash'!P20</f>
        <v>1</v>
      </c>
      <c r="O37" s="83">
        <f>'order transaksi cash'!AE20</f>
        <v>150000</v>
      </c>
      <c r="P37" s="83"/>
      <c r="Q37" s="83">
        <f t="shared" si="2"/>
        <v>150000</v>
      </c>
      <c r="R37" s="83"/>
      <c r="S37" s="17">
        <v>1</v>
      </c>
      <c r="T37" s="17" t="str">
        <f>'order transaksi cash'!AB20</f>
        <v>6.16.18</v>
      </c>
      <c r="U37" s="17">
        <f>'order transaksi cash'!X20</f>
        <v>4</v>
      </c>
      <c r="V37" s="17"/>
      <c r="W37" s="17" t="str">
        <f>'order transaksi cash'!J20</f>
        <v>-</v>
      </c>
      <c r="X37" s="17">
        <f>'order transaksi cash'!Z20</f>
        <v>0</v>
      </c>
      <c r="Y37" s="131">
        <f>'order transaksi cash'!AA20</f>
        <v>0</v>
      </c>
      <c r="Z37" s="17"/>
      <c r="AA37" s="17"/>
      <c r="AB37" s="17">
        <f>'order transaksi cash'!AG20</f>
        <v>1</v>
      </c>
      <c r="AC37" s="17">
        <f>'order transaksi cash'!AH20</f>
        <v>1</v>
      </c>
      <c r="AD37" s="17"/>
      <c r="AE37" s="17"/>
    </row>
    <row r="38" spans="1:31" x14ac:dyDescent="0.25">
      <c r="A38" s="179">
        <v>37</v>
      </c>
      <c r="B38" s="141" t="str">
        <f>Invoice!C3</f>
        <v>7.1</v>
      </c>
      <c r="C38" s="141">
        <f>Invoice!AL3</f>
        <v>1</v>
      </c>
      <c r="D38" s="141" t="str">
        <f>'rekening perkiraan'!E3</f>
        <v>10.11.12.1</v>
      </c>
      <c r="E38" s="141" t="str">
        <f>'rekening perkiraan'!B3</f>
        <v>biaya 1</v>
      </c>
      <c r="F38" s="141" t="str">
        <f>'rekening perkiraan'!D3</f>
        <v>biaya produksi</v>
      </c>
      <c r="G38" s="141">
        <f>Invoice!B3</f>
        <v>7</v>
      </c>
      <c r="H38" s="141" t="str">
        <f>Invoice!D3</f>
        <v>SJ</v>
      </c>
      <c r="I38" s="141" t="str">
        <f>Invoice!E3</f>
        <v>.000001</v>
      </c>
      <c r="J38" s="142">
        <f>Invoice!R3</f>
        <v>43259</v>
      </c>
      <c r="K38" s="143" t="str">
        <f>CONCATENATE(Invoice!W3,", ",Invoice!G3,", ",Invoice!V3)</f>
        <v>jual casing, yuli hendarto, komplek timah</v>
      </c>
      <c r="L38" s="141">
        <f>Invoice!O3</f>
        <v>1</v>
      </c>
      <c r="M38" s="141" t="str">
        <f>'data mata uang'!D3</f>
        <v>IDR</v>
      </c>
      <c r="N38" s="141">
        <f>'data mata uang'!G3</f>
        <v>1</v>
      </c>
      <c r="O38" s="144">
        <f>Invoice!AM3</f>
        <v>50000</v>
      </c>
      <c r="P38" s="144"/>
      <c r="Q38" s="144">
        <f>N38*O38</f>
        <v>50000</v>
      </c>
      <c r="R38" s="144"/>
      <c r="S38" s="141">
        <v>1</v>
      </c>
      <c r="T38" s="141" t="str">
        <f>Invoice!N3</f>
        <v>7.1</v>
      </c>
      <c r="U38" s="141">
        <f>Invoice!AB3</f>
        <v>6</v>
      </c>
      <c r="V38" s="141">
        <f>Invoice!U3</f>
        <v>2</v>
      </c>
      <c r="W38" s="141">
        <f>Invoice!F3</f>
        <v>2</v>
      </c>
      <c r="X38" s="141">
        <f>Invoice!X3</f>
        <v>0</v>
      </c>
      <c r="Y38" s="189">
        <f>Invoice!Y3</f>
        <v>0</v>
      </c>
      <c r="Z38" s="141"/>
      <c r="AA38" s="141"/>
      <c r="AB38" s="141">
        <f>Invoice!BZ3</f>
        <v>3</v>
      </c>
      <c r="AC38" s="141">
        <f>Invoice!CA3</f>
        <v>1</v>
      </c>
      <c r="AD38" s="141"/>
      <c r="AE38" s="141"/>
    </row>
    <row r="39" spans="1:31" x14ac:dyDescent="0.25">
      <c r="A39" s="179">
        <v>38</v>
      </c>
      <c r="B39" s="141" t="str">
        <f>Invoice!C3</f>
        <v>7.1</v>
      </c>
      <c r="C39" s="141">
        <f>Invoice!AO3</f>
        <v>2</v>
      </c>
      <c r="D39" s="141" t="str">
        <f>'rekening perkiraan'!E4</f>
        <v>7.8.9.2</v>
      </c>
      <c r="E39" s="141" t="str">
        <f>'rekening perkiraan'!B4</f>
        <v>penjualan produk 1</v>
      </c>
      <c r="F39" s="141" t="str">
        <f>'rekening perkiraan'!D4</f>
        <v xml:space="preserve">pendapatan usaha </v>
      </c>
      <c r="G39" s="141">
        <f>Invoice!B3</f>
        <v>7</v>
      </c>
      <c r="H39" s="141" t="str">
        <f>Invoice!D3</f>
        <v>SJ</v>
      </c>
      <c r="I39" s="141" t="str">
        <f>Invoice!E3</f>
        <v>.000001</v>
      </c>
      <c r="J39" s="142">
        <f>Invoice!R3</f>
        <v>43259</v>
      </c>
      <c r="K39" s="143" t="str">
        <f>CONCATENATE(Invoice!W3,", ",Invoice!G3,", ",Invoice!V3)</f>
        <v>jual casing, yuli hendarto, komplek timah</v>
      </c>
      <c r="L39" s="141">
        <f>Invoice!O3</f>
        <v>1</v>
      </c>
      <c r="M39" s="141" t="str">
        <f>'data mata uang'!D3</f>
        <v>IDR</v>
      </c>
      <c r="N39" s="141">
        <f>'data mata uang'!G3</f>
        <v>1</v>
      </c>
      <c r="O39" s="144"/>
      <c r="P39" s="144">
        <f>Invoice!AQ3</f>
        <v>500000</v>
      </c>
      <c r="Q39" s="144"/>
      <c r="R39" s="144">
        <f>N39*P39</f>
        <v>500000</v>
      </c>
      <c r="S39" s="141">
        <v>1</v>
      </c>
      <c r="T39" s="141" t="str">
        <f>Invoice!N3</f>
        <v>7.1</v>
      </c>
      <c r="U39" s="141">
        <f>Invoice!AB3</f>
        <v>6</v>
      </c>
      <c r="V39" s="141">
        <f>Invoice!U3</f>
        <v>2</v>
      </c>
      <c r="W39" s="141">
        <f>Invoice!F3</f>
        <v>2</v>
      </c>
      <c r="X39" s="141">
        <f>Invoice!X3</f>
        <v>0</v>
      </c>
      <c r="Y39" s="189">
        <f>Invoice!Y3</f>
        <v>0</v>
      </c>
      <c r="Z39" s="141"/>
      <c r="AA39" s="141"/>
      <c r="AB39" s="141">
        <f>Invoice!BZ3</f>
        <v>3</v>
      </c>
      <c r="AC39" s="141">
        <f>Invoice!CA3</f>
        <v>1</v>
      </c>
      <c r="AD39" s="141"/>
      <c r="AE39" s="141"/>
    </row>
    <row r="40" spans="1:31" x14ac:dyDescent="0.25">
      <c r="A40" s="179">
        <v>39</v>
      </c>
      <c r="B40" s="141" t="str">
        <f>Invoice!C3</f>
        <v>7.1</v>
      </c>
      <c r="C40" s="141">
        <f>Invoice!AR3</f>
        <v>3</v>
      </c>
      <c r="D40" s="141" t="str">
        <f>'rekening perkiraan'!E5</f>
        <v>1.13.14.3</v>
      </c>
      <c r="E40" s="141" t="str">
        <f>'rekening perkiraan'!B5</f>
        <v>persediaan 1</v>
      </c>
      <c r="F40" s="141" t="str">
        <f>'rekening perkiraan'!D5</f>
        <v>persediaan</v>
      </c>
      <c r="G40" s="141">
        <f>Invoice!B3</f>
        <v>7</v>
      </c>
      <c r="H40" s="141" t="str">
        <f>Invoice!D3</f>
        <v>SJ</v>
      </c>
      <c r="I40" s="141" t="str">
        <f>Invoice!E3</f>
        <v>.000001</v>
      </c>
      <c r="J40" s="142">
        <f>Invoice!R3</f>
        <v>43259</v>
      </c>
      <c r="K40" s="143" t="str">
        <f>CONCATENATE(Invoice!W3,", ",Invoice!G3,", ",Invoice!V3)</f>
        <v>jual casing, yuli hendarto, komplek timah</v>
      </c>
      <c r="L40" s="141">
        <f>Invoice!O3</f>
        <v>1</v>
      </c>
      <c r="M40" s="141" t="str">
        <f>'data mata uang'!D3</f>
        <v>IDR</v>
      </c>
      <c r="N40" s="141">
        <f>'data mata uang'!G3</f>
        <v>1</v>
      </c>
      <c r="O40" s="144"/>
      <c r="P40" s="144">
        <f>Invoice!AT3</f>
        <v>50000</v>
      </c>
      <c r="Q40" s="144"/>
      <c r="R40" s="144">
        <f>N40*P40</f>
        <v>50000</v>
      </c>
      <c r="S40" s="141">
        <v>1</v>
      </c>
      <c r="T40" s="141" t="str">
        <f>Invoice!N3</f>
        <v>7.1</v>
      </c>
      <c r="U40" s="141">
        <f>Invoice!AB3</f>
        <v>6</v>
      </c>
      <c r="V40" s="141">
        <f>Invoice!U3</f>
        <v>2</v>
      </c>
      <c r="W40" s="141">
        <f>Invoice!F3</f>
        <v>2</v>
      </c>
      <c r="X40" s="141">
        <f>Invoice!X3</f>
        <v>0</v>
      </c>
      <c r="Y40" s="189">
        <f>Invoice!Y3</f>
        <v>0</v>
      </c>
      <c r="Z40" s="141"/>
      <c r="AA40" s="141"/>
      <c r="AB40" s="141">
        <f>Invoice!BZ3</f>
        <v>3</v>
      </c>
      <c r="AC40" s="141">
        <f>Invoice!CA3</f>
        <v>1</v>
      </c>
      <c r="AD40" s="141"/>
      <c r="AE40" s="141"/>
    </row>
    <row r="41" spans="1:31" x14ac:dyDescent="0.25">
      <c r="A41" s="179">
        <v>40</v>
      </c>
      <c r="B41" s="141" t="str">
        <f>Invoice!C3</f>
        <v>7.1</v>
      </c>
      <c r="C41" s="141">
        <f>Invoice!BD3</f>
        <v>18</v>
      </c>
      <c r="D41" s="141" t="str">
        <f>'rekening perkiraan'!E20</f>
        <v>1.18.19.18</v>
      </c>
      <c r="E41" s="141" t="str">
        <f>'rekening perkiraan'!B20</f>
        <v>pajak dibayar dimuka</v>
      </c>
      <c r="F41" s="141" t="str">
        <f>'rekening perkiraan'!D20</f>
        <v>biaya dibayar dimuka</v>
      </c>
      <c r="G41" s="141">
        <f>Invoice!B3</f>
        <v>7</v>
      </c>
      <c r="H41" s="141" t="str">
        <f>Invoice!D3</f>
        <v>SJ</v>
      </c>
      <c r="I41" s="141" t="str">
        <f>Invoice!E3</f>
        <v>.000001</v>
      </c>
      <c r="J41" s="142">
        <f>Invoice!R3</f>
        <v>43259</v>
      </c>
      <c r="K41" s="143" t="str">
        <f>CONCATENATE(Invoice!W3,", ",Invoice!G3,", ",Invoice!V3)</f>
        <v>jual casing, yuli hendarto, komplek timah</v>
      </c>
      <c r="L41" s="141">
        <f>Invoice!O3</f>
        <v>1</v>
      </c>
      <c r="M41" s="141" t="str">
        <f>'data mata uang'!D3</f>
        <v>IDR</v>
      </c>
      <c r="N41" s="141">
        <f>'data mata uang'!G3</f>
        <v>1</v>
      </c>
      <c r="O41" s="144"/>
      <c r="P41" s="144">
        <f>Invoice!BF3</f>
        <v>50000</v>
      </c>
      <c r="Q41" s="144"/>
      <c r="R41" s="144">
        <f>N41*P41</f>
        <v>50000</v>
      </c>
      <c r="S41" s="141">
        <v>1</v>
      </c>
      <c r="T41" s="141" t="str">
        <f>Invoice!N3</f>
        <v>7.1</v>
      </c>
      <c r="U41" s="141">
        <f>Invoice!AB3</f>
        <v>6</v>
      </c>
      <c r="V41" s="141">
        <f>Invoice!U3</f>
        <v>2</v>
      </c>
      <c r="W41" s="141">
        <f>Invoice!F3</f>
        <v>2</v>
      </c>
      <c r="X41" s="141">
        <f>Invoice!X3</f>
        <v>0</v>
      </c>
      <c r="Y41" s="189">
        <f>Invoice!Y3</f>
        <v>0</v>
      </c>
      <c r="Z41" s="141"/>
      <c r="AA41" s="141"/>
      <c r="AB41" s="141">
        <f>Invoice!BZ3</f>
        <v>3</v>
      </c>
      <c r="AC41" s="141">
        <f>Invoice!CA3</f>
        <v>1</v>
      </c>
      <c r="AD41" s="141"/>
      <c r="AE41" s="141"/>
    </row>
    <row r="42" spans="1:31" x14ac:dyDescent="0.25">
      <c r="A42" s="179">
        <v>41</v>
      </c>
      <c r="B42" s="141" t="str">
        <f>Invoice!C3</f>
        <v>7.1</v>
      </c>
      <c r="C42" s="141">
        <f>Invoice!BJ3</f>
        <v>9</v>
      </c>
      <c r="D42" s="141" t="str">
        <f>'rekening perkiraan'!E11</f>
        <v>1.2.3.9</v>
      </c>
      <c r="E42" s="141" t="str">
        <f>'rekening perkiraan'!B11</f>
        <v>kas</v>
      </c>
      <c r="F42" s="141" t="str">
        <f>'rekening perkiraan'!D11</f>
        <v>kas</v>
      </c>
      <c r="G42" s="141">
        <f>Invoice!B3</f>
        <v>7</v>
      </c>
      <c r="H42" s="141" t="str">
        <f>Invoice!D3</f>
        <v>SJ</v>
      </c>
      <c r="I42" s="141" t="str">
        <f>Invoice!E3</f>
        <v>.000001</v>
      </c>
      <c r="J42" s="142">
        <f>Invoice!R3</f>
        <v>43259</v>
      </c>
      <c r="K42" s="143" t="str">
        <f>CONCATENATE(Invoice!W3,", ",Invoice!G3,", ",Invoice!V3)</f>
        <v>jual casing, yuli hendarto, komplek timah</v>
      </c>
      <c r="L42" s="141">
        <f>Invoice!O3</f>
        <v>1</v>
      </c>
      <c r="M42" s="141" t="str">
        <f>'data mata uang'!D3</f>
        <v>IDR</v>
      </c>
      <c r="N42" s="141">
        <f>'data mata uang'!G3</f>
        <v>1</v>
      </c>
      <c r="O42" s="144">
        <f>Invoice!BK3</f>
        <v>550000</v>
      </c>
      <c r="P42" s="144"/>
      <c r="Q42" s="144">
        <f>N42*O42</f>
        <v>550000</v>
      </c>
      <c r="R42" s="144"/>
      <c r="S42" s="141">
        <v>1</v>
      </c>
      <c r="T42" s="141" t="str">
        <f>Invoice!N3</f>
        <v>7.1</v>
      </c>
      <c r="U42" s="141">
        <f>Invoice!AB3</f>
        <v>6</v>
      </c>
      <c r="V42" s="141">
        <f>Invoice!U3</f>
        <v>2</v>
      </c>
      <c r="W42" s="141">
        <f>Invoice!F3</f>
        <v>2</v>
      </c>
      <c r="X42" s="141">
        <f>Invoice!X3</f>
        <v>0</v>
      </c>
      <c r="Y42" s="189">
        <f>Invoice!Y3</f>
        <v>0</v>
      </c>
      <c r="Z42" s="141"/>
      <c r="AA42" s="141"/>
      <c r="AB42" s="141">
        <f>Invoice!BZ3</f>
        <v>3</v>
      </c>
      <c r="AC42" s="141">
        <f>Invoice!CA3</f>
        <v>1</v>
      </c>
      <c r="AD42" s="141"/>
      <c r="AE42" s="141"/>
    </row>
    <row r="43" spans="1:31" x14ac:dyDescent="0.25">
      <c r="A43" s="179">
        <v>42</v>
      </c>
      <c r="B43" s="156"/>
      <c r="C43" s="156">
        <f>'order transaksi cash'!D22</f>
        <v>6</v>
      </c>
      <c r="D43" s="156" t="str">
        <f>'rekening perkiraan'!E8</f>
        <v>1.2.4.6</v>
      </c>
      <c r="E43" s="156" t="str">
        <f>'rekening perkiraan'!B8</f>
        <v>bank</v>
      </c>
      <c r="F43" s="156" t="str">
        <f>'rekening perkiraan'!D8</f>
        <v>bank</v>
      </c>
      <c r="G43" s="156">
        <f>'order transaksi cash'!H22</f>
        <v>3</v>
      </c>
      <c r="H43" s="156" t="str">
        <f>'order transaksi cash'!I22</f>
        <v>CR</v>
      </c>
      <c r="I43" s="156" t="str">
        <f>'order transaksi cash'!C22</f>
        <v>.000001</v>
      </c>
      <c r="J43" s="157">
        <f>'order transaksi cash'!S22</f>
        <v>43259</v>
      </c>
      <c r="K43" s="158" t="str">
        <f>'order transaksi cash'!U22</f>
        <v>pembayaran SJ.000001</v>
      </c>
      <c r="L43" s="156">
        <f>'order transaksi cash'!N22</f>
        <v>1</v>
      </c>
      <c r="M43" s="156" t="str">
        <f>'order transaksi cash'!O22</f>
        <v>IDR</v>
      </c>
      <c r="N43" s="156">
        <f>'order transaksi cash'!P22</f>
        <v>1</v>
      </c>
      <c r="O43" s="159">
        <f>'order transaksi cash'!E22</f>
        <v>99000000</v>
      </c>
      <c r="P43" s="159"/>
      <c r="Q43" s="159">
        <f t="shared" ref="Q43" si="4">N43*O43</f>
        <v>99000000</v>
      </c>
      <c r="R43" s="159"/>
      <c r="S43" s="156">
        <v>1</v>
      </c>
      <c r="T43" s="156" t="str">
        <f>'order transaksi cash'!AB22</f>
        <v>7.2</v>
      </c>
      <c r="U43" s="156">
        <f>'order transaksi cash'!X22</f>
        <v>6</v>
      </c>
      <c r="V43" s="156" t="s">
        <v>667</v>
      </c>
      <c r="W43" s="156">
        <f>'order transaksi cash'!J22</f>
        <v>1</v>
      </c>
      <c r="X43" s="156">
        <f>'order transaksi cash'!Z22</f>
        <v>0</v>
      </c>
      <c r="Y43" s="190">
        <f>'order transaksi cash'!AA22</f>
        <v>0</v>
      </c>
      <c r="Z43" s="156"/>
      <c r="AA43" s="156"/>
      <c r="AB43" s="156">
        <f>'order transaksi cash'!AG22</f>
        <v>3</v>
      </c>
      <c r="AC43" s="156">
        <f>'order transaksi cash'!AH22</f>
        <v>1</v>
      </c>
      <c r="AD43" s="156"/>
      <c r="AE43" s="156"/>
    </row>
    <row r="44" spans="1:31" x14ac:dyDescent="0.25">
      <c r="A44" s="179">
        <v>43</v>
      </c>
      <c r="B44" s="156"/>
      <c r="C44" s="156">
        <f>'order transaksi cash'!AD22</f>
        <v>7</v>
      </c>
      <c r="D44" s="156" t="str">
        <f>'rekening perkiraan'!E9</f>
        <v>1.2.5.7</v>
      </c>
      <c r="E44" s="156" t="str">
        <f>'rekening perkiraan'!B9</f>
        <v>piutang usaha</v>
      </c>
      <c r="F44" s="156" t="str">
        <f>'rekening perkiraan'!D9</f>
        <v>piutang dagang</v>
      </c>
      <c r="G44" s="156">
        <f>'order transaksi cash'!H22</f>
        <v>3</v>
      </c>
      <c r="H44" s="156" t="str">
        <f>'order transaksi cash'!I22</f>
        <v>CR</v>
      </c>
      <c r="I44" s="156" t="str">
        <f>'order transaksi cash'!C22</f>
        <v>.000001</v>
      </c>
      <c r="J44" s="157">
        <f>'order transaksi cash'!S22</f>
        <v>43259</v>
      </c>
      <c r="K44" s="158" t="str">
        <f>'order transaksi cash'!U22</f>
        <v>pembayaran SJ.000001</v>
      </c>
      <c r="L44" s="156">
        <f>'order transaksi cash'!N22</f>
        <v>1</v>
      </c>
      <c r="M44" s="156" t="str">
        <f>'order transaksi cash'!O22</f>
        <v>IDR</v>
      </c>
      <c r="N44" s="156">
        <f>'order transaksi cash'!P22</f>
        <v>1</v>
      </c>
      <c r="O44" s="156"/>
      <c r="P44" s="159">
        <f>'order transaksi cash'!AF22</f>
        <v>99000000</v>
      </c>
      <c r="Q44" s="159"/>
      <c r="R44" s="159">
        <f t="shared" ref="R44" si="5">N44*P44</f>
        <v>99000000</v>
      </c>
      <c r="S44" s="156">
        <v>1</v>
      </c>
      <c r="T44" s="156" t="str">
        <f>'order transaksi cash'!AB22</f>
        <v>7.2</v>
      </c>
      <c r="U44" s="156">
        <f>'order transaksi cash'!X22</f>
        <v>6</v>
      </c>
      <c r="V44" s="156" t="s">
        <v>667</v>
      </c>
      <c r="W44" s="156">
        <f>'order transaksi cash'!J22</f>
        <v>1</v>
      </c>
      <c r="X44" s="156">
        <f>'order transaksi cash'!Z22</f>
        <v>0</v>
      </c>
      <c r="Y44" s="190">
        <f>'order transaksi cash'!AA22</f>
        <v>0</v>
      </c>
      <c r="Z44" s="156"/>
      <c r="AA44" s="156"/>
      <c r="AB44" s="156">
        <f>'order transaksi cash'!AG22</f>
        <v>3</v>
      </c>
      <c r="AC44" s="156">
        <f>'order transaksi cash'!AH22</f>
        <v>1</v>
      </c>
      <c r="AD44" s="156"/>
      <c r="AE44" s="156"/>
    </row>
    <row r="45" spans="1:31" x14ac:dyDescent="0.25">
      <c r="A45" s="179">
        <v>44</v>
      </c>
      <c r="B45" s="141" t="str">
        <f>Invoice!C4</f>
        <v>7.2</v>
      </c>
      <c r="C45" s="141">
        <f>Invoice!AL4</f>
        <v>1</v>
      </c>
      <c r="D45" s="141" t="str">
        <f>'rekening perkiraan'!E3</f>
        <v>10.11.12.1</v>
      </c>
      <c r="E45" s="141" t="str">
        <f>'rekening perkiraan'!B3</f>
        <v>biaya 1</v>
      </c>
      <c r="F45" s="141" t="str">
        <f>'rekening perkiraan'!D3</f>
        <v>biaya produksi</v>
      </c>
      <c r="G45" s="141">
        <f>Invoice!B4</f>
        <v>7</v>
      </c>
      <c r="H45" s="141" t="str">
        <f>Invoice!D4</f>
        <v>SJ</v>
      </c>
      <c r="I45" s="141" t="str">
        <f>Invoice!E4</f>
        <v>.000002</v>
      </c>
      <c r="J45" s="142">
        <f>Invoice!R4</f>
        <v>43258</v>
      </c>
      <c r="K45" s="143" t="str">
        <f>CONCATENATE(Invoice!W4,", ",Invoice!G4,", ",Invoice!V4)</f>
        <v>jual iPhone, dimas dhaniarso, cempaka putih</v>
      </c>
      <c r="L45" s="141">
        <f>Invoice!O4</f>
        <v>1</v>
      </c>
      <c r="M45" s="141" t="str">
        <f>'data mata uang'!D3</f>
        <v>IDR</v>
      </c>
      <c r="N45" s="141">
        <f>'data mata uang'!G3</f>
        <v>1</v>
      </c>
      <c r="O45" s="144">
        <f>Invoice!AM4</f>
        <v>62500000</v>
      </c>
      <c r="P45" s="144"/>
      <c r="Q45" s="144">
        <f>N45*O45</f>
        <v>62500000</v>
      </c>
      <c r="R45" s="144"/>
      <c r="S45" s="141">
        <v>0</v>
      </c>
      <c r="T45" s="141" t="str">
        <f>Invoice!N4</f>
        <v>7.2</v>
      </c>
      <c r="U45" s="141">
        <f>Invoice!AB4</f>
        <v>5</v>
      </c>
      <c r="V45" s="141">
        <f>Invoice!U4</f>
        <v>1</v>
      </c>
      <c r="W45" s="141">
        <f>Invoice!F4</f>
        <v>1</v>
      </c>
      <c r="X45" s="141">
        <f>Invoice!X4</f>
        <v>0</v>
      </c>
      <c r="Y45" s="189">
        <f>Invoice!Y4</f>
        <v>0</v>
      </c>
      <c r="Z45" s="141"/>
      <c r="AA45" s="141"/>
      <c r="AB45" s="141">
        <f>Invoice!BZ4</f>
        <v>2</v>
      </c>
      <c r="AC45" s="141">
        <f>Invoice!CA4</f>
        <v>1</v>
      </c>
      <c r="AD45" s="141"/>
      <c r="AE45" s="141"/>
    </row>
    <row r="46" spans="1:31" x14ac:dyDescent="0.25">
      <c r="A46" s="179">
        <v>45</v>
      </c>
      <c r="B46" s="141" t="str">
        <f>Invoice!C4</f>
        <v>7.2</v>
      </c>
      <c r="C46" s="141">
        <f>Invoice!AO4</f>
        <v>2</v>
      </c>
      <c r="D46" s="141" t="str">
        <f>'rekening perkiraan'!E4</f>
        <v>7.8.9.2</v>
      </c>
      <c r="E46" s="141" t="str">
        <f>'rekening perkiraan'!B4</f>
        <v>penjualan produk 1</v>
      </c>
      <c r="F46" s="141" t="str">
        <f>'rekening perkiraan'!D4</f>
        <v xml:space="preserve">pendapatan usaha </v>
      </c>
      <c r="G46" s="141">
        <f>Invoice!B4</f>
        <v>7</v>
      </c>
      <c r="H46" s="141" t="str">
        <f>Invoice!D4</f>
        <v>SJ</v>
      </c>
      <c r="I46" s="141" t="str">
        <f>Invoice!E4</f>
        <v>.000002</v>
      </c>
      <c r="J46" s="142">
        <f>Invoice!R4</f>
        <v>43258</v>
      </c>
      <c r="K46" s="143" t="str">
        <f>CONCATENATE(Invoice!W4,", ",Invoice!G4,", ",Invoice!V4)</f>
        <v>jual iPhone, dimas dhaniarso, cempaka putih</v>
      </c>
      <c r="L46" s="141">
        <f>Invoice!O4</f>
        <v>1</v>
      </c>
      <c r="M46" s="141" t="str">
        <f>'data mata uang'!D3</f>
        <v>IDR</v>
      </c>
      <c r="N46" s="141">
        <f>'data mata uang'!G3</f>
        <v>1</v>
      </c>
      <c r="O46" s="144"/>
      <c r="P46" s="144">
        <f>Invoice!AQ4</f>
        <v>90000000</v>
      </c>
      <c r="Q46" s="144"/>
      <c r="R46" s="144">
        <f>N46*P46</f>
        <v>90000000</v>
      </c>
      <c r="S46" s="141">
        <v>0</v>
      </c>
      <c r="T46" s="141" t="str">
        <f>Invoice!N4</f>
        <v>7.2</v>
      </c>
      <c r="U46" s="141">
        <f>Invoice!AB4</f>
        <v>5</v>
      </c>
      <c r="V46" s="141">
        <f>Invoice!U4</f>
        <v>1</v>
      </c>
      <c r="W46" s="141">
        <f>Invoice!F4</f>
        <v>1</v>
      </c>
      <c r="X46" s="141">
        <f>Invoice!X4</f>
        <v>0</v>
      </c>
      <c r="Y46" s="189">
        <f>Invoice!Y4</f>
        <v>0</v>
      </c>
      <c r="Z46" s="141"/>
      <c r="AA46" s="141"/>
      <c r="AB46" s="141">
        <f>Invoice!BZ4</f>
        <v>2</v>
      </c>
      <c r="AC46" s="141">
        <f>Invoice!CA4</f>
        <v>1</v>
      </c>
      <c r="AD46" s="141"/>
      <c r="AE46" s="141"/>
    </row>
    <row r="47" spans="1:31" x14ac:dyDescent="0.25">
      <c r="A47" s="179">
        <v>46</v>
      </c>
      <c r="B47" s="141" t="str">
        <f>Invoice!C4</f>
        <v>7.2</v>
      </c>
      <c r="C47" s="141">
        <f>Invoice!AR4</f>
        <v>3</v>
      </c>
      <c r="D47" s="141" t="str">
        <f>'rekening perkiraan'!E5</f>
        <v>1.13.14.3</v>
      </c>
      <c r="E47" s="141" t="str">
        <f>'rekening perkiraan'!B5</f>
        <v>persediaan 1</v>
      </c>
      <c r="F47" s="141" t="str">
        <f>'rekening perkiraan'!D5</f>
        <v>persediaan</v>
      </c>
      <c r="G47" s="141">
        <f>Invoice!B4</f>
        <v>7</v>
      </c>
      <c r="H47" s="141" t="str">
        <f>Invoice!D4</f>
        <v>SJ</v>
      </c>
      <c r="I47" s="141" t="str">
        <f>Invoice!E4</f>
        <v>.000002</v>
      </c>
      <c r="J47" s="142">
        <f>Invoice!R4</f>
        <v>43258</v>
      </c>
      <c r="K47" s="143" t="str">
        <f>CONCATENATE(Invoice!W4,", ",Invoice!G4,", ",Invoice!V4)</f>
        <v>jual iPhone, dimas dhaniarso, cempaka putih</v>
      </c>
      <c r="L47" s="141">
        <f>Invoice!O4</f>
        <v>1</v>
      </c>
      <c r="M47" s="141" t="str">
        <f>'data mata uang'!D3</f>
        <v>IDR</v>
      </c>
      <c r="N47" s="141">
        <f>'data mata uang'!G3</f>
        <v>1</v>
      </c>
      <c r="O47" s="144"/>
      <c r="P47" s="144">
        <f>Invoice!AT4</f>
        <v>62500000</v>
      </c>
      <c r="Q47" s="144"/>
      <c r="R47" s="144">
        <f>N47*P47</f>
        <v>62500000</v>
      </c>
      <c r="S47" s="141">
        <v>0</v>
      </c>
      <c r="T47" s="141" t="str">
        <f>Invoice!N4</f>
        <v>7.2</v>
      </c>
      <c r="U47" s="141">
        <f>Invoice!AB4</f>
        <v>5</v>
      </c>
      <c r="V47" s="141">
        <f>Invoice!U4</f>
        <v>1</v>
      </c>
      <c r="W47" s="141">
        <f>Invoice!F4</f>
        <v>1</v>
      </c>
      <c r="X47" s="141">
        <f>Invoice!X4</f>
        <v>0</v>
      </c>
      <c r="Y47" s="189">
        <f>Invoice!Y4</f>
        <v>0</v>
      </c>
      <c r="Z47" s="141"/>
      <c r="AA47" s="141"/>
      <c r="AB47" s="141">
        <f>Invoice!BZ4</f>
        <v>2</v>
      </c>
      <c r="AC47" s="141">
        <f>Invoice!CA4</f>
        <v>1</v>
      </c>
      <c r="AD47" s="141"/>
      <c r="AE47" s="141"/>
    </row>
    <row r="48" spans="1:31" x14ac:dyDescent="0.25">
      <c r="A48" s="179">
        <v>47</v>
      </c>
      <c r="B48" s="141" t="str">
        <f>Invoice!C4</f>
        <v>7.2</v>
      </c>
      <c r="C48" s="141">
        <f>Invoice!BD4</f>
        <v>18</v>
      </c>
      <c r="D48" s="141" t="str">
        <f>'rekening perkiraan'!E20</f>
        <v>1.18.19.18</v>
      </c>
      <c r="E48" s="141" t="str">
        <f>'rekening perkiraan'!B20</f>
        <v>pajak dibayar dimuka</v>
      </c>
      <c r="F48" s="141" t="str">
        <f>'rekening perkiraan'!D20</f>
        <v>biaya dibayar dimuka</v>
      </c>
      <c r="G48" s="141">
        <f>Invoice!B4</f>
        <v>7</v>
      </c>
      <c r="H48" s="141" t="str">
        <f>Invoice!D4</f>
        <v>SJ</v>
      </c>
      <c r="I48" s="141" t="str">
        <f>Invoice!E4</f>
        <v>.000002</v>
      </c>
      <c r="J48" s="142">
        <f>Invoice!R4</f>
        <v>43258</v>
      </c>
      <c r="K48" s="143" t="str">
        <f>CONCATENATE(Invoice!W4,", ",Invoice!G4,", ",Invoice!V4)</f>
        <v>jual iPhone, dimas dhaniarso, cempaka putih</v>
      </c>
      <c r="L48" s="141">
        <f>Invoice!O4</f>
        <v>1</v>
      </c>
      <c r="M48" s="141" t="str">
        <f>'data mata uang'!D3</f>
        <v>IDR</v>
      </c>
      <c r="N48" s="141">
        <f>'data mata uang'!G3</f>
        <v>1</v>
      </c>
      <c r="O48" s="144"/>
      <c r="P48" s="144">
        <f>Invoice!BF4</f>
        <v>9000000</v>
      </c>
      <c r="Q48" s="144"/>
      <c r="R48" s="144">
        <f>N48*P48</f>
        <v>9000000</v>
      </c>
      <c r="S48" s="141">
        <v>0</v>
      </c>
      <c r="T48" s="141" t="str">
        <f>Invoice!N4</f>
        <v>7.2</v>
      </c>
      <c r="U48" s="141">
        <f>Invoice!AB4</f>
        <v>5</v>
      </c>
      <c r="V48" s="141">
        <f>Invoice!U4</f>
        <v>1</v>
      </c>
      <c r="W48" s="141">
        <f>Invoice!F4</f>
        <v>1</v>
      </c>
      <c r="X48" s="141">
        <f>Invoice!X4</f>
        <v>0</v>
      </c>
      <c r="Y48" s="189">
        <f>Invoice!Y4</f>
        <v>0</v>
      </c>
      <c r="Z48" s="141"/>
      <c r="AA48" s="141"/>
      <c r="AB48" s="141">
        <f>Invoice!BZ4</f>
        <v>2</v>
      </c>
      <c r="AC48" s="141">
        <f>Invoice!CA4</f>
        <v>1</v>
      </c>
      <c r="AD48" s="141"/>
      <c r="AE48" s="141"/>
    </row>
    <row r="49" spans="1:31" x14ac:dyDescent="0.25">
      <c r="A49" s="179">
        <v>48</v>
      </c>
      <c r="B49" s="141" t="str">
        <f>Invoice!C4</f>
        <v>7.2</v>
      </c>
      <c r="C49" s="141">
        <f>Invoice!BM4</f>
        <v>7</v>
      </c>
      <c r="D49" s="141" t="str">
        <f>'rekening perkiraan'!E9</f>
        <v>1.2.5.7</v>
      </c>
      <c r="E49" s="141" t="str">
        <f>'rekening perkiraan'!B9</f>
        <v>piutang usaha</v>
      </c>
      <c r="F49" s="141" t="str">
        <f>'rekening perkiraan'!D9</f>
        <v>piutang dagang</v>
      </c>
      <c r="G49" s="141">
        <f>Invoice!B4</f>
        <v>7</v>
      </c>
      <c r="H49" s="141" t="str">
        <f>Invoice!D4</f>
        <v>SJ</v>
      </c>
      <c r="I49" s="141" t="str">
        <f>Invoice!E4</f>
        <v>.000002</v>
      </c>
      <c r="J49" s="142">
        <f>Invoice!R4</f>
        <v>43258</v>
      </c>
      <c r="K49" s="143" t="str">
        <f>CONCATENATE(Invoice!W4,", ",Invoice!G4,", ",Invoice!V4)</f>
        <v>jual iPhone, dimas dhaniarso, cempaka putih</v>
      </c>
      <c r="L49" s="141">
        <f>Invoice!O4</f>
        <v>1</v>
      </c>
      <c r="M49" s="141" t="str">
        <f>'data mata uang'!D3</f>
        <v>IDR</v>
      </c>
      <c r="N49" s="141">
        <f>'data mata uang'!G3</f>
        <v>1</v>
      </c>
      <c r="O49" s="144">
        <f>Invoice!BN4</f>
        <v>99000000</v>
      </c>
      <c r="P49" s="144"/>
      <c r="Q49" s="144">
        <f>N49*O49</f>
        <v>99000000</v>
      </c>
      <c r="R49" s="144"/>
      <c r="S49" s="141">
        <v>0</v>
      </c>
      <c r="T49" s="141" t="str">
        <f>Invoice!N4</f>
        <v>7.2</v>
      </c>
      <c r="U49" s="141">
        <f>Invoice!AB4</f>
        <v>5</v>
      </c>
      <c r="V49" s="141">
        <f>Invoice!U4</f>
        <v>1</v>
      </c>
      <c r="W49" s="141">
        <f>Invoice!F4</f>
        <v>1</v>
      </c>
      <c r="X49" s="141">
        <f>Invoice!X4</f>
        <v>0</v>
      </c>
      <c r="Y49" s="189">
        <f>Invoice!Y4</f>
        <v>0</v>
      </c>
      <c r="Z49" s="141"/>
      <c r="AA49" s="141"/>
      <c r="AB49" s="141">
        <f>Invoice!BZ4</f>
        <v>2</v>
      </c>
      <c r="AC49" s="141">
        <f>Invoice!CA4</f>
        <v>1</v>
      </c>
      <c r="AD49" s="141"/>
      <c r="AE49" s="141"/>
    </row>
    <row r="50" spans="1:31" x14ac:dyDescent="0.25">
      <c r="A50" s="179">
        <v>49</v>
      </c>
      <c r="B50" s="141" t="str">
        <f>Invoice!C5</f>
        <v>7.3</v>
      </c>
      <c r="C50" s="141">
        <f>Invoice!AL5</f>
        <v>1</v>
      </c>
      <c r="D50" s="141" t="str">
        <f>'rekening perkiraan'!E3</f>
        <v>10.11.12.1</v>
      </c>
      <c r="E50" s="141" t="str">
        <f>'rekening perkiraan'!B3</f>
        <v>biaya 1</v>
      </c>
      <c r="F50" s="141" t="str">
        <f>'rekening perkiraan'!D3</f>
        <v>biaya produksi</v>
      </c>
      <c r="G50" s="141">
        <f>Invoice!B5</f>
        <v>7</v>
      </c>
      <c r="H50" s="141" t="str">
        <f>Invoice!D5</f>
        <v>SJ</v>
      </c>
      <c r="I50" s="141" t="str">
        <f>Invoice!E5</f>
        <v>.000003</v>
      </c>
      <c r="J50" s="142">
        <f>Invoice!R5</f>
        <v>43259</v>
      </c>
      <c r="K50" s="143" t="str">
        <f>CONCATENATE(Invoice!W5,", ",Invoice!G5,", ",Invoice!V5)</f>
        <v>transaksi SO, dimas dhaniarso, cempaka putih</v>
      </c>
      <c r="L50" s="141">
        <f>Invoice!O5</f>
        <v>1</v>
      </c>
      <c r="M50" s="141" t="str">
        <f>'data mata uang'!D3</f>
        <v>IDR</v>
      </c>
      <c r="N50" s="141">
        <f>'data mata uang'!G3</f>
        <v>1</v>
      </c>
      <c r="O50" s="144">
        <f>Invoice!AM5</f>
        <v>4866666.666666667</v>
      </c>
      <c r="P50" s="144"/>
      <c r="Q50" s="144">
        <f>N50*O50</f>
        <v>4866666.666666667</v>
      </c>
      <c r="R50" s="144"/>
      <c r="S50" s="141">
        <v>0</v>
      </c>
      <c r="T50" s="141" t="str">
        <f>Invoice!N5</f>
        <v>18.1</v>
      </c>
      <c r="U50" s="141">
        <f>Invoice!AB5</f>
        <v>5</v>
      </c>
      <c r="V50" s="141">
        <f>Invoice!U5</f>
        <v>1</v>
      </c>
      <c r="W50" s="141">
        <f>Invoice!F5</f>
        <v>1</v>
      </c>
      <c r="X50" s="141">
        <f>Invoice!X5</f>
        <v>0</v>
      </c>
      <c r="Y50" s="189">
        <f>Invoice!Y5</f>
        <v>0</v>
      </c>
      <c r="Z50" s="141"/>
      <c r="AA50" s="141"/>
      <c r="AB50" s="141">
        <f>Invoice!BZ5</f>
        <v>2</v>
      </c>
      <c r="AC50" s="141">
        <f>Invoice!CA5</f>
        <v>1</v>
      </c>
      <c r="AD50" s="141"/>
      <c r="AE50" s="141"/>
    </row>
    <row r="51" spans="1:31" x14ac:dyDescent="0.25">
      <c r="A51" s="179">
        <v>50</v>
      </c>
      <c r="B51" s="141" t="str">
        <f>Invoice!C5</f>
        <v>7.3</v>
      </c>
      <c r="C51" s="141">
        <f>Invoice!AO5</f>
        <v>2</v>
      </c>
      <c r="D51" s="141" t="str">
        <f>'rekening perkiraan'!E4</f>
        <v>7.8.9.2</v>
      </c>
      <c r="E51" s="141" t="str">
        <f>'rekening perkiraan'!B4</f>
        <v>penjualan produk 1</v>
      </c>
      <c r="F51" s="141" t="str">
        <f>'rekening perkiraan'!D4</f>
        <v xml:space="preserve">pendapatan usaha </v>
      </c>
      <c r="G51" s="141">
        <f>Invoice!B5</f>
        <v>7</v>
      </c>
      <c r="H51" s="141" t="str">
        <f>Invoice!D5</f>
        <v>SJ</v>
      </c>
      <c r="I51" s="141" t="str">
        <f>Invoice!E5</f>
        <v>.000003</v>
      </c>
      <c r="J51" s="142">
        <f>Invoice!R5</f>
        <v>43259</v>
      </c>
      <c r="K51" s="143" t="str">
        <f>CONCATENATE(Invoice!W5,", ",Invoice!G5,", ",Invoice!V5)</f>
        <v>transaksi SO, dimas dhaniarso, cempaka putih</v>
      </c>
      <c r="L51" s="141">
        <f>Invoice!O5</f>
        <v>1</v>
      </c>
      <c r="M51" s="141" t="str">
        <f>'data mata uang'!D3</f>
        <v>IDR</v>
      </c>
      <c r="N51" s="141">
        <f>'data mata uang'!G3</f>
        <v>1</v>
      </c>
      <c r="O51" s="144"/>
      <c r="P51" s="144">
        <f>Invoice!AQ5</f>
        <v>6000000</v>
      </c>
      <c r="Q51" s="144"/>
      <c r="R51" s="144">
        <f>N51*P51</f>
        <v>6000000</v>
      </c>
      <c r="S51" s="141">
        <v>0</v>
      </c>
      <c r="T51" s="141" t="str">
        <f>Invoice!N5</f>
        <v>18.1</v>
      </c>
      <c r="U51" s="141">
        <f>Invoice!AB5</f>
        <v>5</v>
      </c>
      <c r="V51" s="141">
        <f>Invoice!U5</f>
        <v>1</v>
      </c>
      <c r="W51" s="141">
        <f>Invoice!F5</f>
        <v>1</v>
      </c>
      <c r="X51" s="141">
        <f>Invoice!X5</f>
        <v>0</v>
      </c>
      <c r="Y51" s="189">
        <f>Invoice!Y5</f>
        <v>0</v>
      </c>
      <c r="Z51" s="141"/>
      <c r="AA51" s="141"/>
      <c r="AB51" s="141">
        <f>Invoice!BZ5</f>
        <v>2</v>
      </c>
      <c r="AC51" s="141">
        <f>Invoice!CA5</f>
        <v>1</v>
      </c>
      <c r="AD51" s="141"/>
      <c r="AE51" s="141"/>
    </row>
    <row r="52" spans="1:31" x14ac:dyDescent="0.25">
      <c r="A52" s="179">
        <v>51</v>
      </c>
      <c r="B52" s="141" t="str">
        <f>Invoice!C5</f>
        <v>7.3</v>
      </c>
      <c r="C52" s="141">
        <f>Invoice!AR5</f>
        <v>3</v>
      </c>
      <c r="D52" s="141" t="str">
        <f>'rekening perkiraan'!E5</f>
        <v>1.13.14.3</v>
      </c>
      <c r="E52" s="141" t="str">
        <f>'rekening perkiraan'!B5</f>
        <v>persediaan 1</v>
      </c>
      <c r="F52" s="141" t="str">
        <f>'rekening perkiraan'!D5</f>
        <v>persediaan</v>
      </c>
      <c r="G52" s="141">
        <f>Invoice!B5</f>
        <v>7</v>
      </c>
      <c r="H52" s="141" t="str">
        <f>Invoice!D5</f>
        <v>SJ</v>
      </c>
      <c r="I52" s="141" t="str">
        <f>Invoice!E5</f>
        <v>.000003</v>
      </c>
      <c r="J52" s="142">
        <f>Invoice!R5</f>
        <v>43259</v>
      </c>
      <c r="K52" s="143" t="str">
        <f>CONCATENATE(Invoice!W5,", ",Invoice!G5,", ",Invoice!V5)</f>
        <v>transaksi SO, dimas dhaniarso, cempaka putih</v>
      </c>
      <c r="L52" s="141">
        <f>Invoice!O5</f>
        <v>1</v>
      </c>
      <c r="M52" s="141" t="str">
        <f>'data mata uang'!D3</f>
        <v>IDR</v>
      </c>
      <c r="N52" s="141">
        <f>'data mata uang'!G3</f>
        <v>1</v>
      </c>
      <c r="O52" s="144"/>
      <c r="P52" s="144">
        <f>Invoice!AT5</f>
        <v>4866666.666666667</v>
      </c>
      <c r="Q52" s="144"/>
      <c r="R52" s="144">
        <f>N52*P52</f>
        <v>4866666.666666667</v>
      </c>
      <c r="S52" s="141">
        <v>0</v>
      </c>
      <c r="T52" s="141" t="str">
        <f>Invoice!N5</f>
        <v>18.1</v>
      </c>
      <c r="U52" s="141">
        <f>Invoice!AB5</f>
        <v>5</v>
      </c>
      <c r="V52" s="141">
        <f>Invoice!U5</f>
        <v>1</v>
      </c>
      <c r="W52" s="141">
        <f>Invoice!F5</f>
        <v>1</v>
      </c>
      <c r="X52" s="141">
        <f>Invoice!X5</f>
        <v>0</v>
      </c>
      <c r="Y52" s="189">
        <f>Invoice!Y5</f>
        <v>0</v>
      </c>
      <c r="Z52" s="141"/>
      <c r="AA52" s="141"/>
      <c r="AB52" s="141">
        <f>Invoice!BZ5</f>
        <v>2</v>
      </c>
      <c r="AC52" s="141">
        <f>Invoice!CA5</f>
        <v>1</v>
      </c>
      <c r="AD52" s="141"/>
      <c r="AE52" s="141"/>
    </row>
    <row r="53" spans="1:31" x14ac:dyDescent="0.25">
      <c r="A53" s="179">
        <v>52</v>
      </c>
      <c r="B53" s="141" t="str">
        <f>Invoice!C5</f>
        <v>7.3</v>
      </c>
      <c r="C53" s="141">
        <f>Invoice!BD5</f>
        <v>18</v>
      </c>
      <c r="D53" s="141" t="str">
        <f>'rekening perkiraan'!E20</f>
        <v>1.18.19.18</v>
      </c>
      <c r="E53" s="141" t="str">
        <f>'rekening perkiraan'!B20</f>
        <v>pajak dibayar dimuka</v>
      </c>
      <c r="F53" s="141" t="str">
        <f>'rekening perkiraan'!D20</f>
        <v>biaya dibayar dimuka</v>
      </c>
      <c r="G53" s="141">
        <f>Invoice!B5</f>
        <v>7</v>
      </c>
      <c r="H53" s="141" t="str">
        <f>Invoice!D5</f>
        <v>SJ</v>
      </c>
      <c r="I53" s="141" t="str">
        <f>Invoice!E5</f>
        <v>.000003</v>
      </c>
      <c r="J53" s="142">
        <f>Invoice!R5</f>
        <v>43259</v>
      </c>
      <c r="K53" s="143" t="str">
        <f>CONCATENATE(Invoice!W5,", ",Invoice!G5,", ",Invoice!V5)</f>
        <v>transaksi SO, dimas dhaniarso, cempaka putih</v>
      </c>
      <c r="L53" s="141">
        <f>Invoice!O5</f>
        <v>1</v>
      </c>
      <c r="M53" s="141" t="str">
        <f>'data mata uang'!D3</f>
        <v>IDR</v>
      </c>
      <c r="N53" s="141">
        <f>'data mata uang'!G3</f>
        <v>1</v>
      </c>
      <c r="O53" s="144"/>
      <c r="P53" s="144">
        <f>Invoice!BF5</f>
        <v>600000</v>
      </c>
      <c r="Q53" s="144"/>
      <c r="R53" s="144">
        <f>N53*P53</f>
        <v>600000</v>
      </c>
      <c r="S53" s="141">
        <v>0</v>
      </c>
      <c r="T53" s="141" t="str">
        <f>Invoice!N5</f>
        <v>18.1</v>
      </c>
      <c r="U53" s="141">
        <f>Invoice!AB5</f>
        <v>5</v>
      </c>
      <c r="V53" s="141">
        <f>Invoice!U5</f>
        <v>1</v>
      </c>
      <c r="W53" s="141">
        <f>Invoice!F5</f>
        <v>1</v>
      </c>
      <c r="X53" s="141">
        <f>Invoice!X5</f>
        <v>0</v>
      </c>
      <c r="Y53" s="189">
        <f>Invoice!Y5</f>
        <v>0</v>
      </c>
      <c r="Z53" s="141"/>
      <c r="AA53" s="141"/>
      <c r="AB53" s="141">
        <f>Invoice!BZ5</f>
        <v>2</v>
      </c>
      <c r="AC53" s="141">
        <f>Invoice!CA5</f>
        <v>1</v>
      </c>
      <c r="AD53" s="141"/>
      <c r="AE53" s="141"/>
    </row>
    <row r="54" spans="1:31" x14ac:dyDescent="0.25">
      <c r="A54" s="179">
        <v>53</v>
      </c>
      <c r="B54" s="141" t="str">
        <f>Invoice!C5</f>
        <v>7.3</v>
      </c>
      <c r="C54" s="141">
        <f>Invoice!BM5</f>
        <v>7</v>
      </c>
      <c r="D54" s="141" t="str">
        <f>'rekening perkiraan'!E9</f>
        <v>1.2.5.7</v>
      </c>
      <c r="E54" s="141" t="str">
        <f>'rekening perkiraan'!B9</f>
        <v>piutang usaha</v>
      </c>
      <c r="F54" s="141" t="str">
        <f>'rekening perkiraan'!D9</f>
        <v>piutang dagang</v>
      </c>
      <c r="G54" s="141">
        <f>Invoice!B5</f>
        <v>7</v>
      </c>
      <c r="H54" s="141" t="str">
        <f>Invoice!D5</f>
        <v>SJ</v>
      </c>
      <c r="I54" s="141" t="str">
        <f>Invoice!E5</f>
        <v>.000003</v>
      </c>
      <c r="J54" s="142">
        <f>Invoice!R5</f>
        <v>43259</v>
      </c>
      <c r="K54" s="143" t="str">
        <f>CONCATENATE(Invoice!W5,", ",Invoice!G5,", ",Invoice!V5)</f>
        <v>transaksi SO, dimas dhaniarso, cempaka putih</v>
      </c>
      <c r="L54" s="141">
        <f>Invoice!O5</f>
        <v>1</v>
      </c>
      <c r="M54" s="141" t="str">
        <f>'data mata uang'!D3</f>
        <v>IDR</v>
      </c>
      <c r="N54" s="141">
        <f>'data mata uang'!G3</f>
        <v>1</v>
      </c>
      <c r="O54" s="144">
        <f>Invoice!BN5</f>
        <v>6600000</v>
      </c>
      <c r="P54" s="144"/>
      <c r="Q54" s="144">
        <f>N54*O54</f>
        <v>6600000</v>
      </c>
      <c r="R54" s="144"/>
      <c r="S54" s="141">
        <v>0</v>
      </c>
      <c r="T54" s="141" t="str">
        <f>Invoice!N5</f>
        <v>18.1</v>
      </c>
      <c r="U54" s="141">
        <f>Invoice!AB5</f>
        <v>5</v>
      </c>
      <c r="V54" s="141">
        <f>Invoice!U5</f>
        <v>1</v>
      </c>
      <c r="W54" s="141">
        <f>Invoice!F5</f>
        <v>1</v>
      </c>
      <c r="X54" s="141">
        <f>Invoice!X5</f>
        <v>0</v>
      </c>
      <c r="Y54" s="189">
        <f>Invoice!Y5</f>
        <v>0</v>
      </c>
      <c r="Z54" s="141"/>
      <c r="AA54" s="141"/>
      <c r="AB54" s="141">
        <f>Invoice!BZ5</f>
        <v>2</v>
      </c>
      <c r="AC54" s="141">
        <f>Invoice!CA5</f>
        <v>1</v>
      </c>
      <c r="AD54" s="141"/>
      <c r="AE54" s="141"/>
    </row>
    <row r="55" spans="1:31" s="163" customFormat="1" x14ac:dyDescent="0.25">
      <c r="A55" s="179">
        <v>54</v>
      </c>
      <c r="B55" s="192"/>
      <c r="C55" s="156">
        <f>'order transaksi cash'!D25</f>
        <v>9</v>
      </c>
      <c r="D55" s="156" t="str">
        <f>'rekening perkiraan'!E11</f>
        <v>1.2.3.9</v>
      </c>
      <c r="E55" s="156" t="str">
        <f>'rekening perkiraan'!B11</f>
        <v>kas</v>
      </c>
      <c r="F55" s="156" t="str">
        <f>'rekening perkiraan'!D11</f>
        <v>kas</v>
      </c>
      <c r="G55" s="156">
        <f>'order transaksi cash'!H25</f>
        <v>3</v>
      </c>
      <c r="H55" s="156" t="str">
        <f>'order transaksi cash'!I25</f>
        <v>CR</v>
      </c>
      <c r="I55" s="156" t="str">
        <f>'order transaksi cash'!C25</f>
        <v>.000003</v>
      </c>
      <c r="J55" s="157">
        <f>'order transaksi cash'!S25</f>
        <v>43261</v>
      </c>
      <c r="K55" s="158" t="str">
        <f>'order transaksi cash'!U25</f>
        <v>pembayaran bertahap SJ.000003</v>
      </c>
      <c r="L55" s="156">
        <f>'order transaksi cash'!N25</f>
        <v>1</v>
      </c>
      <c r="M55" s="156" t="str">
        <f>'order transaksi cash'!O25</f>
        <v>IDR</v>
      </c>
      <c r="N55" s="156">
        <f>'order transaksi cash'!P25</f>
        <v>1</v>
      </c>
      <c r="O55" s="159">
        <f>'order transaksi cash'!E25</f>
        <v>1600000</v>
      </c>
      <c r="P55" s="159"/>
      <c r="Q55" s="159">
        <f t="shared" ref="Q55" si="6">N55*O55</f>
        <v>1600000</v>
      </c>
      <c r="R55" s="159"/>
      <c r="S55" s="156">
        <v>1</v>
      </c>
      <c r="T55" s="156" t="str">
        <f>'order transaksi cash'!AB25</f>
        <v>18.1</v>
      </c>
      <c r="U55" s="156">
        <f>'order transaksi cash'!X25</f>
        <v>5</v>
      </c>
      <c r="V55" s="156" t="s">
        <v>667</v>
      </c>
      <c r="W55" s="156">
        <f>'order transaksi cash'!J25</f>
        <v>1</v>
      </c>
      <c r="X55" s="156">
        <f>'order transaksi cash'!Z25</f>
        <v>0</v>
      </c>
      <c r="Y55" s="190">
        <f>'order transaksi cash'!AA25</f>
        <v>0</v>
      </c>
      <c r="Z55" s="156"/>
      <c r="AA55" s="156"/>
      <c r="AB55" s="156">
        <f>'order transaksi cash'!AG25</f>
        <v>2</v>
      </c>
      <c r="AC55" s="156">
        <f>'order transaksi cash'!AH25</f>
        <v>1</v>
      </c>
      <c r="AD55" s="156"/>
      <c r="AE55" s="156"/>
    </row>
    <row r="56" spans="1:31" x14ac:dyDescent="0.25">
      <c r="A56" s="179">
        <v>55</v>
      </c>
      <c r="B56" s="156"/>
      <c r="C56" s="156">
        <f>'order transaksi cash'!AD25</f>
        <v>7</v>
      </c>
      <c r="D56" s="156" t="str">
        <f>'rekening perkiraan'!E9</f>
        <v>1.2.5.7</v>
      </c>
      <c r="E56" s="156" t="str">
        <f>'rekening perkiraan'!B9</f>
        <v>piutang usaha</v>
      </c>
      <c r="F56" s="156" t="str">
        <f>'rekening perkiraan'!D9</f>
        <v>piutang dagang</v>
      </c>
      <c r="G56" s="156">
        <f>'order transaksi cash'!H25</f>
        <v>3</v>
      </c>
      <c r="H56" s="156" t="str">
        <f>'order transaksi cash'!I25</f>
        <v>CR</v>
      </c>
      <c r="I56" s="156" t="str">
        <f>'order transaksi cash'!C25</f>
        <v>.000003</v>
      </c>
      <c r="J56" s="157">
        <f>'order transaksi cash'!S25</f>
        <v>43261</v>
      </c>
      <c r="K56" s="158" t="str">
        <f>'order transaksi cash'!U25</f>
        <v>pembayaran bertahap SJ.000003</v>
      </c>
      <c r="L56" s="156">
        <f>'order transaksi cash'!N25</f>
        <v>1</v>
      </c>
      <c r="M56" s="156" t="str">
        <f>'order transaksi cash'!O25</f>
        <v>IDR</v>
      </c>
      <c r="N56" s="156">
        <f>'order transaksi cash'!P25</f>
        <v>1</v>
      </c>
      <c r="O56" s="159"/>
      <c r="P56" s="159">
        <f>'order transaksi cash'!AF25</f>
        <v>1600000</v>
      </c>
      <c r="Q56" s="159"/>
      <c r="R56" s="159">
        <f t="shared" ref="R56" si="7">N56*P56</f>
        <v>1600000</v>
      </c>
      <c r="S56" s="156">
        <v>1</v>
      </c>
      <c r="T56" s="156" t="str">
        <f>'order transaksi cash'!AB25</f>
        <v>18.1</v>
      </c>
      <c r="U56" s="156">
        <f>'order transaksi cash'!X25</f>
        <v>5</v>
      </c>
      <c r="V56" s="156" t="s">
        <v>667</v>
      </c>
      <c r="W56" s="156">
        <f>'order transaksi cash'!J25</f>
        <v>1</v>
      </c>
      <c r="X56" s="156">
        <f>'order transaksi cash'!Z25</f>
        <v>0</v>
      </c>
      <c r="Y56" s="190">
        <f>'order transaksi cash'!AA25</f>
        <v>0</v>
      </c>
      <c r="Z56" s="156"/>
      <c r="AA56" s="156"/>
      <c r="AB56" s="156">
        <f>'order transaksi cash'!AG25</f>
        <v>2</v>
      </c>
      <c r="AC56" s="156">
        <f>'order transaksi cash'!AH25</f>
        <v>1</v>
      </c>
      <c r="AD56" s="156"/>
      <c r="AE56" s="156"/>
    </row>
    <row r="57" spans="1:31" x14ac:dyDescent="0.25">
      <c r="A57" s="179">
        <v>56</v>
      </c>
      <c r="B57" s="156"/>
      <c r="C57" s="156">
        <f>'order transaksi cash'!D26</f>
        <v>25</v>
      </c>
      <c r="D57" s="156" t="str">
        <f>'rekening perkiraan'!E27</f>
        <v>15.16.17.25</v>
      </c>
      <c r="E57" s="156" t="str">
        <f>'rekening perkiraan'!B27</f>
        <v>hutang giro</v>
      </c>
      <c r="F57" s="156" t="str">
        <f>'rekening perkiraan'!D27</f>
        <v>hutang lancar</v>
      </c>
      <c r="G57" s="156">
        <f>'order transaksi cash'!H26</f>
        <v>3</v>
      </c>
      <c r="H57" s="156" t="str">
        <f>'order transaksi cash'!I26</f>
        <v>CR</v>
      </c>
      <c r="I57" s="156" t="str">
        <f>'order transaksi cash'!C26</f>
        <v>.000004</v>
      </c>
      <c r="J57" s="157">
        <f>'order transaksi cash'!S26</f>
        <v>43262</v>
      </c>
      <c r="K57" s="158" t="str">
        <f>'order transaksi cash'!U26</f>
        <v>pembayaran SJ.000003 dgn giro</v>
      </c>
      <c r="L57" s="156">
        <f>'order transaksi cash'!N26</f>
        <v>1</v>
      </c>
      <c r="M57" s="156" t="str">
        <f>'order transaksi cash'!O26</f>
        <v>IDR</v>
      </c>
      <c r="N57" s="156">
        <v>1</v>
      </c>
      <c r="O57" s="159">
        <f>'order transaksi cash'!E26</f>
        <v>5000000</v>
      </c>
      <c r="P57" s="159"/>
      <c r="Q57" s="159">
        <f t="shared" ref="Q57:Q59" si="8">N57*O57</f>
        <v>5000000</v>
      </c>
      <c r="R57" s="159"/>
      <c r="S57" s="156">
        <v>0</v>
      </c>
      <c r="T57" s="156" t="str">
        <f>'order transaksi cash'!B26</f>
        <v>3.4</v>
      </c>
      <c r="U57" s="156">
        <f>'order transaksi cash'!X26</f>
        <v>6</v>
      </c>
      <c r="V57" s="156" t="s">
        <v>667</v>
      </c>
      <c r="W57" s="156">
        <f>'order transaksi cash'!J26</f>
        <v>1</v>
      </c>
      <c r="X57" s="156">
        <f>'order transaksi cash'!Z26</f>
        <v>0</v>
      </c>
      <c r="Y57" s="190">
        <f>'order transaksi cash'!AA26</f>
        <v>0</v>
      </c>
      <c r="Z57" s="156"/>
      <c r="AA57" s="156"/>
      <c r="AB57" s="156">
        <f>'order transaksi cash'!AG26</f>
        <v>3</v>
      </c>
      <c r="AC57" s="156">
        <f>'order transaksi cash'!AH26</f>
        <v>1</v>
      </c>
      <c r="AD57" s="156"/>
      <c r="AE57" s="156"/>
    </row>
    <row r="58" spans="1:31" x14ac:dyDescent="0.25">
      <c r="A58" s="179">
        <v>57</v>
      </c>
      <c r="B58" s="156"/>
      <c r="C58" s="156">
        <f>'order transaksi cash'!AD26</f>
        <v>7</v>
      </c>
      <c r="D58" s="156" t="str">
        <f>'rekening perkiraan'!E9</f>
        <v>1.2.5.7</v>
      </c>
      <c r="E58" s="156" t="str">
        <f>'rekening perkiraan'!B9</f>
        <v>piutang usaha</v>
      </c>
      <c r="F58" s="156" t="str">
        <f>'rekening perkiraan'!D9</f>
        <v>piutang dagang</v>
      </c>
      <c r="G58" s="156">
        <f>'order transaksi cash'!H26</f>
        <v>3</v>
      </c>
      <c r="H58" s="156" t="str">
        <f>'order transaksi cash'!I26</f>
        <v>CR</v>
      </c>
      <c r="I58" s="156" t="str">
        <f>'order transaksi cash'!C26</f>
        <v>.000004</v>
      </c>
      <c r="J58" s="157">
        <f>'order transaksi cash'!S26</f>
        <v>43262</v>
      </c>
      <c r="K58" s="158" t="str">
        <f>'order transaksi cash'!U26</f>
        <v>pembayaran SJ.000003 dgn giro</v>
      </c>
      <c r="L58" s="156">
        <f>'order transaksi cash'!N26</f>
        <v>1</v>
      </c>
      <c r="M58" s="156" t="str">
        <f>'order transaksi cash'!O26</f>
        <v>IDR</v>
      </c>
      <c r="N58" s="156">
        <v>1</v>
      </c>
      <c r="O58" s="156"/>
      <c r="P58" s="159">
        <f>'order transaksi cash'!AF26</f>
        <v>5000000</v>
      </c>
      <c r="Q58" s="159"/>
      <c r="R58" s="159">
        <f t="shared" ref="R58:R60" si="9">N58*P58</f>
        <v>5000000</v>
      </c>
      <c r="S58" s="156">
        <v>0</v>
      </c>
      <c r="T58" s="156" t="str">
        <f>'order transaksi cash'!AB26</f>
        <v>18.1</v>
      </c>
      <c r="U58" s="156">
        <f>'order transaksi cash'!X26</f>
        <v>6</v>
      </c>
      <c r="V58" s="156" t="s">
        <v>667</v>
      </c>
      <c r="W58" s="156">
        <f>'order transaksi cash'!J26</f>
        <v>1</v>
      </c>
      <c r="X58" s="156">
        <f>'order transaksi cash'!Z26</f>
        <v>0</v>
      </c>
      <c r="Y58" s="190">
        <f>'order transaksi cash'!AA26</f>
        <v>0</v>
      </c>
      <c r="Z58" s="156"/>
      <c r="AA58" s="156"/>
      <c r="AB58" s="156">
        <f>'order transaksi cash'!AG26</f>
        <v>3</v>
      </c>
      <c r="AC58" s="156">
        <f>'order transaksi cash'!AH26</f>
        <v>1</v>
      </c>
      <c r="AD58" s="156"/>
      <c r="AE58" s="156"/>
    </row>
    <row r="59" spans="1:31" x14ac:dyDescent="0.25">
      <c r="A59" s="179">
        <v>58</v>
      </c>
      <c r="B59" s="156"/>
      <c r="C59" s="156">
        <f>'order transaksi cash'!D27</f>
        <v>6</v>
      </c>
      <c r="D59" s="156" t="str">
        <f>'rekening perkiraan'!E8</f>
        <v>1.2.4.6</v>
      </c>
      <c r="E59" s="156" t="str">
        <f>'rekening perkiraan'!B8</f>
        <v>bank</v>
      </c>
      <c r="F59" s="156" t="str">
        <f>'rekening perkiraan'!D8</f>
        <v>bank</v>
      </c>
      <c r="G59" s="156">
        <f>'order transaksi cash'!H27</f>
        <v>3</v>
      </c>
      <c r="H59" s="156" t="str">
        <f>'order transaksi cash'!I27</f>
        <v>CR</v>
      </c>
      <c r="I59" s="156" t="str">
        <f>'order transaksi cash'!C27</f>
        <v>.000004</v>
      </c>
      <c r="J59" s="157">
        <f>'order transaksi cash'!S27</f>
        <v>43262</v>
      </c>
      <c r="K59" s="158" t="str">
        <f>'order transaksi cash'!U27</f>
        <v>pencairan giro masuk</v>
      </c>
      <c r="L59" s="156">
        <f>'order transaksi cash'!N27</f>
        <v>1</v>
      </c>
      <c r="M59" s="156" t="str">
        <f>'order transaksi cash'!O27</f>
        <v>IDR</v>
      </c>
      <c r="N59" s="156">
        <f>'order transaksi cash'!P27</f>
        <v>1</v>
      </c>
      <c r="O59" s="159">
        <f>'order transaksi cash'!E27</f>
        <v>5000000</v>
      </c>
      <c r="P59" s="156"/>
      <c r="Q59" s="159">
        <f t="shared" si="8"/>
        <v>5000000</v>
      </c>
      <c r="R59" s="159"/>
      <c r="S59" s="156">
        <v>1</v>
      </c>
      <c r="T59" s="156" t="str">
        <f>'order transaksi cash'!B27</f>
        <v>3.5</v>
      </c>
      <c r="U59" s="156">
        <f>'order transaksi cash'!X27</f>
        <v>6</v>
      </c>
      <c r="V59" s="156" t="s">
        <v>667</v>
      </c>
      <c r="W59" s="156">
        <f>'order transaksi cash'!J27</f>
        <v>1</v>
      </c>
      <c r="X59" s="156">
        <f>'order transaksi cash'!Z27</f>
        <v>0</v>
      </c>
      <c r="Y59" s="190">
        <f>'order transaksi cash'!AA27</f>
        <v>0</v>
      </c>
      <c r="Z59" s="156"/>
      <c r="AA59" s="156"/>
      <c r="AB59" s="156">
        <f>'order transaksi cash'!AG27</f>
        <v>1</v>
      </c>
      <c r="AC59" s="156">
        <f>'order transaksi cash'!AH27</f>
        <v>1</v>
      </c>
      <c r="AD59" s="156"/>
      <c r="AE59" s="156"/>
    </row>
    <row r="60" spans="1:31" x14ac:dyDescent="0.25">
      <c r="A60" s="179">
        <v>59</v>
      </c>
      <c r="B60" s="156"/>
      <c r="C60" s="156">
        <f>'order transaksi cash'!AD27</f>
        <v>25</v>
      </c>
      <c r="D60" s="156" t="str">
        <f>'rekening perkiraan'!E27</f>
        <v>15.16.17.25</v>
      </c>
      <c r="E60" s="156" t="str">
        <f>'rekening perkiraan'!B27</f>
        <v>hutang giro</v>
      </c>
      <c r="F60" s="156" t="str">
        <f>'rekening perkiraan'!D27</f>
        <v>hutang lancar</v>
      </c>
      <c r="G60" s="156">
        <f>'order transaksi cash'!H27</f>
        <v>3</v>
      </c>
      <c r="H60" s="156" t="str">
        <f>'order transaksi cash'!I27</f>
        <v>CR</v>
      </c>
      <c r="I60" s="156" t="str">
        <f>'order transaksi cash'!C27</f>
        <v>.000004</v>
      </c>
      <c r="J60" s="157">
        <f>'order transaksi cash'!S27</f>
        <v>43262</v>
      </c>
      <c r="K60" s="158" t="str">
        <f>'order transaksi cash'!U27</f>
        <v>pencairan giro masuk</v>
      </c>
      <c r="L60" s="156">
        <f>'order transaksi cash'!N27</f>
        <v>1</v>
      </c>
      <c r="M60" s="156" t="str">
        <f>'order transaksi cash'!O27</f>
        <v>IDR</v>
      </c>
      <c r="N60" s="156">
        <f>'order transaksi cash'!P27</f>
        <v>1</v>
      </c>
      <c r="O60" s="156"/>
      <c r="P60" s="159">
        <f>'order transaksi cash'!AF27</f>
        <v>5000000</v>
      </c>
      <c r="Q60" s="159"/>
      <c r="R60" s="159">
        <f t="shared" si="9"/>
        <v>5000000</v>
      </c>
      <c r="S60" s="156">
        <v>1</v>
      </c>
      <c r="T60" s="156" t="str">
        <f>'order transaksi cash'!AB27</f>
        <v>3.4</v>
      </c>
      <c r="U60" s="156">
        <f>'order transaksi cash'!X27</f>
        <v>6</v>
      </c>
      <c r="V60" s="156" t="s">
        <v>667</v>
      </c>
      <c r="W60" s="156">
        <f>'order transaksi cash'!J27</f>
        <v>1</v>
      </c>
      <c r="X60" s="156">
        <f>'order transaksi cash'!Z27</f>
        <v>0</v>
      </c>
      <c r="Y60" s="190">
        <f>'order transaksi cash'!AA27</f>
        <v>0</v>
      </c>
      <c r="Z60" s="156"/>
      <c r="AA60" s="156"/>
      <c r="AB60" s="156">
        <f>'order transaksi cash'!AG27</f>
        <v>1</v>
      </c>
      <c r="AC60" s="156">
        <f>'order transaksi cash'!AH27</f>
        <v>1</v>
      </c>
      <c r="AD60" s="156"/>
      <c r="AE60" s="156"/>
    </row>
    <row r="61" spans="1:31" x14ac:dyDescent="0.25">
      <c r="A61" s="179">
        <v>60</v>
      </c>
      <c r="B61" s="189" t="str">
        <f>'Sales Return'!C3</f>
        <v>22.1</v>
      </c>
      <c r="C61" s="141">
        <f>'Sales Return'!AE3</f>
        <v>1</v>
      </c>
      <c r="D61" s="141" t="str">
        <f>'rekening perkiraan'!E3</f>
        <v>10.11.12.1</v>
      </c>
      <c r="E61" s="141" t="str">
        <f>'rekening perkiraan'!B3</f>
        <v>biaya 1</v>
      </c>
      <c r="F61" s="141" t="str">
        <f>'rekening perkiraan'!D3</f>
        <v>biaya produksi</v>
      </c>
      <c r="G61" s="189">
        <f>'Sales Return'!B3</f>
        <v>22</v>
      </c>
      <c r="H61" s="189" t="str">
        <f>'Sales Return'!D3</f>
        <v>SR</v>
      </c>
      <c r="I61" s="141" t="str">
        <f>'Sales Return'!E3</f>
        <v>.000001</v>
      </c>
      <c r="J61" s="142">
        <f>'Sales Return'!O3</f>
        <v>43261</v>
      </c>
      <c r="K61" s="143" t="str">
        <f>'Sales Return'!T3</f>
        <v>retur penjualan SJ.000003</v>
      </c>
      <c r="L61" s="141">
        <f>'Sales Return'!L3</f>
        <v>1</v>
      </c>
      <c r="M61" s="141" t="str">
        <f>'Sales Return'!M3</f>
        <v>IDR</v>
      </c>
      <c r="N61" s="141">
        <f>'Sales Return'!N3</f>
        <v>1</v>
      </c>
      <c r="O61" s="144"/>
      <c r="P61" s="144">
        <f>'Sales Return'!AG3</f>
        <v>2433333.3333333335</v>
      </c>
      <c r="Q61" s="144"/>
      <c r="R61" s="144">
        <f>N61*P61</f>
        <v>2433333.3333333335</v>
      </c>
      <c r="S61" s="141">
        <v>0</v>
      </c>
      <c r="T61" s="141" t="str">
        <f>'Sales Return'!J3</f>
        <v>7.3</v>
      </c>
      <c r="U61" s="141">
        <f>'Sales Return'!Y3</f>
        <v>5</v>
      </c>
      <c r="V61" s="141">
        <f>'Sales Return'!R3</f>
        <v>1</v>
      </c>
      <c r="W61" s="141">
        <f>'Sales Return'!F3</f>
        <v>1</v>
      </c>
      <c r="X61" s="141">
        <f>'Sales Return'!U3</f>
        <v>0</v>
      </c>
      <c r="Y61" s="189">
        <f>'Sales Return'!V3</f>
        <v>0</v>
      </c>
      <c r="Z61" s="141"/>
      <c r="AA61" s="141"/>
      <c r="AB61" s="141">
        <f>'Sales Return'!BP3</f>
        <v>3</v>
      </c>
      <c r="AC61" s="141">
        <f>'Sales Return'!BQ3</f>
        <v>1</v>
      </c>
      <c r="AD61" s="141"/>
      <c r="AE61" s="141"/>
    </row>
    <row r="62" spans="1:31" x14ac:dyDescent="0.25">
      <c r="A62" s="179">
        <v>61</v>
      </c>
      <c r="B62" s="189" t="str">
        <f>'Sales Return'!C3</f>
        <v>22.1</v>
      </c>
      <c r="C62" s="141">
        <f>'Sales Return'!AH3</f>
        <v>2</v>
      </c>
      <c r="D62" s="141" t="str">
        <f>'rekening perkiraan'!E4</f>
        <v>7.8.9.2</v>
      </c>
      <c r="E62" s="141" t="str">
        <f>'rekening perkiraan'!B4</f>
        <v>penjualan produk 1</v>
      </c>
      <c r="F62" s="141" t="str">
        <f>'rekening perkiraan'!D4</f>
        <v xml:space="preserve">pendapatan usaha </v>
      </c>
      <c r="G62" s="189">
        <f>'Sales Return'!B3</f>
        <v>22</v>
      </c>
      <c r="H62" s="189" t="str">
        <f>'Sales Return'!D3</f>
        <v>SR</v>
      </c>
      <c r="I62" s="141" t="str">
        <f>'Sales Return'!E3</f>
        <v>.000001</v>
      </c>
      <c r="J62" s="142">
        <f>'Sales Return'!O3</f>
        <v>43261</v>
      </c>
      <c r="K62" s="143" t="str">
        <f>'Sales Return'!T3</f>
        <v>retur penjualan SJ.000003</v>
      </c>
      <c r="L62" s="141">
        <f>'Sales Return'!L3</f>
        <v>1</v>
      </c>
      <c r="M62" s="141" t="str">
        <f>'Sales Return'!M3</f>
        <v>IDR</v>
      </c>
      <c r="N62" s="141">
        <f>'Sales Return'!N3</f>
        <v>1</v>
      </c>
      <c r="O62" s="144">
        <f>'Sales Return'!AI3</f>
        <v>3000000</v>
      </c>
      <c r="P62" s="144"/>
      <c r="Q62" s="144">
        <f>N62*O62</f>
        <v>3000000</v>
      </c>
      <c r="R62" s="144"/>
      <c r="S62" s="141">
        <v>0</v>
      </c>
      <c r="T62" s="141" t="str">
        <f>'Sales Return'!J3</f>
        <v>7.3</v>
      </c>
      <c r="U62" s="141">
        <f>'Sales Return'!Y3</f>
        <v>5</v>
      </c>
      <c r="V62" s="141">
        <f>'Sales Return'!R3</f>
        <v>1</v>
      </c>
      <c r="W62" s="141">
        <f>'Sales Return'!F3</f>
        <v>1</v>
      </c>
      <c r="X62" s="141">
        <f>'Sales Return'!U3</f>
        <v>0</v>
      </c>
      <c r="Y62" s="189">
        <f>'Sales Return'!V3</f>
        <v>0</v>
      </c>
      <c r="Z62" s="141"/>
      <c r="AA62" s="141"/>
      <c r="AB62" s="141">
        <f>'Sales Return'!BP3</f>
        <v>3</v>
      </c>
      <c r="AC62" s="141">
        <f>'Sales Return'!BQ3</f>
        <v>1</v>
      </c>
      <c r="AD62" s="141"/>
      <c r="AE62" s="141"/>
    </row>
    <row r="63" spans="1:31" x14ac:dyDescent="0.25">
      <c r="A63" s="179">
        <v>62</v>
      </c>
      <c r="B63" s="189" t="str">
        <f>'Sales Return'!C3</f>
        <v>22.1</v>
      </c>
      <c r="C63" s="141">
        <f>'Sales Return'!AK3</f>
        <v>3</v>
      </c>
      <c r="D63" s="141" t="str">
        <f>'rekening perkiraan'!E5</f>
        <v>1.13.14.3</v>
      </c>
      <c r="E63" s="141" t="str">
        <f>'rekening perkiraan'!B5</f>
        <v>persediaan 1</v>
      </c>
      <c r="F63" s="141" t="str">
        <f>'rekening perkiraan'!D5</f>
        <v>persediaan</v>
      </c>
      <c r="G63" s="189">
        <f>'Sales Return'!B3</f>
        <v>22</v>
      </c>
      <c r="H63" s="189" t="str">
        <f>'Sales Return'!D3</f>
        <v>SR</v>
      </c>
      <c r="I63" s="141" t="str">
        <f>'Sales Return'!E3</f>
        <v>.000001</v>
      </c>
      <c r="J63" s="142">
        <f>'Sales Return'!O3</f>
        <v>43261</v>
      </c>
      <c r="K63" s="143" t="str">
        <f>'Sales Return'!T3</f>
        <v>retur penjualan SJ.000003</v>
      </c>
      <c r="L63" s="141">
        <f>'Sales Return'!L3</f>
        <v>1</v>
      </c>
      <c r="M63" s="141" t="str">
        <f>'Sales Return'!M3</f>
        <v>IDR</v>
      </c>
      <c r="N63" s="141">
        <f>'Sales Return'!N3</f>
        <v>1</v>
      </c>
      <c r="O63" s="144">
        <f>'Sales Return'!AL3</f>
        <v>2433333.3333333335</v>
      </c>
      <c r="P63" s="144"/>
      <c r="Q63" s="144">
        <f t="shared" ref="Q63:Q64" si="10">N63*O63</f>
        <v>2433333.3333333335</v>
      </c>
      <c r="R63" s="144"/>
      <c r="S63" s="141">
        <v>0</v>
      </c>
      <c r="T63" s="141" t="str">
        <f>'Sales Return'!J3</f>
        <v>7.3</v>
      </c>
      <c r="U63" s="141">
        <f>'Sales Return'!Y3</f>
        <v>5</v>
      </c>
      <c r="V63" s="141">
        <f>'Sales Return'!R3</f>
        <v>1</v>
      </c>
      <c r="W63" s="141">
        <f>'Sales Return'!F3</f>
        <v>1</v>
      </c>
      <c r="X63" s="141">
        <f>'Sales Return'!U3</f>
        <v>0</v>
      </c>
      <c r="Y63" s="189">
        <f>'Sales Return'!V3</f>
        <v>0</v>
      </c>
      <c r="Z63" s="141"/>
      <c r="AA63" s="141"/>
      <c r="AB63" s="141">
        <f>'Sales Return'!BP3</f>
        <v>3</v>
      </c>
      <c r="AC63" s="141">
        <f>'Sales Return'!BQ3</f>
        <v>1</v>
      </c>
      <c r="AD63" s="141"/>
      <c r="AE63" s="141"/>
    </row>
    <row r="64" spans="1:31" x14ac:dyDescent="0.25">
      <c r="A64" s="179">
        <v>63</v>
      </c>
      <c r="B64" s="141" t="str">
        <f>'Sales Return'!C3</f>
        <v>22.1</v>
      </c>
      <c r="C64" s="141">
        <f>'Sales Return'!AT3</f>
        <v>18</v>
      </c>
      <c r="D64" s="141" t="str">
        <f>'rekening perkiraan'!E20</f>
        <v>1.18.19.18</v>
      </c>
      <c r="E64" s="141" t="str">
        <f>'rekening perkiraan'!B20</f>
        <v>pajak dibayar dimuka</v>
      </c>
      <c r="F64" s="141" t="str">
        <f>'rekening perkiraan'!D20</f>
        <v>biaya dibayar dimuka</v>
      </c>
      <c r="G64" s="141">
        <f>'Sales Return'!B3</f>
        <v>22</v>
      </c>
      <c r="H64" s="141" t="str">
        <f>'Sales Return'!D3</f>
        <v>SR</v>
      </c>
      <c r="I64" s="141" t="str">
        <f>'Sales Return'!E3</f>
        <v>.000001</v>
      </c>
      <c r="J64" s="142">
        <f>'Sales Return'!O3</f>
        <v>43261</v>
      </c>
      <c r="K64" s="143" t="str">
        <f>'Sales Return'!T3</f>
        <v>retur penjualan SJ.000003</v>
      </c>
      <c r="L64" s="141">
        <f>'Sales Return'!L3</f>
        <v>1</v>
      </c>
      <c r="M64" s="141" t="str">
        <f>'Sales Return'!M3</f>
        <v>IDR</v>
      </c>
      <c r="N64" s="141">
        <f>'Sales Return'!N3</f>
        <v>1</v>
      </c>
      <c r="O64" s="144">
        <f>'Sales Return'!AU3</f>
        <v>300000</v>
      </c>
      <c r="P64" s="144"/>
      <c r="Q64" s="144">
        <f t="shared" si="10"/>
        <v>300000</v>
      </c>
      <c r="R64" s="144"/>
      <c r="S64" s="141">
        <v>0</v>
      </c>
      <c r="T64" s="141" t="str">
        <f>'Sales Return'!J3</f>
        <v>7.3</v>
      </c>
      <c r="U64" s="141">
        <f>'Sales Return'!Y3</f>
        <v>5</v>
      </c>
      <c r="V64" s="141">
        <f>'Sales Return'!R3</f>
        <v>1</v>
      </c>
      <c r="W64" s="141">
        <f>'Sales Return'!F3</f>
        <v>1</v>
      </c>
      <c r="X64" s="141">
        <f>'Sales Return'!U3</f>
        <v>0</v>
      </c>
      <c r="Y64" s="189">
        <f>'Sales Return'!V3</f>
        <v>0</v>
      </c>
      <c r="Z64" s="141"/>
      <c r="AA64" s="141"/>
      <c r="AB64" s="141">
        <f>'Sales Return'!BP3</f>
        <v>3</v>
      </c>
      <c r="AC64" s="141">
        <f>'Sales Return'!BQ3</f>
        <v>1</v>
      </c>
      <c r="AD64" s="141"/>
      <c r="AE64" s="141"/>
    </row>
    <row r="65" spans="1:31" x14ac:dyDescent="0.25">
      <c r="A65" s="179">
        <v>64</v>
      </c>
      <c r="B65" s="141" t="str">
        <f>'Sales Return'!C3</f>
        <v>22.1</v>
      </c>
      <c r="C65" s="141">
        <f>'Sales Return'!BC3</f>
        <v>7</v>
      </c>
      <c r="D65" s="141" t="str">
        <f>'rekening perkiraan'!E9</f>
        <v>1.2.5.7</v>
      </c>
      <c r="E65" s="141" t="str">
        <f>'rekening perkiraan'!B9</f>
        <v>piutang usaha</v>
      </c>
      <c r="F65" s="141" t="str">
        <f>'rekening perkiraan'!D9</f>
        <v>piutang dagang</v>
      </c>
      <c r="G65" s="141">
        <f>'Sales Return'!B3</f>
        <v>22</v>
      </c>
      <c r="H65" s="141" t="str">
        <f>'Sales Return'!D3</f>
        <v>SR</v>
      </c>
      <c r="I65" s="141" t="str">
        <f>'Sales Return'!E3</f>
        <v>.000001</v>
      </c>
      <c r="J65" s="142">
        <f>'Sales Return'!O3</f>
        <v>43261</v>
      </c>
      <c r="K65" s="143" t="str">
        <f>'Sales Return'!T3</f>
        <v>retur penjualan SJ.000003</v>
      </c>
      <c r="L65" s="141">
        <f>'Sales Return'!L3</f>
        <v>1</v>
      </c>
      <c r="M65" s="141" t="str">
        <f>'Sales Return'!M3</f>
        <v>IDR</v>
      </c>
      <c r="N65" s="141">
        <f>'Sales Return'!N3</f>
        <v>1</v>
      </c>
      <c r="O65" s="144"/>
      <c r="P65" s="144">
        <f>'Sales Return'!BE3</f>
        <v>3300000</v>
      </c>
      <c r="Q65" s="144"/>
      <c r="R65" s="144">
        <f>N65*P65</f>
        <v>3300000</v>
      </c>
      <c r="S65" s="141">
        <v>0</v>
      </c>
      <c r="T65" s="141" t="str">
        <f>'Sales Return'!J3</f>
        <v>7.3</v>
      </c>
      <c r="U65" s="141">
        <f>'Sales Return'!Y3</f>
        <v>5</v>
      </c>
      <c r="V65" s="141">
        <f>'Sales Return'!R3</f>
        <v>1</v>
      </c>
      <c r="W65" s="141">
        <f>'Sales Return'!F3</f>
        <v>1</v>
      </c>
      <c r="X65" s="141">
        <f>'Sales Return'!U3</f>
        <v>0</v>
      </c>
      <c r="Y65" s="189">
        <f>'Sales Return'!V3</f>
        <v>0</v>
      </c>
      <c r="Z65" s="141"/>
      <c r="AA65" s="141"/>
      <c r="AB65" s="141">
        <f>'Sales Return'!BP3</f>
        <v>3</v>
      </c>
      <c r="AC65" s="141">
        <f>'Sales Return'!BQ3</f>
        <v>1</v>
      </c>
      <c r="AD65" s="141"/>
      <c r="AE65" s="141"/>
    </row>
    <row r="66" spans="1:31" s="183" customFormat="1" x14ac:dyDescent="0.25">
      <c r="A66" s="179">
        <v>65</v>
      </c>
      <c r="B66" s="156"/>
      <c r="C66" s="156">
        <f>'order transaksi cash'!D34</f>
        <v>6</v>
      </c>
      <c r="D66" s="156" t="str">
        <f>'rekening perkiraan'!E8</f>
        <v>1.2.4.6</v>
      </c>
      <c r="E66" s="156" t="str">
        <f>'rekening perkiraan'!B8</f>
        <v>bank</v>
      </c>
      <c r="F66" s="156" t="str">
        <f>'rekening perkiraan'!D8</f>
        <v>bank</v>
      </c>
      <c r="G66" s="156">
        <f>'order transaksi cash'!H34</f>
        <v>3</v>
      </c>
      <c r="H66" s="156" t="str">
        <f>'order transaksi cash'!I34</f>
        <v>CR</v>
      </c>
      <c r="I66" s="156" t="str">
        <f>'order transaksi cash'!C34</f>
        <v>.000005</v>
      </c>
      <c r="J66" s="157">
        <f>'order transaksi cash'!S34</f>
        <v>43261</v>
      </c>
      <c r="K66" s="158" t="str">
        <f>'order transaksi cash'!U34</f>
        <v>pengembalian retur SJ.000003</v>
      </c>
      <c r="L66" s="156">
        <f>'order transaksi cash'!N34</f>
        <v>1</v>
      </c>
      <c r="M66" s="156" t="str">
        <f>'order transaksi cash'!O34</f>
        <v>IDR</v>
      </c>
      <c r="N66" s="156">
        <f>'order transaksi cash'!P34</f>
        <v>1</v>
      </c>
      <c r="O66" s="159"/>
      <c r="P66" s="159">
        <f>'order transaksi cash'!F34</f>
        <v>3300000</v>
      </c>
      <c r="Q66" s="159"/>
      <c r="R66" s="159">
        <f>N66*P66</f>
        <v>3300000</v>
      </c>
      <c r="S66" s="156">
        <v>1</v>
      </c>
      <c r="T66" s="156" t="str">
        <f>'order transaksi cash'!AB34</f>
        <v>7.3</v>
      </c>
      <c r="U66" s="156">
        <f>'order transaksi cash'!X34</f>
        <v>4</v>
      </c>
      <c r="V66" s="156" t="s">
        <v>667</v>
      </c>
      <c r="W66" s="156">
        <f>'order transaksi cash'!J34</f>
        <v>1</v>
      </c>
      <c r="X66" s="156"/>
      <c r="Y66" s="190"/>
      <c r="Z66" s="156"/>
      <c r="AA66" s="156"/>
      <c r="AB66" s="156">
        <f>'order transaksi cash'!AG34</f>
        <v>3</v>
      </c>
      <c r="AC66" s="156">
        <f>'order transaksi cash'!AH34</f>
        <v>1</v>
      </c>
      <c r="AD66" s="156"/>
      <c r="AE66" s="156"/>
    </row>
    <row r="67" spans="1:31" s="183" customFormat="1" x14ac:dyDescent="0.25">
      <c r="A67" s="179">
        <v>66</v>
      </c>
      <c r="B67" s="156"/>
      <c r="C67" s="156">
        <f>'order transaksi cash'!AD34</f>
        <v>7</v>
      </c>
      <c r="D67" s="156" t="str">
        <f>'rekening perkiraan'!E9</f>
        <v>1.2.5.7</v>
      </c>
      <c r="E67" s="156" t="str">
        <f>'rekening perkiraan'!B9</f>
        <v>piutang usaha</v>
      </c>
      <c r="F67" s="156" t="str">
        <f>'rekening perkiraan'!D9</f>
        <v>piutang dagang</v>
      </c>
      <c r="G67" s="156">
        <f>'order transaksi cash'!H34</f>
        <v>3</v>
      </c>
      <c r="H67" s="156" t="str">
        <f>'order transaksi cash'!I34</f>
        <v>CR</v>
      </c>
      <c r="I67" s="156" t="str">
        <f>'order transaksi cash'!C34</f>
        <v>.000005</v>
      </c>
      <c r="J67" s="157">
        <f>'order transaksi cash'!S34</f>
        <v>43261</v>
      </c>
      <c r="K67" s="158" t="str">
        <f>'order transaksi cash'!U34</f>
        <v>pengembalian retur SJ.000003</v>
      </c>
      <c r="L67" s="156">
        <f>'order transaksi cash'!N34</f>
        <v>1</v>
      </c>
      <c r="M67" s="156" t="str">
        <f>'order transaksi cash'!O34</f>
        <v>IDR</v>
      </c>
      <c r="N67" s="156">
        <f>'order transaksi cash'!P34</f>
        <v>1</v>
      </c>
      <c r="O67" s="159">
        <f>'order transaksi cash'!AE34</f>
        <v>3300000</v>
      </c>
      <c r="P67" s="159"/>
      <c r="Q67" s="159">
        <f>N67*O67</f>
        <v>3300000</v>
      </c>
      <c r="R67" s="159"/>
      <c r="S67" s="156">
        <v>1</v>
      </c>
      <c r="T67" s="156" t="str">
        <f>'order transaksi cash'!AB34</f>
        <v>7.3</v>
      </c>
      <c r="U67" s="156">
        <f>'order transaksi cash'!X34</f>
        <v>4</v>
      </c>
      <c r="V67" s="156" t="s">
        <v>667</v>
      </c>
      <c r="W67" s="156">
        <f>'order transaksi cash'!J34</f>
        <v>1</v>
      </c>
      <c r="X67" s="156"/>
      <c r="Y67" s="190"/>
      <c r="Z67" s="156"/>
      <c r="AA67" s="156"/>
      <c r="AB67" s="156">
        <f>'order transaksi cash'!AG34</f>
        <v>3</v>
      </c>
      <c r="AC67" s="156">
        <f>'order transaksi cash'!AH34</f>
        <v>1</v>
      </c>
      <c r="AD67" s="156"/>
      <c r="AE67" s="156"/>
    </row>
    <row r="68" spans="1:31" x14ac:dyDescent="0.25">
      <c r="A68" s="179">
        <v>67</v>
      </c>
      <c r="B68" s="194" t="str">
        <f>'Purchase Delivery'!C3</f>
        <v>26.1</v>
      </c>
      <c r="C68" s="194">
        <f>'Purchase Delivery'!AO3</f>
        <v>3</v>
      </c>
      <c r="D68" s="194" t="str">
        <f>'rekening perkiraan'!E5</f>
        <v>1.13.14.3</v>
      </c>
      <c r="E68" s="194" t="str">
        <f>'rekening perkiraan'!B5</f>
        <v>persediaan 1</v>
      </c>
      <c r="F68" s="194" t="str">
        <f>'rekening perkiraan'!D5</f>
        <v>persediaan</v>
      </c>
      <c r="G68" s="194">
        <f>'Purchase Delivery'!B3</f>
        <v>26</v>
      </c>
      <c r="H68" s="194" t="str">
        <f>'kode transaksi'!B27</f>
        <v>PD</v>
      </c>
      <c r="I68" s="194" t="str">
        <f>'Purchase Delivery'!E3</f>
        <v>.000001</v>
      </c>
      <c r="J68" s="195">
        <f>'Purchase Delivery'!P3</f>
        <v>43255</v>
      </c>
      <c r="K68" s="196" t="str">
        <f>CONCATENATE('Purchase Delivery'!U3,", ",'Purchase Delivery'!G3,", ",'Purchase Delivery'!T3)</f>
        <v>beli iPhone, djayakusuma, cempaka putih</v>
      </c>
      <c r="L68" s="194">
        <f>'Purchase Delivery'!M3</f>
        <v>1</v>
      </c>
      <c r="M68" s="194" t="str">
        <f>'data mata uang'!D3</f>
        <v>IDR</v>
      </c>
      <c r="N68" s="194">
        <f>'data mata uang'!G3</f>
        <v>1</v>
      </c>
      <c r="O68" s="197">
        <f>'Purchase Delivery'!AP3</f>
        <v>50000000</v>
      </c>
      <c r="P68" s="197"/>
      <c r="Q68" s="197">
        <f>N68*O68</f>
        <v>50000000</v>
      </c>
      <c r="R68" s="197"/>
      <c r="S68" s="194">
        <v>0</v>
      </c>
      <c r="T68" s="194" t="str">
        <f>'Purchase Delivery'!L3</f>
        <v>14.1</v>
      </c>
      <c r="U68" s="194">
        <f>'Purchase Delivery'!Z3</f>
        <v>4</v>
      </c>
      <c r="V68" s="194">
        <f>'Purchase Delivery'!S3</f>
        <v>1</v>
      </c>
      <c r="W68" s="194">
        <f>'Purchase Delivery'!F3</f>
        <v>7</v>
      </c>
      <c r="X68" s="194">
        <f>'Purchase Delivery'!V3</f>
        <v>0</v>
      </c>
      <c r="Y68" s="198">
        <f>'Purchase Delivery'!W3</f>
        <v>0</v>
      </c>
      <c r="Z68" s="141"/>
      <c r="AA68" s="141"/>
      <c r="AB68" s="141">
        <f>'Purchase Delivery'!AY3</f>
        <v>1</v>
      </c>
      <c r="AC68" s="141">
        <f>'Purchase Delivery'!AZ3</f>
        <v>1</v>
      </c>
      <c r="AD68" s="17"/>
      <c r="AE68" s="17"/>
    </row>
    <row r="69" spans="1:31" x14ac:dyDescent="0.25">
      <c r="A69" s="179">
        <v>68</v>
      </c>
      <c r="B69" s="141" t="str">
        <f>'Purchase Delivery'!C3</f>
        <v>26.1</v>
      </c>
      <c r="C69" s="141">
        <f>'Purchase Delivery'!AR3</f>
        <v>4</v>
      </c>
      <c r="D69" s="141" t="str">
        <f>'rekening perkiraan'!E6</f>
        <v>1.13.14.4</v>
      </c>
      <c r="E69" s="141" t="str">
        <f>'rekening perkiraan'!B6</f>
        <v>persediaan dalam perjalanan beli</v>
      </c>
      <c r="F69" s="141" t="str">
        <f>'rekening perkiraan'!D6</f>
        <v>persediaan</v>
      </c>
      <c r="G69" s="141">
        <f>'Purchase Delivery'!B3</f>
        <v>26</v>
      </c>
      <c r="H69" s="141" t="str">
        <f>'kode transaksi'!B27</f>
        <v>PD</v>
      </c>
      <c r="I69" s="141" t="str">
        <f>'Purchase Delivery'!E3</f>
        <v>.000001</v>
      </c>
      <c r="J69" s="142">
        <f>'Purchase Delivery'!P3</f>
        <v>43255</v>
      </c>
      <c r="K69" s="143" t="str">
        <f>CONCATENATE('Purchase Delivery'!U3,", ",'Purchase Delivery'!G3,", ",'Purchase Delivery'!T3)</f>
        <v>beli iPhone, djayakusuma, cempaka putih</v>
      </c>
      <c r="L69" s="141">
        <f>'Purchase Delivery'!M3</f>
        <v>1</v>
      </c>
      <c r="M69" s="141" t="str">
        <f>'data mata uang'!D3</f>
        <v>IDR</v>
      </c>
      <c r="N69" s="141">
        <f>'data mata uang'!G3</f>
        <v>1</v>
      </c>
      <c r="O69" s="144"/>
      <c r="P69" s="144">
        <f>'Purchase Delivery'!AT3</f>
        <v>50000000</v>
      </c>
      <c r="Q69" s="144"/>
      <c r="R69" s="144">
        <f>N69*P69</f>
        <v>50000000</v>
      </c>
      <c r="S69" s="141">
        <v>0</v>
      </c>
      <c r="T69" s="141" t="str">
        <f>'Purchase Delivery'!L3</f>
        <v>14.1</v>
      </c>
      <c r="U69" s="141">
        <f>'Purchase Delivery'!Z3</f>
        <v>4</v>
      </c>
      <c r="V69" s="141">
        <f>'Purchase Delivery'!S3</f>
        <v>1</v>
      </c>
      <c r="W69" s="141">
        <f>'Purchase Delivery'!F3</f>
        <v>7</v>
      </c>
      <c r="X69" s="141">
        <f>'Purchase Delivery'!V3</f>
        <v>0</v>
      </c>
      <c r="Y69" s="189">
        <f>'Purchase Delivery'!W3</f>
        <v>0</v>
      </c>
      <c r="Z69" s="141"/>
      <c r="AA69" s="141"/>
      <c r="AB69" s="141">
        <f>'Purchase Delivery'!AY3</f>
        <v>1</v>
      </c>
      <c r="AC69" s="141">
        <f>'Purchase Delivery'!AZ3</f>
        <v>1</v>
      </c>
      <c r="AD69" s="17"/>
      <c r="AE69" s="17"/>
    </row>
    <row r="70" spans="1:31" s="183" customFormat="1" x14ac:dyDescent="0.25">
      <c r="A70" s="179">
        <v>69</v>
      </c>
      <c r="B70" s="217" t="str">
        <f>'Purchase Delivery'!C4</f>
        <v>26.2</v>
      </c>
      <c r="C70" s="217">
        <f>'Purchase Delivery'!AO4</f>
        <v>3</v>
      </c>
      <c r="D70" s="217" t="str">
        <f>'rekening perkiraan'!E5</f>
        <v>1.13.14.3</v>
      </c>
      <c r="E70" s="217" t="str">
        <f>'rekening perkiraan'!B5</f>
        <v>persediaan 1</v>
      </c>
      <c r="F70" s="217" t="str">
        <f>'rekening perkiraan'!D5</f>
        <v>persediaan</v>
      </c>
      <c r="G70" s="217">
        <f>'Purchase Delivery'!B4</f>
        <v>26</v>
      </c>
      <c r="H70" s="217" t="str">
        <f>'kode transaksi'!B27</f>
        <v>PD</v>
      </c>
      <c r="I70" s="217" t="str">
        <f>'Purchase Delivery'!E4</f>
        <v>.000002</v>
      </c>
      <c r="J70" s="218">
        <f>'Purchase Delivery'!P4</f>
        <v>43256</v>
      </c>
      <c r="K70" s="219" t="str">
        <f>CONCATENATE('Purchase Delivery'!U4,", ",'Purchase Delivery'!G4,", ",'Purchase Delivery'!T4)</f>
        <v>beli tambahan casing, dodi kusuma, cempaka putih</v>
      </c>
      <c r="L70" s="217">
        <f>'Purchase Delivery'!M4</f>
        <v>1</v>
      </c>
      <c r="M70" s="217" t="str">
        <f>'data mata uang'!D3</f>
        <v>IDR</v>
      </c>
      <c r="N70" s="217">
        <f>'data mata uang'!G3</f>
        <v>1</v>
      </c>
      <c r="O70" s="220">
        <f>'Purchase Delivery'!AP4</f>
        <v>3000000</v>
      </c>
      <c r="P70" s="220"/>
      <c r="Q70" s="220">
        <f>N70*O70</f>
        <v>3000000</v>
      </c>
      <c r="R70" s="220"/>
      <c r="S70" s="217">
        <v>0</v>
      </c>
      <c r="T70" s="217" t="str">
        <f>'Purchase Delivery'!L4</f>
        <v>26.2</v>
      </c>
      <c r="U70" s="217">
        <f>'Purchase Delivery'!Z4</f>
        <v>4</v>
      </c>
      <c r="V70" s="217">
        <f>'Purchase Delivery'!S4</f>
        <v>1</v>
      </c>
      <c r="W70" s="217">
        <f>'Purchase Delivery'!F4</f>
        <v>8</v>
      </c>
      <c r="X70" s="217">
        <f>'Purchase Delivery'!V4</f>
        <v>0</v>
      </c>
      <c r="Y70" s="221">
        <f>'Purchase Delivery'!W4</f>
        <v>0</v>
      </c>
      <c r="Z70" s="179"/>
      <c r="AA70" s="179"/>
      <c r="AB70" s="179">
        <f>'Purchase Delivery'!AY4</f>
        <v>1</v>
      </c>
      <c r="AC70" s="179">
        <f>'Purchase Delivery'!AZ4</f>
        <v>1</v>
      </c>
      <c r="AD70" s="179"/>
      <c r="AE70" s="179"/>
    </row>
    <row r="71" spans="1:31" s="183" customFormat="1" x14ac:dyDescent="0.25">
      <c r="A71" s="179">
        <v>70</v>
      </c>
      <c r="B71" s="179" t="str">
        <f>'Purchase Delivery'!C4</f>
        <v>26.2</v>
      </c>
      <c r="C71" s="179">
        <f>'Purchase Delivery'!AR4</f>
        <v>4</v>
      </c>
      <c r="D71" s="179" t="str">
        <f>'rekening perkiraan'!E6</f>
        <v>1.13.14.4</v>
      </c>
      <c r="E71" s="179" t="str">
        <f>'rekening perkiraan'!B6</f>
        <v>persediaan dalam perjalanan beli</v>
      </c>
      <c r="F71" s="179" t="str">
        <f>'rekening perkiraan'!D6</f>
        <v>persediaan</v>
      </c>
      <c r="G71" s="179">
        <f>'Purchase Delivery'!B4</f>
        <v>26</v>
      </c>
      <c r="H71" s="179" t="str">
        <f>'kode transaksi'!B27</f>
        <v>PD</v>
      </c>
      <c r="I71" s="179" t="str">
        <f>'Purchase Delivery'!E4</f>
        <v>.000002</v>
      </c>
      <c r="J71" s="180">
        <f>'Purchase Delivery'!P4</f>
        <v>43256</v>
      </c>
      <c r="K71" s="181" t="str">
        <f>CONCATENATE('Purchase Delivery'!U4,", ",'Purchase Delivery'!G4,", ",'Purchase Delivery'!T4)</f>
        <v>beli tambahan casing, dodi kusuma, cempaka putih</v>
      </c>
      <c r="L71" s="179">
        <f>'Purchase Delivery'!M4</f>
        <v>1</v>
      </c>
      <c r="M71" s="179" t="str">
        <f>'data mata uang'!D3</f>
        <v>IDR</v>
      </c>
      <c r="N71" s="179">
        <f>'data mata uang'!G3</f>
        <v>1</v>
      </c>
      <c r="O71" s="182"/>
      <c r="P71" s="182">
        <f>'Purchase Delivery'!AT4</f>
        <v>3000000</v>
      </c>
      <c r="Q71" s="182"/>
      <c r="R71" s="182">
        <f>N71*P71</f>
        <v>3000000</v>
      </c>
      <c r="S71" s="179">
        <v>0</v>
      </c>
      <c r="T71" s="179" t="str">
        <f>'Purchase Delivery'!L4</f>
        <v>26.2</v>
      </c>
      <c r="U71" s="179">
        <f>'Purchase Delivery'!Z4</f>
        <v>4</v>
      </c>
      <c r="V71" s="179">
        <f>'Purchase Delivery'!S4</f>
        <v>1</v>
      </c>
      <c r="W71" s="179">
        <f>'Purchase Delivery'!F4</f>
        <v>8</v>
      </c>
      <c r="X71" s="179">
        <f>'Purchase Delivery'!V4</f>
        <v>0</v>
      </c>
      <c r="Y71" s="191">
        <f>'Purchase Delivery'!W4</f>
        <v>0</v>
      </c>
      <c r="Z71" s="179"/>
      <c r="AA71" s="179"/>
      <c r="AB71" s="179">
        <f>'Purchase Delivery'!AY4</f>
        <v>1</v>
      </c>
      <c r="AC71" s="179">
        <f>'Purchase Delivery'!AZ4</f>
        <v>1</v>
      </c>
      <c r="AD71" s="179"/>
      <c r="AE71" s="179"/>
    </row>
    <row r="72" spans="1:31" x14ac:dyDescent="0.25">
      <c r="A72" s="179">
        <v>71</v>
      </c>
      <c r="B72" s="141" t="str">
        <f>'Received Goods'!C3</f>
        <v>8.1</v>
      </c>
      <c r="C72" s="141">
        <f>'Received Goods'!AU3</f>
        <v>4</v>
      </c>
      <c r="D72" s="141" t="str">
        <f>'rekening perkiraan'!E6</f>
        <v>1.13.14.4</v>
      </c>
      <c r="E72" s="141" t="str">
        <f>'rekening perkiraan'!B6</f>
        <v>persediaan dalam perjalanan beli</v>
      </c>
      <c r="F72" s="141" t="str">
        <f>'rekening perkiraan'!D6</f>
        <v>persediaan</v>
      </c>
      <c r="G72" s="141">
        <f>'Received Goods'!B3</f>
        <v>8</v>
      </c>
      <c r="H72" s="141" t="str">
        <f>'kode transaksi'!B9</f>
        <v>PJ</v>
      </c>
      <c r="I72" s="141" t="str">
        <f>'Received Goods'!E3</f>
        <v>.000001</v>
      </c>
      <c r="J72" s="142">
        <f>'Received Goods'!R3</f>
        <v>43256</v>
      </c>
      <c r="K72" s="143" t="str">
        <f>CONCATENATE('Received Goods'!W3,", ",'Received Goods'!G3,", ",'Received Goods'!V3)</f>
        <v>beli iPhone, djayakusuma, cempaka putih</v>
      </c>
      <c r="L72" s="141">
        <f>'Received Goods'!O3</f>
        <v>1</v>
      </c>
      <c r="M72" s="141" t="str">
        <f>'data mata uang'!D3</f>
        <v>IDR</v>
      </c>
      <c r="N72" s="141">
        <f>'data mata uang'!G3</f>
        <v>1</v>
      </c>
      <c r="O72" s="144">
        <f>'Received Goods'!AV3</f>
        <v>50000000</v>
      </c>
      <c r="P72" s="144"/>
      <c r="Q72" s="144">
        <f>N72*O72</f>
        <v>50000000</v>
      </c>
      <c r="R72" s="144"/>
      <c r="S72" s="141">
        <v>0</v>
      </c>
      <c r="T72" s="141" t="str">
        <f>'Received Goods'!N3</f>
        <v>14.1</v>
      </c>
      <c r="U72" s="141">
        <f>'Received Goods'!AB3</f>
        <v>4</v>
      </c>
      <c r="V72" s="141">
        <f>'Received Goods'!U3</f>
        <v>1</v>
      </c>
      <c r="W72" s="141">
        <f>'Received Goods'!F3</f>
        <v>7</v>
      </c>
      <c r="X72" s="141">
        <f>'Received Goods'!X3</f>
        <v>0</v>
      </c>
      <c r="Y72" s="189">
        <f>'Received Goods'!Y3</f>
        <v>0</v>
      </c>
      <c r="Z72" s="141"/>
      <c r="AA72" s="141"/>
      <c r="AB72" s="141">
        <f>'Received Goods'!CA3</f>
        <v>1</v>
      </c>
      <c r="AC72" s="141">
        <f>'Received Goods'!CB3</f>
        <v>1</v>
      </c>
      <c r="AD72" s="17"/>
      <c r="AE72" s="17"/>
    </row>
    <row r="73" spans="1:31" x14ac:dyDescent="0.25">
      <c r="A73" s="179">
        <v>72</v>
      </c>
      <c r="B73" s="141" t="str">
        <f>'Received Goods'!C3</f>
        <v>8.1</v>
      </c>
      <c r="C73" s="141">
        <f>'Received Goods'!BD3</f>
        <v>18</v>
      </c>
      <c r="D73" s="141" t="str">
        <f>'rekening perkiraan'!E20</f>
        <v>1.18.19.18</v>
      </c>
      <c r="E73" s="141" t="str">
        <f>'rekening perkiraan'!B20</f>
        <v>pajak dibayar dimuka</v>
      </c>
      <c r="F73" s="141" t="str">
        <f>'rekening perkiraan'!D20</f>
        <v>biaya dibayar dimuka</v>
      </c>
      <c r="G73" s="141">
        <f>'Received Goods'!B3</f>
        <v>8</v>
      </c>
      <c r="H73" s="141" t="str">
        <f>'kode transaksi'!B9</f>
        <v>PJ</v>
      </c>
      <c r="I73" s="141" t="str">
        <f>'Received Goods'!E3</f>
        <v>.000001</v>
      </c>
      <c r="J73" s="142">
        <f>'Received Goods'!R3</f>
        <v>43256</v>
      </c>
      <c r="K73" s="143" t="str">
        <f>CONCATENATE('Received Goods'!W3,", ",'Received Goods'!G3,", ",'Received Goods'!V3)</f>
        <v>beli iPhone, djayakusuma, cempaka putih</v>
      </c>
      <c r="L73" s="141">
        <f>'Received Goods'!O3</f>
        <v>1</v>
      </c>
      <c r="M73" s="141" t="str">
        <f>'data mata uang'!D3</f>
        <v>IDR</v>
      </c>
      <c r="N73" s="141">
        <f>'data mata uang'!G3</f>
        <v>1</v>
      </c>
      <c r="O73" s="144">
        <f>'Received Goods'!BE3</f>
        <v>5000000</v>
      </c>
      <c r="P73" s="144"/>
      <c r="Q73" s="144">
        <f>N73*O73</f>
        <v>5000000</v>
      </c>
      <c r="R73" s="144"/>
      <c r="S73" s="141">
        <v>0</v>
      </c>
      <c r="T73" s="141" t="str">
        <f>'Received Goods'!N3</f>
        <v>14.1</v>
      </c>
      <c r="U73" s="141">
        <f>'Received Goods'!AB3</f>
        <v>4</v>
      </c>
      <c r="V73" s="141">
        <f>'Received Goods'!U3</f>
        <v>1</v>
      </c>
      <c r="W73" s="141">
        <f>'Received Goods'!F3</f>
        <v>7</v>
      </c>
      <c r="X73" s="141">
        <f>'Received Goods'!X3</f>
        <v>0</v>
      </c>
      <c r="Y73" s="189">
        <f>'Received Goods'!Y3</f>
        <v>0</v>
      </c>
      <c r="Z73" s="141"/>
      <c r="AA73" s="141"/>
      <c r="AB73" s="141">
        <f>'Received Goods'!CA3</f>
        <v>1</v>
      </c>
      <c r="AC73" s="141">
        <f>'Received Goods'!CB3</f>
        <v>1</v>
      </c>
      <c r="AD73" s="17"/>
      <c r="AE73" s="17"/>
    </row>
    <row r="74" spans="1:31" x14ac:dyDescent="0.25">
      <c r="A74" s="179">
        <v>73</v>
      </c>
      <c r="B74" s="141" t="str">
        <f>'Received Goods'!C3</f>
        <v>8.1</v>
      </c>
      <c r="C74" s="141">
        <f>'Received Goods'!BM3</f>
        <v>8</v>
      </c>
      <c r="D74" s="141" t="str">
        <f>'rekening perkiraan'!E10</f>
        <v>15.16.17.8</v>
      </c>
      <c r="E74" s="141" t="str">
        <f>'rekening perkiraan'!B10</f>
        <v>hutang usaha</v>
      </c>
      <c r="F74" s="141" t="str">
        <f>'rekening perkiraan'!D10</f>
        <v>hutang lancar</v>
      </c>
      <c r="G74" s="141">
        <f>'Received Goods'!B3</f>
        <v>8</v>
      </c>
      <c r="H74" s="141" t="str">
        <f>'kode transaksi'!B9</f>
        <v>PJ</v>
      </c>
      <c r="I74" s="141" t="str">
        <f>'Received Goods'!E3</f>
        <v>.000001</v>
      </c>
      <c r="J74" s="142">
        <f>'Received Goods'!R3</f>
        <v>43256</v>
      </c>
      <c r="K74" s="143" t="str">
        <f>CONCATENATE('Received Goods'!W3,", ",'Received Goods'!G3,", ",'Received Goods'!V3)</f>
        <v>beli iPhone, djayakusuma, cempaka putih</v>
      </c>
      <c r="L74" s="141">
        <f>'Received Goods'!O3</f>
        <v>1</v>
      </c>
      <c r="M74" s="141" t="str">
        <f>'data mata uang'!D3</f>
        <v>IDR</v>
      </c>
      <c r="N74" s="141">
        <f>'data mata uang'!G3</f>
        <v>1</v>
      </c>
      <c r="O74" s="144"/>
      <c r="P74" s="144">
        <f>'Received Goods'!BO3</f>
        <v>55000000</v>
      </c>
      <c r="Q74" s="144"/>
      <c r="R74" s="144">
        <f>N74*P74</f>
        <v>55000000</v>
      </c>
      <c r="S74" s="141">
        <v>0</v>
      </c>
      <c r="T74" s="141" t="str">
        <f>'Received Goods'!N3</f>
        <v>14.1</v>
      </c>
      <c r="U74" s="141">
        <f>'Received Goods'!AB3</f>
        <v>4</v>
      </c>
      <c r="V74" s="141">
        <f>'Received Goods'!U3</f>
        <v>1</v>
      </c>
      <c r="W74" s="141">
        <f>'Received Goods'!F3</f>
        <v>7</v>
      </c>
      <c r="X74" s="141">
        <f>'Received Goods'!X3</f>
        <v>0</v>
      </c>
      <c r="Y74" s="189">
        <f>'Received Goods'!Y3</f>
        <v>0</v>
      </c>
      <c r="Z74" s="141"/>
      <c r="AA74" s="141"/>
      <c r="AB74" s="141">
        <f>'Received Goods'!CA3</f>
        <v>1</v>
      </c>
      <c r="AC74" s="141">
        <f>'Received Goods'!CB3</f>
        <v>1</v>
      </c>
      <c r="AD74" s="17"/>
      <c r="AE74" s="17"/>
    </row>
    <row r="75" spans="1:31" x14ac:dyDescent="0.25">
      <c r="A75" s="179">
        <v>74</v>
      </c>
      <c r="B75" s="141" t="str">
        <f>'Received Goods'!C8</f>
        <v>8.8</v>
      </c>
      <c r="C75" s="141">
        <f>'Received Goods'!AU8</f>
        <v>4</v>
      </c>
      <c r="D75" s="141" t="str">
        <f>'rekening perkiraan'!E6</f>
        <v>1.13.14.4</v>
      </c>
      <c r="E75" s="141" t="str">
        <f>'rekening perkiraan'!B6</f>
        <v>persediaan dalam perjalanan beli</v>
      </c>
      <c r="F75" s="141" t="str">
        <f>'rekening perkiraan'!D6</f>
        <v>persediaan</v>
      </c>
      <c r="G75" s="141">
        <f>'Received Goods'!B8</f>
        <v>8</v>
      </c>
      <c r="H75" s="141" t="str">
        <f>'kode transaksi'!B9</f>
        <v>PJ</v>
      </c>
      <c r="I75" s="141" t="str">
        <f>'Received Goods'!E8</f>
        <v>.000006</v>
      </c>
      <c r="J75" s="142">
        <f>'Received Goods'!R8</f>
        <v>43257</v>
      </c>
      <c r="K75" s="143" t="str">
        <f>CONCATENATE('Received Goods'!W8,", ",'Received Goods'!G8,", ",'Received Goods'!V8)</f>
        <v>beli tambahan casing, dodi kusuma, cempaka putih</v>
      </c>
      <c r="L75" s="141">
        <f>'Received Goods'!O8</f>
        <v>1</v>
      </c>
      <c r="M75" s="141" t="str">
        <f>'data mata uang'!D3</f>
        <v>IDR</v>
      </c>
      <c r="N75" s="141">
        <f>'data mata uang'!G3</f>
        <v>1</v>
      </c>
      <c r="O75" s="144">
        <f>'Received Goods'!AV8</f>
        <v>3000000</v>
      </c>
      <c r="P75" s="144"/>
      <c r="Q75" s="144">
        <f>N75*O75</f>
        <v>3000000</v>
      </c>
      <c r="R75" s="144"/>
      <c r="S75" s="141">
        <v>0</v>
      </c>
      <c r="T75" s="141" t="str">
        <f>'Received Goods'!N8</f>
        <v>26.2</v>
      </c>
      <c r="U75" s="141">
        <f>'Received Goods'!AB8</f>
        <v>5</v>
      </c>
      <c r="V75" s="141">
        <f>'Received Goods'!U8</f>
        <v>1</v>
      </c>
      <c r="W75" s="141">
        <f>'Received Goods'!F8</f>
        <v>8</v>
      </c>
      <c r="X75" s="141">
        <f>'Received Goods'!X8</f>
        <v>0</v>
      </c>
      <c r="Y75" s="189">
        <f>'Received Goods'!Y8</f>
        <v>0</v>
      </c>
      <c r="Z75" s="141"/>
      <c r="AA75" s="141"/>
      <c r="AB75" s="141">
        <f>'Received Goods'!CA8</f>
        <v>2</v>
      </c>
      <c r="AC75" s="141">
        <f>'Received Goods'!CB8</f>
        <v>1</v>
      </c>
      <c r="AD75" s="17"/>
      <c r="AE75" s="17"/>
    </row>
    <row r="76" spans="1:31" x14ac:dyDescent="0.25">
      <c r="A76" s="179">
        <v>75</v>
      </c>
      <c r="B76" s="141" t="str">
        <f>'Received Goods'!C8</f>
        <v>8.8</v>
      </c>
      <c r="C76" s="141">
        <f>'Received Goods'!BD8</f>
        <v>18</v>
      </c>
      <c r="D76" s="141" t="str">
        <f>'rekening perkiraan'!E20</f>
        <v>1.18.19.18</v>
      </c>
      <c r="E76" s="141" t="str">
        <f>'rekening perkiraan'!B20</f>
        <v>pajak dibayar dimuka</v>
      </c>
      <c r="F76" s="141" t="str">
        <f>'rekening perkiraan'!D20</f>
        <v>biaya dibayar dimuka</v>
      </c>
      <c r="G76" s="141">
        <f>'Received Goods'!B8</f>
        <v>8</v>
      </c>
      <c r="H76" s="141" t="str">
        <f>'kode transaksi'!B9</f>
        <v>PJ</v>
      </c>
      <c r="I76" s="141" t="str">
        <f>'Received Goods'!E8</f>
        <v>.000006</v>
      </c>
      <c r="J76" s="142">
        <f>'Received Goods'!R8</f>
        <v>43257</v>
      </c>
      <c r="K76" s="143" t="str">
        <f>CONCATENATE('Received Goods'!W8,", ",'Received Goods'!G8,", ",'Received Goods'!V8)</f>
        <v>beli tambahan casing, dodi kusuma, cempaka putih</v>
      </c>
      <c r="L76" s="141">
        <f>'Received Goods'!O8</f>
        <v>1</v>
      </c>
      <c r="M76" s="141" t="str">
        <f>'data mata uang'!D3</f>
        <v>IDR</v>
      </c>
      <c r="N76" s="141">
        <f>'data mata uang'!G3</f>
        <v>1</v>
      </c>
      <c r="O76" s="144">
        <f>'Received Goods'!BE8</f>
        <v>300000</v>
      </c>
      <c r="P76" s="144"/>
      <c r="Q76" s="144">
        <f>N76*O76</f>
        <v>300000</v>
      </c>
      <c r="R76" s="144"/>
      <c r="S76" s="141">
        <v>0</v>
      </c>
      <c r="T76" s="141" t="str">
        <f>'Received Goods'!N8</f>
        <v>26.2</v>
      </c>
      <c r="U76" s="141">
        <f>'Received Goods'!AB8</f>
        <v>5</v>
      </c>
      <c r="V76" s="141">
        <f>'Received Goods'!U8</f>
        <v>1</v>
      </c>
      <c r="W76" s="141">
        <f>'Received Goods'!F8</f>
        <v>8</v>
      </c>
      <c r="X76" s="141">
        <f>'Received Goods'!X8</f>
        <v>0</v>
      </c>
      <c r="Y76" s="189">
        <f>'Received Goods'!Y8</f>
        <v>0</v>
      </c>
      <c r="Z76" s="141"/>
      <c r="AA76" s="141"/>
      <c r="AB76" s="141">
        <f>'Received Goods'!CA8</f>
        <v>2</v>
      </c>
      <c r="AC76" s="141">
        <f>'Received Goods'!CB8</f>
        <v>1</v>
      </c>
      <c r="AD76" s="17"/>
      <c r="AE76" s="17"/>
    </row>
    <row r="77" spans="1:31" x14ac:dyDescent="0.25">
      <c r="A77" s="179">
        <v>76</v>
      </c>
      <c r="B77" s="141" t="str">
        <f>'Received Goods'!C8</f>
        <v>8.8</v>
      </c>
      <c r="C77" s="141">
        <f>'Received Goods'!BM8</f>
        <v>8</v>
      </c>
      <c r="D77" s="141" t="str">
        <f>'rekening perkiraan'!E10</f>
        <v>15.16.17.8</v>
      </c>
      <c r="E77" s="141" t="str">
        <f>'rekening perkiraan'!B10</f>
        <v>hutang usaha</v>
      </c>
      <c r="F77" s="141" t="str">
        <f>'rekening perkiraan'!D10</f>
        <v>hutang lancar</v>
      </c>
      <c r="G77" s="141">
        <f>'Received Goods'!B8</f>
        <v>8</v>
      </c>
      <c r="H77" s="141" t="str">
        <f>'kode transaksi'!B9</f>
        <v>PJ</v>
      </c>
      <c r="I77" s="141" t="str">
        <f>'Received Goods'!E8</f>
        <v>.000006</v>
      </c>
      <c r="J77" s="142">
        <f>'Received Goods'!R8</f>
        <v>43257</v>
      </c>
      <c r="K77" s="143" t="str">
        <f>CONCATENATE('Received Goods'!W8,", ",'Received Goods'!G8,", ",'Received Goods'!V8)</f>
        <v>beli tambahan casing, dodi kusuma, cempaka putih</v>
      </c>
      <c r="L77" s="141">
        <f>'Received Goods'!O8</f>
        <v>1</v>
      </c>
      <c r="M77" s="141" t="str">
        <f>'data mata uang'!D3</f>
        <v>IDR</v>
      </c>
      <c r="N77" s="141">
        <f>'data mata uang'!G3</f>
        <v>1</v>
      </c>
      <c r="O77" s="144"/>
      <c r="P77" s="144">
        <f>'Received Goods'!BO8</f>
        <v>3300000</v>
      </c>
      <c r="Q77" s="144"/>
      <c r="R77" s="144">
        <f>N77*P77</f>
        <v>3300000</v>
      </c>
      <c r="S77" s="141">
        <v>0</v>
      </c>
      <c r="T77" s="141" t="str">
        <f>'Received Goods'!N8</f>
        <v>26.2</v>
      </c>
      <c r="U77" s="141">
        <f>'Received Goods'!AB8</f>
        <v>5</v>
      </c>
      <c r="V77" s="141">
        <f>'Received Goods'!U8</f>
        <v>1</v>
      </c>
      <c r="W77" s="141">
        <f>'Received Goods'!F8</f>
        <v>8</v>
      </c>
      <c r="X77" s="141">
        <f>'Received Goods'!X8</f>
        <v>0</v>
      </c>
      <c r="Y77" s="189">
        <f>'Received Goods'!Y8</f>
        <v>0</v>
      </c>
      <c r="Z77" s="141"/>
      <c r="AA77" s="141"/>
      <c r="AB77" s="141">
        <f>'Received Goods'!CA8</f>
        <v>2</v>
      </c>
      <c r="AC77" s="141">
        <f>'Received Goods'!CB8</f>
        <v>1</v>
      </c>
      <c r="AD77" s="17"/>
      <c r="AE77" s="17"/>
    </row>
    <row r="78" spans="1:31" x14ac:dyDescent="0.25">
      <c r="A78" s="179">
        <v>77</v>
      </c>
      <c r="B78" s="156"/>
      <c r="C78" s="156">
        <f>'order transaksi cash'!D29</f>
        <v>6</v>
      </c>
      <c r="D78" s="156" t="str">
        <f>'rekening perkiraan'!E8</f>
        <v>1.2.4.6</v>
      </c>
      <c r="E78" s="156" t="str">
        <f>'rekening perkiraan'!B8</f>
        <v>bank</v>
      </c>
      <c r="F78" s="156" t="str">
        <f>'rekening perkiraan'!D8</f>
        <v>bank</v>
      </c>
      <c r="G78" s="156">
        <f>'order transaksi cash'!H29</f>
        <v>2</v>
      </c>
      <c r="H78" s="156" t="str">
        <f>'kode transaksi'!B3</f>
        <v>CD</v>
      </c>
      <c r="I78" s="156" t="str">
        <f>'order transaksi cash'!C29</f>
        <v>.000001</v>
      </c>
      <c r="J78" s="157">
        <f>'order transaksi cash'!S29</f>
        <v>43257</v>
      </c>
      <c r="K78" s="158" t="str">
        <f>'order transaksi cash'!U29</f>
        <v>pembayaran bertahap PJ.000001</v>
      </c>
      <c r="L78" s="156">
        <f>'order transaksi cash'!N29</f>
        <v>1</v>
      </c>
      <c r="M78" s="156" t="str">
        <f>'order transaksi cash'!O29</f>
        <v>IDR</v>
      </c>
      <c r="N78" s="156">
        <f>'order transaksi cash'!P29</f>
        <v>1</v>
      </c>
      <c r="O78" s="159"/>
      <c r="P78" s="159">
        <f>'order transaksi cash'!F29</f>
        <v>22000000</v>
      </c>
      <c r="Q78" s="159"/>
      <c r="R78" s="159">
        <f>N78*P78</f>
        <v>22000000</v>
      </c>
      <c r="S78" s="156">
        <v>1</v>
      </c>
      <c r="T78" s="156" t="e">
        <f>'order transaksi cash'!#REF!</f>
        <v>#REF!</v>
      </c>
      <c r="U78" s="156">
        <f>'order transaksi cash'!X29</f>
        <v>4</v>
      </c>
      <c r="V78" s="156" t="s">
        <v>667</v>
      </c>
      <c r="W78" s="156">
        <f>'order transaksi cash'!J29</f>
        <v>7</v>
      </c>
      <c r="X78" s="156"/>
      <c r="Y78" s="190"/>
      <c r="Z78" s="156"/>
      <c r="AA78" s="156"/>
      <c r="AB78" s="156">
        <f>'order transaksi cash'!AG29</f>
        <v>1</v>
      </c>
      <c r="AC78" s="156">
        <f>'order transaksi cash'!AH29</f>
        <v>1</v>
      </c>
      <c r="AD78" s="156"/>
      <c r="AE78" s="156"/>
    </row>
    <row r="79" spans="1:31" x14ac:dyDescent="0.25">
      <c r="A79" s="179">
        <v>78</v>
      </c>
      <c r="B79" s="156"/>
      <c r="C79" s="156">
        <f>'order transaksi cash'!AD29</f>
        <v>8</v>
      </c>
      <c r="D79" s="156" t="str">
        <f>'rekening perkiraan'!E10</f>
        <v>15.16.17.8</v>
      </c>
      <c r="E79" s="156" t="str">
        <f>'rekening perkiraan'!B10</f>
        <v>hutang usaha</v>
      </c>
      <c r="F79" s="156" t="str">
        <f>'rekening perkiraan'!D10</f>
        <v>hutang lancar</v>
      </c>
      <c r="G79" s="156">
        <f>'order transaksi cash'!H29</f>
        <v>2</v>
      </c>
      <c r="H79" s="156" t="str">
        <f>'kode transaksi'!B3</f>
        <v>CD</v>
      </c>
      <c r="I79" s="156" t="str">
        <f>'order transaksi cash'!C29</f>
        <v>.000001</v>
      </c>
      <c r="J79" s="157">
        <f>'order transaksi cash'!S29</f>
        <v>43257</v>
      </c>
      <c r="K79" s="158" t="str">
        <f>'order transaksi cash'!U29</f>
        <v>pembayaran bertahap PJ.000001</v>
      </c>
      <c r="L79" s="156">
        <f>'order transaksi cash'!N29</f>
        <v>1</v>
      </c>
      <c r="M79" s="156" t="str">
        <f>'order transaksi cash'!O29</f>
        <v>IDR</v>
      </c>
      <c r="N79" s="156">
        <f>'order transaksi cash'!P29</f>
        <v>1</v>
      </c>
      <c r="O79" s="159">
        <f>'order transaksi cash'!AE29</f>
        <v>22000000</v>
      </c>
      <c r="P79" s="159"/>
      <c r="Q79" s="159">
        <f>N79*O79</f>
        <v>22000000</v>
      </c>
      <c r="R79" s="159"/>
      <c r="S79" s="156">
        <v>1</v>
      </c>
      <c r="T79" s="156" t="str">
        <f>'order transaksi cash'!AB29</f>
        <v>14.1</v>
      </c>
      <c r="U79" s="156">
        <f>'order transaksi cash'!X29</f>
        <v>4</v>
      </c>
      <c r="V79" s="156" t="s">
        <v>667</v>
      </c>
      <c r="W79" s="156">
        <f>'order transaksi cash'!J29</f>
        <v>7</v>
      </c>
      <c r="X79" s="156"/>
      <c r="Y79" s="190"/>
      <c r="Z79" s="156"/>
      <c r="AA79" s="156"/>
      <c r="AB79" s="156">
        <f>'user id'!A2</f>
        <v>1</v>
      </c>
      <c r="AC79" s="156">
        <f>'order transaksi cash'!AH29</f>
        <v>1</v>
      </c>
      <c r="AD79" s="156"/>
      <c r="AE79" s="156"/>
    </row>
    <row r="80" spans="1:31" s="183" customFormat="1" x14ac:dyDescent="0.25">
      <c r="A80" s="179">
        <v>79</v>
      </c>
      <c r="B80" s="156"/>
      <c r="C80" s="156">
        <f>'order transaksi cash'!D30</f>
        <v>24</v>
      </c>
      <c r="D80" s="156" t="str">
        <f>'rekening perkiraan'!E26</f>
        <v>1.2.5.24</v>
      </c>
      <c r="E80" s="156" t="str">
        <f>'rekening perkiraan'!B26</f>
        <v>piutang giro</v>
      </c>
      <c r="F80" s="156" t="str">
        <f>'rekening perkiraan'!D26</f>
        <v>piutang dagang</v>
      </c>
      <c r="G80" s="156">
        <f>'order transaksi cash'!H30</f>
        <v>2</v>
      </c>
      <c r="H80" s="156" t="str">
        <f>'kode transaksi'!B3</f>
        <v>CD</v>
      </c>
      <c r="I80" s="156" t="str">
        <f>'order transaksi cash'!C30</f>
        <v>.000002</v>
      </c>
      <c r="J80" s="157">
        <f>'order transaksi cash'!S30</f>
        <v>43258</v>
      </c>
      <c r="K80" s="158" t="str">
        <f>'order transaksi cash'!U30</f>
        <v>pembayaran PJ.000001 dgn giro</v>
      </c>
      <c r="L80" s="156"/>
      <c r="M80" s="156"/>
      <c r="N80" s="156">
        <v>1</v>
      </c>
      <c r="O80" s="159"/>
      <c r="P80" s="159">
        <f>'order transaksi cash'!F30</f>
        <v>33000000</v>
      </c>
      <c r="Q80" s="159"/>
      <c r="R80" s="159">
        <f>N80*P80</f>
        <v>33000000</v>
      </c>
      <c r="S80" s="156">
        <v>0</v>
      </c>
      <c r="T80" s="156" t="e">
        <f>'order transaksi cash'!#REF!</f>
        <v>#REF!</v>
      </c>
      <c r="U80" s="156">
        <f>'order transaksi cash'!X30</f>
        <v>5</v>
      </c>
      <c r="V80" s="156" t="s">
        <v>667</v>
      </c>
      <c r="W80" s="156">
        <f>'order transaksi cash'!J30</f>
        <v>7</v>
      </c>
      <c r="X80" s="156"/>
      <c r="Y80" s="190"/>
      <c r="Z80" s="156"/>
      <c r="AA80" s="156"/>
      <c r="AB80" s="156">
        <f>'order transaksi cash'!AG30</f>
        <v>2</v>
      </c>
      <c r="AC80" s="156">
        <f>'order transaksi cash'!AH30</f>
        <v>1</v>
      </c>
      <c r="AD80" s="156"/>
      <c r="AE80" s="156"/>
    </row>
    <row r="81" spans="1:31" x14ac:dyDescent="0.25">
      <c r="A81" s="179">
        <v>80</v>
      </c>
      <c r="B81" s="156"/>
      <c r="C81" s="156">
        <f>'order transaksi cash'!AD30</f>
        <v>8</v>
      </c>
      <c r="D81" s="156" t="str">
        <f>'rekening perkiraan'!E10</f>
        <v>15.16.17.8</v>
      </c>
      <c r="E81" s="156" t="str">
        <f>'rekening perkiraan'!B10</f>
        <v>hutang usaha</v>
      </c>
      <c r="F81" s="156" t="str">
        <f>'rekening perkiraan'!D10</f>
        <v>hutang lancar</v>
      </c>
      <c r="G81" s="156">
        <f>'order transaksi cash'!H30</f>
        <v>2</v>
      </c>
      <c r="H81" s="156" t="str">
        <f>'kode transaksi'!B3</f>
        <v>CD</v>
      </c>
      <c r="I81" s="156" t="str">
        <f>'order transaksi cash'!C30</f>
        <v>.000002</v>
      </c>
      <c r="J81" s="157">
        <f>'order transaksi cash'!S30</f>
        <v>43258</v>
      </c>
      <c r="K81" s="158" t="str">
        <f>'order transaksi cash'!U30</f>
        <v>pembayaran PJ.000001 dgn giro</v>
      </c>
      <c r="L81" s="156"/>
      <c r="M81" s="156"/>
      <c r="N81" s="156">
        <v>1</v>
      </c>
      <c r="O81" s="159">
        <f>'order transaksi cash'!AE30</f>
        <v>33000000</v>
      </c>
      <c r="P81" s="159"/>
      <c r="Q81" s="159">
        <f>N81*O81</f>
        <v>33000000</v>
      </c>
      <c r="R81" s="159"/>
      <c r="S81" s="156">
        <v>0</v>
      </c>
      <c r="T81" s="156" t="str">
        <f>'order transaksi cash'!AB30</f>
        <v>14.1</v>
      </c>
      <c r="U81" s="156">
        <f>'order transaksi cash'!X30</f>
        <v>5</v>
      </c>
      <c r="V81" s="156" t="s">
        <v>667</v>
      </c>
      <c r="W81" s="156">
        <f>'order transaksi cash'!J30</f>
        <v>7</v>
      </c>
      <c r="X81" s="156"/>
      <c r="Y81" s="190"/>
      <c r="Z81" s="156"/>
      <c r="AA81" s="156"/>
      <c r="AB81" s="156">
        <f>'user id'!A3</f>
        <v>2</v>
      </c>
      <c r="AC81" s="156">
        <f>'order transaksi cash'!AH30</f>
        <v>1</v>
      </c>
      <c r="AD81" s="156"/>
      <c r="AE81" s="156"/>
    </row>
    <row r="82" spans="1:31" s="183" customFormat="1" x14ac:dyDescent="0.25">
      <c r="A82" s="179">
        <v>81</v>
      </c>
      <c r="B82" s="156"/>
      <c r="C82" s="156">
        <f>'order transaksi cash'!D31</f>
        <v>9</v>
      </c>
      <c r="D82" s="156" t="str">
        <f>'rekening perkiraan'!E11</f>
        <v>1.2.3.9</v>
      </c>
      <c r="E82" s="156" t="str">
        <f>'rekening perkiraan'!B11</f>
        <v>kas</v>
      </c>
      <c r="F82" s="156" t="str">
        <f>'rekening perkiraan'!D11</f>
        <v>kas</v>
      </c>
      <c r="G82" s="156">
        <f>'order transaksi cash'!H31</f>
        <v>2</v>
      </c>
      <c r="H82" s="156" t="str">
        <f>'kode transaksi'!B3</f>
        <v>CD</v>
      </c>
      <c r="I82" s="156" t="str">
        <f>'order transaksi cash'!C31</f>
        <v>.000004</v>
      </c>
      <c r="J82" s="157">
        <f>'order transaksi cash'!S31</f>
        <v>43264</v>
      </c>
      <c r="K82" s="158" t="str">
        <f>'order transaksi cash'!U31</f>
        <v>pencairan giro keluar</v>
      </c>
      <c r="L82" s="156">
        <f>'order transaksi cash'!N31</f>
        <v>1</v>
      </c>
      <c r="M82" s="156" t="str">
        <f>'order transaksi cash'!O31</f>
        <v>IDR</v>
      </c>
      <c r="N82" s="156">
        <f>'order transaksi cash'!P31</f>
        <v>1</v>
      </c>
      <c r="O82" s="159"/>
      <c r="P82" s="159">
        <f>'order transaksi cash'!F31</f>
        <v>33000000</v>
      </c>
      <c r="Q82" s="159"/>
      <c r="R82" s="159">
        <f>N82*P82</f>
        <v>33000000</v>
      </c>
      <c r="S82" s="156">
        <v>1</v>
      </c>
      <c r="T82" s="156" t="e">
        <f>'order transaksi cash'!#REF!</f>
        <v>#REF!</v>
      </c>
      <c r="U82" s="156">
        <f>'order transaksi cash'!X31</f>
        <v>5</v>
      </c>
      <c r="V82" s="156" t="s">
        <v>667</v>
      </c>
      <c r="W82" s="156">
        <f>'order transaksi cash'!J31</f>
        <v>7</v>
      </c>
      <c r="X82" s="156"/>
      <c r="Y82" s="190"/>
      <c r="Z82" s="156"/>
      <c r="AA82" s="156"/>
      <c r="AB82" s="156">
        <f>'order transaksi cash'!AG31</f>
        <v>2</v>
      </c>
      <c r="AC82" s="156">
        <f>'order transaksi cash'!AH31</f>
        <v>1</v>
      </c>
      <c r="AD82" s="156"/>
      <c r="AE82" s="156"/>
    </row>
    <row r="83" spans="1:31" s="183" customFormat="1" x14ac:dyDescent="0.25">
      <c r="A83" s="179">
        <v>82</v>
      </c>
      <c r="B83" s="156"/>
      <c r="C83" s="156">
        <f>'order transaksi cash'!AD31</f>
        <v>24</v>
      </c>
      <c r="D83" s="156" t="str">
        <f>'rekening perkiraan'!E26</f>
        <v>1.2.5.24</v>
      </c>
      <c r="E83" s="156" t="str">
        <f>'rekening perkiraan'!B26</f>
        <v>piutang giro</v>
      </c>
      <c r="F83" s="156" t="str">
        <f>'rekening perkiraan'!D26</f>
        <v>piutang dagang</v>
      </c>
      <c r="G83" s="156">
        <f>'order transaksi cash'!H31</f>
        <v>2</v>
      </c>
      <c r="H83" s="156" t="str">
        <f>'kode transaksi'!B3</f>
        <v>CD</v>
      </c>
      <c r="I83" s="156" t="str">
        <f>'order transaksi cash'!C31</f>
        <v>.000004</v>
      </c>
      <c r="J83" s="157">
        <f>'order transaksi cash'!S31</f>
        <v>43264</v>
      </c>
      <c r="K83" s="158" t="str">
        <f>'order transaksi cash'!U31</f>
        <v>pencairan giro keluar</v>
      </c>
      <c r="L83" s="156">
        <f>'order transaksi cash'!N31</f>
        <v>1</v>
      </c>
      <c r="M83" s="156" t="str">
        <f>'order transaksi cash'!O31</f>
        <v>IDR</v>
      </c>
      <c r="N83" s="156">
        <f>'order transaksi cash'!P31</f>
        <v>1</v>
      </c>
      <c r="O83" s="159">
        <f>'order transaksi cash'!AE31</f>
        <v>33000000</v>
      </c>
      <c r="P83" s="159"/>
      <c r="Q83" s="159">
        <f>N83*O83</f>
        <v>33000000</v>
      </c>
      <c r="R83" s="159"/>
      <c r="S83" s="156">
        <v>1</v>
      </c>
      <c r="T83" s="156" t="str">
        <f>'order transaksi cash'!AB31</f>
        <v>2.2</v>
      </c>
      <c r="U83" s="156">
        <f>'order transaksi cash'!X31</f>
        <v>5</v>
      </c>
      <c r="V83" s="156" t="s">
        <v>667</v>
      </c>
      <c r="W83" s="156">
        <f>'order transaksi cash'!J31</f>
        <v>7</v>
      </c>
      <c r="X83" s="156"/>
      <c r="Y83" s="190"/>
      <c r="Z83" s="156"/>
      <c r="AA83" s="156"/>
      <c r="AB83" s="156">
        <f>'user id'!A4</f>
        <v>3</v>
      </c>
      <c r="AC83" s="156">
        <f>'order transaksi cash'!AH31</f>
        <v>1</v>
      </c>
      <c r="AD83" s="156"/>
      <c r="AE83" s="156"/>
    </row>
    <row r="84" spans="1:31" x14ac:dyDescent="0.25">
      <c r="A84" s="179">
        <v>83</v>
      </c>
      <c r="B84" s="141" t="str">
        <f>'Received Goods'!C4</f>
        <v>8.2</v>
      </c>
      <c r="C84" s="141">
        <f>'Received Goods'!AR4</f>
        <v>3</v>
      </c>
      <c r="D84" s="141" t="str">
        <f>'rekening perkiraan'!E5</f>
        <v>1.13.14.3</v>
      </c>
      <c r="E84" s="141" t="str">
        <f>'rekening perkiraan'!B5</f>
        <v>persediaan 1</v>
      </c>
      <c r="F84" s="141" t="str">
        <f>'rekening perkiraan'!D5</f>
        <v>persediaan</v>
      </c>
      <c r="G84" s="141">
        <f>'Received Goods'!B4</f>
        <v>8</v>
      </c>
      <c r="H84" s="141" t="str">
        <f>'kode transaksi'!B9</f>
        <v>PJ</v>
      </c>
      <c r="I84" s="141" t="str">
        <f>'Received Goods'!E4</f>
        <v>.000002</v>
      </c>
      <c r="J84" s="142">
        <f>'Received Goods'!R4</f>
        <v>43257</v>
      </c>
      <c r="K84" s="143" t="str">
        <f>CONCATENATE('Received Goods'!W4,", ",'Received Goods'!G4,", ",'Received Goods'!V4)</f>
        <v>beli casing, dodi kusuma, komplek timah</v>
      </c>
      <c r="L84" s="141">
        <f>'Received Goods'!O4</f>
        <v>1</v>
      </c>
      <c r="M84" s="141" t="str">
        <f>'data mata uang'!D3</f>
        <v>IDR</v>
      </c>
      <c r="N84" s="141">
        <f>'data mata uang'!G3</f>
        <v>1</v>
      </c>
      <c r="O84" s="144">
        <f>'Received Goods'!AS4</f>
        <v>5000000</v>
      </c>
      <c r="P84" s="144"/>
      <c r="Q84" s="144">
        <f>N84*O84</f>
        <v>5000000</v>
      </c>
      <c r="R84" s="144"/>
      <c r="S84" s="141">
        <v>1</v>
      </c>
      <c r="T84" s="141" t="str">
        <f>'Received Goods'!N4</f>
        <v>8.2</v>
      </c>
      <c r="U84" s="141">
        <f>'Received Goods'!AB4</f>
        <v>5</v>
      </c>
      <c r="V84" s="141">
        <f>'Received Goods'!U4</f>
        <v>2</v>
      </c>
      <c r="W84" s="141">
        <f>'Received Goods'!F4</f>
        <v>8</v>
      </c>
      <c r="X84" s="141">
        <f>'Received Goods'!X4</f>
        <v>0</v>
      </c>
      <c r="Y84" s="189">
        <f>'Received Goods'!Y4</f>
        <v>0</v>
      </c>
      <c r="Z84" s="141"/>
      <c r="AA84" s="141"/>
      <c r="AB84" s="141">
        <f>'Received Goods'!CA4</f>
        <v>2</v>
      </c>
      <c r="AC84" s="141">
        <f>'Received Goods'!CB4</f>
        <v>1</v>
      </c>
      <c r="AD84" s="17"/>
      <c r="AE84" s="17"/>
    </row>
    <row r="85" spans="1:31" x14ac:dyDescent="0.25">
      <c r="A85" s="179">
        <v>84</v>
      </c>
      <c r="B85" s="141" t="str">
        <f>'Received Goods'!C4</f>
        <v>8.2</v>
      </c>
      <c r="C85" s="141">
        <f>'Received Goods'!BD4</f>
        <v>18</v>
      </c>
      <c r="D85" s="141" t="str">
        <f>'rekening perkiraan'!E20</f>
        <v>1.18.19.18</v>
      </c>
      <c r="E85" s="141" t="str">
        <f>'rekening perkiraan'!B20</f>
        <v>pajak dibayar dimuka</v>
      </c>
      <c r="F85" s="141" t="str">
        <f>'rekening perkiraan'!D20</f>
        <v>biaya dibayar dimuka</v>
      </c>
      <c r="G85" s="141">
        <f>'Received Goods'!B4</f>
        <v>8</v>
      </c>
      <c r="H85" s="141" t="str">
        <f>'kode transaksi'!B9</f>
        <v>PJ</v>
      </c>
      <c r="I85" s="141" t="str">
        <f>'Received Goods'!E4</f>
        <v>.000002</v>
      </c>
      <c r="J85" s="142">
        <f>'Received Goods'!R4</f>
        <v>43257</v>
      </c>
      <c r="K85" s="143" t="str">
        <f>CONCATENATE('Received Goods'!W4,", ",'Received Goods'!G4,", ",'Received Goods'!V4)</f>
        <v>beli casing, dodi kusuma, komplek timah</v>
      </c>
      <c r="L85" s="141">
        <f>'Received Goods'!O4</f>
        <v>1</v>
      </c>
      <c r="M85" s="141" t="str">
        <f>'data mata uang'!D3</f>
        <v>IDR</v>
      </c>
      <c r="N85" s="141">
        <f>'data mata uang'!G3</f>
        <v>1</v>
      </c>
      <c r="O85" s="144">
        <f>'Received Goods'!BE4</f>
        <v>500000</v>
      </c>
      <c r="P85" s="144"/>
      <c r="Q85" s="144">
        <f>N85*O85</f>
        <v>500000</v>
      </c>
      <c r="R85" s="144"/>
      <c r="S85" s="141">
        <v>1</v>
      </c>
      <c r="T85" s="141" t="str">
        <f>'Received Goods'!N4</f>
        <v>8.2</v>
      </c>
      <c r="U85" s="141">
        <f>'Received Goods'!AB4</f>
        <v>5</v>
      </c>
      <c r="V85" s="141">
        <f>'Received Goods'!U4</f>
        <v>2</v>
      </c>
      <c r="W85" s="141">
        <f>'Received Goods'!F4</f>
        <v>8</v>
      </c>
      <c r="X85" s="141">
        <f>'Received Goods'!X4</f>
        <v>0</v>
      </c>
      <c r="Y85" s="189">
        <f>'Received Goods'!Y4</f>
        <v>0</v>
      </c>
      <c r="Z85" s="141"/>
      <c r="AA85" s="141"/>
      <c r="AB85" s="141">
        <f>'Received Goods'!CA4</f>
        <v>2</v>
      </c>
      <c r="AC85" s="141">
        <f>'Received Goods'!CB4</f>
        <v>1</v>
      </c>
      <c r="AD85" s="17"/>
      <c r="AE85" s="17"/>
    </row>
    <row r="86" spans="1:31" x14ac:dyDescent="0.25">
      <c r="A86" s="179">
        <v>85</v>
      </c>
      <c r="B86" s="141" t="str">
        <f>'Received Goods'!C4</f>
        <v>8.2</v>
      </c>
      <c r="C86" s="141">
        <f>'Received Goods'!AX4</f>
        <v>37</v>
      </c>
      <c r="D86" s="141" t="str">
        <f>'rekening perkiraan'!E39</f>
        <v>7.8.9.37</v>
      </c>
      <c r="E86" s="141" t="str">
        <f>'rekening perkiraan'!B39</f>
        <v>penjualan service 1</v>
      </c>
      <c r="F86" s="141" t="str">
        <f>'rekening perkiraan'!D39</f>
        <v xml:space="preserve">pendapatan usaha </v>
      </c>
      <c r="G86" s="141">
        <f>'Received Goods'!B4</f>
        <v>8</v>
      </c>
      <c r="H86" s="141" t="str">
        <f>'kode transaksi'!B9</f>
        <v>PJ</v>
      </c>
      <c r="I86" s="141" t="str">
        <f>'Received Goods'!E4</f>
        <v>.000002</v>
      </c>
      <c r="J86" s="142">
        <f>'Received Goods'!R4</f>
        <v>43257</v>
      </c>
      <c r="K86" s="143" t="str">
        <f>CONCATENATE('Received Goods'!W4,", ",'Received Goods'!G4,", ",'Received Goods'!V4)</f>
        <v>beli casing, dodi kusuma, komplek timah</v>
      </c>
      <c r="L86" s="141">
        <f>'Received Goods'!O4</f>
        <v>1</v>
      </c>
      <c r="M86" s="141" t="str">
        <f>'data mata uang'!D3</f>
        <v>IDR</v>
      </c>
      <c r="N86" s="141">
        <f>'data mata uang'!G3</f>
        <v>1</v>
      </c>
      <c r="O86" s="144">
        <f>'Received Goods'!AY4</f>
        <v>500000</v>
      </c>
      <c r="P86" s="144"/>
      <c r="Q86" s="144">
        <f>N86*O86</f>
        <v>500000</v>
      </c>
      <c r="R86" s="144"/>
      <c r="S86" s="141">
        <v>1</v>
      </c>
      <c r="T86" s="141" t="str">
        <f>'Received Goods'!N4</f>
        <v>8.2</v>
      </c>
      <c r="U86" s="141">
        <f>'Received Goods'!AB4</f>
        <v>5</v>
      </c>
      <c r="V86" s="141">
        <f>'Received Goods'!U4</f>
        <v>2</v>
      </c>
      <c r="W86" s="141">
        <f>'Received Goods'!F4</f>
        <v>8</v>
      </c>
      <c r="X86" s="141">
        <f>'Received Goods'!X4</f>
        <v>0</v>
      </c>
      <c r="Y86" s="189">
        <f>'Received Goods'!Y4</f>
        <v>0</v>
      </c>
      <c r="Z86" s="141"/>
      <c r="AA86" s="141"/>
      <c r="AB86" s="141">
        <f>'Received Goods'!CA4</f>
        <v>2</v>
      </c>
      <c r="AC86" s="141">
        <f>'Received Goods'!CB4</f>
        <v>1</v>
      </c>
      <c r="AD86" s="17"/>
      <c r="AE86" s="17"/>
    </row>
    <row r="87" spans="1:31" x14ac:dyDescent="0.25">
      <c r="A87" s="179">
        <v>86</v>
      </c>
      <c r="B87" s="141" t="str">
        <f>'Received Goods'!C4</f>
        <v>8.2</v>
      </c>
      <c r="C87" s="141">
        <f>'Received Goods'!BG4</f>
        <v>21</v>
      </c>
      <c r="D87" s="141" t="str">
        <f>'rekening perkiraan'!E23</f>
        <v>15.16.17.21</v>
      </c>
      <c r="E87" s="141" t="str">
        <f>'rekening perkiraan'!B23</f>
        <v>kartu kredit</v>
      </c>
      <c r="F87" s="141" t="str">
        <f>'rekening perkiraan'!D23</f>
        <v>hutang lancar</v>
      </c>
      <c r="G87" s="141">
        <f>'Received Goods'!B4</f>
        <v>8</v>
      </c>
      <c r="H87" s="141" t="str">
        <f>'kode transaksi'!B9</f>
        <v>PJ</v>
      </c>
      <c r="I87" s="141" t="str">
        <f>'Received Goods'!E4</f>
        <v>.000002</v>
      </c>
      <c r="J87" s="142">
        <f>'Received Goods'!R4</f>
        <v>43257</v>
      </c>
      <c r="K87" s="143" t="str">
        <f>CONCATENATE('Received Goods'!W4,", ",'Received Goods'!G4,", ",'Received Goods'!V4)</f>
        <v>beli casing, dodi kusuma, komplek timah</v>
      </c>
      <c r="L87" s="141">
        <f>'Received Goods'!O4</f>
        <v>1</v>
      </c>
      <c r="M87" s="141" t="str">
        <f>'data mata uang'!D3</f>
        <v>IDR</v>
      </c>
      <c r="N87" s="141">
        <f>'data mata uang'!G3</f>
        <v>1</v>
      </c>
      <c r="O87" s="144">
        <f>'Received Goods'!BH4</f>
        <v>10000</v>
      </c>
      <c r="P87" s="144"/>
      <c r="Q87" s="144">
        <f>N87*O87</f>
        <v>10000</v>
      </c>
      <c r="R87" s="144"/>
      <c r="S87" s="141">
        <v>1</v>
      </c>
      <c r="T87" s="141" t="str">
        <f>'Received Goods'!N4</f>
        <v>8.2</v>
      </c>
      <c r="U87" s="141">
        <f>'Received Goods'!AB4</f>
        <v>5</v>
      </c>
      <c r="V87" s="141">
        <f>'Received Goods'!U4</f>
        <v>2</v>
      </c>
      <c r="W87" s="141">
        <f>'Received Goods'!F4</f>
        <v>8</v>
      </c>
      <c r="X87" s="141">
        <f>'Received Goods'!X4</f>
        <v>0</v>
      </c>
      <c r="Y87" s="189">
        <f>'Received Goods'!Y4</f>
        <v>0</v>
      </c>
      <c r="Z87" s="141"/>
      <c r="AA87" s="141"/>
      <c r="AB87" s="141">
        <f>'Received Goods'!CA4</f>
        <v>2</v>
      </c>
      <c r="AC87" s="141">
        <f>'Received Goods'!CB4</f>
        <v>1</v>
      </c>
      <c r="AD87" s="17"/>
      <c r="AE87" s="17"/>
    </row>
    <row r="88" spans="1:31" x14ac:dyDescent="0.25">
      <c r="A88" s="179">
        <v>87</v>
      </c>
      <c r="B88" s="141" t="str">
        <f>'Received Goods'!C4</f>
        <v>8.2</v>
      </c>
      <c r="C88" s="141">
        <f>'Received Goods'!BJ4</f>
        <v>9</v>
      </c>
      <c r="D88" s="141" t="str">
        <f>'rekening perkiraan'!E11</f>
        <v>1.2.3.9</v>
      </c>
      <c r="E88" s="141" t="str">
        <f>'rekening perkiraan'!B11</f>
        <v>kas</v>
      </c>
      <c r="F88" s="141" t="str">
        <f>'rekening perkiraan'!D11</f>
        <v>kas</v>
      </c>
      <c r="G88" s="141">
        <f>'Received Goods'!B4</f>
        <v>8</v>
      </c>
      <c r="H88" s="141" t="str">
        <f>'kode transaksi'!B9</f>
        <v>PJ</v>
      </c>
      <c r="I88" s="141" t="str">
        <f>'Received Goods'!E4</f>
        <v>.000002</v>
      </c>
      <c r="J88" s="142">
        <f>'Received Goods'!R4</f>
        <v>43257</v>
      </c>
      <c r="K88" s="143" t="str">
        <f>CONCATENATE('Received Goods'!W4,", ",'Received Goods'!G4,", ",'Received Goods'!V4)</f>
        <v>beli casing, dodi kusuma, komplek timah</v>
      </c>
      <c r="L88" s="141">
        <f>'Received Goods'!O4</f>
        <v>1</v>
      </c>
      <c r="M88" s="141" t="str">
        <f>'data mata uang'!D3</f>
        <v>IDR</v>
      </c>
      <c r="N88" s="141">
        <f>'data mata uang'!G3</f>
        <v>1</v>
      </c>
      <c r="O88" s="144"/>
      <c r="P88" s="144">
        <f>'Received Goods'!BL4</f>
        <v>6010000</v>
      </c>
      <c r="Q88" s="144"/>
      <c r="R88" s="144">
        <f>N88*P88</f>
        <v>6010000</v>
      </c>
      <c r="S88" s="141">
        <v>1</v>
      </c>
      <c r="T88" s="141" t="str">
        <f>'Received Goods'!N4</f>
        <v>8.2</v>
      </c>
      <c r="U88" s="141">
        <f>'Received Goods'!AB4</f>
        <v>5</v>
      </c>
      <c r="V88" s="141">
        <f>'Received Goods'!U4</f>
        <v>2</v>
      </c>
      <c r="W88" s="141">
        <f>'Received Goods'!F4</f>
        <v>8</v>
      </c>
      <c r="X88" s="141">
        <f>'Received Goods'!X4</f>
        <v>0</v>
      </c>
      <c r="Y88" s="189">
        <f>'Received Goods'!Y4</f>
        <v>0</v>
      </c>
      <c r="Z88" s="141"/>
      <c r="AA88" s="141"/>
      <c r="AB88" s="141">
        <f>'Received Goods'!CA4</f>
        <v>2</v>
      </c>
      <c r="AC88" s="141">
        <f>'Received Goods'!CB4</f>
        <v>1</v>
      </c>
      <c r="AD88" s="17"/>
      <c r="AE88" s="17"/>
    </row>
    <row r="89" spans="1:31" x14ac:dyDescent="0.25">
      <c r="A89" s="179">
        <v>88</v>
      </c>
      <c r="B89" s="141" t="str">
        <f>'Received Goods'!C5</f>
        <v>8.3</v>
      </c>
      <c r="C89" s="141">
        <f>'Received Goods'!AR5</f>
        <v>3</v>
      </c>
      <c r="D89" s="141" t="str">
        <f>'rekening perkiraan'!E5</f>
        <v>1.13.14.3</v>
      </c>
      <c r="E89" s="141" t="str">
        <f>'rekening perkiraan'!B5</f>
        <v>persediaan 1</v>
      </c>
      <c r="F89" s="141" t="str">
        <f>'rekening perkiraan'!D5</f>
        <v>persediaan</v>
      </c>
      <c r="G89" s="141">
        <f>'Received Goods'!B5</f>
        <v>8</v>
      </c>
      <c r="H89" s="141" t="str">
        <f>'kode transaksi'!B9</f>
        <v>PJ</v>
      </c>
      <c r="I89" s="141" t="str">
        <f>'Received Goods'!E5</f>
        <v>.000003</v>
      </c>
      <c r="J89" s="142">
        <f>'Received Goods'!R5</f>
        <v>43257</v>
      </c>
      <c r="K89" s="143" t="str">
        <f>CONCATENATE('Received Goods'!W5,", ",'Received Goods'!G5,", ",'Received Goods'!V5)</f>
        <v>beli iPhone II, djayakusuma, cempaka putih</v>
      </c>
      <c r="L89" s="141">
        <f>'Received Goods'!O5</f>
        <v>1</v>
      </c>
      <c r="M89" s="141" t="str">
        <f>'data mata uang'!D3</f>
        <v>IDR</v>
      </c>
      <c r="N89" s="141">
        <f>'data mata uang'!G3</f>
        <v>1</v>
      </c>
      <c r="O89" s="144">
        <f>'Received Goods'!AS5</f>
        <v>62500000</v>
      </c>
      <c r="P89" s="144"/>
      <c r="Q89" s="144">
        <f>N89*O89</f>
        <v>62500000</v>
      </c>
      <c r="R89" s="144"/>
      <c r="S89" s="141">
        <v>1</v>
      </c>
      <c r="T89" s="141" t="str">
        <f>'Received Goods'!N5</f>
        <v>8.3</v>
      </c>
      <c r="U89" s="141">
        <f>'Received Goods'!AB5</f>
        <v>4</v>
      </c>
      <c r="V89" s="141">
        <f>'Received Goods'!U5</f>
        <v>1</v>
      </c>
      <c r="W89" s="141">
        <f>'Received Goods'!F5</f>
        <v>7</v>
      </c>
      <c r="X89" s="141">
        <f>'Received Goods'!X5</f>
        <v>0</v>
      </c>
      <c r="Y89" s="189">
        <f>'Received Goods'!Y5</f>
        <v>0</v>
      </c>
      <c r="Z89" s="141"/>
      <c r="AA89" s="141"/>
      <c r="AB89" s="141">
        <f>'Received Goods'!CA5</f>
        <v>1</v>
      </c>
      <c r="AC89" s="141">
        <f>'Received Goods'!CB5</f>
        <v>1</v>
      </c>
      <c r="AD89" s="17"/>
      <c r="AE89" s="17"/>
    </row>
    <row r="90" spans="1:31" x14ac:dyDescent="0.25">
      <c r="A90" s="179">
        <v>89</v>
      </c>
      <c r="B90" s="141" t="str">
        <f>'Received Goods'!C5</f>
        <v>8.3</v>
      </c>
      <c r="C90" s="141">
        <f>'Received Goods'!BD5</f>
        <v>18</v>
      </c>
      <c r="D90" s="141" t="str">
        <f>'rekening perkiraan'!E20</f>
        <v>1.18.19.18</v>
      </c>
      <c r="E90" s="141" t="str">
        <f>'rekening perkiraan'!B20</f>
        <v>pajak dibayar dimuka</v>
      </c>
      <c r="F90" s="141" t="str">
        <f>'rekening perkiraan'!D20</f>
        <v>biaya dibayar dimuka</v>
      </c>
      <c r="G90" s="141">
        <f>'Received Goods'!B5</f>
        <v>8</v>
      </c>
      <c r="H90" s="141" t="str">
        <f>'kode transaksi'!B9</f>
        <v>PJ</v>
      </c>
      <c r="I90" s="141" t="str">
        <f>'Received Goods'!E5</f>
        <v>.000003</v>
      </c>
      <c r="J90" s="142">
        <f>'Received Goods'!R5</f>
        <v>43257</v>
      </c>
      <c r="K90" s="143" t="str">
        <f>CONCATENATE('Received Goods'!W5,", ",'Received Goods'!G5,", ",'Received Goods'!V5)</f>
        <v>beli iPhone II, djayakusuma, cempaka putih</v>
      </c>
      <c r="L90" s="141">
        <f>'Received Goods'!O5</f>
        <v>1</v>
      </c>
      <c r="M90" s="141" t="str">
        <f>'data mata uang'!D3</f>
        <v>IDR</v>
      </c>
      <c r="N90" s="141">
        <f>'data mata uang'!G3</f>
        <v>1</v>
      </c>
      <c r="O90" s="144">
        <f>'Received Goods'!BE5</f>
        <v>6250000</v>
      </c>
      <c r="P90" s="144"/>
      <c r="Q90" s="144">
        <f>N90*O90</f>
        <v>6250000</v>
      </c>
      <c r="R90" s="144"/>
      <c r="S90" s="141">
        <v>1</v>
      </c>
      <c r="T90" s="141" t="str">
        <f>'Received Goods'!N5</f>
        <v>8.3</v>
      </c>
      <c r="U90" s="141">
        <f>'Received Goods'!AB5</f>
        <v>4</v>
      </c>
      <c r="V90" s="141">
        <f>'Received Goods'!U5</f>
        <v>1</v>
      </c>
      <c r="W90" s="141">
        <f>'Received Goods'!F5</f>
        <v>7</v>
      </c>
      <c r="X90" s="141">
        <f>'Received Goods'!X5</f>
        <v>0</v>
      </c>
      <c r="Y90" s="189">
        <f>'Received Goods'!Y5</f>
        <v>0</v>
      </c>
      <c r="Z90" s="141"/>
      <c r="AA90" s="141"/>
      <c r="AB90" s="141">
        <f>'Received Goods'!CA5</f>
        <v>1</v>
      </c>
      <c r="AC90" s="141">
        <f>'Received Goods'!CB5</f>
        <v>1</v>
      </c>
      <c r="AD90" s="17"/>
      <c r="AE90" s="17"/>
    </row>
    <row r="91" spans="1:31" x14ac:dyDescent="0.25">
      <c r="A91" s="179">
        <v>90</v>
      </c>
      <c r="B91" s="141" t="str">
        <f>'Received Goods'!C5</f>
        <v>8.3</v>
      </c>
      <c r="C91" s="141">
        <f>'Received Goods'!BJ5</f>
        <v>6</v>
      </c>
      <c r="D91" s="141" t="str">
        <f>'rekening perkiraan'!E8</f>
        <v>1.2.4.6</v>
      </c>
      <c r="E91" s="141" t="str">
        <f>'rekening perkiraan'!B8</f>
        <v>bank</v>
      </c>
      <c r="F91" s="141" t="str">
        <f>'rekening perkiraan'!D8</f>
        <v>bank</v>
      </c>
      <c r="G91" s="141">
        <f>'Received Goods'!B5</f>
        <v>8</v>
      </c>
      <c r="H91" s="141" t="str">
        <f>'kode transaksi'!B9</f>
        <v>PJ</v>
      </c>
      <c r="I91" s="141" t="str">
        <f>'Received Goods'!E5</f>
        <v>.000003</v>
      </c>
      <c r="J91" s="142">
        <f>'Received Goods'!R5</f>
        <v>43257</v>
      </c>
      <c r="K91" s="143" t="str">
        <f>CONCATENATE('Received Goods'!W5,", ",'Received Goods'!G5,", ",'Received Goods'!V5)</f>
        <v>beli iPhone II, djayakusuma, cempaka putih</v>
      </c>
      <c r="L91" s="141">
        <f>'Received Goods'!O5</f>
        <v>1</v>
      </c>
      <c r="M91" s="141" t="str">
        <f>'data mata uang'!D3</f>
        <v>IDR</v>
      </c>
      <c r="N91" s="141">
        <f>'data mata uang'!G3</f>
        <v>1</v>
      </c>
      <c r="O91" s="144"/>
      <c r="P91" s="144">
        <f>'Received Goods'!BL5</f>
        <v>68750000</v>
      </c>
      <c r="Q91" s="144"/>
      <c r="R91" s="144">
        <f>N91*P91</f>
        <v>68750000</v>
      </c>
      <c r="S91" s="141">
        <v>1</v>
      </c>
      <c r="T91" s="141" t="str">
        <f>'Received Goods'!N5</f>
        <v>8.3</v>
      </c>
      <c r="U91" s="141">
        <f>'Received Goods'!AB5</f>
        <v>4</v>
      </c>
      <c r="V91" s="141">
        <f>'Received Goods'!U5</f>
        <v>1</v>
      </c>
      <c r="W91" s="141">
        <f>'Received Goods'!F5</f>
        <v>7</v>
      </c>
      <c r="X91" s="141">
        <f>'Received Goods'!X5</f>
        <v>0</v>
      </c>
      <c r="Y91" s="189">
        <f>'Received Goods'!Y5</f>
        <v>0</v>
      </c>
      <c r="Z91" s="141"/>
      <c r="AA91" s="141"/>
      <c r="AB91" s="141">
        <f>'Received Goods'!CA5</f>
        <v>1</v>
      </c>
      <c r="AC91" s="141">
        <f>'Received Goods'!CB5</f>
        <v>1</v>
      </c>
      <c r="AD91" s="17"/>
      <c r="AE91" s="17"/>
    </row>
    <row r="92" spans="1:31" x14ac:dyDescent="0.25">
      <c r="A92" s="179">
        <v>91</v>
      </c>
      <c r="B92" s="141" t="str">
        <f>'Received Goods'!C6</f>
        <v>8.4</v>
      </c>
      <c r="C92" s="141">
        <f>'Received Goods'!AR6</f>
        <v>3</v>
      </c>
      <c r="D92" s="141" t="str">
        <f>'rekening perkiraan'!E5</f>
        <v>1.13.14.3</v>
      </c>
      <c r="E92" s="141" t="str">
        <f>'rekening perkiraan'!B5</f>
        <v>persediaan 1</v>
      </c>
      <c r="F92" s="141" t="str">
        <f>'rekening perkiraan'!D5</f>
        <v>persediaan</v>
      </c>
      <c r="G92" s="141">
        <f>'Received Goods'!B6</f>
        <v>8</v>
      </c>
      <c r="H92" s="141" t="str">
        <f>'kode transaksi'!B9</f>
        <v>PJ</v>
      </c>
      <c r="I92" s="141" t="str">
        <f>'Received Goods'!E6</f>
        <v>.000004</v>
      </c>
      <c r="J92" s="142">
        <f>'Received Goods'!R6</f>
        <v>43258</v>
      </c>
      <c r="K92" s="143" t="str">
        <f>CONCATENATE('Received Goods'!W6,", ",'Received Goods'!G6,", ",'Received Goods'!V6)</f>
        <v>beli iPhone III, dodi kusuma, cempaka putih</v>
      </c>
      <c r="L92" s="141">
        <f>'Received Goods'!O6</f>
        <v>1</v>
      </c>
      <c r="M92" s="141" t="str">
        <f>'data mata uang'!D3</f>
        <v>IDR</v>
      </c>
      <c r="N92" s="141">
        <f>'data mata uang'!G3</f>
        <v>1</v>
      </c>
      <c r="O92" s="144">
        <f>'Received Goods'!AS6</f>
        <v>120000000</v>
      </c>
      <c r="P92" s="144"/>
      <c r="Q92" s="144">
        <f>N92*O92</f>
        <v>120000000</v>
      </c>
      <c r="R92" s="144"/>
      <c r="S92" s="141">
        <v>0</v>
      </c>
      <c r="T92" s="141" t="str">
        <f>'Received Goods'!N6</f>
        <v>8.4</v>
      </c>
      <c r="U92" s="141">
        <f>'Received Goods'!AB6</f>
        <v>5</v>
      </c>
      <c r="V92" s="141">
        <f>'Received Goods'!U6</f>
        <v>1</v>
      </c>
      <c r="W92" s="141">
        <f>'Received Goods'!F6</f>
        <v>8</v>
      </c>
      <c r="X92" s="141">
        <f>'Received Goods'!X6</f>
        <v>0</v>
      </c>
      <c r="Y92" s="189">
        <f>'Received Goods'!Y6</f>
        <v>0</v>
      </c>
      <c r="Z92" s="141"/>
      <c r="AA92" s="141"/>
      <c r="AB92" s="141">
        <f>'Received Goods'!CA6</f>
        <v>2</v>
      </c>
      <c r="AC92" s="141">
        <f>'Received Goods'!CB6</f>
        <v>1</v>
      </c>
      <c r="AD92" s="17"/>
      <c r="AE92" s="17"/>
    </row>
    <row r="93" spans="1:31" x14ac:dyDescent="0.25">
      <c r="A93" s="179">
        <v>92</v>
      </c>
      <c r="B93" s="141" t="str">
        <f>'Received Goods'!C6</f>
        <v>8.4</v>
      </c>
      <c r="C93" s="141">
        <f>'Received Goods'!BD6</f>
        <v>18</v>
      </c>
      <c r="D93" s="141" t="str">
        <f>'rekening perkiraan'!E20</f>
        <v>1.18.19.18</v>
      </c>
      <c r="E93" s="141" t="str">
        <f>'rekening perkiraan'!B20</f>
        <v>pajak dibayar dimuka</v>
      </c>
      <c r="F93" s="141" t="str">
        <f>'rekening perkiraan'!D20</f>
        <v>biaya dibayar dimuka</v>
      </c>
      <c r="G93" s="141">
        <f>'Received Goods'!B6</f>
        <v>8</v>
      </c>
      <c r="H93" s="141" t="str">
        <f>'kode transaksi'!B9</f>
        <v>PJ</v>
      </c>
      <c r="I93" s="141" t="str">
        <f>'Received Goods'!E6</f>
        <v>.000004</v>
      </c>
      <c r="J93" s="142">
        <f>'Received Goods'!R6</f>
        <v>43258</v>
      </c>
      <c r="K93" s="143" t="str">
        <f>CONCATENATE('Received Goods'!W6,", ",'Received Goods'!G6,", ",'Received Goods'!V6)</f>
        <v>beli iPhone III, dodi kusuma, cempaka putih</v>
      </c>
      <c r="L93" s="141">
        <f>'Received Goods'!O6</f>
        <v>1</v>
      </c>
      <c r="M93" s="141" t="str">
        <f>'data mata uang'!D3</f>
        <v>IDR</v>
      </c>
      <c r="N93" s="141">
        <f>'data mata uang'!G3</f>
        <v>1</v>
      </c>
      <c r="O93" s="144">
        <f>'Received Goods'!BE6</f>
        <v>12000000</v>
      </c>
      <c r="P93" s="144"/>
      <c r="Q93" s="144">
        <f>N93*O93</f>
        <v>12000000</v>
      </c>
      <c r="R93" s="144"/>
      <c r="S93" s="141">
        <v>0</v>
      </c>
      <c r="T93" s="141" t="str">
        <f>'Received Goods'!N6</f>
        <v>8.4</v>
      </c>
      <c r="U93" s="141">
        <f>'Received Goods'!AB6</f>
        <v>5</v>
      </c>
      <c r="V93" s="141">
        <f>'Received Goods'!U6</f>
        <v>1</v>
      </c>
      <c r="W93" s="141">
        <f>'Received Goods'!F6</f>
        <v>8</v>
      </c>
      <c r="X93" s="141">
        <f>'Received Goods'!X6</f>
        <v>0</v>
      </c>
      <c r="Y93" s="189">
        <f>'Received Goods'!Y6</f>
        <v>0</v>
      </c>
      <c r="Z93" s="141"/>
      <c r="AA93" s="141"/>
      <c r="AB93" s="141">
        <f>'Received Goods'!CA6</f>
        <v>2</v>
      </c>
      <c r="AC93" s="141">
        <f>'Received Goods'!CB6</f>
        <v>1</v>
      </c>
      <c r="AD93" s="17"/>
      <c r="AE93" s="17"/>
    </row>
    <row r="94" spans="1:31" x14ac:dyDescent="0.25">
      <c r="A94" s="179">
        <v>93</v>
      </c>
      <c r="B94" s="141" t="str">
        <f>'Received Goods'!C6</f>
        <v>8.4</v>
      </c>
      <c r="C94" s="141">
        <f>'Received Goods'!BM6</f>
        <v>8</v>
      </c>
      <c r="D94" s="141" t="str">
        <f>'rekening perkiraan'!E10</f>
        <v>15.16.17.8</v>
      </c>
      <c r="E94" s="141" t="str">
        <f>'rekening perkiraan'!B10</f>
        <v>hutang usaha</v>
      </c>
      <c r="F94" s="141" t="str">
        <f>'rekening perkiraan'!D10</f>
        <v>hutang lancar</v>
      </c>
      <c r="G94" s="141">
        <f>'Received Goods'!B6</f>
        <v>8</v>
      </c>
      <c r="H94" s="141" t="str">
        <f>'kode transaksi'!B9</f>
        <v>PJ</v>
      </c>
      <c r="I94" s="141" t="str">
        <f>'Received Goods'!E6</f>
        <v>.000004</v>
      </c>
      <c r="J94" s="142">
        <f>'Received Goods'!R6</f>
        <v>43258</v>
      </c>
      <c r="K94" s="143" t="str">
        <f>CONCATENATE('Received Goods'!W6,", ",'Received Goods'!G6,", ",'Received Goods'!V6)</f>
        <v>beli iPhone III, dodi kusuma, cempaka putih</v>
      </c>
      <c r="L94" s="141">
        <f>'Received Goods'!O6</f>
        <v>1</v>
      </c>
      <c r="M94" s="141" t="str">
        <f>'data mata uang'!D3</f>
        <v>IDR</v>
      </c>
      <c r="N94" s="141">
        <f>'data mata uang'!G3</f>
        <v>1</v>
      </c>
      <c r="O94" s="144"/>
      <c r="P94" s="144">
        <f>'Received Goods'!BO6</f>
        <v>132000000</v>
      </c>
      <c r="Q94" s="144"/>
      <c r="R94" s="144">
        <f>N94*P94</f>
        <v>132000000</v>
      </c>
      <c r="S94" s="141">
        <v>0</v>
      </c>
      <c r="T94" s="141" t="str">
        <f>'Received Goods'!N6</f>
        <v>8.4</v>
      </c>
      <c r="U94" s="141">
        <f>'Received Goods'!AB6</f>
        <v>5</v>
      </c>
      <c r="V94" s="141">
        <f>'Received Goods'!U6</f>
        <v>1</v>
      </c>
      <c r="W94" s="141">
        <f>'Received Goods'!F6</f>
        <v>8</v>
      </c>
      <c r="X94" s="141">
        <f>'Received Goods'!X6</f>
        <v>0</v>
      </c>
      <c r="Y94" s="189">
        <f>'Received Goods'!Y6</f>
        <v>0</v>
      </c>
      <c r="Z94" s="141"/>
      <c r="AA94" s="141"/>
      <c r="AB94" s="141">
        <f>'Received Goods'!CA6</f>
        <v>2</v>
      </c>
      <c r="AC94" s="141">
        <f>'Received Goods'!CB6</f>
        <v>1</v>
      </c>
      <c r="AD94" s="17"/>
      <c r="AE94" s="17"/>
    </row>
    <row r="95" spans="1:31" s="163" customFormat="1" x14ac:dyDescent="0.25">
      <c r="A95" s="179">
        <v>94</v>
      </c>
      <c r="B95" s="192"/>
      <c r="C95" s="156">
        <f>'order transaksi cash'!D23</f>
        <v>6</v>
      </c>
      <c r="D95" s="156" t="str">
        <f>'rekening perkiraan'!E8</f>
        <v>1.2.4.6</v>
      </c>
      <c r="E95" s="156" t="str">
        <f>'rekening perkiraan'!B8</f>
        <v>bank</v>
      </c>
      <c r="F95" s="156" t="str">
        <f>'rekening perkiraan'!D8</f>
        <v>bank</v>
      </c>
      <c r="G95" s="156">
        <f>'order transaksi cash'!H23</f>
        <v>2</v>
      </c>
      <c r="H95" s="156" t="str">
        <f>'order transaksi cash'!I23</f>
        <v>CD</v>
      </c>
      <c r="I95" s="156" t="str">
        <f>'order transaksi cash'!C23</f>
        <v>.000003</v>
      </c>
      <c r="J95" s="157">
        <f>'order transaksi cash'!S23</f>
        <v>43259</v>
      </c>
      <c r="K95" s="158" t="str">
        <f>'order transaksi cash'!U23</f>
        <v>pembayaran PJ.000004</v>
      </c>
      <c r="L95" s="156">
        <f>'order transaksi cash'!N23</f>
        <v>1</v>
      </c>
      <c r="M95" s="156" t="str">
        <f>'order transaksi cash'!O23</f>
        <v>IDR</v>
      </c>
      <c r="N95" s="156">
        <v>1</v>
      </c>
      <c r="O95" s="159"/>
      <c r="P95" s="159">
        <f>'order transaksi cash'!F23</f>
        <v>132000000</v>
      </c>
      <c r="Q95" s="159"/>
      <c r="R95" s="159">
        <f t="shared" ref="R95" si="11">N95*P95</f>
        <v>132000000</v>
      </c>
      <c r="S95" s="156">
        <v>1</v>
      </c>
      <c r="T95" s="156" t="str">
        <f>'order transaksi cash'!AB23</f>
        <v>8.4</v>
      </c>
      <c r="U95" s="156">
        <f>'order transaksi cash'!X23</f>
        <v>6</v>
      </c>
      <c r="V95" s="156" t="s">
        <v>667</v>
      </c>
      <c r="W95" s="156">
        <f>'order transaksi cash'!J23</f>
        <v>8</v>
      </c>
      <c r="X95" s="156">
        <f>'order transaksi cash'!Z23</f>
        <v>0</v>
      </c>
      <c r="Y95" s="190">
        <f>'order transaksi cash'!AA23</f>
        <v>0</v>
      </c>
      <c r="Z95" s="156"/>
      <c r="AA95" s="156"/>
      <c r="AB95" s="156">
        <f>'order transaksi cash'!AG23</f>
        <v>3</v>
      </c>
      <c r="AC95" s="156">
        <f>'order transaksi cash'!AH23</f>
        <v>1</v>
      </c>
      <c r="AD95" s="156"/>
      <c r="AE95" s="156"/>
    </row>
    <row r="96" spans="1:31" x14ac:dyDescent="0.25">
      <c r="A96" s="179">
        <v>95</v>
      </c>
      <c r="B96" s="156"/>
      <c r="C96" s="156">
        <f>'order transaksi cash'!AD23</f>
        <v>8</v>
      </c>
      <c r="D96" s="156" t="str">
        <f>'rekening perkiraan'!E10</f>
        <v>15.16.17.8</v>
      </c>
      <c r="E96" s="156" t="str">
        <f>'rekening perkiraan'!B10</f>
        <v>hutang usaha</v>
      </c>
      <c r="F96" s="156" t="str">
        <f>'rekening perkiraan'!D10</f>
        <v>hutang lancar</v>
      </c>
      <c r="G96" s="156">
        <f>'order transaksi cash'!H23</f>
        <v>2</v>
      </c>
      <c r="H96" s="156" t="str">
        <f>'order transaksi cash'!I23</f>
        <v>CD</v>
      </c>
      <c r="I96" s="156" t="str">
        <f>'order transaksi cash'!C23</f>
        <v>.000003</v>
      </c>
      <c r="J96" s="157">
        <f>'order transaksi cash'!S23</f>
        <v>43259</v>
      </c>
      <c r="K96" s="158" t="str">
        <f>'order transaksi cash'!U23</f>
        <v>pembayaran PJ.000004</v>
      </c>
      <c r="L96" s="156">
        <f>'order transaksi cash'!N23</f>
        <v>1</v>
      </c>
      <c r="M96" s="156" t="str">
        <f>'order transaksi cash'!O23</f>
        <v>IDR</v>
      </c>
      <c r="N96" s="156">
        <v>1</v>
      </c>
      <c r="O96" s="159">
        <f>'order transaksi cash'!AE23</f>
        <v>132000000</v>
      </c>
      <c r="P96" s="159"/>
      <c r="Q96" s="159">
        <f t="shared" ref="Q96" si="12">N96*O96</f>
        <v>132000000</v>
      </c>
      <c r="R96" s="159"/>
      <c r="S96" s="156">
        <v>1</v>
      </c>
      <c r="T96" s="156" t="str">
        <f>'order transaksi cash'!AB23</f>
        <v>8.4</v>
      </c>
      <c r="U96" s="156">
        <f>'order transaksi cash'!X23</f>
        <v>6</v>
      </c>
      <c r="V96" s="156" t="s">
        <v>667</v>
      </c>
      <c r="W96" s="156">
        <f>'order transaksi cash'!J23</f>
        <v>8</v>
      </c>
      <c r="X96" s="156">
        <f>'order transaksi cash'!Z23</f>
        <v>0</v>
      </c>
      <c r="Y96" s="190">
        <f>'order transaksi cash'!AA23</f>
        <v>0</v>
      </c>
      <c r="Z96" s="156"/>
      <c r="AA96" s="156"/>
      <c r="AB96" s="156">
        <f>'order transaksi cash'!AG23</f>
        <v>3</v>
      </c>
      <c r="AC96" s="156">
        <f>'order transaksi cash'!AH23</f>
        <v>1</v>
      </c>
      <c r="AD96" s="156"/>
      <c r="AE96" s="156"/>
    </row>
    <row r="97" spans="1:31" x14ac:dyDescent="0.25">
      <c r="A97" s="179">
        <v>96</v>
      </c>
      <c r="B97" s="141" t="str">
        <f>'Purchase Return'!C3</f>
        <v>21.1</v>
      </c>
      <c r="C97" s="141">
        <f>'Purchase Return'!AF3</f>
        <v>3</v>
      </c>
      <c r="D97" s="141" t="str">
        <f>'rekening perkiraan'!E5</f>
        <v>1.13.14.3</v>
      </c>
      <c r="E97" s="141" t="str">
        <f>'rekening perkiraan'!B5</f>
        <v>persediaan 1</v>
      </c>
      <c r="F97" s="141" t="str">
        <f>'rekening perkiraan'!D5</f>
        <v>persediaan</v>
      </c>
      <c r="G97" s="141">
        <f>'Purchase Return'!B3</f>
        <v>21</v>
      </c>
      <c r="H97" s="141" t="str">
        <f>'kode transaksi'!B22</f>
        <v>PR</v>
      </c>
      <c r="I97" s="141" t="str">
        <f>'Purchase Return'!E3</f>
        <v>.000001</v>
      </c>
      <c r="J97" s="142">
        <f>'Purchase Return'!P3</f>
        <v>43260</v>
      </c>
      <c r="K97" s="143" t="str">
        <f>CONCATENATE('Purchase Return'!U3,", ",'Purchase Return'!G3,", ",'Purchase Return'!T3)</f>
        <v>retur iPhone III, dodi kusuma, cempaka putih</v>
      </c>
      <c r="L97" s="141">
        <f>'Purchase Return'!M3</f>
        <v>1</v>
      </c>
      <c r="M97" s="141" t="str">
        <f>'data mata uang'!D3</f>
        <v>IDR</v>
      </c>
      <c r="N97" s="141">
        <f>'data mata uang'!G3</f>
        <v>1</v>
      </c>
      <c r="O97" s="144"/>
      <c r="P97" s="144">
        <f>'Purchase Return'!AH3</f>
        <v>24000000</v>
      </c>
      <c r="Q97" s="144"/>
      <c r="R97" s="144">
        <f>N97*P97</f>
        <v>24000000</v>
      </c>
      <c r="S97" s="141">
        <v>0</v>
      </c>
      <c r="T97" s="141" t="str">
        <f>'Purchase Return'!J3</f>
        <v>8.4</v>
      </c>
      <c r="U97" s="141">
        <f>'Purchase Return'!Z3</f>
        <v>4</v>
      </c>
      <c r="V97" s="141">
        <f>'Purchase Return'!S3</f>
        <v>1</v>
      </c>
      <c r="W97" s="141">
        <f>'Purchase Return'!F3</f>
        <v>8</v>
      </c>
      <c r="X97" s="141">
        <f>'Purchase Return'!V3</f>
        <v>0</v>
      </c>
      <c r="Y97" s="189">
        <f>'Purchase Return'!W3</f>
        <v>0</v>
      </c>
      <c r="Z97" s="141"/>
      <c r="AA97" s="141"/>
      <c r="AB97" s="141">
        <f>'Purchase Return'!BK3</f>
        <v>1</v>
      </c>
      <c r="AC97" s="141">
        <f>'Purchase Return'!BL3</f>
        <v>1</v>
      </c>
      <c r="AD97" s="17"/>
      <c r="AE97" s="17"/>
    </row>
    <row r="98" spans="1:31" x14ac:dyDescent="0.25">
      <c r="A98" s="179">
        <v>97</v>
      </c>
      <c r="B98" s="141" t="str">
        <f>'Purchase Return'!C3</f>
        <v>21.1</v>
      </c>
      <c r="C98" s="141">
        <f>'Purchase Return'!AO3</f>
        <v>18</v>
      </c>
      <c r="D98" s="141" t="str">
        <f>'rekening perkiraan'!E20</f>
        <v>1.18.19.18</v>
      </c>
      <c r="E98" s="141" t="str">
        <f>'rekening perkiraan'!B20</f>
        <v>pajak dibayar dimuka</v>
      </c>
      <c r="F98" s="141" t="str">
        <f>'rekening perkiraan'!D20</f>
        <v>biaya dibayar dimuka</v>
      </c>
      <c r="G98" s="141">
        <f>'Purchase Return'!B3</f>
        <v>21</v>
      </c>
      <c r="H98" s="141" t="str">
        <f>'kode transaksi'!B22</f>
        <v>PR</v>
      </c>
      <c r="I98" s="141" t="str">
        <f>'Purchase Return'!E3</f>
        <v>.000001</v>
      </c>
      <c r="J98" s="142">
        <f>'Purchase Return'!P3</f>
        <v>43260</v>
      </c>
      <c r="K98" s="143" t="str">
        <f>CONCATENATE('Purchase Return'!U3,", ",'Purchase Return'!G3,", ",'Purchase Return'!T3)</f>
        <v>retur iPhone III, dodi kusuma, cempaka putih</v>
      </c>
      <c r="L98" s="141">
        <f>'Purchase Return'!M3</f>
        <v>1</v>
      </c>
      <c r="M98" s="141" t="str">
        <f>'data mata uang'!D3</f>
        <v>IDR</v>
      </c>
      <c r="N98" s="141">
        <f>'data mata uang'!G3</f>
        <v>1</v>
      </c>
      <c r="O98" s="144"/>
      <c r="P98" s="144">
        <f>'Purchase Return'!AQ3</f>
        <v>2400000</v>
      </c>
      <c r="Q98" s="144"/>
      <c r="R98" s="144">
        <f>N98*P98</f>
        <v>2400000</v>
      </c>
      <c r="S98" s="141">
        <v>0</v>
      </c>
      <c r="T98" s="141" t="str">
        <f>'Purchase Return'!J3</f>
        <v>8.4</v>
      </c>
      <c r="U98" s="141">
        <f>'Purchase Return'!Z3</f>
        <v>4</v>
      </c>
      <c r="V98" s="141">
        <f>'Purchase Return'!S3</f>
        <v>1</v>
      </c>
      <c r="W98" s="141">
        <f>'Purchase Return'!F3</f>
        <v>8</v>
      </c>
      <c r="X98" s="141">
        <f>'Purchase Return'!V3</f>
        <v>0</v>
      </c>
      <c r="Y98" s="189">
        <f>'Purchase Return'!W3</f>
        <v>0</v>
      </c>
      <c r="Z98" s="141"/>
      <c r="AA98" s="141"/>
      <c r="AB98" s="141">
        <f>'Purchase Return'!BK3</f>
        <v>1</v>
      </c>
      <c r="AC98" s="141">
        <f>'Purchase Return'!BL3</f>
        <v>1</v>
      </c>
      <c r="AD98" s="17"/>
      <c r="AE98" s="17"/>
    </row>
    <row r="99" spans="1:31" x14ac:dyDescent="0.25">
      <c r="A99" s="179">
        <v>98</v>
      </c>
      <c r="B99" s="141" t="str">
        <f>'Purchase Return'!C3</f>
        <v>21.1</v>
      </c>
      <c r="C99" s="141">
        <f>'Purchase Return'!AX3</f>
        <v>8</v>
      </c>
      <c r="D99" s="141" t="str">
        <f>'rekening perkiraan'!E10</f>
        <v>15.16.17.8</v>
      </c>
      <c r="E99" s="141" t="str">
        <f>'rekening perkiraan'!B10</f>
        <v>hutang usaha</v>
      </c>
      <c r="F99" s="141" t="str">
        <f>'rekening perkiraan'!D10</f>
        <v>hutang lancar</v>
      </c>
      <c r="G99" s="141">
        <f>'Purchase Return'!B3</f>
        <v>21</v>
      </c>
      <c r="H99" s="141" t="str">
        <f>'kode transaksi'!B22</f>
        <v>PR</v>
      </c>
      <c r="I99" s="141" t="str">
        <f>'Purchase Return'!E3</f>
        <v>.000001</v>
      </c>
      <c r="J99" s="142">
        <f>'Purchase Return'!P3</f>
        <v>43260</v>
      </c>
      <c r="K99" s="143" t="str">
        <f>CONCATENATE('Purchase Return'!U3,", ",'Purchase Return'!G3,", ",'Purchase Return'!T3)</f>
        <v>retur iPhone III, dodi kusuma, cempaka putih</v>
      </c>
      <c r="L99" s="141">
        <f>'Purchase Return'!M3</f>
        <v>1</v>
      </c>
      <c r="M99" s="141" t="str">
        <f>'data mata uang'!D3</f>
        <v>IDR</v>
      </c>
      <c r="N99" s="141">
        <f>'data mata uang'!G3</f>
        <v>1</v>
      </c>
      <c r="O99" s="144">
        <f>'Purchase Return'!AY3</f>
        <v>26400000</v>
      </c>
      <c r="P99" s="144"/>
      <c r="Q99" s="144">
        <f>N99*O99</f>
        <v>26400000</v>
      </c>
      <c r="R99" s="144"/>
      <c r="S99" s="141">
        <v>0</v>
      </c>
      <c r="T99" s="141" t="str">
        <f>'Purchase Return'!J3</f>
        <v>8.4</v>
      </c>
      <c r="U99" s="141">
        <f>'Purchase Return'!Z3</f>
        <v>4</v>
      </c>
      <c r="V99" s="141">
        <f>'Purchase Return'!S3</f>
        <v>1</v>
      </c>
      <c r="W99" s="141">
        <f>'Purchase Return'!F3</f>
        <v>8</v>
      </c>
      <c r="X99" s="141">
        <f>'Purchase Return'!V3</f>
        <v>0</v>
      </c>
      <c r="Y99" s="189">
        <f>'Purchase Return'!W3</f>
        <v>0</v>
      </c>
      <c r="Z99" s="141"/>
      <c r="AA99" s="141"/>
      <c r="AB99" s="141">
        <f>'Purchase Return'!BK3</f>
        <v>1</v>
      </c>
      <c r="AC99" s="141">
        <f>'Purchase Return'!BL3</f>
        <v>1</v>
      </c>
      <c r="AD99" s="17"/>
      <c r="AE99" s="17"/>
    </row>
    <row r="100" spans="1:31" s="183" customFormat="1" x14ac:dyDescent="0.25">
      <c r="A100" s="179">
        <v>99</v>
      </c>
      <c r="B100" s="156"/>
      <c r="C100" s="156">
        <f>'order transaksi cash'!D33</f>
        <v>9</v>
      </c>
      <c r="D100" s="156" t="str">
        <f>'rekening perkiraan'!E11</f>
        <v>1.2.3.9</v>
      </c>
      <c r="E100" s="156" t="str">
        <f>'rekening perkiraan'!B11</f>
        <v>kas</v>
      </c>
      <c r="F100" s="156" t="str">
        <f>'rekening perkiraan'!D11</f>
        <v>kas</v>
      </c>
      <c r="G100" s="156">
        <f>'order transaksi cash'!H33</f>
        <v>3</v>
      </c>
      <c r="H100" s="156" t="str">
        <f>'order transaksi cash'!I33</f>
        <v>CR</v>
      </c>
      <c r="I100" s="156" t="str">
        <f>'order transaksi cash'!C33</f>
        <v>.000002</v>
      </c>
      <c r="J100" s="157">
        <f>'order transaksi cash'!S33</f>
        <v>43261</v>
      </c>
      <c r="K100" s="158" t="str">
        <f>'order transaksi cash'!U33</f>
        <v>pengembalian retur PR.000001</v>
      </c>
      <c r="L100" s="156"/>
      <c r="M100" s="156"/>
      <c r="N100" s="156">
        <v>1</v>
      </c>
      <c r="O100" s="159">
        <f>'order transaksi cash'!E33</f>
        <v>26400000</v>
      </c>
      <c r="P100" s="159"/>
      <c r="Q100" s="159">
        <f>N100*O100</f>
        <v>26400000</v>
      </c>
      <c r="R100" s="159"/>
      <c r="S100" s="156">
        <v>1</v>
      </c>
      <c r="T100" s="156" t="str">
        <f>'order transaksi cash'!AB33</f>
        <v>8.4</v>
      </c>
      <c r="U100" s="156">
        <f>'order transaksi cash'!X33</f>
        <v>4</v>
      </c>
      <c r="V100" s="156" t="s">
        <v>667</v>
      </c>
      <c r="W100" s="156">
        <f>'order transaksi cash'!J33</f>
        <v>8</v>
      </c>
      <c r="X100" s="156"/>
      <c r="Y100" s="190"/>
      <c r="Z100" s="156"/>
      <c r="AA100" s="156"/>
      <c r="AB100" s="156">
        <f>'order transaksi cash'!AG33</f>
        <v>1</v>
      </c>
      <c r="AC100" s="156">
        <f>'order transaksi cash'!AH33</f>
        <v>1</v>
      </c>
      <c r="AD100" s="156"/>
      <c r="AE100" s="156"/>
    </row>
    <row r="101" spans="1:31" s="183" customFormat="1" x14ac:dyDescent="0.25">
      <c r="A101" s="179">
        <v>100</v>
      </c>
      <c r="B101" s="156"/>
      <c r="C101" s="156">
        <f>'order transaksi cash'!AD33</f>
        <v>8</v>
      </c>
      <c r="D101" s="156" t="str">
        <f>'rekening perkiraan'!E10</f>
        <v>15.16.17.8</v>
      </c>
      <c r="E101" s="156" t="str">
        <f>'rekening perkiraan'!B10</f>
        <v>hutang usaha</v>
      </c>
      <c r="F101" s="156" t="str">
        <f>'rekening perkiraan'!D10</f>
        <v>hutang lancar</v>
      </c>
      <c r="G101" s="156">
        <f>'order transaksi cash'!H33</f>
        <v>3</v>
      </c>
      <c r="H101" s="156" t="str">
        <f>'order transaksi cash'!I33</f>
        <v>CR</v>
      </c>
      <c r="I101" s="156" t="str">
        <f>'order transaksi cash'!C33</f>
        <v>.000002</v>
      </c>
      <c r="J101" s="157">
        <f>'order transaksi cash'!S33</f>
        <v>43261</v>
      </c>
      <c r="K101" s="158" t="str">
        <f>'order transaksi cash'!U33</f>
        <v>pengembalian retur PR.000001</v>
      </c>
      <c r="L101" s="156"/>
      <c r="M101" s="156"/>
      <c r="N101" s="156">
        <v>1</v>
      </c>
      <c r="O101" s="159"/>
      <c r="P101" s="159">
        <f>'order transaksi cash'!AF33</f>
        <v>26400000</v>
      </c>
      <c r="Q101" s="159"/>
      <c r="R101" s="159">
        <f>N101*P101</f>
        <v>26400000</v>
      </c>
      <c r="S101" s="156">
        <v>1</v>
      </c>
      <c r="T101" s="156" t="str">
        <f>'order transaksi cash'!AB33</f>
        <v>8.4</v>
      </c>
      <c r="U101" s="156">
        <f>'order transaksi cash'!X33</f>
        <v>4</v>
      </c>
      <c r="V101" s="156" t="s">
        <v>667</v>
      </c>
      <c r="W101" s="156">
        <f>'order transaksi cash'!J33</f>
        <v>8</v>
      </c>
      <c r="X101" s="156"/>
      <c r="Y101" s="190"/>
      <c r="Z101" s="156"/>
      <c r="AA101" s="156"/>
      <c r="AB101" s="156">
        <f>'order transaksi cash'!AG33</f>
        <v>1</v>
      </c>
      <c r="AC101" s="156">
        <f>'order transaksi cash'!AH33</f>
        <v>1</v>
      </c>
      <c r="AD101" s="156"/>
      <c r="AE101" s="156"/>
    </row>
    <row r="102" spans="1:31" x14ac:dyDescent="0.25">
      <c r="A102" s="179">
        <v>101</v>
      </c>
      <c r="B102" s="141" t="str">
        <f>'Delivery Order'!C3</f>
        <v>25.1</v>
      </c>
      <c r="C102" s="141">
        <f>'Delivery Order'!AG3</f>
        <v>3</v>
      </c>
      <c r="D102" s="141" t="str">
        <f>'rekening perkiraan'!E5</f>
        <v>1.13.14.3</v>
      </c>
      <c r="E102" s="141" t="str">
        <f>'rekening perkiraan'!B5</f>
        <v>persediaan 1</v>
      </c>
      <c r="F102" s="141" t="str">
        <f>'rekening perkiraan'!D5</f>
        <v>persediaan</v>
      </c>
      <c r="G102" s="141">
        <f>'Delivery Order'!B3</f>
        <v>25</v>
      </c>
      <c r="H102" s="141" t="str">
        <f>'kode transaksi'!B26</f>
        <v>DO</v>
      </c>
      <c r="I102" s="141" t="str">
        <f>'Delivery Order'!E3</f>
        <v>.000001</v>
      </c>
      <c r="J102" s="142">
        <f>'Delivery Order'!P3</f>
        <v>43262</v>
      </c>
      <c r="K102" s="143" t="str">
        <f>'Delivery Order'!U3</f>
        <v>sales berurut</v>
      </c>
      <c r="L102" s="141">
        <f>'Delivery Order'!M3</f>
        <v>1</v>
      </c>
      <c r="M102" s="141" t="str">
        <f>'data mata uang'!D3</f>
        <v>IDR</v>
      </c>
      <c r="N102" s="141">
        <f>'data mata uang'!G3</f>
        <v>1</v>
      </c>
      <c r="O102" s="210"/>
      <c r="P102" s="144">
        <f>'Delivery Order'!AI3</f>
        <v>9000000</v>
      </c>
      <c r="Q102" s="144"/>
      <c r="R102" s="144">
        <f>N102*P102</f>
        <v>9000000</v>
      </c>
      <c r="S102" s="141">
        <v>0</v>
      </c>
      <c r="T102" s="141" t="str">
        <f>'Delivery Order'!L3</f>
        <v>15.1</v>
      </c>
      <c r="U102" s="141">
        <f>'Delivery Order'!Z3</f>
        <v>4</v>
      </c>
      <c r="V102" s="141">
        <f>'Delivery Order'!S3</f>
        <v>1</v>
      </c>
      <c r="W102" s="141">
        <f>'Delivery Order'!F3</f>
        <v>3</v>
      </c>
      <c r="X102" s="141">
        <f>'Delivery Order'!V3</f>
        <v>0</v>
      </c>
      <c r="Y102" s="141">
        <f>'Delivery Order'!W3</f>
        <v>0</v>
      </c>
      <c r="Z102" s="141"/>
      <c r="AA102" s="141"/>
      <c r="AB102" s="141">
        <f>'Delivery Order'!AT3</f>
        <v>2</v>
      </c>
      <c r="AC102" s="141">
        <f>'Delivery Order'!AU3</f>
        <v>1</v>
      </c>
      <c r="AD102" s="17"/>
      <c r="AE102" s="17"/>
    </row>
    <row r="103" spans="1:31" x14ac:dyDescent="0.25">
      <c r="A103" s="179">
        <v>102</v>
      </c>
      <c r="B103" s="141" t="str">
        <f>'Delivery Order'!C3</f>
        <v>25.1</v>
      </c>
      <c r="C103" s="141">
        <f>'Delivery Order'!AJ3</f>
        <v>5</v>
      </c>
      <c r="D103" s="141" t="str">
        <f>'rekening perkiraan'!E7</f>
        <v>1.13.14.5</v>
      </c>
      <c r="E103" s="141" t="str">
        <f>'rekening perkiraan'!B7</f>
        <v>persediaan dalam perjalanan jual</v>
      </c>
      <c r="F103" s="141" t="str">
        <f>'rekening perkiraan'!D7</f>
        <v>persediaan</v>
      </c>
      <c r="G103" s="141">
        <f>'Delivery Order'!B3</f>
        <v>25</v>
      </c>
      <c r="H103" s="141" t="str">
        <f>'kode transaksi'!B26</f>
        <v>DO</v>
      </c>
      <c r="I103" s="141" t="str">
        <f>'Delivery Order'!E3</f>
        <v>.000001</v>
      </c>
      <c r="J103" s="142">
        <f>'Delivery Order'!P3</f>
        <v>43262</v>
      </c>
      <c r="K103" s="143" t="str">
        <f>'Delivery Order'!U3</f>
        <v>sales berurut</v>
      </c>
      <c r="L103" s="141">
        <f>'Delivery Order'!M3</f>
        <v>1</v>
      </c>
      <c r="M103" s="141" t="str">
        <f>'data mata uang'!D3</f>
        <v>IDR</v>
      </c>
      <c r="N103" s="141">
        <f>'data mata uang'!G3</f>
        <v>1</v>
      </c>
      <c r="O103" s="144">
        <f>'Delivery Order'!AK3</f>
        <v>9000000</v>
      </c>
      <c r="P103" s="144"/>
      <c r="Q103" s="144">
        <f>N103*O103</f>
        <v>9000000</v>
      </c>
      <c r="R103" s="144"/>
      <c r="S103" s="141">
        <v>0</v>
      </c>
      <c r="T103" s="141" t="str">
        <f>'Delivery Order'!L3</f>
        <v>15.1</v>
      </c>
      <c r="U103" s="141">
        <f>'Delivery Order'!Z3</f>
        <v>4</v>
      </c>
      <c r="V103" s="141">
        <f>'Delivery Order'!S3</f>
        <v>1</v>
      </c>
      <c r="W103" s="141">
        <f>'Delivery Order'!F3</f>
        <v>3</v>
      </c>
      <c r="X103" s="141">
        <f>'Delivery Order'!V3</f>
        <v>0</v>
      </c>
      <c r="Y103" s="141">
        <f>'Delivery Order'!W3</f>
        <v>0</v>
      </c>
      <c r="Z103" s="141"/>
      <c r="AA103" s="141"/>
      <c r="AB103" s="141">
        <f>'Delivery Order'!AT3</f>
        <v>2</v>
      </c>
      <c r="AC103" s="141">
        <f>'Delivery Order'!AU3</f>
        <v>1</v>
      </c>
      <c r="AD103" s="17"/>
      <c r="AE103" s="17"/>
    </row>
    <row r="104" spans="1:31" x14ac:dyDescent="0.25">
      <c r="A104" s="179">
        <v>103</v>
      </c>
      <c r="B104" s="141" t="str">
        <f>Invoice!C6</f>
        <v>7.4</v>
      </c>
      <c r="C104" s="141">
        <f>Invoice!AL6</f>
        <v>1</v>
      </c>
      <c r="D104" s="141" t="str">
        <f>'rekening perkiraan'!E3</f>
        <v>10.11.12.1</v>
      </c>
      <c r="E104" s="141" t="str">
        <f>'rekening perkiraan'!B3</f>
        <v>biaya 1</v>
      </c>
      <c r="F104" s="141" t="str">
        <f>'rekening perkiraan'!D3</f>
        <v>biaya produksi</v>
      </c>
      <c r="G104" s="141">
        <f>Invoice!B6</f>
        <v>7</v>
      </c>
      <c r="H104" s="141" t="str">
        <f>Invoice!D6</f>
        <v>SJ</v>
      </c>
      <c r="I104" s="141" t="str">
        <f>Invoice!E6</f>
        <v>.000004</v>
      </c>
      <c r="J104" s="142">
        <f>Invoice!R6</f>
        <v>43263</v>
      </c>
      <c r="K104" s="143" t="str">
        <f>Invoice!W6</f>
        <v>sales berurut</v>
      </c>
      <c r="L104" s="141">
        <f>Invoice!O6</f>
        <v>1</v>
      </c>
      <c r="M104" s="141" t="str">
        <f>'data mata uang'!D3</f>
        <v>IDR</v>
      </c>
      <c r="N104" s="141">
        <f>'data mata uang'!G3</f>
        <v>1</v>
      </c>
      <c r="O104" s="144">
        <f>Invoice!AM6</f>
        <v>7296610.1694915248</v>
      </c>
      <c r="P104" s="144"/>
      <c r="Q104" s="144">
        <f t="shared" ref="Q104:Q111" si="13">N104*O104</f>
        <v>7296610.1694915248</v>
      </c>
      <c r="R104" s="144"/>
      <c r="S104" s="141">
        <v>0</v>
      </c>
      <c r="T104" s="141" t="str">
        <f>Invoice!N6</f>
        <v>15.1</v>
      </c>
      <c r="U104" s="141">
        <f>Invoice!AB6</f>
        <v>6</v>
      </c>
      <c r="V104" s="141">
        <f>Invoice!U6</f>
        <v>1</v>
      </c>
      <c r="W104" s="141">
        <f>Invoice!F6</f>
        <v>3</v>
      </c>
      <c r="X104" s="141">
        <f>Invoice!X6</f>
        <v>0</v>
      </c>
      <c r="Y104" s="141">
        <f>Invoice!Y6</f>
        <v>0</v>
      </c>
      <c r="Z104" s="141"/>
      <c r="AA104" s="141"/>
      <c r="AB104" s="141">
        <f>Invoice!BZ6</f>
        <v>3</v>
      </c>
      <c r="AC104" s="141">
        <f>Invoice!CA6</f>
        <v>1</v>
      </c>
      <c r="AD104" s="17"/>
      <c r="AE104" s="17"/>
    </row>
    <row r="105" spans="1:31" x14ac:dyDescent="0.25">
      <c r="A105" s="179">
        <v>104</v>
      </c>
      <c r="B105" s="141" t="str">
        <f>Invoice!C6</f>
        <v>7.4</v>
      </c>
      <c r="C105" s="141">
        <f>Invoice!AO6</f>
        <v>2</v>
      </c>
      <c r="D105" s="141" t="str">
        <f>'rekening perkiraan'!E4</f>
        <v>7.8.9.2</v>
      </c>
      <c r="E105" s="141" t="str">
        <f>'rekening perkiraan'!B4</f>
        <v>penjualan produk 1</v>
      </c>
      <c r="F105" s="141" t="str">
        <f>'rekening perkiraan'!D4</f>
        <v xml:space="preserve">pendapatan usaha </v>
      </c>
      <c r="G105" s="141">
        <f>Invoice!B6</f>
        <v>7</v>
      </c>
      <c r="H105" s="141" t="str">
        <f>Invoice!D6</f>
        <v>SJ</v>
      </c>
      <c r="I105" s="141" t="str">
        <f>Invoice!E6</f>
        <v>.000004</v>
      </c>
      <c r="J105" s="142">
        <f>Invoice!R6</f>
        <v>43263</v>
      </c>
      <c r="K105" s="143" t="str">
        <f>Invoice!W6</f>
        <v>sales berurut</v>
      </c>
      <c r="L105" s="141">
        <f>Invoice!O6</f>
        <v>1</v>
      </c>
      <c r="M105" s="141" t="str">
        <f>'data mata uang'!D3</f>
        <v>IDR</v>
      </c>
      <c r="N105" s="141">
        <f>'data mata uang'!G3</f>
        <v>1</v>
      </c>
      <c r="O105" s="144"/>
      <c r="P105" s="144">
        <f>Invoice!AQ6</f>
        <v>9000000</v>
      </c>
      <c r="Q105" s="144"/>
      <c r="R105" s="144">
        <f t="shared" ref="R105:R107" si="14">N105*P105</f>
        <v>9000000</v>
      </c>
      <c r="S105" s="141">
        <v>0</v>
      </c>
      <c r="T105" s="141" t="str">
        <f>Invoice!N6</f>
        <v>15.1</v>
      </c>
      <c r="U105" s="141">
        <f>Invoice!AB6</f>
        <v>6</v>
      </c>
      <c r="V105" s="141">
        <f>Invoice!U6</f>
        <v>1</v>
      </c>
      <c r="W105" s="141">
        <f>Invoice!F6</f>
        <v>3</v>
      </c>
      <c r="X105" s="141">
        <f>Invoice!X6</f>
        <v>0</v>
      </c>
      <c r="Y105" s="141">
        <f>Invoice!Y6</f>
        <v>0</v>
      </c>
      <c r="Z105" s="141"/>
      <c r="AA105" s="141"/>
      <c r="AB105" s="141">
        <f>Invoice!BZ6</f>
        <v>3</v>
      </c>
      <c r="AC105" s="141">
        <f>Invoice!CA6</f>
        <v>1</v>
      </c>
      <c r="AD105" s="17"/>
      <c r="AE105" s="17"/>
    </row>
    <row r="106" spans="1:31" x14ac:dyDescent="0.25">
      <c r="A106" s="179">
        <v>105</v>
      </c>
      <c r="B106" s="141" t="str">
        <f>Invoice!C6</f>
        <v>7.4</v>
      </c>
      <c r="C106" s="141">
        <f>Invoice!AU6</f>
        <v>5</v>
      </c>
      <c r="D106" s="141" t="str">
        <f>'rekening perkiraan'!E7</f>
        <v>1.13.14.5</v>
      </c>
      <c r="E106" s="141" t="str">
        <f>'rekening perkiraan'!B7</f>
        <v>persediaan dalam perjalanan jual</v>
      </c>
      <c r="F106" s="141" t="str">
        <f>'rekening perkiraan'!D7</f>
        <v>persediaan</v>
      </c>
      <c r="G106" s="141">
        <f>Invoice!B6</f>
        <v>7</v>
      </c>
      <c r="H106" s="141" t="str">
        <f>Invoice!D6</f>
        <v>SJ</v>
      </c>
      <c r="I106" s="141" t="str">
        <f>Invoice!E6</f>
        <v>.000004</v>
      </c>
      <c r="J106" s="142">
        <f>Invoice!R6</f>
        <v>43263</v>
      </c>
      <c r="K106" s="143" t="str">
        <f>Invoice!W6</f>
        <v>sales berurut</v>
      </c>
      <c r="L106" s="141">
        <f>Invoice!O6</f>
        <v>1</v>
      </c>
      <c r="M106" s="141" t="str">
        <f>'data mata uang'!D3</f>
        <v>IDR</v>
      </c>
      <c r="N106" s="141">
        <f>'data mata uang'!G3</f>
        <v>1</v>
      </c>
      <c r="O106" s="144"/>
      <c r="P106" s="144">
        <f>Invoice!AW6</f>
        <v>7296610.1694915248</v>
      </c>
      <c r="Q106" s="144"/>
      <c r="R106" s="144">
        <f t="shared" si="14"/>
        <v>7296610.1694915248</v>
      </c>
      <c r="S106" s="141">
        <v>0</v>
      </c>
      <c r="T106" s="141" t="str">
        <f>Invoice!N6</f>
        <v>15.1</v>
      </c>
      <c r="U106" s="141">
        <f>Invoice!AB6</f>
        <v>6</v>
      </c>
      <c r="V106" s="141">
        <f>Invoice!U6</f>
        <v>1</v>
      </c>
      <c r="W106" s="141">
        <f>Invoice!F6</f>
        <v>3</v>
      </c>
      <c r="X106" s="141">
        <f>Invoice!X6</f>
        <v>0</v>
      </c>
      <c r="Y106" s="141">
        <f>Invoice!Y6</f>
        <v>0</v>
      </c>
      <c r="Z106" s="141"/>
      <c r="AA106" s="141"/>
      <c r="AB106" s="141">
        <f>Invoice!BZ6</f>
        <v>3</v>
      </c>
      <c r="AC106" s="141">
        <f>Invoice!CA6</f>
        <v>1</v>
      </c>
      <c r="AD106" s="17"/>
      <c r="AE106" s="17"/>
    </row>
    <row r="107" spans="1:31" x14ac:dyDescent="0.25">
      <c r="A107" s="179">
        <v>106</v>
      </c>
      <c r="B107" s="141" t="str">
        <f>Invoice!C6</f>
        <v>7.4</v>
      </c>
      <c r="C107" s="141">
        <f>Invoice!BA6</f>
        <v>38</v>
      </c>
      <c r="D107" s="141" t="str">
        <f>'rekening perkiraan'!E40</f>
        <v>7.8.9.38</v>
      </c>
      <c r="E107" s="141" t="str">
        <f>'rekening perkiraan'!B40</f>
        <v>biaya custom 1</v>
      </c>
      <c r="F107" s="141" t="str">
        <f>'rekening perkiraan'!D40</f>
        <v xml:space="preserve">pendapatan usaha </v>
      </c>
      <c r="G107" s="141">
        <f>Invoice!B6</f>
        <v>7</v>
      </c>
      <c r="H107" s="141" t="str">
        <f>Invoice!D6</f>
        <v>SJ</v>
      </c>
      <c r="I107" s="141" t="str">
        <f>Invoice!E6</f>
        <v>.000004</v>
      </c>
      <c r="J107" s="142">
        <f>Invoice!R6</f>
        <v>43263</v>
      </c>
      <c r="K107" s="143" t="str">
        <f>Invoice!W6</f>
        <v>sales berurut</v>
      </c>
      <c r="L107" s="141">
        <f>Invoice!O6</f>
        <v>1</v>
      </c>
      <c r="M107" s="141" t="str">
        <f>'data mata uang'!D3</f>
        <v>IDR</v>
      </c>
      <c r="N107" s="141">
        <f>'data mata uang'!G3</f>
        <v>1</v>
      </c>
      <c r="O107" s="144"/>
      <c r="P107" s="144">
        <f>Invoice!BC6</f>
        <v>300000</v>
      </c>
      <c r="Q107" s="144"/>
      <c r="R107" s="144">
        <f t="shared" si="14"/>
        <v>300000</v>
      </c>
      <c r="S107" s="141">
        <v>0</v>
      </c>
      <c r="T107" s="141" t="str">
        <f>Invoice!N6</f>
        <v>15.1</v>
      </c>
      <c r="U107" s="141">
        <f>Invoice!AB6</f>
        <v>6</v>
      </c>
      <c r="V107" s="141">
        <f>Invoice!U6</f>
        <v>1</v>
      </c>
      <c r="W107" s="141">
        <f>Invoice!F6</f>
        <v>3</v>
      </c>
      <c r="X107" s="141">
        <f>Invoice!X6</f>
        <v>0</v>
      </c>
      <c r="Y107" s="141">
        <f>Invoice!Y6</f>
        <v>0</v>
      </c>
      <c r="Z107" s="141"/>
      <c r="AA107" s="141"/>
      <c r="AB107" s="141">
        <f>Invoice!BZ6</f>
        <v>3</v>
      </c>
      <c r="AC107" s="141">
        <f>Invoice!CA6</f>
        <v>1</v>
      </c>
      <c r="AD107" s="17"/>
      <c r="AE107" s="17"/>
    </row>
    <row r="108" spans="1:31" x14ac:dyDescent="0.25">
      <c r="A108" s="179">
        <v>107</v>
      </c>
      <c r="B108" s="141" t="str">
        <f>Invoice!C6</f>
        <v>7.4</v>
      </c>
      <c r="C108" s="141">
        <f>Invoice!BD6</f>
        <v>18</v>
      </c>
      <c r="D108" s="141" t="str">
        <f>'rekening perkiraan'!E20</f>
        <v>1.18.19.18</v>
      </c>
      <c r="E108" s="141" t="str">
        <f>'rekening perkiraan'!B20</f>
        <v>pajak dibayar dimuka</v>
      </c>
      <c r="F108" s="141" t="str">
        <f>'rekening perkiraan'!D20</f>
        <v>biaya dibayar dimuka</v>
      </c>
      <c r="G108" s="141">
        <f>Invoice!B6</f>
        <v>7</v>
      </c>
      <c r="H108" s="141" t="str">
        <f>Invoice!D6</f>
        <v>SJ</v>
      </c>
      <c r="I108" s="141" t="str">
        <f>Invoice!E6</f>
        <v>.000004</v>
      </c>
      <c r="J108" s="142">
        <f>Invoice!R6</f>
        <v>43263</v>
      </c>
      <c r="K108" s="143" t="str">
        <f>Invoice!W6</f>
        <v>sales berurut</v>
      </c>
      <c r="L108" s="141">
        <f>Invoice!O6</f>
        <v>1</v>
      </c>
      <c r="M108" s="141" t="str">
        <f>'data mata uang'!D3</f>
        <v>IDR</v>
      </c>
      <c r="N108" s="141">
        <f>'data mata uang'!G3</f>
        <v>1</v>
      </c>
      <c r="O108" s="144"/>
      <c r="P108" s="210">
        <f>Invoice!BF6</f>
        <v>900000</v>
      </c>
      <c r="Q108" s="144"/>
      <c r="R108" s="144">
        <f>N108*P108</f>
        <v>900000</v>
      </c>
      <c r="S108" s="141">
        <v>0</v>
      </c>
      <c r="T108" s="141" t="str">
        <f>Invoice!N6</f>
        <v>15.1</v>
      </c>
      <c r="U108" s="141">
        <f>Invoice!AB6</f>
        <v>6</v>
      </c>
      <c r="V108" s="141">
        <f>Invoice!U6</f>
        <v>1</v>
      </c>
      <c r="W108" s="141">
        <f>Invoice!F6</f>
        <v>3</v>
      </c>
      <c r="X108" s="141">
        <f>Invoice!X6</f>
        <v>0</v>
      </c>
      <c r="Y108" s="141">
        <f>Invoice!Y6</f>
        <v>0</v>
      </c>
      <c r="Z108" s="141"/>
      <c r="AA108" s="141"/>
      <c r="AB108" s="141">
        <f>Invoice!BZ6</f>
        <v>3</v>
      </c>
      <c r="AC108" s="141">
        <f>Invoice!CA6</f>
        <v>1</v>
      </c>
      <c r="AD108" s="17"/>
      <c r="AE108" s="17"/>
    </row>
    <row r="109" spans="1:31" x14ac:dyDescent="0.25">
      <c r="A109" s="179">
        <v>108</v>
      </c>
      <c r="B109" s="141" t="str">
        <f>Invoice!C6</f>
        <v>7.4</v>
      </c>
      <c r="C109" s="141">
        <f>Invoice!BM6</f>
        <v>7</v>
      </c>
      <c r="D109" s="141" t="str">
        <f>'rekening perkiraan'!E9</f>
        <v>1.2.5.7</v>
      </c>
      <c r="E109" s="141" t="str">
        <f>'rekening perkiraan'!B9</f>
        <v>piutang usaha</v>
      </c>
      <c r="F109" s="141" t="str">
        <f>'rekening perkiraan'!D9</f>
        <v>piutang dagang</v>
      </c>
      <c r="G109" s="141">
        <f>Invoice!B6</f>
        <v>7</v>
      </c>
      <c r="H109" s="141" t="str">
        <f>Invoice!D6</f>
        <v>SJ</v>
      </c>
      <c r="I109" s="141" t="str">
        <f>Invoice!E6</f>
        <v>.000004</v>
      </c>
      <c r="J109" s="142">
        <f>Invoice!R6</f>
        <v>43263</v>
      </c>
      <c r="K109" s="143" t="str">
        <f>Invoice!W6</f>
        <v>sales berurut</v>
      </c>
      <c r="L109" s="141">
        <f>Invoice!O6</f>
        <v>1</v>
      </c>
      <c r="M109" s="141" t="str">
        <f>'data mata uang'!D3</f>
        <v>IDR</v>
      </c>
      <c r="N109" s="141">
        <f>'data mata uang'!G3</f>
        <v>1</v>
      </c>
      <c r="O109" s="144">
        <f>Invoice!BN6</f>
        <v>10200000</v>
      </c>
      <c r="P109" s="144"/>
      <c r="Q109" s="144">
        <f t="shared" si="13"/>
        <v>10200000</v>
      </c>
      <c r="R109" s="144"/>
      <c r="S109" s="141">
        <v>0</v>
      </c>
      <c r="T109" s="141" t="str">
        <f>Invoice!N6</f>
        <v>15.1</v>
      </c>
      <c r="U109" s="141">
        <f>Invoice!AB6</f>
        <v>6</v>
      </c>
      <c r="V109" s="141">
        <f>Invoice!U6</f>
        <v>1</v>
      </c>
      <c r="W109" s="141">
        <f>Invoice!F6</f>
        <v>3</v>
      </c>
      <c r="X109" s="141">
        <f>Invoice!X6</f>
        <v>0</v>
      </c>
      <c r="Y109" s="141">
        <f>Invoice!Y6</f>
        <v>0</v>
      </c>
      <c r="Z109" s="141"/>
      <c r="AA109" s="141"/>
      <c r="AB109" s="141">
        <f>Invoice!BZ6</f>
        <v>3</v>
      </c>
      <c r="AC109" s="141">
        <f>Invoice!CA6</f>
        <v>1</v>
      </c>
      <c r="AD109" s="17"/>
      <c r="AE109" s="17"/>
    </row>
    <row r="110" spans="1:31" s="183" customFormat="1" x14ac:dyDescent="0.25">
      <c r="A110" s="179">
        <v>109</v>
      </c>
      <c r="B110" s="141" t="str">
        <f>'Received Goods'!C7</f>
        <v>8.7</v>
      </c>
      <c r="C110" s="141">
        <f>'Received Goods'!AR7</f>
        <v>3</v>
      </c>
      <c r="D110" s="141" t="str">
        <f>'rekening perkiraan'!E5</f>
        <v>1.13.14.3</v>
      </c>
      <c r="E110" s="141" t="str">
        <f>'rekening perkiraan'!B5</f>
        <v>persediaan 1</v>
      </c>
      <c r="F110" s="141" t="str">
        <f>'rekening perkiraan'!D5</f>
        <v>persediaan</v>
      </c>
      <c r="G110" s="141">
        <f>'Received Goods'!B7</f>
        <v>8</v>
      </c>
      <c r="H110" s="141" t="str">
        <f>'kode transaksi'!B9</f>
        <v>PJ</v>
      </c>
      <c r="I110" s="141" t="str">
        <f>'Received Goods'!E7</f>
        <v>.000005</v>
      </c>
      <c r="J110" s="142">
        <f>'Received Goods'!R7</f>
        <v>43260</v>
      </c>
      <c r="K110" s="143" t="str">
        <f>CONCATENATE('Received Goods'!W7,", ",'Received Goods'!G7,", ",'Received Goods'!V7)</f>
        <v>beli tambahan casing, djayakusuma, komplek timah</v>
      </c>
      <c r="L110" s="141">
        <f>'Received Goods'!O7</f>
        <v>1</v>
      </c>
      <c r="M110" s="141" t="str">
        <f>'data mata uang'!D3</f>
        <v>IDR</v>
      </c>
      <c r="N110" s="141">
        <f>'data mata uang'!G3</f>
        <v>1</v>
      </c>
      <c r="O110" s="144">
        <f>'Received Goods'!AS7</f>
        <v>550000</v>
      </c>
      <c r="P110" s="210"/>
      <c r="Q110" s="144">
        <f t="shared" si="13"/>
        <v>550000</v>
      </c>
      <c r="R110" s="144"/>
      <c r="S110" s="141">
        <v>0</v>
      </c>
      <c r="T110" s="141" t="str">
        <f>'Received Goods'!N7</f>
        <v>17.2</v>
      </c>
      <c r="U110" s="141">
        <f>'Received Goods'!AB7</f>
        <v>6</v>
      </c>
      <c r="V110" s="141">
        <f>'Received Goods'!U7</f>
        <v>2</v>
      </c>
      <c r="W110" s="141">
        <f>'Received Goods'!F7</f>
        <v>7</v>
      </c>
      <c r="X110" s="141">
        <f>'Received Goods'!X7</f>
        <v>0</v>
      </c>
      <c r="Y110" s="189">
        <f>'Received Goods'!Y7</f>
        <v>0</v>
      </c>
      <c r="Z110" s="141"/>
      <c r="AA110" s="141"/>
      <c r="AB110" s="141">
        <f>'Received Goods'!CA7</f>
        <v>3</v>
      </c>
      <c r="AC110" s="141">
        <f>'Received Goods'!CB7</f>
        <v>1</v>
      </c>
      <c r="AD110" s="179"/>
      <c r="AE110" s="179"/>
    </row>
    <row r="111" spans="1:31" s="183" customFormat="1" x14ac:dyDescent="0.25">
      <c r="A111" s="179">
        <v>110</v>
      </c>
      <c r="B111" s="141" t="str">
        <f>'Received Goods'!C7</f>
        <v>8.7</v>
      </c>
      <c r="C111" s="141">
        <f>'Received Goods'!BD7</f>
        <v>18</v>
      </c>
      <c r="D111" s="141" t="str">
        <f>'rekening perkiraan'!E20</f>
        <v>1.18.19.18</v>
      </c>
      <c r="E111" s="141" t="str">
        <f>'rekening perkiraan'!B20</f>
        <v>pajak dibayar dimuka</v>
      </c>
      <c r="F111" s="141" t="str">
        <f>'rekening perkiraan'!D20</f>
        <v>biaya dibayar dimuka</v>
      </c>
      <c r="G111" s="141">
        <f>'Received Goods'!B7</f>
        <v>8</v>
      </c>
      <c r="H111" s="141" t="str">
        <f>'kode transaksi'!B9</f>
        <v>PJ</v>
      </c>
      <c r="I111" s="141" t="str">
        <f>'Received Goods'!E7</f>
        <v>.000005</v>
      </c>
      <c r="J111" s="142">
        <f>'Received Goods'!R7</f>
        <v>43260</v>
      </c>
      <c r="K111" s="143" t="str">
        <f>CONCATENATE('Received Goods'!W7,", ",'Received Goods'!G7,", ",'Received Goods'!V7)</f>
        <v>beli tambahan casing, djayakusuma, komplek timah</v>
      </c>
      <c r="L111" s="141">
        <f>'Received Goods'!O7</f>
        <v>1</v>
      </c>
      <c r="M111" s="141" t="str">
        <f>'data mata uang'!D3</f>
        <v>IDR</v>
      </c>
      <c r="N111" s="141">
        <f>'data mata uang'!G3</f>
        <v>1</v>
      </c>
      <c r="O111" s="144">
        <f>'Received Goods'!BE7</f>
        <v>55000</v>
      </c>
      <c r="P111" s="144"/>
      <c r="Q111" s="144">
        <f t="shared" si="13"/>
        <v>55000</v>
      </c>
      <c r="R111" s="144"/>
      <c r="S111" s="141">
        <v>0</v>
      </c>
      <c r="T111" s="141" t="str">
        <f>'Received Goods'!N7</f>
        <v>17.2</v>
      </c>
      <c r="U111" s="141">
        <f>'Received Goods'!AB7</f>
        <v>6</v>
      </c>
      <c r="V111" s="141">
        <f>'Received Goods'!U7</f>
        <v>2</v>
      </c>
      <c r="W111" s="141">
        <f>'Received Goods'!F7</f>
        <v>7</v>
      </c>
      <c r="X111" s="141">
        <f>'Received Goods'!X7</f>
        <v>0</v>
      </c>
      <c r="Y111" s="189">
        <f>'Received Goods'!Y7</f>
        <v>0</v>
      </c>
      <c r="Z111" s="141"/>
      <c r="AA111" s="141"/>
      <c r="AB111" s="141">
        <f>'Received Goods'!CA7</f>
        <v>3</v>
      </c>
      <c r="AC111" s="141">
        <f>'Received Goods'!CB7</f>
        <v>1</v>
      </c>
      <c r="AD111" s="179"/>
      <c r="AE111" s="179"/>
    </row>
    <row r="112" spans="1:31" s="183" customFormat="1" x14ac:dyDescent="0.25">
      <c r="A112" s="179">
        <v>111</v>
      </c>
      <c r="B112" s="141" t="str">
        <f>'Received Goods'!C7</f>
        <v>8.7</v>
      </c>
      <c r="C112" s="141">
        <f>'Received Goods'!BM7</f>
        <v>8</v>
      </c>
      <c r="D112" s="141" t="str">
        <f>'rekening perkiraan'!E10</f>
        <v>15.16.17.8</v>
      </c>
      <c r="E112" s="141" t="str">
        <f>'rekening perkiraan'!B10</f>
        <v>hutang usaha</v>
      </c>
      <c r="F112" s="141" t="str">
        <f>'rekening perkiraan'!D10</f>
        <v>hutang lancar</v>
      </c>
      <c r="G112" s="141">
        <f>'Received Goods'!B7</f>
        <v>8</v>
      </c>
      <c r="H112" s="141" t="str">
        <f>'kode transaksi'!B9</f>
        <v>PJ</v>
      </c>
      <c r="I112" s="141" t="str">
        <f>'Received Goods'!E7</f>
        <v>.000005</v>
      </c>
      <c r="J112" s="142">
        <f>'Received Goods'!R7</f>
        <v>43260</v>
      </c>
      <c r="K112" s="143" t="str">
        <f>CONCATENATE('Received Goods'!W7,", ",'Received Goods'!G7,", ",'Received Goods'!V7)</f>
        <v>beli tambahan casing, djayakusuma, komplek timah</v>
      </c>
      <c r="L112" s="141">
        <f>'Received Goods'!O7</f>
        <v>1</v>
      </c>
      <c r="M112" s="141" t="str">
        <f>'data mata uang'!D3</f>
        <v>IDR</v>
      </c>
      <c r="N112" s="141">
        <f>'data mata uang'!G3</f>
        <v>1</v>
      </c>
      <c r="O112" s="210"/>
      <c r="P112" s="144">
        <f>'Received Goods'!BO7</f>
        <v>605000</v>
      </c>
      <c r="Q112" s="144"/>
      <c r="R112" s="144">
        <f t="shared" ref="R112" si="15">N112*P112</f>
        <v>605000</v>
      </c>
      <c r="S112" s="141">
        <v>0</v>
      </c>
      <c r="T112" s="141" t="str">
        <f>'Received Goods'!N7</f>
        <v>17.2</v>
      </c>
      <c r="U112" s="141">
        <f>'Received Goods'!AB7</f>
        <v>6</v>
      </c>
      <c r="V112" s="141">
        <f>'Received Goods'!U7</f>
        <v>2</v>
      </c>
      <c r="W112" s="141">
        <f>'Received Goods'!F7</f>
        <v>7</v>
      </c>
      <c r="X112" s="141">
        <f>'Received Goods'!X7</f>
        <v>0</v>
      </c>
      <c r="Y112" s="189">
        <f>'Received Goods'!Y7</f>
        <v>0</v>
      </c>
      <c r="Z112" s="141"/>
      <c r="AA112" s="141"/>
      <c r="AB112" s="141">
        <f>'Received Goods'!CA7</f>
        <v>3</v>
      </c>
      <c r="AC112" s="141">
        <f>'Received Goods'!CB7</f>
        <v>1</v>
      </c>
      <c r="AD112" s="179"/>
      <c r="AE112" s="179"/>
    </row>
    <row r="113" spans="1:31" s="183" customFormat="1" x14ac:dyDescent="0.25">
      <c r="A113" s="179">
        <v>112</v>
      </c>
      <c r="B113" s="141" t="str">
        <f>'Delivery Order'!C4</f>
        <v>25.2</v>
      </c>
      <c r="C113" s="141">
        <f>'Delivery Order'!AG4</f>
        <v>3</v>
      </c>
      <c r="D113" s="141" t="str">
        <f>'rekening perkiraan'!E5</f>
        <v>1.13.14.3</v>
      </c>
      <c r="E113" s="141" t="str">
        <f>'rekening perkiraan'!B5</f>
        <v>persediaan 1</v>
      </c>
      <c r="F113" s="141" t="str">
        <f>'rekening perkiraan'!D5</f>
        <v>persediaan</v>
      </c>
      <c r="G113" s="141">
        <f>'Delivery Order'!B4</f>
        <v>25</v>
      </c>
      <c r="H113" s="141" t="str">
        <f>'Delivery Order'!D4</f>
        <v>DO</v>
      </c>
      <c r="I113" s="141" t="str">
        <f>'Delivery Order'!E4</f>
        <v>.000002</v>
      </c>
      <c r="J113" s="142">
        <f>'Delivery Order'!P4</f>
        <v>43262</v>
      </c>
      <c r="K113" s="143" t="str">
        <f>'Delivery Order'!U4</f>
        <v>DO-SJ</v>
      </c>
      <c r="L113" s="141">
        <f>'Delivery Order'!M4</f>
        <v>1</v>
      </c>
      <c r="M113" s="141" t="str">
        <f>'data mata uang'!D3</f>
        <v>IDR</v>
      </c>
      <c r="N113" s="141">
        <f>'data mata uang'!G3</f>
        <v>1</v>
      </c>
      <c r="O113" s="210"/>
      <c r="P113" s="144">
        <f>'Delivery Order'!AI4</f>
        <v>15000000</v>
      </c>
      <c r="Q113" s="144"/>
      <c r="R113" s="144">
        <f>N113*P113</f>
        <v>15000000</v>
      </c>
      <c r="S113" s="141">
        <v>0</v>
      </c>
      <c r="T113" s="141" t="str">
        <f>'Delivery Order'!L4</f>
        <v>25.2</v>
      </c>
      <c r="U113" s="141">
        <f>'Delivery Order'!Z4</f>
        <v>5</v>
      </c>
      <c r="V113" s="141">
        <f>'Delivery Order'!S4</f>
        <v>1</v>
      </c>
      <c r="W113" s="141">
        <f>'Delivery Order'!F4</f>
        <v>2</v>
      </c>
      <c r="X113" s="141">
        <f>'Delivery Order'!V4</f>
        <v>0</v>
      </c>
      <c r="Y113" s="141">
        <f>'Delivery Order'!W4</f>
        <v>0</v>
      </c>
      <c r="Z113" s="141"/>
      <c r="AA113" s="141"/>
      <c r="AB113" s="141">
        <f>'Delivery Order'!AT4</f>
        <v>2</v>
      </c>
      <c r="AC113" s="141">
        <f>'Delivery Order'!AU4</f>
        <v>1</v>
      </c>
      <c r="AD113" s="179"/>
      <c r="AE113" s="179"/>
    </row>
    <row r="114" spans="1:31" s="183" customFormat="1" x14ac:dyDescent="0.25">
      <c r="A114" s="179">
        <v>113</v>
      </c>
      <c r="B114" s="141" t="str">
        <f>'Delivery Order'!C4</f>
        <v>25.2</v>
      </c>
      <c r="C114" s="141">
        <f>'Delivery Order'!AJ4</f>
        <v>5</v>
      </c>
      <c r="D114" s="141" t="str">
        <f>'rekening perkiraan'!E7</f>
        <v>1.13.14.5</v>
      </c>
      <c r="E114" s="141" t="str">
        <f>'rekening perkiraan'!B7</f>
        <v>persediaan dalam perjalanan jual</v>
      </c>
      <c r="F114" s="141" t="str">
        <f>'rekening perkiraan'!D7</f>
        <v>persediaan</v>
      </c>
      <c r="G114" s="141">
        <f>'Delivery Order'!B4</f>
        <v>25</v>
      </c>
      <c r="H114" s="141" t="str">
        <f>'Delivery Order'!D4</f>
        <v>DO</v>
      </c>
      <c r="I114" s="141" t="str">
        <f>'Delivery Order'!E4</f>
        <v>.000002</v>
      </c>
      <c r="J114" s="142">
        <f>'Delivery Order'!P4</f>
        <v>43262</v>
      </c>
      <c r="K114" s="143" t="str">
        <f>'Delivery Order'!U4</f>
        <v>DO-SJ</v>
      </c>
      <c r="L114" s="141">
        <f>'Delivery Order'!M4</f>
        <v>1</v>
      </c>
      <c r="M114" s="141" t="str">
        <f>'data mata uang'!D3</f>
        <v>IDR</v>
      </c>
      <c r="N114" s="141">
        <f>'data mata uang'!G3</f>
        <v>1</v>
      </c>
      <c r="O114" s="144">
        <f>'Delivery Order'!AK4</f>
        <v>15000000</v>
      </c>
      <c r="P114" s="144"/>
      <c r="Q114" s="144">
        <f>N114*O114</f>
        <v>15000000</v>
      </c>
      <c r="R114" s="144"/>
      <c r="S114" s="141">
        <v>0</v>
      </c>
      <c r="T114" s="141" t="str">
        <f>'Delivery Order'!L4</f>
        <v>25.2</v>
      </c>
      <c r="U114" s="141">
        <f>'Delivery Order'!Z4</f>
        <v>5</v>
      </c>
      <c r="V114" s="141">
        <f>'Delivery Order'!S4</f>
        <v>1</v>
      </c>
      <c r="W114" s="141">
        <f>'Delivery Order'!F4</f>
        <v>2</v>
      </c>
      <c r="X114" s="141">
        <f>'Delivery Order'!V4</f>
        <v>0</v>
      </c>
      <c r="Y114" s="141">
        <f>'Delivery Order'!W4</f>
        <v>0</v>
      </c>
      <c r="Z114" s="141"/>
      <c r="AA114" s="141"/>
      <c r="AB114" s="141">
        <f>'Delivery Order'!AT4</f>
        <v>2</v>
      </c>
      <c r="AC114" s="141">
        <f>'Delivery Order'!AU4</f>
        <v>1</v>
      </c>
      <c r="AD114" s="179"/>
      <c r="AE114" s="179"/>
    </row>
    <row r="115" spans="1:31" x14ac:dyDescent="0.25">
      <c r="A115" s="179">
        <v>114</v>
      </c>
      <c r="B115" s="141" t="str">
        <f>Invoice!C7</f>
        <v>7.5</v>
      </c>
      <c r="C115" s="141">
        <f>Invoice!AL7</f>
        <v>1</v>
      </c>
      <c r="D115" s="141" t="str">
        <f>'rekening perkiraan'!E3</f>
        <v>10.11.12.1</v>
      </c>
      <c r="E115" s="141" t="str">
        <f>'rekening perkiraan'!B3</f>
        <v>biaya 1</v>
      </c>
      <c r="F115" s="141" t="str">
        <f>'rekening perkiraan'!D3</f>
        <v>biaya produksi</v>
      </c>
      <c r="G115" s="141">
        <f>Invoice!B7</f>
        <v>7</v>
      </c>
      <c r="H115" s="141" t="str">
        <f>Invoice!D7</f>
        <v>SJ</v>
      </c>
      <c r="I115" s="141" t="str">
        <f>Invoice!E7</f>
        <v>.000005</v>
      </c>
      <c r="J115" s="142">
        <f>Invoice!R7</f>
        <v>43263</v>
      </c>
      <c r="K115" s="143" t="str">
        <f>Invoice!W7</f>
        <v>DO-SJ</v>
      </c>
      <c r="L115" s="141">
        <f>Invoice!O7</f>
        <v>1</v>
      </c>
      <c r="M115" s="141" t="str">
        <f>'data mata uang'!D3</f>
        <v>IDR</v>
      </c>
      <c r="N115" s="141">
        <f>'data mata uang'!G3</f>
        <v>1</v>
      </c>
      <c r="O115" s="144">
        <f>Invoice!AM7</f>
        <v>12142857.142857144</v>
      </c>
      <c r="P115" s="144"/>
      <c r="Q115" s="144">
        <f t="shared" ref="Q115" si="16">N115*O115</f>
        <v>12142857.142857144</v>
      </c>
      <c r="R115" s="144"/>
      <c r="S115" s="141">
        <v>0</v>
      </c>
      <c r="T115" s="141" t="str">
        <f>Invoice!N7</f>
        <v>25.2</v>
      </c>
      <c r="U115" s="141">
        <f>Invoice!AB7</f>
        <v>5</v>
      </c>
      <c r="V115" s="141">
        <f>Invoice!U7</f>
        <v>1</v>
      </c>
      <c r="W115" s="141">
        <f>Invoice!F7</f>
        <v>2</v>
      </c>
      <c r="X115" s="141">
        <f>Invoice!X7</f>
        <v>0</v>
      </c>
      <c r="Y115" s="141">
        <f>Invoice!Y7</f>
        <v>0</v>
      </c>
      <c r="Z115" s="141"/>
      <c r="AA115" s="141"/>
      <c r="AB115" s="141">
        <f>Invoice!BZ7</f>
        <v>2</v>
      </c>
      <c r="AC115" s="141">
        <f>Invoice!CA7</f>
        <v>1</v>
      </c>
      <c r="AD115" s="17"/>
      <c r="AE115" s="17"/>
    </row>
    <row r="116" spans="1:31" x14ac:dyDescent="0.25">
      <c r="A116" s="179">
        <v>115</v>
      </c>
      <c r="B116" s="141" t="str">
        <f>Invoice!C7</f>
        <v>7.5</v>
      </c>
      <c r="C116" s="141">
        <f>Invoice!AO7</f>
        <v>2</v>
      </c>
      <c r="D116" s="141" t="str">
        <f>'rekening perkiraan'!E4</f>
        <v>7.8.9.2</v>
      </c>
      <c r="E116" s="141" t="str">
        <f>'rekening perkiraan'!B4</f>
        <v>penjualan produk 1</v>
      </c>
      <c r="F116" s="141" t="str">
        <f>'rekening perkiraan'!D4</f>
        <v xml:space="preserve">pendapatan usaha </v>
      </c>
      <c r="G116" s="141">
        <f>Invoice!B7</f>
        <v>7</v>
      </c>
      <c r="H116" s="141" t="str">
        <f>Invoice!D7</f>
        <v>SJ</v>
      </c>
      <c r="I116" s="141" t="str">
        <f>Invoice!E7</f>
        <v>.000005</v>
      </c>
      <c r="J116" s="142">
        <f>Invoice!R7</f>
        <v>43263</v>
      </c>
      <c r="K116" s="143" t="str">
        <f>Invoice!W7</f>
        <v>DO-SJ</v>
      </c>
      <c r="L116" s="141">
        <f>Invoice!O7</f>
        <v>1</v>
      </c>
      <c r="M116" s="141" t="str">
        <f>'data mata uang'!D3</f>
        <v>IDR</v>
      </c>
      <c r="N116" s="141">
        <f>'data mata uang'!G3</f>
        <v>1</v>
      </c>
      <c r="O116" s="144"/>
      <c r="P116" s="144">
        <f>Invoice!AQ7</f>
        <v>15000000</v>
      </c>
      <c r="Q116" s="144"/>
      <c r="R116" s="144">
        <f t="shared" ref="R116:R118" si="17">N116*P116</f>
        <v>15000000</v>
      </c>
      <c r="S116" s="141">
        <v>0</v>
      </c>
      <c r="T116" s="141" t="str">
        <f>Invoice!N7</f>
        <v>25.2</v>
      </c>
      <c r="U116" s="141">
        <f>Invoice!AB7</f>
        <v>5</v>
      </c>
      <c r="V116" s="141">
        <f>Invoice!U7</f>
        <v>1</v>
      </c>
      <c r="W116" s="141">
        <f>Invoice!F7</f>
        <v>2</v>
      </c>
      <c r="X116" s="141">
        <f>Invoice!X7</f>
        <v>0</v>
      </c>
      <c r="Y116" s="141">
        <f>Invoice!Y7</f>
        <v>0</v>
      </c>
      <c r="Z116" s="141"/>
      <c r="AA116" s="141"/>
      <c r="AB116" s="141">
        <f>Invoice!BZ7</f>
        <v>2</v>
      </c>
      <c r="AC116" s="141">
        <f>Invoice!CA7</f>
        <v>1</v>
      </c>
      <c r="AD116" s="17"/>
      <c r="AE116" s="17"/>
    </row>
    <row r="117" spans="1:31" x14ac:dyDescent="0.25">
      <c r="A117" s="179">
        <v>116</v>
      </c>
      <c r="B117" s="141" t="str">
        <f>Invoice!C7</f>
        <v>7.5</v>
      </c>
      <c r="C117" s="141">
        <f>Invoice!AU7</f>
        <v>5</v>
      </c>
      <c r="D117" s="141" t="str">
        <f>'rekening perkiraan'!E7</f>
        <v>1.13.14.5</v>
      </c>
      <c r="E117" s="141" t="str">
        <f>'rekening perkiraan'!B7</f>
        <v>persediaan dalam perjalanan jual</v>
      </c>
      <c r="F117" s="141" t="str">
        <f>'rekening perkiraan'!D7</f>
        <v>persediaan</v>
      </c>
      <c r="G117" s="141">
        <f>Invoice!B7</f>
        <v>7</v>
      </c>
      <c r="H117" s="141" t="str">
        <f>Invoice!D7</f>
        <v>SJ</v>
      </c>
      <c r="I117" s="141" t="str">
        <f>Invoice!E7</f>
        <v>.000005</v>
      </c>
      <c r="J117" s="142">
        <f>Invoice!R7</f>
        <v>43263</v>
      </c>
      <c r="K117" s="143" t="str">
        <f>Invoice!W7</f>
        <v>DO-SJ</v>
      </c>
      <c r="L117" s="141">
        <f>Invoice!O7</f>
        <v>1</v>
      </c>
      <c r="M117" s="141" t="str">
        <f>'data mata uang'!D3</f>
        <v>IDR</v>
      </c>
      <c r="N117" s="141">
        <f>'data mata uang'!G3</f>
        <v>1</v>
      </c>
      <c r="O117" s="144"/>
      <c r="P117" s="144">
        <f>Invoice!AW7</f>
        <v>12142857.142857144</v>
      </c>
      <c r="Q117" s="144"/>
      <c r="R117" s="144">
        <f t="shared" si="17"/>
        <v>12142857.142857144</v>
      </c>
      <c r="S117" s="141">
        <v>0</v>
      </c>
      <c r="T117" s="141" t="str">
        <f>Invoice!N7</f>
        <v>25.2</v>
      </c>
      <c r="U117" s="141">
        <f>Invoice!AB7</f>
        <v>5</v>
      </c>
      <c r="V117" s="141">
        <f>Invoice!U7</f>
        <v>1</v>
      </c>
      <c r="W117" s="141">
        <f>Invoice!F7</f>
        <v>2</v>
      </c>
      <c r="X117" s="141">
        <f>Invoice!X7</f>
        <v>0</v>
      </c>
      <c r="Y117" s="141">
        <f>Invoice!Y7</f>
        <v>0</v>
      </c>
      <c r="Z117" s="141"/>
      <c r="AA117" s="141"/>
      <c r="AB117" s="141">
        <f>Invoice!BZ7</f>
        <v>2</v>
      </c>
      <c r="AC117" s="141">
        <f>Invoice!CA7</f>
        <v>1</v>
      </c>
      <c r="AD117" s="17"/>
      <c r="AE117" s="17"/>
    </row>
    <row r="118" spans="1:31" x14ac:dyDescent="0.25">
      <c r="A118" s="179">
        <v>117</v>
      </c>
      <c r="B118" s="141" t="str">
        <f>Invoice!C7</f>
        <v>7.5</v>
      </c>
      <c r="C118" s="141">
        <f>Invoice!BD7</f>
        <v>18</v>
      </c>
      <c r="D118" s="141" t="str">
        <f>'rekening perkiraan'!E20</f>
        <v>1.18.19.18</v>
      </c>
      <c r="E118" s="141" t="str">
        <f>'rekening perkiraan'!B20</f>
        <v>pajak dibayar dimuka</v>
      </c>
      <c r="F118" s="141" t="str">
        <f>'rekening perkiraan'!D20</f>
        <v>biaya dibayar dimuka</v>
      </c>
      <c r="G118" s="141">
        <f>Invoice!B7</f>
        <v>7</v>
      </c>
      <c r="H118" s="141" t="str">
        <f>Invoice!D7</f>
        <v>SJ</v>
      </c>
      <c r="I118" s="141" t="str">
        <f>Invoice!E7</f>
        <v>.000005</v>
      </c>
      <c r="J118" s="142">
        <f>Invoice!R7</f>
        <v>43263</v>
      </c>
      <c r="K118" s="143" t="str">
        <f>Invoice!W7</f>
        <v>DO-SJ</v>
      </c>
      <c r="L118" s="141">
        <f>Invoice!O7</f>
        <v>1</v>
      </c>
      <c r="M118" s="141" t="str">
        <f>'data mata uang'!D3</f>
        <v>IDR</v>
      </c>
      <c r="N118" s="141">
        <f>'data mata uang'!G3</f>
        <v>1</v>
      </c>
      <c r="O118" s="144"/>
      <c r="P118" s="210">
        <f>Invoice!BF7</f>
        <v>1500000</v>
      </c>
      <c r="Q118" s="144"/>
      <c r="R118" s="144">
        <f t="shared" si="17"/>
        <v>1500000</v>
      </c>
      <c r="S118" s="141">
        <v>0</v>
      </c>
      <c r="T118" s="141" t="str">
        <f>Invoice!N7</f>
        <v>25.2</v>
      </c>
      <c r="U118" s="141">
        <f>Invoice!AB7</f>
        <v>5</v>
      </c>
      <c r="V118" s="141">
        <f>Invoice!U7</f>
        <v>1</v>
      </c>
      <c r="W118" s="141">
        <f>Invoice!F7</f>
        <v>2</v>
      </c>
      <c r="X118" s="141">
        <f>Invoice!X7</f>
        <v>0</v>
      </c>
      <c r="Y118" s="141">
        <f>Invoice!Y7</f>
        <v>0</v>
      </c>
      <c r="Z118" s="141"/>
      <c r="AA118" s="141"/>
      <c r="AB118" s="141">
        <f>Invoice!BZ7</f>
        <v>2</v>
      </c>
      <c r="AC118" s="141">
        <f>Invoice!CA7</f>
        <v>1</v>
      </c>
      <c r="AD118" s="17"/>
      <c r="AE118" s="17"/>
    </row>
    <row r="119" spans="1:31" x14ac:dyDescent="0.25">
      <c r="A119" s="179">
        <v>118</v>
      </c>
      <c r="B119" s="141" t="str">
        <f>Invoice!C7</f>
        <v>7.5</v>
      </c>
      <c r="C119" s="141">
        <f>Invoice!BM7</f>
        <v>7</v>
      </c>
      <c r="D119" s="141" t="str">
        <f>'rekening perkiraan'!E9</f>
        <v>1.2.5.7</v>
      </c>
      <c r="E119" s="141" t="str">
        <f>'rekening perkiraan'!B9</f>
        <v>piutang usaha</v>
      </c>
      <c r="F119" s="141" t="str">
        <f>'rekening perkiraan'!D9</f>
        <v>piutang dagang</v>
      </c>
      <c r="G119" s="141">
        <f>Invoice!B7</f>
        <v>7</v>
      </c>
      <c r="H119" s="141" t="str">
        <f>Invoice!D7</f>
        <v>SJ</v>
      </c>
      <c r="I119" s="141" t="str">
        <f>Invoice!E7</f>
        <v>.000005</v>
      </c>
      <c r="J119" s="142">
        <f>Invoice!R7</f>
        <v>43263</v>
      </c>
      <c r="K119" s="143" t="str">
        <f>Invoice!W7</f>
        <v>DO-SJ</v>
      </c>
      <c r="L119" s="141">
        <f>Invoice!O7</f>
        <v>1</v>
      </c>
      <c r="M119" s="141" t="str">
        <f>'data mata uang'!D3</f>
        <v>IDR</v>
      </c>
      <c r="N119" s="141">
        <f>'data mata uang'!G3</f>
        <v>1</v>
      </c>
      <c r="O119" s="144">
        <f>Invoice!BN7</f>
        <v>16500000</v>
      </c>
      <c r="P119" s="144"/>
      <c r="Q119" s="144">
        <f t="shared" ref="Q119" si="18">N119*O119</f>
        <v>16500000</v>
      </c>
      <c r="R119" s="144"/>
      <c r="S119" s="141">
        <v>0</v>
      </c>
      <c r="T119" s="141" t="str">
        <f>Invoice!N7</f>
        <v>25.2</v>
      </c>
      <c r="U119" s="141">
        <f>Invoice!AB7</f>
        <v>5</v>
      </c>
      <c r="V119" s="141">
        <f>Invoice!U7</f>
        <v>1</v>
      </c>
      <c r="W119" s="141">
        <f>Invoice!F7</f>
        <v>2</v>
      </c>
      <c r="X119" s="141">
        <f>Invoice!X7</f>
        <v>0</v>
      </c>
      <c r="Y119" s="141">
        <f>Invoice!Y7</f>
        <v>0</v>
      </c>
      <c r="Z119" s="141"/>
      <c r="AA119" s="141"/>
      <c r="AB119" s="141">
        <f>Invoice!BZ7</f>
        <v>2</v>
      </c>
      <c r="AC119" s="141">
        <f>Invoice!CA7</f>
        <v>1</v>
      </c>
      <c r="AD119" s="17"/>
      <c r="AE119" s="17"/>
    </row>
    <row r="120" spans="1:31" x14ac:dyDescent="0.25">
      <c r="A120" s="179">
        <v>119</v>
      </c>
      <c r="B120" s="141" t="str">
        <f>Invoice!C8</f>
        <v>7.6</v>
      </c>
      <c r="C120" s="141">
        <f>Invoice!AL8</f>
        <v>1</v>
      </c>
      <c r="D120" s="141" t="str">
        <f>'rekening perkiraan'!E3</f>
        <v>10.11.12.1</v>
      </c>
      <c r="E120" s="141" t="str">
        <f>'rekening perkiraan'!B3</f>
        <v>biaya 1</v>
      </c>
      <c r="F120" s="141" t="str">
        <f>'rekening perkiraan'!D3</f>
        <v>biaya produksi</v>
      </c>
      <c r="G120" s="141">
        <f>Invoice!B8</f>
        <v>7</v>
      </c>
      <c r="H120" s="141" t="str">
        <f>Invoice!D8</f>
        <v>SJ</v>
      </c>
      <c r="I120" s="141" t="str">
        <f>Invoice!E8</f>
        <v>.000006</v>
      </c>
      <c r="J120" s="142">
        <f>Invoice!R8</f>
        <v>43264</v>
      </c>
      <c r="K120" s="143" t="str">
        <f>Invoice!W8</f>
        <v>transaksi dollar</v>
      </c>
      <c r="L120" s="141">
        <f>Invoice!O8</f>
        <v>2</v>
      </c>
      <c r="M120" s="141" t="str">
        <f>'data mata uang'!D4</f>
        <v>USD</v>
      </c>
      <c r="N120" s="141">
        <f>'data mata uang'!G4</f>
        <v>14000</v>
      </c>
      <c r="O120" s="227">
        <f>Invoice!AM8</f>
        <v>346.9387755102041</v>
      </c>
      <c r="P120" s="144"/>
      <c r="Q120" s="144">
        <f t="shared" ref="Q120" si="19">N120*O120</f>
        <v>4857142.8571428573</v>
      </c>
      <c r="R120" s="144"/>
      <c r="S120" s="141">
        <v>0</v>
      </c>
      <c r="T120" s="141" t="str">
        <f>Invoice!N8</f>
        <v>7.6</v>
      </c>
      <c r="U120" s="141">
        <f>Invoice!AB8</f>
        <v>6</v>
      </c>
      <c r="V120" s="141">
        <f>Invoice!U8</f>
        <v>1</v>
      </c>
      <c r="W120" s="141">
        <f>Invoice!F8</f>
        <v>1</v>
      </c>
      <c r="X120" s="141">
        <f>Invoice!X8</f>
        <v>0</v>
      </c>
      <c r="Y120" s="141">
        <f>Invoice!Y8</f>
        <v>0</v>
      </c>
      <c r="Z120" s="141"/>
      <c r="AA120" s="141"/>
      <c r="AB120" s="141">
        <f>Invoice!BZ8</f>
        <v>3</v>
      </c>
      <c r="AC120" s="141">
        <f>Invoice!CA8</f>
        <v>1</v>
      </c>
      <c r="AD120" s="17"/>
      <c r="AE120" s="17"/>
    </row>
    <row r="121" spans="1:31" x14ac:dyDescent="0.25">
      <c r="A121" s="179">
        <v>120</v>
      </c>
      <c r="B121" s="141" t="str">
        <f>Invoice!C8</f>
        <v>7.6</v>
      </c>
      <c r="C121" s="141">
        <f>Invoice!AO8</f>
        <v>2</v>
      </c>
      <c r="D121" s="141" t="str">
        <f>'rekening perkiraan'!E6</f>
        <v>1.13.14.4</v>
      </c>
      <c r="E121" s="141" t="str">
        <f>'rekening perkiraan'!B6</f>
        <v>persediaan dalam perjalanan beli</v>
      </c>
      <c r="F121" s="141" t="str">
        <f>'rekening perkiraan'!D6</f>
        <v>persediaan</v>
      </c>
      <c r="G121" s="141">
        <f>Invoice!B8</f>
        <v>7</v>
      </c>
      <c r="H121" s="141" t="str">
        <f>Invoice!D8</f>
        <v>SJ</v>
      </c>
      <c r="I121" s="141" t="str">
        <f>Invoice!E8</f>
        <v>.000006</v>
      </c>
      <c r="J121" s="142">
        <f>Invoice!R8</f>
        <v>43264</v>
      </c>
      <c r="K121" s="143" t="str">
        <f>Invoice!W8</f>
        <v>transaksi dollar</v>
      </c>
      <c r="L121" s="141">
        <f>Invoice!O8</f>
        <v>2</v>
      </c>
      <c r="M121" s="141" t="str">
        <f>'data mata uang'!D4</f>
        <v>USD</v>
      </c>
      <c r="N121" s="141">
        <f>'data mata uang'!G4</f>
        <v>14000</v>
      </c>
      <c r="O121" s="144"/>
      <c r="P121" s="227">
        <f>Invoice!AQ8</f>
        <v>428.57142857142856</v>
      </c>
      <c r="Q121" s="144"/>
      <c r="R121" s="144">
        <f t="shared" ref="R121:R123" si="20">N121*P121</f>
        <v>6000000</v>
      </c>
      <c r="S121" s="141">
        <v>0</v>
      </c>
      <c r="T121" s="141" t="str">
        <f>Invoice!N8</f>
        <v>7.6</v>
      </c>
      <c r="U121" s="141">
        <f>Invoice!AB8</f>
        <v>6</v>
      </c>
      <c r="V121" s="141">
        <f>Invoice!U8</f>
        <v>1</v>
      </c>
      <c r="W121" s="141">
        <f>Invoice!F8</f>
        <v>1</v>
      </c>
      <c r="X121" s="141">
        <f>Invoice!X8</f>
        <v>0</v>
      </c>
      <c r="Y121" s="141">
        <f>Invoice!Y8</f>
        <v>0</v>
      </c>
      <c r="Z121" s="141"/>
      <c r="AA121" s="141"/>
      <c r="AB121" s="141">
        <f>Invoice!BZ8</f>
        <v>3</v>
      </c>
      <c r="AC121" s="141">
        <f>Invoice!CA8</f>
        <v>1</v>
      </c>
      <c r="AD121" s="17"/>
      <c r="AE121" s="17"/>
    </row>
    <row r="122" spans="1:31" x14ac:dyDescent="0.25">
      <c r="A122" s="179">
        <v>121</v>
      </c>
      <c r="B122" s="141" t="str">
        <f>Invoice!C8</f>
        <v>7.6</v>
      </c>
      <c r="C122" s="141">
        <f>Invoice!AR8</f>
        <v>3</v>
      </c>
      <c r="D122" s="141" t="str">
        <f>'rekening perkiraan'!E5</f>
        <v>1.13.14.3</v>
      </c>
      <c r="E122" s="141" t="str">
        <f>'rekening perkiraan'!B5</f>
        <v>persediaan 1</v>
      </c>
      <c r="F122" s="141" t="str">
        <f>'rekening perkiraan'!D5</f>
        <v>persediaan</v>
      </c>
      <c r="G122" s="141">
        <f>Invoice!B8</f>
        <v>7</v>
      </c>
      <c r="H122" s="141" t="str">
        <f>Invoice!D8</f>
        <v>SJ</v>
      </c>
      <c r="I122" s="141" t="str">
        <f>Invoice!E8</f>
        <v>.000006</v>
      </c>
      <c r="J122" s="142">
        <f>Invoice!R8</f>
        <v>43264</v>
      </c>
      <c r="K122" s="143" t="str">
        <f>Invoice!W8</f>
        <v>transaksi dollar</v>
      </c>
      <c r="L122" s="141">
        <f>Invoice!O8</f>
        <v>2</v>
      </c>
      <c r="M122" s="141" t="str">
        <f>'data mata uang'!D4</f>
        <v>USD</v>
      </c>
      <c r="N122" s="141">
        <f>'data mata uang'!G4</f>
        <v>14000</v>
      </c>
      <c r="O122" s="144"/>
      <c r="P122" s="227">
        <f>Invoice!AT8</f>
        <v>346.9387755102041</v>
      </c>
      <c r="Q122" s="144"/>
      <c r="R122" s="144">
        <f t="shared" si="20"/>
        <v>4857142.8571428573</v>
      </c>
      <c r="S122" s="141">
        <v>0</v>
      </c>
      <c r="T122" s="141" t="str">
        <f>Invoice!N8</f>
        <v>7.6</v>
      </c>
      <c r="U122" s="141">
        <f>Invoice!AB8</f>
        <v>6</v>
      </c>
      <c r="V122" s="141">
        <f>Invoice!U8</f>
        <v>1</v>
      </c>
      <c r="W122" s="141">
        <f>Invoice!F8</f>
        <v>1</v>
      </c>
      <c r="X122" s="141">
        <f>Invoice!X8</f>
        <v>0</v>
      </c>
      <c r="Y122" s="141">
        <f>Invoice!Y8</f>
        <v>0</v>
      </c>
      <c r="Z122" s="141"/>
      <c r="AA122" s="141"/>
      <c r="AB122" s="141">
        <f>Invoice!BZ8</f>
        <v>3</v>
      </c>
      <c r="AC122" s="141">
        <f>Invoice!CA8</f>
        <v>1</v>
      </c>
      <c r="AD122" s="17"/>
      <c r="AE122" s="17"/>
    </row>
    <row r="123" spans="1:31" x14ac:dyDescent="0.25">
      <c r="A123" s="179">
        <v>122</v>
      </c>
      <c r="B123" s="141" t="str">
        <f>Invoice!C8</f>
        <v>7.6</v>
      </c>
      <c r="C123" s="141">
        <f>Invoice!BD8</f>
        <v>18</v>
      </c>
      <c r="D123" s="141" t="str">
        <f>'rekening perkiraan'!E20</f>
        <v>1.18.19.18</v>
      </c>
      <c r="E123" s="141" t="str">
        <f>'rekening perkiraan'!B20</f>
        <v>pajak dibayar dimuka</v>
      </c>
      <c r="F123" s="141" t="str">
        <f>'rekening perkiraan'!D20</f>
        <v>biaya dibayar dimuka</v>
      </c>
      <c r="G123" s="141">
        <f>Invoice!B8</f>
        <v>7</v>
      </c>
      <c r="H123" s="141" t="str">
        <f>Invoice!D8</f>
        <v>SJ</v>
      </c>
      <c r="I123" s="141" t="str">
        <f>Invoice!E8</f>
        <v>.000006</v>
      </c>
      <c r="J123" s="142">
        <f>Invoice!R8</f>
        <v>43264</v>
      </c>
      <c r="K123" s="143" t="str">
        <f>Invoice!W8</f>
        <v>transaksi dollar</v>
      </c>
      <c r="L123" s="141">
        <f>Invoice!O8</f>
        <v>2</v>
      </c>
      <c r="M123" s="141" t="str">
        <f>'data mata uang'!D4</f>
        <v>USD</v>
      </c>
      <c r="N123" s="141">
        <f>'data mata uang'!G4</f>
        <v>14000</v>
      </c>
      <c r="O123" s="144"/>
      <c r="P123" s="228">
        <f>Invoice!BF8</f>
        <v>42.857142857142861</v>
      </c>
      <c r="Q123" s="144"/>
      <c r="R123" s="144">
        <f t="shared" si="20"/>
        <v>600000</v>
      </c>
      <c r="S123" s="141">
        <v>0</v>
      </c>
      <c r="T123" s="141" t="str">
        <f>Invoice!N8</f>
        <v>7.6</v>
      </c>
      <c r="U123" s="141">
        <f>Invoice!AB8</f>
        <v>6</v>
      </c>
      <c r="V123" s="141">
        <f>Invoice!U8</f>
        <v>1</v>
      </c>
      <c r="W123" s="141">
        <f>Invoice!F8</f>
        <v>1</v>
      </c>
      <c r="X123" s="141">
        <f>Invoice!X8</f>
        <v>0</v>
      </c>
      <c r="Y123" s="141">
        <f>Invoice!Y8</f>
        <v>0</v>
      </c>
      <c r="Z123" s="141"/>
      <c r="AA123" s="141"/>
      <c r="AB123" s="141">
        <f>Invoice!BZ8</f>
        <v>3</v>
      </c>
      <c r="AC123" s="141">
        <f>Invoice!CA8</f>
        <v>1</v>
      </c>
      <c r="AD123" s="17"/>
      <c r="AE123" s="17"/>
    </row>
    <row r="124" spans="1:31" s="183" customFormat="1" x14ac:dyDescent="0.25">
      <c r="A124" s="179">
        <v>123</v>
      </c>
      <c r="B124" s="141" t="str">
        <f>Invoice!C8</f>
        <v>7.6</v>
      </c>
      <c r="C124" s="141">
        <f>Invoice!BM8</f>
        <v>12</v>
      </c>
      <c r="D124" s="141" t="str">
        <f>'rekening perkiraan'!E14</f>
        <v>1.2.5.12</v>
      </c>
      <c r="E124" s="141" t="str">
        <f>'rekening perkiraan'!B14</f>
        <v>piutang usaha (USD)</v>
      </c>
      <c r="F124" s="141" t="str">
        <f>'rekening perkiraan'!D14</f>
        <v>piutang dagang</v>
      </c>
      <c r="G124" s="141">
        <f>Invoice!B8</f>
        <v>7</v>
      </c>
      <c r="H124" s="141" t="str">
        <f>Invoice!D8</f>
        <v>SJ</v>
      </c>
      <c r="I124" s="141" t="str">
        <f>Invoice!E8</f>
        <v>.000006</v>
      </c>
      <c r="J124" s="142">
        <f>Invoice!R8</f>
        <v>43264</v>
      </c>
      <c r="K124" s="143" t="str">
        <f>Invoice!W8</f>
        <v>transaksi dollar</v>
      </c>
      <c r="L124" s="141">
        <f>Invoice!O8</f>
        <v>2</v>
      </c>
      <c r="M124" s="141" t="str">
        <f>'data mata uang'!D4</f>
        <v>USD</v>
      </c>
      <c r="N124" s="141">
        <f>'data mata uang'!G4</f>
        <v>14000</v>
      </c>
      <c r="O124" s="227">
        <f>Invoice!BN8</f>
        <v>471.42857142857144</v>
      </c>
      <c r="P124" s="144"/>
      <c r="Q124" s="144">
        <f t="shared" ref="Q124" si="21">N124*O124</f>
        <v>6600000</v>
      </c>
      <c r="R124" s="144"/>
      <c r="S124" s="141">
        <v>0</v>
      </c>
      <c r="T124" s="141" t="str">
        <f>Invoice!N8</f>
        <v>7.6</v>
      </c>
      <c r="U124" s="141">
        <f>Invoice!AB8</f>
        <v>6</v>
      </c>
      <c r="V124" s="141">
        <f>Invoice!U8</f>
        <v>1</v>
      </c>
      <c r="W124" s="141">
        <f>Invoice!F8</f>
        <v>1</v>
      </c>
      <c r="X124" s="141">
        <f>Invoice!X8</f>
        <v>0</v>
      </c>
      <c r="Y124" s="141">
        <f>Invoice!Y8</f>
        <v>0</v>
      </c>
      <c r="Z124" s="141"/>
      <c r="AA124" s="141"/>
      <c r="AB124" s="141">
        <f>Invoice!BZ8</f>
        <v>3</v>
      </c>
      <c r="AC124" s="141">
        <f>Invoice!CA8</f>
        <v>1</v>
      </c>
      <c r="AD124" s="179"/>
      <c r="AE124" s="179"/>
    </row>
    <row r="125" spans="1:31" s="238" customFormat="1" x14ac:dyDescent="0.25">
      <c r="A125" s="179">
        <v>124</v>
      </c>
      <c r="B125" s="233"/>
      <c r="C125" s="233">
        <f>Invoice!AL9</f>
        <v>1</v>
      </c>
      <c r="D125" s="233" t="str">
        <f>'rekening perkiraan'!E3</f>
        <v>10.11.12.1</v>
      </c>
      <c r="E125" s="233" t="str">
        <f>'rekening perkiraan'!B3</f>
        <v>biaya 1</v>
      </c>
      <c r="F125" s="233" t="str">
        <f>'rekening perkiraan'!D3</f>
        <v>biaya produksi</v>
      </c>
      <c r="G125" s="233">
        <f>Invoice!B9</f>
        <v>7</v>
      </c>
      <c r="H125" s="233" t="str">
        <f>Invoice!D9</f>
        <v>SJ</v>
      </c>
      <c r="I125" s="233" t="str">
        <f>Invoice!E9</f>
        <v>.000007</v>
      </c>
      <c r="J125" s="234">
        <f>Invoice!R9</f>
        <v>43265</v>
      </c>
      <c r="K125" s="235" t="str">
        <f>CONCATENATE(Invoice!W9,", ",Invoice!G9,", ",Invoice!V9)</f>
        <v>term pembayaran, dimas dhaniarso, cempaka putih</v>
      </c>
      <c r="L125" s="233">
        <f>Invoice!O9</f>
        <v>1</v>
      </c>
      <c r="M125" s="233" t="str">
        <f>'data mata uang'!D3</f>
        <v>IDR</v>
      </c>
      <c r="N125" s="233">
        <f>'data mata uang'!G3</f>
        <v>1</v>
      </c>
      <c r="O125" s="236">
        <f>Invoice!AM9</f>
        <v>4857142.8571428573</v>
      </c>
      <c r="P125" s="236"/>
      <c r="Q125" s="236">
        <f>N125*O125</f>
        <v>4857142.8571428573</v>
      </c>
      <c r="R125" s="236"/>
      <c r="S125" s="233">
        <v>0</v>
      </c>
      <c r="T125" s="233" t="str">
        <f>Invoice!N9</f>
        <v>7.7</v>
      </c>
      <c r="U125" s="233">
        <f>Invoice!AB9</f>
        <v>6</v>
      </c>
      <c r="V125" s="233">
        <f>Invoice!U9</f>
        <v>1</v>
      </c>
      <c r="W125" s="233">
        <f>Invoice!F9</f>
        <v>1</v>
      </c>
      <c r="X125" s="233">
        <f>Invoice!X9</f>
        <v>0</v>
      </c>
      <c r="Y125" s="237">
        <f>Invoice!Y9</f>
        <v>0</v>
      </c>
      <c r="Z125" s="233"/>
      <c r="AA125" s="233"/>
      <c r="AB125" s="233">
        <f>Invoice!BZ9</f>
        <v>3</v>
      </c>
      <c r="AC125" s="233">
        <f>Invoice!CA9</f>
        <v>1</v>
      </c>
      <c r="AD125" s="233"/>
      <c r="AE125" s="233"/>
    </row>
    <row r="126" spans="1:31" s="238" customFormat="1" x14ac:dyDescent="0.25">
      <c r="A126" s="179">
        <v>125</v>
      </c>
      <c r="B126" s="233"/>
      <c r="C126" s="233">
        <f>Invoice!AO9</f>
        <v>2</v>
      </c>
      <c r="D126" s="233" t="str">
        <f>'rekening perkiraan'!E4</f>
        <v>7.8.9.2</v>
      </c>
      <c r="E126" s="233" t="str">
        <f>'rekening perkiraan'!B4</f>
        <v>penjualan produk 1</v>
      </c>
      <c r="F126" s="233" t="str">
        <f>'rekening perkiraan'!D4</f>
        <v xml:space="preserve">pendapatan usaha </v>
      </c>
      <c r="G126" s="233">
        <f>Invoice!B9</f>
        <v>7</v>
      </c>
      <c r="H126" s="233" t="str">
        <f>Invoice!D9</f>
        <v>SJ</v>
      </c>
      <c r="I126" s="233" t="str">
        <f>Invoice!E9</f>
        <v>.000007</v>
      </c>
      <c r="J126" s="234">
        <f>Invoice!R9</f>
        <v>43265</v>
      </c>
      <c r="K126" s="235" t="str">
        <f>CONCATENATE(Invoice!W9,", ",Invoice!G9,", ",Invoice!V9)</f>
        <v>term pembayaran, dimas dhaniarso, cempaka putih</v>
      </c>
      <c r="L126" s="233">
        <f>Invoice!O9</f>
        <v>1</v>
      </c>
      <c r="M126" s="233" t="str">
        <f>'data mata uang'!D3</f>
        <v>IDR</v>
      </c>
      <c r="N126" s="233">
        <f>'data mata uang'!G3</f>
        <v>1</v>
      </c>
      <c r="O126" s="236"/>
      <c r="P126" s="236">
        <f>Invoice!AQ9</f>
        <v>6000000</v>
      </c>
      <c r="Q126" s="236"/>
      <c r="R126" s="236">
        <f>N126*P126</f>
        <v>6000000</v>
      </c>
      <c r="S126" s="233">
        <v>0</v>
      </c>
      <c r="T126" s="233" t="str">
        <f>Invoice!N9</f>
        <v>7.7</v>
      </c>
      <c r="U126" s="233">
        <f>Invoice!AB9</f>
        <v>6</v>
      </c>
      <c r="V126" s="233">
        <f>Invoice!U9</f>
        <v>1</v>
      </c>
      <c r="W126" s="233">
        <f>Invoice!F9</f>
        <v>1</v>
      </c>
      <c r="X126" s="233">
        <f>Invoice!X9</f>
        <v>0</v>
      </c>
      <c r="Y126" s="237">
        <f>Invoice!Y9</f>
        <v>0</v>
      </c>
      <c r="Z126" s="233"/>
      <c r="AA126" s="233"/>
      <c r="AB126" s="233">
        <f>Invoice!BZ9</f>
        <v>3</v>
      </c>
      <c r="AC126" s="233">
        <f>Invoice!CA9</f>
        <v>1</v>
      </c>
      <c r="AD126" s="233"/>
      <c r="AE126" s="233"/>
    </row>
    <row r="127" spans="1:31" s="238" customFormat="1" x14ac:dyDescent="0.25">
      <c r="A127" s="179">
        <v>126</v>
      </c>
      <c r="B127" s="233"/>
      <c r="C127" s="233">
        <f>Invoice!AR9</f>
        <v>3</v>
      </c>
      <c r="D127" s="233" t="str">
        <f>'rekening perkiraan'!E5</f>
        <v>1.13.14.3</v>
      </c>
      <c r="E127" s="233" t="str">
        <f>'rekening perkiraan'!B5</f>
        <v>persediaan 1</v>
      </c>
      <c r="F127" s="233" t="str">
        <f>'rekening perkiraan'!D5</f>
        <v>persediaan</v>
      </c>
      <c r="G127" s="233">
        <f>Invoice!B9</f>
        <v>7</v>
      </c>
      <c r="H127" s="233" t="str">
        <f>Invoice!D9</f>
        <v>SJ</v>
      </c>
      <c r="I127" s="233" t="str">
        <f>Invoice!E9</f>
        <v>.000007</v>
      </c>
      <c r="J127" s="234">
        <f>Invoice!R9</f>
        <v>43265</v>
      </c>
      <c r="K127" s="235" t="str">
        <f>CONCATENATE(Invoice!W9,", ",Invoice!G9,", ",Invoice!V9)</f>
        <v>term pembayaran, dimas dhaniarso, cempaka putih</v>
      </c>
      <c r="L127" s="233">
        <f>Invoice!O9</f>
        <v>1</v>
      </c>
      <c r="M127" s="233" t="str">
        <f>'data mata uang'!D3</f>
        <v>IDR</v>
      </c>
      <c r="N127" s="233">
        <f>'data mata uang'!G3</f>
        <v>1</v>
      </c>
      <c r="O127" s="236"/>
      <c r="P127" s="236">
        <f>Invoice!AT9</f>
        <v>4857142.8571428573</v>
      </c>
      <c r="Q127" s="236"/>
      <c r="R127" s="236">
        <f>N127*P127</f>
        <v>4857142.8571428573</v>
      </c>
      <c r="S127" s="233">
        <v>0</v>
      </c>
      <c r="T127" s="233" t="str">
        <f>Invoice!N9</f>
        <v>7.7</v>
      </c>
      <c r="U127" s="233">
        <f>Invoice!AB9</f>
        <v>6</v>
      </c>
      <c r="V127" s="233">
        <f>Invoice!U9</f>
        <v>1</v>
      </c>
      <c r="W127" s="233">
        <f>Invoice!F9</f>
        <v>1</v>
      </c>
      <c r="X127" s="233">
        <f>Invoice!X9</f>
        <v>0</v>
      </c>
      <c r="Y127" s="237">
        <f>Invoice!Y9</f>
        <v>0</v>
      </c>
      <c r="Z127" s="233"/>
      <c r="AA127" s="233"/>
      <c r="AB127" s="233">
        <f>Invoice!BZ9</f>
        <v>3</v>
      </c>
      <c r="AC127" s="233">
        <f>Invoice!CA9</f>
        <v>1</v>
      </c>
      <c r="AD127" s="233"/>
      <c r="AE127" s="233"/>
    </row>
    <row r="128" spans="1:31" s="238" customFormat="1" x14ac:dyDescent="0.25">
      <c r="A128" s="179">
        <v>127</v>
      </c>
      <c r="B128" s="233"/>
      <c r="C128" s="233">
        <f>Invoice!BD9</f>
        <v>18</v>
      </c>
      <c r="D128" s="233" t="str">
        <f>'rekening perkiraan'!E20</f>
        <v>1.18.19.18</v>
      </c>
      <c r="E128" s="233" t="str">
        <f>'rekening perkiraan'!B20</f>
        <v>pajak dibayar dimuka</v>
      </c>
      <c r="F128" s="233" t="str">
        <f>'rekening perkiraan'!D20</f>
        <v>biaya dibayar dimuka</v>
      </c>
      <c r="G128" s="233">
        <f>Invoice!B9</f>
        <v>7</v>
      </c>
      <c r="H128" s="233" t="str">
        <f>Invoice!D9</f>
        <v>SJ</v>
      </c>
      <c r="I128" s="233" t="str">
        <f>Invoice!E9</f>
        <v>.000007</v>
      </c>
      <c r="J128" s="234">
        <f>Invoice!R9</f>
        <v>43265</v>
      </c>
      <c r="K128" s="235" t="str">
        <f>CONCATENATE(Invoice!W9,", ",Invoice!G9,", ",Invoice!V9)</f>
        <v>term pembayaran, dimas dhaniarso, cempaka putih</v>
      </c>
      <c r="L128" s="233">
        <f>Invoice!O9</f>
        <v>1</v>
      </c>
      <c r="M128" s="233" t="str">
        <f>'data mata uang'!D3</f>
        <v>IDR</v>
      </c>
      <c r="N128" s="233">
        <f>'data mata uang'!G3</f>
        <v>1</v>
      </c>
      <c r="O128" s="236"/>
      <c r="P128" s="236">
        <f>Invoice!BF9</f>
        <v>600000</v>
      </c>
      <c r="Q128" s="236"/>
      <c r="R128" s="236">
        <f>N128*P128</f>
        <v>600000</v>
      </c>
      <c r="S128" s="233">
        <v>0</v>
      </c>
      <c r="T128" s="233" t="str">
        <f>Invoice!N9</f>
        <v>7.7</v>
      </c>
      <c r="U128" s="233">
        <f>Invoice!AB9</f>
        <v>6</v>
      </c>
      <c r="V128" s="233">
        <f>Invoice!U9</f>
        <v>1</v>
      </c>
      <c r="W128" s="233">
        <f>Invoice!F9</f>
        <v>1</v>
      </c>
      <c r="X128" s="233">
        <f>Invoice!X9</f>
        <v>0</v>
      </c>
      <c r="Y128" s="237">
        <f>Invoice!Y9</f>
        <v>0</v>
      </c>
      <c r="Z128" s="233"/>
      <c r="AA128" s="233"/>
      <c r="AB128" s="233">
        <f>Invoice!BZ9</f>
        <v>3</v>
      </c>
      <c r="AC128" s="233">
        <f>Invoice!CA9</f>
        <v>1</v>
      </c>
      <c r="AD128" s="233"/>
      <c r="AE128" s="233"/>
    </row>
    <row r="129" spans="1:31" s="238" customFormat="1" x14ac:dyDescent="0.25">
      <c r="A129" s="179">
        <v>128</v>
      </c>
      <c r="B129" s="233"/>
      <c r="C129" s="233">
        <f>Invoice!BJ9</f>
        <v>9</v>
      </c>
      <c r="D129" s="233" t="str">
        <f>'rekening perkiraan'!E11</f>
        <v>1.2.3.9</v>
      </c>
      <c r="E129" s="233" t="str">
        <f>'rekening perkiraan'!B11</f>
        <v>kas</v>
      </c>
      <c r="F129" s="233" t="str">
        <f>'rekening perkiraan'!D11</f>
        <v>kas</v>
      </c>
      <c r="G129" s="233">
        <f>Invoice!B9</f>
        <v>7</v>
      </c>
      <c r="H129" s="233" t="str">
        <f>Invoice!D9</f>
        <v>SJ</v>
      </c>
      <c r="I129" s="233" t="str">
        <f>Invoice!E9</f>
        <v>.000007</v>
      </c>
      <c r="J129" s="234">
        <f>Invoice!R9</f>
        <v>43265</v>
      </c>
      <c r="K129" s="235" t="str">
        <f>CONCATENATE(Invoice!W9,", ",Invoice!G9,", ",Invoice!V9)</f>
        <v>term pembayaran, dimas dhaniarso, cempaka putih</v>
      </c>
      <c r="L129" s="233">
        <f>'data mata uang'!A3</f>
        <v>1</v>
      </c>
      <c r="M129" s="233" t="str">
        <f>'data mata uang'!D3</f>
        <v>IDR</v>
      </c>
      <c r="N129" s="233">
        <f>'data mata uang'!G3</f>
        <v>1</v>
      </c>
      <c r="O129" s="236">
        <f>Invoice!BU9</f>
        <v>1320000</v>
      </c>
      <c r="P129" s="236"/>
      <c r="Q129" s="285">
        <f>N129*O129</f>
        <v>1320000</v>
      </c>
      <c r="R129" s="236"/>
      <c r="S129" s="233"/>
      <c r="T129" s="233"/>
      <c r="U129" s="233"/>
      <c r="V129" s="233"/>
      <c r="W129" s="233"/>
      <c r="X129" s="233"/>
      <c r="Y129" s="237"/>
      <c r="Z129" s="233"/>
      <c r="AA129" s="233"/>
      <c r="AB129" s="233"/>
      <c r="AC129" s="233"/>
      <c r="AD129" s="233"/>
      <c r="AE129" s="233"/>
    </row>
    <row r="130" spans="1:31" s="238" customFormat="1" x14ac:dyDescent="0.25">
      <c r="A130" s="179">
        <v>129</v>
      </c>
      <c r="B130" s="233"/>
      <c r="C130" s="233">
        <f>Invoice!BM9</f>
        <v>7</v>
      </c>
      <c r="D130" s="233" t="str">
        <f>'rekening perkiraan'!E9</f>
        <v>1.2.5.7</v>
      </c>
      <c r="E130" s="233" t="str">
        <f>'rekening perkiraan'!B9</f>
        <v>piutang usaha</v>
      </c>
      <c r="F130" s="233" t="str">
        <f>'rekening perkiraan'!D9</f>
        <v>piutang dagang</v>
      </c>
      <c r="G130" s="233">
        <f>Invoice!B9</f>
        <v>7</v>
      </c>
      <c r="H130" s="233" t="str">
        <f>Invoice!D9</f>
        <v>SJ</v>
      </c>
      <c r="I130" s="233" t="str">
        <f>Invoice!E9</f>
        <v>.000007</v>
      </c>
      <c r="J130" s="234">
        <f>Invoice!R9</f>
        <v>43265</v>
      </c>
      <c r="K130" s="235" t="str">
        <f>CONCATENATE(Invoice!W9,", ",Invoice!G9,", ",Invoice!V9)</f>
        <v>term pembayaran, dimas dhaniarso, cempaka putih</v>
      </c>
      <c r="L130" s="233">
        <f>Invoice!O9</f>
        <v>1</v>
      </c>
      <c r="M130" s="233" t="str">
        <f>'data mata uang'!D3</f>
        <v>IDR</v>
      </c>
      <c r="N130" s="233">
        <f>'data mata uang'!G3</f>
        <v>1</v>
      </c>
      <c r="O130" s="236" t="s">
        <v>1671</v>
      </c>
      <c r="P130" s="236"/>
      <c r="Q130" s="236" t="e">
        <f>N130*O130</f>
        <v>#VALUE!</v>
      </c>
      <c r="R130" s="236"/>
      <c r="S130" s="233">
        <v>0</v>
      </c>
      <c r="T130" s="233" t="str">
        <f>Invoice!N9</f>
        <v>7.7</v>
      </c>
      <c r="U130" s="233">
        <f>Invoice!AB9</f>
        <v>6</v>
      </c>
      <c r="V130" s="233">
        <f>Invoice!U9</f>
        <v>1</v>
      </c>
      <c r="W130" s="233">
        <f>Invoice!F9</f>
        <v>1</v>
      </c>
      <c r="X130" s="233">
        <f>Invoice!X9</f>
        <v>0</v>
      </c>
      <c r="Y130" s="237">
        <f>Invoice!Y9</f>
        <v>0</v>
      </c>
      <c r="Z130" s="233"/>
      <c r="AA130" s="233"/>
      <c r="AB130" s="233">
        <f>Invoice!BZ9</f>
        <v>3</v>
      </c>
      <c r="AC130" s="233">
        <f>Invoice!CA9</f>
        <v>1</v>
      </c>
      <c r="AD130" s="233"/>
      <c r="AE130" s="233"/>
    </row>
    <row r="131" spans="1:31" s="183" customFormat="1" x14ac:dyDescent="0.25">
      <c r="A131" s="179">
        <v>130</v>
      </c>
      <c r="B131" s="179"/>
      <c r="C131" s="179">
        <f>Invoice!BM9</f>
        <v>7</v>
      </c>
      <c r="D131" s="179" t="str">
        <f>'rekening perkiraan'!E9</f>
        <v>1.2.5.7</v>
      </c>
      <c r="E131" s="179" t="s">
        <v>14</v>
      </c>
      <c r="F131" s="179"/>
      <c r="G131" s="179"/>
      <c r="H131" s="179"/>
      <c r="I131" s="179"/>
      <c r="J131" s="180"/>
      <c r="K131" s="181" t="str">
        <f>CONCATENATE(Invoice!W9,", ",Invoice!G9,", ",Invoice!V9)</f>
        <v>term pembayaran, dimas dhaniarso, cempaka putih</v>
      </c>
      <c r="L131" s="179"/>
      <c r="M131" s="179"/>
      <c r="N131" s="179"/>
      <c r="O131" s="182" t="s">
        <v>1672</v>
      </c>
      <c r="P131" s="182"/>
      <c r="Q131" s="182"/>
      <c r="R131" s="182"/>
      <c r="S131" s="179"/>
      <c r="T131" s="179"/>
      <c r="U131" s="179"/>
      <c r="V131" s="179"/>
      <c r="W131" s="179"/>
      <c r="X131" s="179"/>
      <c r="Y131" s="191"/>
      <c r="Z131" s="179"/>
      <c r="AA131" s="179"/>
      <c r="AB131" s="179"/>
      <c r="AC131" s="179"/>
      <c r="AD131" s="179"/>
      <c r="AE131" s="179"/>
    </row>
    <row r="132" spans="1:31" x14ac:dyDescent="0.25">
      <c r="A132" s="179">
        <v>131</v>
      </c>
      <c r="B132" s="141" t="str">
        <f>Invoice!C10</f>
        <v>7.8</v>
      </c>
      <c r="C132" s="141">
        <f>Invoice!AL10</f>
        <v>1</v>
      </c>
      <c r="D132" s="141" t="str">
        <f>'rekening perkiraan'!E3</f>
        <v>10.11.12.1</v>
      </c>
      <c r="E132" s="141" t="str">
        <f>'rekening perkiraan'!B3</f>
        <v>biaya 1</v>
      </c>
      <c r="F132" s="141" t="str">
        <f>'rekening perkiraan'!D3</f>
        <v>biaya produksi</v>
      </c>
      <c r="G132" s="141">
        <f>Invoice!B10</f>
        <v>7</v>
      </c>
      <c r="H132" s="141" t="str">
        <f>Invoice!D10</f>
        <v>SJ</v>
      </c>
      <c r="I132" s="141" t="str">
        <f>Invoice!E10</f>
        <v>.000008</v>
      </c>
      <c r="J132" s="142">
        <f>Invoice!R10</f>
        <v>43266</v>
      </c>
      <c r="K132" s="143" t="str">
        <f>CONCATENATE(Invoice!W10,", ",Invoice!G10,", ",Invoice!V10)</f>
        <v>Annual, dimas dhaniarso, cempaka putih</v>
      </c>
      <c r="L132" s="141">
        <f>Invoice!O10</f>
        <v>1</v>
      </c>
      <c r="M132" s="141" t="str">
        <f>'data mata uang'!D3</f>
        <v>IDR</v>
      </c>
      <c r="N132" s="141">
        <f>'data mata uang'!G3</f>
        <v>1</v>
      </c>
      <c r="O132" s="144">
        <f>Invoice!AM10</f>
        <v>2428571.4285714286</v>
      </c>
      <c r="P132" s="144"/>
      <c r="Q132" s="144">
        <f>N132*O132</f>
        <v>2428571.4285714286</v>
      </c>
      <c r="R132" s="144"/>
      <c r="S132" s="141">
        <v>0</v>
      </c>
      <c r="T132" s="141" t="str">
        <f>Invoice!N10</f>
        <v>7.8</v>
      </c>
      <c r="U132" s="141">
        <f>Invoice!AB10</f>
        <v>5</v>
      </c>
      <c r="V132" s="141">
        <f>Invoice!U10</f>
        <v>1</v>
      </c>
      <c r="W132" s="141">
        <f>Invoice!F10</f>
        <v>1</v>
      </c>
      <c r="X132" s="141">
        <f>Invoice!X10</f>
        <v>0</v>
      </c>
      <c r="Y132" s="189">
        <f>Invoice!Y10</f>
        <v>0</v>
      </c>
      <c r="Z132" s="141"/>
      <c r="AA132" s="141"/>
      <c r="AB132" s="141">
        <f>Invoice!BZ10</f>
        <v>2</v>
      </c>
      <c r="AC132" s="141">
        <f>Invoice!CA10</f>
        <v>1</v>
      </c>
      <c r="AD132" s="141"/>
      <c r="AE132" s="141"/>
    </row>
    <row r="133" spans="1:31" x14ac:dyDescent="0.25">
      <c r="A133" s="179">
        <v>132</v>
      </c>
      <c r="B133" s="141" t="str">
        <f>Invoice!C10</f>
        <v>7.8</v>
      </c>
      <c r="C133" s="141">
        <f>Invoice!AO10</f>
        <v>2</v>
      </c>
      <c r="D133" s="141" t="str">
        <f>'rekening perkiraan'!E4</f>
        <v>7.8.9.2</v>
      </c>
      <c r="E133" s="141" t="str">
        <f>'rekening perkiraan'!B4</f>
        <v>penjualan produk 1</v>
      </c>
      <c r="F133" s="141" t="str">
        <f>'rekening perkiraan'!D4</f>
        <v xml:space="preserve">pendapatan usaha </v>
      </c>
      <c r="G133" s="141">
        <f>Invoice!B10</f>
        <v>7</v>
      </c>
      <c r="H133" s="141" t="str">
        <f>Invoice!D10</f>
        <v>SJ</v>
      </c>
      <c r="I133" s="141" t="str">
        <f>Invoice!E10</f>
        <v>.000008</v>
      </c>
      <c r="J133" s="142">
        <f>Invoice!R10</f>
        <v>43266</v>
      </c>
      <c r="K133" s="143" t="str">
        <f>CONCATENATE(Invoice!W10,", ",Invoice!G10,", ",Invoice!V10)</f>
        <v>Annual, dimas dhaniarso, cempaka putih</v>
      </c>
      <c r="L133" s="141">
        <f>Invoice!O10</f>
        <v>1</v>
      </c>
      <c r="M133" s="141" t="str">
        <f>'data mata uang'!D3</f>
        <v>IDR</v>
      </c>
      <c r="N133" s="141">
        <f>'data mata uang'!G3</f>
        <v>1</v>
      </c>
      <c r="O133" s="144"/>
      <c r="P133" s="144">
        <f>Invoice!AQ10</f>
        <v>3000000</v>
      </c>
      <c r="Q133" s="144"/>
      <c r="R133" s="144">
        <f>N133*P133</f>
        <v>3000000</v>
      </c>
      <c r="S133" s="141">
        <v>0</v>
      </c>
      <c r="T133" s="141" t="str">
        <f>Invoice!N10</f>
        <v>7.8</v>
      </c>
      <c r="U133" s="141">
        <f>Invoice!AB10</f>
        <v>5</v>
      </c>
      <c r="V133" s="141">
        <f>Invoice!U10</f>
        <v>1</v>
      </c>
      <c r="W133" s="141">
        <f>Invoice!F10</f>
        <v>1</v>
      </c>
      <c r="X133" s="141">
        <f>Invoice!X10</f>
        <v>0</v>
      </c>
      <c r="Y133" s="189">
        <f>Invoice!Y10</f>
        <v>0</v>
      </c>
      <c r="Z133" s="141"/>
      <c r="AA133" s="141"/>
      <c r="AB133" s="141">
        <f>Invoice!BZ10</f>
        <v>2</v>
      </c>
      <c r="AC133" s="141">
        <f>Invoice!CA10</f>
        <v>1</v>
      </c>
      <c r="AD133" s="141"/>
      <c r="AE133" s="141"/>
    </row>
    <row r="134" spans="1:31" x14ac:dyDescent="0.25">
      <c r="A134" s="179">
        <v>133</v>
      </c>
      <c r="B134" s="141" t="str">
        <f>Invoice!C10</f>
        <v>7.8</v>
      </c>
      <c r="C134" s="141">
        <f>Invoice!AR10</f>
        <v>3</v>
      </c>
      <c r="D134" s="141" t="str">
        <f>'rekening perkiraan'!E5</f>
        <v>1.13.14.3</v>
      </c>
      <c r="E134" s="141" t="str">
        <f>'rekening perkiraan'!B5</f>
        <v>persediaan 1</v>
      </c>
      <c r="F134" s="141" t="str">
        <f>'rekening perkiraan'!D5</f>
        <v>persediaan</v>
      </c>
      <c r="G134" s="141">
        <f>Invoice!B10</f>
        <v>7</v>
      </c>
      <c r="H134" s="141" t="str">
        <f>Invoice!D10</f>
        <v>SJ</v>
      </c>
      <c r="I134" s="141" t="str">
        <f>Invoice!E10</f>
        <v>.000008</v>
      </c>
      <c r="J134" s="142">
        <f>Invoice!R10</f>
        <v>43266</v>
      </c>
      <c r="K134" s="143" t="str">
        <f>CONCATENATE(Invoice!W10,", ",Invoice!G10,", ",Invoice!V10)</f>
        <v>Annual, dimas dhaniarso, cempaka putih</v>
      </c>
      <c r="L134" s="141">
        <f>Invoice!O10</f>
        <v>1</v>
      </c>
      <c r="M134" s="141" t="str">
        <f>'data mata uang'!D3</f>
        <v>IDR</v>
      </c>
      <c r="N134" s="141">
        <f>'data mata uang'!G3</f>
        <v>1</v>
      </c>
      <c r="O134" s="144"/>
      <c r="P134" s="144">
        <f>Invoice!AT10</f>
        <v>2428571.4285714286</v>
      </c>
      <c r="Q134" s="144"/>
      <c r="R134" s="144">
        <f>N134*P134</f>
        <v>2428571.4285714286</v>
      </c>
      <c r="S134" s="141">
        <v>0</v>
      </c>
      <c r="T134" s="141" t="str">
        <f>Invoice!N10</f>
        <v>7.8</v>
      </c>
      <c r="U134" s="141">
        <f>Invoice!AB10</f>
        <v>5</v>
      </c>
      <c r="V134" s="141">
        <f>Invoice!U10</f>
        <v>1</v>
      </c>
      <c r="W134" s="141">
        <f>Invoice!F10</f>
        <v>1</v>
      </c>
      <c r="X134" s="141">
        <f>Invoice!X10</f>
        <v>0</v>
      </c>
      <c r="Y134" s="189">
        <f>Invoice!Y10</f>
        <v>0</v>
      </c>
      <c r="Z134" s="141"/>
      <c r="AA134" s="141"/>
      <c r="AB134" s="141">
        <f>Invoice!BZ10</f>
        <v>2</v>
      </c>
      <c r="AC134" s="141">
        <f>Invoice!CA10</f>
        <v>1</v>
      </c>
      <c r="AD134" s="141"/>
      <c r="AE134" s="141"/>
    </row>
    <row r="135" spans="1:31" x14ac:dyDescent="0.25">
      <c r="A135" s="179">
        <v>134</v>
      </c>
      <c r="B135" s="141" t="str">
        <f>Invoice!C10</f>
        <v>7.8</v>
      </c>
      <c r="C135" s="141">
        <f>Invoice!BD10</f>
        <v>18</v>
      </c>
      <c r="D135" s="141" t="str">
        <f>'rekening perkiraan'!E20</f>
        <v>1.18.19.18</v>
      </c>
      <c r="E135" s="141" t="str">
        <f>'rekening perkiraan'!B20</f>
        <v>pajak dibayar dimuka</v>
      </c>
      <c r="F135" s="141" t="str">
        <f>'rekening perkiraan'!D20</f>
        <v>biaya dibayar dimuka</v>
      </c>
      <c r="G135" s="141">
        <f>Invoice!B10</f>
        <v>7</v>
      </c>
      <c r="H135" s="141" t="str">
        <f>Invoice!D10</f>
        <v>SJ</v>
      </c>
      <c r="I135" s="141" t="str">
        <f>Invoice!E10</f>
        <v>.000008</v>
      </c>
      <c r="J135" s="142">
        <f>Invoice!R10</f>
        <v>43266</v>
      </c>
      <c r="K135" s="143" t="str">
        <f>CONCATENATE(Invoice!W10,", ",Invoice!G10,", ",Invoice!V10)</f>
        <v>Annual, dimas dhaniarso, cempaka putih</v>
      </c>
      <c r="L135" s="141">
        <f>Invoice!O10</f>
        <v>1</v>
      </c>
      <c r="M135" s="141" t="str">
        <f>'data mata uang'!D3</f>
        <v>IDR</v>
      </c>
      <c r="N135" s="141">
        <f>'data mata uang'!G3</f>
        <v>1</v>
      </c>
      <c r="O135" s="144"/>
      <c r="P135" s="144">
        <f>Invoice!BF10</f>
        <v>300000</v>
      </c>
      <c r="Q135" s="144"/>
      <c r="R135" s="144">
        <f>N135*P135</f>
        <v>300000</v>
      </c>
      <c r="S135" s="141">
        <v>0</v>
      </c>
      <c r="T135" s="141" t="str">
        <f>Invoice!N10</f>
        <v>7.8</v>
      </c>
      <c r="U135" s="141">
        <f>Invoice!AB10</f>
        <v>5</v>
      </c>
      <c r="V135" s="141">
        <f>Invoice!U10</f>
        <v>1</v>
      </c>
      <c r="W135" s="141">
        <f>Invoice!F10</f>
        <v>1</v>
      </c>
      <c r="X135" s="141">
        <f>Invoice!X10</f>
        <v>0</v>
      </c>
      <c r="Y135" s="189">
        <f>Invoice!Y10</f>
        <v>0</v>
      </c>
      <c r="Z135" s="141"/>
      <c r="AA135" s="141"/>
      <c r="AB135" s="141">
        <f>Invoice!BZ10</f>
        <v>2</v>
      </c>
      <c r="AC135" s="141">
        <f>Invoice!CA10</f>
        <v>1</v>
      </c>
      <c r="AD135" s="141"/>
      <c r="AE135" s="141"/>
    </row>
    <row r="136" spans="1:31" s="183" customFormat="1" x14ac:dyDescent="0.25">
      <c r="A136" s="179">
        <v>135</v>
      </c>
      <c r="B136" s="141" t="str">
        <f>Invoice!C10</f>
        <v>7.8</v>
      </c>
      <c r="C136" s="141">
        <f>Invoice!BM10</f>
        <v>7</v>
      </c>
      <c r="D136" s="141" t="str">
        <f>'rekening perkiraan'!E9</f>
        <v>1.2.5.7</v>
      </c>
      <c r="E136" s="141" t="str">
        <f>'rekening perkiraan'!B9</f>
        <v>piutang usaha</v>
      </c>
      <c r="F136" s="141" t="str">
        <f>'rekening perkiraan'!D9</f>
        <v>piutang dagang</v>
      </c>
      <c r="G136" s="141">
        <f>Invoice!B10</f>
        <v>7</v>
      </c>
      <c r="H136" s="141" t="str">
        <f>Invoice!D10</f>
        <v>SJ</v>
      </c>
      <c r="I136" s="141" t="str">
        <f>Invoice!E10</f>
        <v>.000008</v>
      </c>
      <c r="J136" s="142">
        <f>Invoice!R10</f>
        <v>43266</v>
      </c>
      <c r="K136" s="143" t="str">
        <f>CONCATENATE(Invoice!W10,", ",Invoice!G10,", ",Invoice!V10)</f>
        <v>Annual, dimas dhaniarso, cempaka putih</v>
      </c>
      <c r="L136" s="141">
        <f>Invoice!O10</f>
        <v>1</v>
      </c>
      <c r="M136" s="141" t="str">
        <f>'data mata uang'!D3</f>
        <v>IDR</v>
      </c>
      <c r="N136" s="141">
        <f>'data mata uang'!G3</f>
        <v>1</v>
      </c>
      <c r="O136" s="144">
        <f>Invoice!BN10</f>
        <v>3300000</v>
      </c>
      <c r="P136" s="144"/>
      <c r="Q136" s="144">
        <f>N136*O136</f>
        <v>3300000</v>
      </c>
      <c r="R136" s="144"/>
      <c r="S136" s="141">
        <v>0</v>
      </c>
      <c r="T136" s="141" t="str">
        <f>Invoice!N10</f>
        <v>7.8</v>
      </c>
      <c r="U136" s="141">
        <f>Invoice!AB10</f>
        <v>5</v>
      </c>
      <c r="V136" s="141">
        <f>Invoice!U10</f>
        <v>1</v>
      </c>
      <c r="W136" s="141">
        <f>Invoice!F10</f>
        <v>1</v>
      </c>
      <c r="X136" s="141">
        <f>Invoice!X10</f>
        <v>0</v>
      </c>
      <c r="Y136" s="189">
        <f>Invoice!Y10</f>
        <v>0</v>
      </c>
      <c r="Z136" s="141"/>
      <c r="AA136" s="141"/>
      <c r="AB136" s="141">
        <f>Invoice!BZ10</f>
        <v>2</v>
      </c>
      <c r="AC136" s="141">
        <f>Invoice!CA10</f>
        <v>1</v>
      </c>
      <c r="AD136" s="141"/>
      <c r="AE136" s="141"/>
    </row>
    <row r="137" spans="1:31" x14ac:dyDescent="0.25">
      <c r="A137" s="179">
        <v>136</v>
      </c>
      <c r="B137" s="141" t="str">
        <f>'Received Goods'!C9</f>
        <v>8.9</v>
      </c>
      <c r="C137" s="141">
        <f>'Received Goods'!AR9</f>
        <v>3</v>
      </c>
      <c r="D137" s="141" t="str">
        <f>'rekening perkiraan'!E5</f>
        <v>1.13.14.3</v>
      </c>
      <c r="E137" s="141" t="str">
        <f>'rekening perkiraan'!B5</f>
        <v>persediaan 1</v>
      </c>
      <c r="F137" s="141" t="str">
        <f>'rekening perkiraan'!D5</f>
        <v>persediaan</v>
      </c>
      <c r="G137" s="141">
        <f>'Received Goods'!B9</f>
        <v>8</v>
      </c>
      <c r="H137" s="141" t="str">
        <f>'kode transaksi'!B9</f>
        <v>PJ</v>
      </c>
      <c r="I137" s="141" t="str">
        <f>'Received Goods'!E9</f>
        <v>.000007</v>
      </c>
      <c r="J137" s="142">
        <f>'Received Goods'!R9</f>
        <v>43261</v>
      </c>
      <c r="K137" s="143" t="str">
        <f>CONCATENATE('Received Goods'!W9,", ",'Received Goods'!G9,", ",'Received Goods'!V9)</f>
        <v>term pembayaran, supriatna, cempaka putih</v>
      </c>
      <c r="L137" s="141">
        <f>'Received Goods'!O9</f>
        <v>1</v>
      </c>
      <c r="M137" s="141" t="str">
        <f>'data mata uang'!D3</f>
        <v>IDR</v>
      </c>
      <c r="N137" s="141">
        <f>'data mata uang'!G3</f>
        <v>1</v>
      </c>
      <c r="O137" s="144">
        <f>'Received Goods'!AS9</f>
        <v>23000000</v>
      </c>
      <c r="P137" s="144"/>
      <c r="Q137" s="144">
        <f>N137*O137</f>
        <v>23000000</v>
      </c>
      <c r="R137" s="144"/>
      <c r="S137" s="141">
        <v>0</v>
      </c>
      <c r="T137" s="141" t="str">
        <f>'Received Goods'!N9</f>
        <v>8.9</v>
      </c>
      <c r="U137" s="141">
        <f>'Received Goods'!AB9</f>
        <v>6</v>
      </c>
      <c r="V137" s="141">
        <f>'Received Goods'!U9</f>
        <v>1</v>
      </c>
      <c r="W137" s="141">
        <f>'Received Goods'!F9</f>
        <v>9</v>
      </c>
      <c r="X137" s="141">
        <f>'Received Goods'!X9</f>
        <v>0</v>
      </c>
      <c r="Y137" s="189">
        <f>'Received Goods'!Y9</f>
        <v>0</v>
      </c>
      <c r="Z137" s="141"/>
      <c r="AA137" s="141"/>
      <c r="AB137" s="141">
        <f>'Received Goods'!CA9</f>
        <v>3</v>
      </c>
      <c r="AC137" s="141">
        <f>'Received Goods'!CB9</f>
        <v>1</v>
      </c>
      <c r="AD137" s="17"/>
      <c r="AE137" s="17"/>
    </row>
    <row r="138" spans="1:31" x14ac:dyDescent="0.25">
      <c r="A138" s="179">
        <v>137</v>
      </c>
      <c r="B138" s="141" t="str">
        <f>'Received Goods'!C9</f>
        <v>8.9</v>
      </c>
      <c r="C138" s="141">
        <f>'Received Goods'!BD9</f>
        <v>18</v>
      </c>
      <c r="D138" s="141" t="str">
        <f>'rekening perkiraan'!E20</f>
        <v>1.18.19.18</v>
      </c>
      <c r="E138" s="141" t="str">
        <f>'rekening perkiraan'!B20</f>
        <v>pajak dibayar dimuka</v>
      </c>
      <c r="F138" s="141" t="str">
        <f>'rekening perkiraan'!D20</f>
        <v>biaya dibayar dimuka</v>
      </c>
      <c r="G138" s="141">
        <f>'Received Goods'!B9</f>
        <v>8</v>
      </c>
      <c r="H138" s="141" t="str">
        <f>'kode transaksi'!B9</f>
        <v>PJ</v>
      </c>
      <c r="I138" s="141" t="str">
        <f>'Received Goods'!E9</f>
        <v>.000007</v>
      </c>
      <c r="J138" s="142">
        <f>'Received Goods'!R9</f>
        <v>43261</v>
      </c>
      <c r="K138" s="143" t="str">
        <f>CONCATENATE('Received Goods'!W9,", ",'Received Goods'!G9,", ",'Received Goods'!V9)</f>
        <v>term pembayaran, supriatna, cempaka putih</v>
      </c>
      <c r="L138" s="141">
        <f>'Received Goods'!O9</f>
        <v>1</v>
      </c>
      <c r="M138" s="141" t="str">
        <f>'data mata uang'!D3</f>
        <v>IDR</v>
      </c>
      <c r="N138" s="141">
        <f>'data mata uang'!G3</f>
        <v>1</v>
      </c>
      <c r="O138" s="144">
        <f>'Received Goods'!BE9</f>
        <v>2300000</v>
      </c>
      <c r="P138" s="144"/>
      <c r="Q138" s="144">
        <f>N138*O138</f>
        <v>2300000</v>
      </c>
      <c r="R138" s="144"/>
      <c r="S138" s="141">
        <v>0</v>
      </c>
      <c r="T138" s="141" t="str">
        <f>'Received Goods'!N9</f>
        <v>8.9</v>
      </c>
      <c r="U138" s="141">
        <f>'Received Goods'!AB9</f>
        <v>6</v>
      </c>
      <c r="V138" s="141">
        <f>'Received Goods'!U9</f>
        <v>1</v>
      </c>
      <c r="W138" s="141">
        <f>'Received Goods'!F9</f>
        <v>9</v>
      </c>
      <c r="X138" s="141">
        <f>'Received Goods'!X9</f>
        <v>0</v>
      </c>
      <c r="Y138" s="189">
        <f>'Received Goods'!Y9</f>
        <v>0</v>
      </c>
      <c r="Z138" s="141"/>
      <c r="AA138" s="141"/>
      <c r="AB138" s="141">
        <f>'Received Goods'!CA9</f>
        <v>3</v>
      </c>
      <c r="AC138" s="141">
        <f>'Received Goods'!CB9</f>
        <v>1</v>
      </c>
      <c r="AD138" s="17"/>
      <c r="AE138" s="17"/>
    </row>
    <row r="139" spans="1:31" s="183" customFormat="1" x14ac:dyDescent="0.25">
      <c r="A139" s="179">
        <v>138</v>
      </c>
      <c r="B139" s="141" t="str">
        <f>'Received Goods'!C9</f>
        <v>8.9</v>
      </c>
      <c r="C139" s="141">
        <f>'Received Goods'!BM9</f>
        <v>8</v>
      </c>
      <c r="D139" s="141" t="str">
        <f>'rekening perkiraan'!E10</f>
        <v>15.16.17.8</v>
      </c>
      <c r="E139" s="141" t="str">
        <f>'rekening perkiraan'!B10</f>
        <v>hutang usaha</v>
      </c>
      <c r="F139" s="141" t="str">
        <f>'rekening perkiraan'!D10</f>
        <v>hutang lancar</v>
      </c>
      <c r="G139" s="141">
        <f>'Received Goods'!B9</f>
        <v>8</v>
      </c>
      <c r="H139" s="141" t="str">
        <f>'kode transaksi'!B9</f>
        <v>PJ</v>
      </c>
      <c r="I139" s="141" t="str">
        <f>'Received Goods'!E9</f>
        <v>.000007</v>
      </c>
      <c r="J139" s="142">
        <f>'Received Goods'!R9</f>
        <v>43261</v>
      </c>
      <c r="K139" s="143" t="str">
        <f>CONCATENATE('Received Goods'!W9,", ",'Received Goods'!G9,", ",'Received Goods'!V9)</f>
        <v>term pembayaran, supriatna, cempaka putih</v>
      </c>
      <c r="L139" s="141">
        <f>'Received Goods'!O9</f>
        <v>1</v>
      </c>
      <c r="M139" s="141" t="str">
        <f>'data mata uang'!D3</f>
        <v>IDR</v>
      </c>
      <c r="N139" s="141">
        <f>'data mata uang'!G3</f>
        <v>1</v>
      </c>
      <c r="O139" s="144"/>
      <c r="P139" s="144">
        <f>'Received Goods'!BO9</f>
        <v>25300000</v>
      </c>
      <c r="Q139" s="144"/>
      <c r="R139" s="144">
        <f>N139*P139</f>
        <v>25300000</v>
      </c>
      <c r="S139" s="141">
        <v>0</v>
      </c>
      <c r="T139" s="141" t="str">
        <f>'Received Goods'!N9</f>
        <v>8.9</v>
      </c>
      <c r="U139" s="141">
        <f>'Received Goods'!AB9</f>
        <v>6</v>
      </c>
      <c r="V139" s="141">
        <f>'Received Goods'!U9</f>
        <v>1</v>
      </c>
      <c r="W139" s="141">
        <f>'Received Goods'!F9</f>
        <v>9</v>
      </c>
      <c r="X139" s="141">
        <f>'Received Goods'!X9</f>
        <v>0</v>
      </c>
      <c r="Y139" s="189">
        <f>'Received Goods'!Y9</f>
        <v>0</v>
      </c>
      <c r="Z139" s="141"/>
      <c r="AA139" s="141"/>
      <c r="AB139" s="141">
        <f>'Received Goods'!CA9</f>
        <v>3</v>
      </c>
      <c r="AC139" s="141">
        <f>'Received Goods'!CB9</f>
        <v>1</v>
      </c>
      <c r="AD139" s="17"/>
      <c r="AE139" s="17"/>
    </row>
    <row r="140" spans="1:31" x14ac:dyDescent="0.25">
      <c r="A140" s="179">
        <v>139</v>
      </c>
      <c r="B140" s="141" t="str">
        <f>Invoice!C11</f>
        <v>7.9</v>
      </c>
      <c r="C140" s="141">
        <f>Invoice!AL11</f>
        <v>1</v>
      </c>
      <c r="D140" s="141" t="str">
        <f>'rekening perkiraan'!E3</f>
        <v>10.11.12.1</v>
      </c>
      <c r="E140" s="141" t="str">
        <f>'rekening perkiraan'!B3</f>
        <v>biaya 1</v>
      </c>
      <c r="F140" s="141" t="str">
        <f>'rekening perkiraan'!D3</f>
        <v>biaya produksi</v>
      </c>
      <c r="G140" s="141">
        <f>Invoice!B11</f>
        <v>7</v>
      </c>
      <c r="H140" s="141" t="str">
        <f>Invoice!D11</f>
        <v>SJ</v>
      </c>
      <c r="I140" s="141" t="str">
        <f>Invoice!E11</f>
        <v>.000009</v>
      </c>
      <c r="J140" s="142">
        <f>Invoice!R11</f>
        <v>43267</v>
      </c>
      <c r="K140" s="143" t="str">
        <f>CONCATENATE(Invoice!W11,", ",Invoice!G11,", ",Invoice!V11)</f>
        <v>konsinyasi, yuli hendarto, cempaka putih</v>
      </c>
      <c r="L140" s="141">
        <f>Invoice!O11</f>
        <v>1</v>
      </c>
      <c r="M140" s="141" t="str">
        <f>'data mata uang'!D3</f>
        <v>IDR</v>
      </c>
      <c r="N140" s="141">
        <f>'data mata uang'!G3</f>
        <v>1</v>
      </c>
      <c r="O140" s="144">
        <f>Invoice!AM11</f>
        <v>10000000</v>
      </c>
      <c r="P140" s="144"/>
      <c r="Q140" s="144">
        <f>N140*O140</f>
        <v>10000000</v>
      </c>
      <c r="R140" s="144"/>
      <c r="S140" s="141">
        <v>0</v>
      </c>
      <c r="T140" s="141" t="str">
        <f>Invoice!N11</f>
        <v>7.9</v>
      </c>
      <c r="U140" s="141">
        <f>Invoice!AB11</f>
        <v>6</v>
      </c>
      <c r="V140" s="141">
        <f>Invoice!U11</f>
        <v>1</v>
      </c>
      <c r="W140" s="141">
        <f>Invoice!F11</f>
        <v>2</v>
      </c>
      <c r="X140" s="141">
        <f>Invoice!X11</f>
        <v>0</v>
      </c>
      <c r="Y140" s="189">
        <f>Invoice!Y11</f>
        <v>0</v>
      </c>
      <c r="Z140" s="141"/>
      <c r="AA140" s="141"/>
      <c r="AB140" s="141">
        <f>Invoice!BZ11</f>
        <v>3</v>
      </c>
      <c r="AC140" s="141">
        <f>Invoice!CA11</f>
        <v>1</v>
      </c>
      <c r="AD140" s="141"/>
      <c r="AE140" s="141"/>
    </row>
    <row r="141" spans="1:31" x14ac:dyDescent="0.25">
      <c r="A141" s="179">
        <v>140</v>
      </c>
      <c r="B141" s="141" t="str">
        <f>Invoice!C11</f>
        <v>7.9</v>
      </c>
      <c r="C141" s="141">
        <f>Invoice!AO11</f>
        <v>2</v>
      </c>
      <c r="D141" s="141" t="str">
        <f>'rekening perkiraan'!E4</f>
        <v>7.8.9.2</v>
      </c>
      <c r="E141" s="141" t="str">
        <f>'rekening perkiraan'!B4</f>
        <v>penjualan produk 1</v>
      </c>
      <c r="F141" s="141" t="str">
        <f>'rekening perkiraan'!D4</f>
        <v xml:space="preserve">pendapatan usaha </v>
      </c>
      <c r="G141" s="141">
        <f>Invoice!B11</f>
        <v>7</v>
      </c>
      <c r="H141" s="141" t="str">
        <f>Invoice!D11</f>
        <v>SJ</v>
      </c>
      <c r="I141" s="141" t="str">
        <f>Invoice!E11</f>
        <v>.000009</v>
      </c>
      <c r="J141" s="142">
        <f>Invoice!R11</f>
        <v>43267</v>
      </c>
      <c r="K141" s="143" t="str">
        <f>CONCATENATE(Invoice!W11,", ",Invoice!G11,", ",Invoice!V11)</f>
        <v>konsinyasi, yuli hendarto, cempaka putih</v>
      </c>
      <c r="L141" s="141">
        <f>Invoice!O11</f>
        <v>1</v>
      </c>
      <c r="M141" s="141" t="str">
        <f>'data mata uang'!D3</f>
        <v>IDR</v>
      </c>
      <c r="N141" s="141">
        <f>'data mata uang'!G3</f>
        <v>1</v>
      </c>
      <c r="O141" s="144"/>
      <c r="P141" s="144">
        <f>Invoice!AQ11</f>
        <v>10000000</v>
      </c>
      <c r="Q141" s="144"/>
      <c r="R141" s="144">
        <f>N141*P141</f>
        <v>10000000</v>
      </c>
      <c r="S141" s="141">
        <v>0</v>
      </c>
      <c r="T141" s="141" t="str">
        <f>Invoice!N11</f>
        <v>7.9</v>
      </c>
      <c r="U141" s="141">
        <f>Invoice!AB11</f>
        <v>6</v>
      </c>
      <c r="V141" s="141">
        <f>Invoice!U11</f>
        <v>1</v>
      </c>
      <c r="W141" s="141">
        <f>Invoice!F11</f>
        <v>2</v>
      </c>
      <c r="X141" s="141">
        <f>Invoice!X11</f>
        <v>0</v>
      </c>
      <c r="Y141" s="189">
        <f>Invoice!Y11</f>
        <v>0</v>
      </c>
      <c r="Z141" s="141"/>
      <c r="AA141" s="141"/>
      <c r="AB141" s="141">
        <f>Invoice!BZ11</f>
        <v>3</v>
      </c>
      <c r="AC141" s="141">
        <f>Invoice!CA11</f>
        <v>1</v>
      </c>
      <c r="AD141" s="141"/>
      <c r="AE141" s="141"/>
    </row>
    <row r="142" spans="1:31" x14ac:dyDescent="0.25">
      <c r="A142" s="179">
        <v>141</v>
      </c>
      <c r="B142" s="141" t="str">
        <f>Invoice!C11</f>
        <v>7.9</v>
      </c>
      <c r="C142" s="141">
        <f>Invoice!AR11</f>
        <v>22</v>
      </c>
      <c r="D142" s="141" t="str">
        <f>'rekening perkiraan'!E24</f>
        <v>15.16.17.22</v>
      </c>
      <c r="E142" s="141" t="str">
        <f>'rekening perkiraan'!B24</f>
        <v>hutang konsinyasi</v>
      </c>
      <c r="F142" s="141" t="str">
        <f>'rekening perkiraan'!D24</f>
        <v>hutang lancar</v>
      </c>
      <c r="G142" s="141">
        <f>Invoice!B11</f>
        <v>7</v>
      </c>
      <c r="H142" s="141" t="str">
        <f>Invoice!D11</f>
        <v>SJ</v>
      </c>
      <c r="I142" s="141" t="str">
        <f>Invoice!E11</f>
        <v>.000009</v>
      </c>
      <c r="J142" s="142">
        <f>Invoice!R11</f>
        <v>43267</v>
      </c>
      <c r="K142" s="143" t="str">
        <f>CONCATENATE(Invoice!W11,", ",Invoice!G11,", ",Invoice!V11)</f>
        <v>konsinyasi, yuli hendarto, cempaka putih</v>
      </c>
      <c r="L142" s="141">
        <f>Invoice!O11</f>
        <v>1</v>
      </c>
      <c r="M142" s="141" t="str">
        <f>'data mata uang'!D3</f>
        <v>IDR</v>
      </c>
      <c r="N142" s="141">
        <f>'data mata uang'!G3</f>
        <v>1</v>
      </c>
      <c r="O142" s="144"/>
      <c r="P142" s="144">
        <f>Invoice!AT11</f>
        <v>10000000</v>
      </c>
      <c r="Q142" s="144"/>
      <c r="R142" s="144">
        <f>N142*P142</f>
        <v>10000000</v>
      </c>
      <c r="S142" s="141">
        <v>0</v>
      </c>
      <c r="T142" s="141" t="str">
        <f>Invoice!N11</f>
        <v>7.9</v>
      </c>
      <c r="U142" s="141">
        <f>Invoice!AB11</f>
        <v>6</v>
      </c>
      <c r="V142" s="141">
        <f>Invoice!U11</f>
        <v>1</v>
      </c>
      <c r="W142" s="141">
        <f>Invoice!F11</f>
        <v>2</v>
      </c>
      <c r="X142" s="141">
        <f>Invoice!X11</f>
        <v>0</v>
      </c>
      <c r="Y142" s="189">
        <f>Invoice!Y11</f>
        <v>0</v>
      </c>
      <c r="Z142" s="141"/>
      <c r="AA142" s="141"/>
      <c r="AB142" s="141">
        <f>Invoice!BZ11</f>
        <v>3</v>
      </c>
      <c r="AC142" s="141">
        <f>Invoice!CA11</f>
        <v>1</v>
      </c>
      <c r="AD142" s="141"/>
      <c r="AE142" s="141"/>
    </row>
    <row r="143" spans="1:31" x14ac:dyDescent="0.25">
      <c r="A143" s="179">
        <v>142</v>
      </c>
      <c r="B143" s="141" t="str">
        <f>Invoice!C11</f>
        <v>7.9</v>
      </c>
      <c r="C143" s="141">
        <f>Invoice!BD11</f>
        <v>18</v>
      </c>
      <c r="D143" s="141" t="str">
        <f>'rekening perkiraan'!E20</f>
        <v>1.18.19.18</v>
      </c>
      <c r="E143" s="141" t="str">
        <f>'rekening perkiraan'!B20</f>
        <v>pajak dibayar dimuka</v>
      </c>
      <c r="F143" s="141" t="str">
        <f>'rekening perkiraan'!D20</f>
        <v>biaya dibayar dimuka</v>
      </c>
      <c r="G143" s="141">
        <f>Invoice!B11</f>
        <v>7</v>
      </c>
      <c r="H143" s="141" t="str">
        <f>Invoice!D11</f>
        <v>SJ</v>
      </c>
      <c r="I143" s="141" t="str">
        <f>Invoice!E11</f>
        <v>.000009</v>
      </c>
      <c r="J143" s="142">
        <f>Invoice!R11</f>
        <v>43267</v>
      </c>
      <c r="K143" s="143" t="str">
        <f>CONCATENATE(Invoice!W11,", ",Invoice!G11,", ",Invoice!V11)</f>
        <v>konsinyasi, yuli hendarto, cempaka putih</v>
      </c>
      <c r="L143" s="141">
        <f>Invoice!O11</f>
        <v>1</v>
      </c>
      <c r="M143" s="141" t="str">
        <f>'data mata uang'!D3</f>
        <v>IDR</v>
      </c>
      <c r="N143" s="141">
        <f>'data mata uang'!G3</f>
        <v>1</v>
      </c>
      <c r="O143" s="144"/>
      <c r="P143" s="144">
        <f>Invoice!BF11</f>
        <v>1000000</v>
      </c>
      <c r="Q143" s="144"/>
      <c r="R143" s="144">
        <f>N143*P143</f>
        <v>1000000</v>
      </c>
      <c r="S143" s="141">
        <v>0</v>
      </c>
      <c r="T143" s="141" t="str">
        <f>Invoice!N11</f>
        <v>7.9</v>
      </c>
      <c r="U143" s="141">
        <f>Invoice!AB11</f>
        <v>6</v>
      </c>
      <c r="V143" s="141">
        <f>Invoice!U11</f>
        <v>1</v>
      </c>
      <c r="W143" s="141">
        <f>Invoice!F11</f>
        <v>2</v>
      </c>
      <c r="X143" s="141">
        <f>Invoice!X11</f>
        <v>0</v>
      </c>
      <c r="Y143" s="189">
        <f>Invoice!Y11</f>
        <v>0</v>
      </c>
      <c r="Z143" s="141"/>
      <c r="AA143" s="141"/>
      <c r="AB143" s="141">
        <f>Invoice!BZ11</f>
        <v>3</v>
      </c>
      <c r="AC143" s="141">
        <f>Invoice!CA11</f>
        <v>1</v>
      </c>
      <c r="AD143" s="141"/>
      <c r="AE143" s="141"/>
    </row>
    <row r="144" spans="1:31" s="183" customFormat="1" x14ac:dyDescent="0.25">
      <c r="A144" s="179">
        <v>143</v>
      </c>
      <c r="B144" s="141" t="str">
        <f>Invoice!C11</f>
        <v>7.9</v>
      </c>
      <c r="C144" s="141">
        <f>Invoice!BM11</f>
        <v>7</v>
      </c>
      <c r="D144" s="141" t="str">
        <f>'rekening perkiraan'!E9</f>
        <v>1.2.5.7</v>
      </c>
      <c r="E144" s="141" t="str">
        <f>'rekening perkiraan'!B9</f>
        <v>piutang usaha</v>
      </c>
      <c r="F144" s="141" t="str">
        <f>'rekening perkiraan'!D9</f>
        <v>piutang dagang</v>
      </c>
      <c r="G144" s="141">
        <f>Invoice!B11</f>
        <v>7</v>
      </c>
      <c r="H144" s="141" t="str">
        <f>Invoice!D11</f>
        <v>SJ</v>
      </c>
      <c r="I144" s="141" t="str">
        <f>Invoice!E11</f>
        <v>.000009</v>
      </c>
      <c r="J144" s="142">
        <f>Invoice!R11</f>
        <v>43267</v>
      </c>
      <c r="K144" s="143" t="str">
        <f>CONCATENATE(Invoice!W11,", ",Invoice!G11,", ",Invoice!V11)</f>
        <v>konsinyasi, yuli hendarto, cempaka putih</v>
      </c>
      <c r="L144" s="141">
        <f>Invoice!O11</f>
        <v>1</v>
      </c>
      <c r="M144" s="141" t="str">
        <f>'data mata uang'!D3</f>
        <v>IDR</v>
      </c>
      <c r="N144" s="141">
        <f>'data mata uang'!G3</f>
        <v>1</v>
      </c>
      <c r="O144" s="144">
        <f>Invoice!BN11</f>
        <v>11000000</v>
      </c>
      <c r="P144" s="144"/>
      <c r="Q144" s="144">
        <f>N144*O144</f>
        <v>11000000</v>
      </c>
      <c r="R144" s="144"/>
      <c r="S144" s="141">
        <v>0</v>
      </c>
      <c r="T144" s="141" t="str">
        <f>Invoice!N11</f>
        <v>7.9</v>
      </c>
      <c r="U144" s="141">
        <f>Invoice!AB11</f>
        <v>6</v>
      </c>
      <c r="V144" s="141">
        <f>Invoice!U11</f>
        <v>1</v>
      </c>
      <c r="W144" s="141">
        <f>Invoice!F11</f>
        <v>2</v>
      </c>
      <c r="X144" s="141">
        <f>Invoice!X11</f>
        <v>0</v>
      </c>
      <c r="Y144" s="189">
        <f>Invoice!Y11</f>
        <v>0</v>
      </c>
      <c r="Z144" s="141"/>
      <c r="AA144" s="141"/>
      <c r="AB144" s="141">
        <f>Invoice!BZ11</f>
        <v>3</v>
      </c>
      <c r="AC144" s="141">
        <f>Invoice!CA11</f>
        <v>1</v>
      </c>
      <c r="AD144" s="141"/>
      <c r="AE144" s="141"/>
    </row>
    <row r="145" spans="1:31" x14ac:dyDescent="0.25">
      <c r="A145" s="179">
        <v>144</v>
      </c>
      <c r="B145" s="17"/>
      <c r="C145" s="179">
        <f>'order pembayaran gaji'!R2</f>
        <v>6</v>
      </c>
      <c r="D145" s="179" t="str">
        <f>'rekening perkiraan'!E8</f>
        <v>1.2.4.6</v>
      </c>
      <c r="E145" s="179" t="str">
        <f>'rekening perkiraan'!B8</f>
        <v>bank</v>
      </c>
      <c r="F145" s="179" t="str">
        <f>'rekening perkiraan'!D8</f>
        <v>bank</v>
      </c>
      <c r="G145" s="17">
        <f>'order pembayaran gaji'!AC2</f>
        <v>29</v>
      </c>
      <c r="H145" s="17" t="str">
        <f>'kode transaksi'!B30</f>
        <v>SP</v>
      </c>
      <c r="I145" s="17" t="str">
        <f>'order pembayaran gaji'!C2</f>
        <v>.000001</v>
      </c>
      <c r="J145" s="61">
        <f>'order pembayaran gaji'!D2</f>
        <v>43266</v>
      </c>
      <c r="K145" s="84" t="str">
        <f>'order pembayaran gaji'!O2</f>
        <v>pembayaran gaji</v>
      </c>
      <c r="L145" s="17">
        <f>'data mata uang'!A3</f>
        <v>1</v>
      </c>
      <c r="M145" s="17" t="str">
        <f>'data mata uang'!D3</f>
        <v>IDR</v>
      </c>
      <c r="N145" s="17">
        <f>'data mata uang'!G3</f>
        <v>1</v>
      </c>
      <c r="O145" s="18"/>
      <c r="P145" s="83">
        <f>'order pembayaran gaji'!T2</f>
        <v>3350000</v>
      </c>
      <c r="Q145" s="182"/>
      <c r="R145" s="182">
        <f>N145*P145</f>
        <v>3350000</v>
      </c>
      <c r="S145" s="17">
        <v>1</v>
      </c>
      <c r="T145" s="17" t="str">
        <f>'order pembayaran gaji'!AD2</f>
        <v>29.1</v>
      </c>
      <c r="U145" s="17">
        <f>'order pembayaran gaji'!AA2</f>
        <v>4</v>
      </c>
      <c r="V145" s="17"/>
      <c r="W145" s="17">
        <f>'order pembayaran gaji'!E2</f>
        <v>5</v>
      </c>
      <c r="X145" s="17">
        <f>'order pembayaran gaji'!AE2</f>
        <v>0</v>
      </c>
      <c r="Y145" s="17">
        <f>'order pembayaran gaji'!AF2</f>
        <v>0</v>
      </c>
      <c r="Z145" s="17"/>
      <c r="AA145" s="17"/>
      <c r="AB145" s="17">
        <f>'order pembayaran gaji'!AG2</f>
        <v>1</v>
      </c>
      <c r="AC145" s="17">
        <f>'order pembayaran gaji'!AH2</f>
        <v>1</v>
      </c>
      <c r="AD145" s="17"/>
      <c r="AE145" s="17"/>
    </row>
    <row r="146" spans="1:31" x14ac:dyDescent="0.25">
      <c r="A146" s="179">
        <v>145</v>
      </c>
      <c r="B146" s="17"/>
      <c r="C146" s="179">
        <f>'order pembayaran gaji'!X2</f>
        <v>26</v>
      </c>
      <c r="D146" s="179" t="str">
        <f>'rekening perkiraan'!E28</f>
        <v>15.16.17.26</v>
      </c>
      <c r="E146" s="179" t="str">
        <f>'rekening perkiraan'!B28</f>
        <v>gaji</v>
      </c>
      <c r="F146" s="179" t="str">
        <f>'rekening perkiraan'!D28</f>
        <v>hutang lancar</v>
      </c>
      <c r="G146" s="17">
        <f>'order pembayaran gaji'!AC2</f>
        <v>29</v>
      </c>
      <c r="H146" s="17" t="str">
        <f>'kode transaksi'!B30</f>
        <v>SP</v>
      </c>
      <c r="I146" s="17" t="str">
        <f>'order pembayaran gaji'!C2</f>
        <v>.000001</v>
      </c>
      <c r="J146" s="61">
        <f>'order pembayaran gaji'!D2</f>
        <v>43266</v>
      </c>
      <c r="K146" s="84" t="str">
        <f>'order pembayaran gaji'!O2</f>
        <v>pembayaran gaji</v>
      </c>
      <c r="L146" s="17">
        <f>'data mata uang'!A3</f>
        <v>1</v>
      </c>
      <c r="M146" s="17" t="str">
        <f>'data mata uang'!D3</f>
        <v>IDR</v>
      </c>
      <c r="N146" s="17">
        <f>'data mata uang'!G3</f>
        <v>1</v>
      </c>
      <c r="O146" s="83">
        <f>'order pembayaran gaji'!Y2</f>
        <v>3350000</v>
      </c>
      <c r="P146" s="83"/>
      <c r="Q146" s="182">
        <f>N146*O146</f>
        <v>3350000</v>
      </c>
      <c r="R146" s="182"/>
      <c r="S146" s="17">
        <v>1</v>
      </c>
      <c r="T146" s="17" t="str">
        <f>'order pembayaran gaji'!AD2</f>
        <v>29.1</v>
      </c>
      <c r="U146" s="17">
        <f>'order pembayaran gaji'!AA2</f>
        <v>4</v>
      </c>
      <c r="V146" s="17"/>
      <c r="W146" s="17">
        <f>'order pembayaran gaji'!E2</f>
        <v>5</v>
      </c>
      <c r="X146" s="17">
        <f>'order pembayaran gaji'!AE2</f>
        <v>0</v>
      </c>
      <c r="Y146" s="17">
        <f>'order pembayaran gaji'!AF2</f>
        <v>0</v>
      </c>
      <c r="Z146" s="17"/>
      <c r="AA146" s="17"/>
      <c r="AB146" s="17">
        <f>'order pembayaran gaji'!AG2</f>
        <v>1</v>
      </c>
      <c r="AC146" s="17">
        <f>'order pembayaran gaji'!AH2</f>
        <v>1</v>
      </c>
      <c r="AD146" s="17"/>
      <c r="AE146" s="17"/>
    </row>
    <row r="147" spans="1:31" x14ac:dyDescent="0.25">
      <c r="A147" s="179">
        <v>146</v>
      </c>
      <c r="B147" s="17"/>
      <c r="C147" s="179">
        <f>'order pembayaran gaji'!R3</f>
        <v>6</v>
      </c>
      <c r="D147" s="179" t="str">
        <f>'rekening perkiraan'!E8</f>
        <v>1.2.4.6</v>
      </c>
      <c r="E147" s="179" t="str">
        <f>'rekening perkiraan'!B8</f>
        <v>bank</v>
      </c>
      <c r="F147" s="179" t="str">
        <f>'rekening perkiraan'!D8</f>
        <v>bank</v>
      </c>
      <c r="G147" s="17">
        <f>'order pembayaran gaji'!AC3</f>
        <v>29</v>
      </c>
      <c r="H147" s="17" t="str">
        <f>'kode transaksi'!B30</f>
        <v>SP</v>
      </c>
      <c r="I147" s="17" t="str">
        <f>'order pembayaran gaji'!C3</f>
        <v>.000002</v>
      </c>
      <c r="J147" s="61">
        <f>'order pembayaran gaji'!D3</f>
        <v>43266</v>
      </c>
      <c r="K147" s="84" t="str">
        <f>'order pembayaran gaji'!O3</f>
        <v>pembayaran gaji</v>
      </c>
      <c r="L147" s="17">
        <f>'data mata uang'!A3</f>
        <v>1</v>
      </c>
      <c r="M147" s="17" t="str">
        <f>'data mata uang'!D3</f>
        <v>IDR</v>
      </c>
      <c r="N147" s="17">
        <f>'data mata uang'!G3</f>
        <v>1</v>
      </c>
      <c r="O147" s="18"/>
      <c r="P147" s="83">
        <f>'order pembayaran gaji'!T3</f>
        <v>4700000</v>
      </c>
      <c r="Q147" s="182"/>
      <c r="R147" s="182">
        <f>N147*P147</f>
        <v>4700000</v>
      </c>
      <c r="S147" s="17">
        <v>1</v>
      </c>
      <c r="T147" s="17" t="str">
        <f>'order pembayaran gaji'!AD3</f>
        <v>29.1</v>
      </c>
      <c r="U147" s="17">
        <f>'order pembayaran gaji'!AA3</f>
        <v>4</v>
      </c>
      <c r="V147" s="17"/>
      <c r="W147" s="17">
        <f>'order pembayaran gaji'!E3</f>
        <v>6</v>
      </c>
      <c r="X147" s="17">
        <f>'order pembayaran gaji'!AE3</f>
        <v>0</v>
      </c>
      <c r="Y147" s="17">
        <f>'order pembayaran gaji'!AF3</f>
        <v>0</v>
      </c>
      <c r="Z147" s="17"/>
      <c r="AA147" s="17"/>
      <c r="AB147" s="17">
        <f>'order pembayaran gaji'!AG3</f>
        <v>1</v>
      </c>
      <c r="AC147" s="17">
        <f>'order pembayaran gaji'!AH3</f>
        <v>1</v>
      </c>
      <c r="AD147" s="17"/>
      <c r="AE147" s="17"/>
    </row>
    <row r="148" spans="1:31" x14ac:dyDescent="0.25">
      <c r="A148" s="179">
        <v>147</v>
      </c>
      <c r="B148" s="17"/>
      <c r="C148" s="179">
        <f>'order pembayaran gaji'!X3</f>
        <v>26</v>
      </c>
      <c r="D148" s="179" t="str">
        <f>'rekening perkiraan'!E28</f>
        <v>15.16.17.26</v>
      </c>
      <c r="E148" s="179" t="str">
        <f>'rekening perkiraan'!B28</f>
        <v>gaji</v>
      </c>
      <c r="F148" s="179" t="str">
        <f>'rekening perkiraan'!D28</f>
        <v>hutang lancar</v>
      </c>
      <c r="G148" s="17">
        <f>'order pembayaran gaji'!AC3</f>
        <v>29</v>
      </c>
      <c r="H148" s="17" t="str">
        <f>'kode transaksi'!B30</f>
        <v>SP</v>
      </c>
      <c r="I148" s="17" t="str">
        <f>'order pembayaran gaji'!C3</f>
        <v>.000002</v>
      </c>
      <c r="J148" s="61">
        <f>'order pembayaran gaji'!D3</f>
        <v>43266</v>
      </c>
      <c r="K148" s="84" t="str">
        <f>'order pembayaran gaji'!O3</f>
        <v>pembayaran gaji</v>
      </c>
      <c r="L148" s="17">
        <f>'data mata uang'!A3</f>
        <v>1</v>
      </c>
      <c r="M148" s="17" t="str">
        <f>'data mata uang'!D3</f>
        <v>IDR</v>
      </c>
      <c r="N148" s="17">
        <f>'data mata uang'!G3</f>
        <v>1</v>
      </c>
      <c r="O148" s="83">
        <f>'order pembayaran gaji'!Y3</f>
        <v>4700000</v>
      </c>
      <c r="P148" s="83"/>
      <c r="Q148" s="182">
        <f>N148*O148</f>
        <v>4700000</v>
      </c>
      <c r="R148" s="182"/>
      <c r="S148" s="17">
        <v>1</v>
      </c>
      <c r="T148" s="17" t="str">
        <f>'order pembayaran gaji'!AD3</f>
        <v>29.1</v>
      </c>
      <c r="U148" s="17">
        <f>'order pembayaran gaji'!AA3</f>
        <v>4</v>
      </c>
      <c r="V148" s="17"/>
      <c r="W148" s="17">
        <f>'order pembayaran gaji'!E3</f>
        <v>6</v>
      </c>
      <c r="X148" s="17">
        <f>'order pembayaran gaji'!AE3</f>
        <v>0</v>
      </c>
      <c r="Y148" s="17">
        <f>'order pembayaran gaji'!AF3</f>
        <v>0</v>
      </c>
      <c r="Z148" s="17"/>
      <c r="AA148" s="17"/>
      <c r="AB148" s="17">
        <f>'order pembayaran gaji'!AG3</f>
        <v>1</v>
      </c>
      <c r="AC148" s="17">
        <f>'order pembayaran gaji'!AH3</f>
        <v>1</v>
      </c>
      <c r="AD148" s="17"/>
      <c r="AE148" s="17"/>
    </row>
    <row r="149" spans="1:31" x14ac:dyDescent="0.25">
      <c r="A149" s="179">
        <v>148</v>
      </c>
      <c r="B149" s="17"/>
      <c r="C149" s="17">
        <f>'pem-peny &amp; transfer barang'!Q4</f>
        <v>3</v>
      </c>
      <c r="D149" s="179" t="str">
        <f>'rekening perkiraan'!E5</f>
        <v>1.13.14.3</v>
      </c>
      <c r="E149" s="179" t="str">
        <f>'rekening perkiraan'!B5</f>
        <v>persediaan 1</v>
      </c>
      <c r="F149" s="179" t="str">
        <f>'rekening perkiraan'!D5</f>
        <v>persediaan</v>
      </c>
      <c r="G149" s="17">
        <f>'pem-peny &amp; transfer barang'!C4</f>
        <v>9</v>
      </c>
      <c r="H149" s="17" t="str">
        <f>'kode transaksi'!B10</f>
        <v>IJ</v>
      </c>
      <c r="I149" s="17" t="str">
        <f>'pem-peny &amp; transfer barang'!E4</f>
        <v>.000002</v>
      </c>
      <c r="J149" s="61">
        <f>'pem-peny &amp; transfer barang'!H4</f>
        <v>43271</v>
      </c>
      <c r="K149" s="84" t="str">
        <f>'pem-peny &amp; transfer barang'!I4</f>
        <v>transfer barang</v>
      </c>
      <c r="L149" s="17">
        <f>'data mata uang'!A3</f>
        <v>1</v>
      </c>
      <c r="M149" s="17" t="str">
        <f>'data mata uang'!D3</f>
        <v>IDR</v>
      </c>
      <c r="N149" s="17">
        <f>'data mata uang'!G3</f>
        <v>1</v>
      </c>
      <c r="O149" s="83"/>
      <c r="P149" s="83">
        <f>'pem-peny &amp; transfer barang'!S4</f>
        <v>2250000</v>
      </c>
      <c r="Q149" s="83"/>
      <c r="R149" s="182">
        <f>N149*P149</f>
        <v>2250000</v>
      </c>
      <c r="S149" s="17">
        <v>0</v>
      </c>
      <c r="T149" s="17" t="str">
        <f>'pem-peny &amp; transfer barang'!D4</f>
        <v>9.2</v>
      </c>
      <c r="U149" s="18">
        <f>'pem-peny &amp; transfer barang'!J4</f>
        <v>6</v>
      </c>
      <c r="V149" s="17">
        <f>'pem-peny &amp; transfer barang'!O4</f>
        <v>2</v>
      </c>
      <c r="W149" s="17"/>
      <c r="X149" s="17">
        <f>'pem-peny &amp; transfer barang'!M4</f>
        <v>0</v>
      </c>
      <c r="Y149" s="17">
        <f>'pem-peny &amp; transfer barang'!N4</f>
        <v>0</v>
      </c>
      <c r="Z149" s="17"/>
      <c r="AA149" s="17"/>
      <c r="AB149" s="17">
        <f>'pem-peny &amp; transfer barang'!Y4</f>
        <v>3</v>
      </c>
      <c r="AC149" s="17">
        <f>'pem-peny &amp; transfer barang'!Z4</f>
        <v>1</v>
      </c>
      <c r="AD149" s="17"/>
      <c r="AE149" s="17"/>
    </row>
    <row r="150" spans="1:31" x14ac:dyDescent="0.25">
      <c r="A150" s="179">
        <v>149</v>
      </c>
      <c r="B150" s="17"/>
      <c r="C150" s="17">
        <f>'pem-peny &amp; transfer barang'!V4</f>
        <v>3</v>
      </c>
      <c r="D150" s="17" t="str">
        <f>'rekening perkiraan'!E5</f>
        <v>1.13.14.3</v>
      </c>
      <c r="E150" s="17" t="str">
        <f>'rekening perkiraan'!B5</f>
        <v>persediaan 1</v>
      </c>
      <c r="F150" s="17" t="str">
        <f>'rekening perkiraan'!D5</f>
        <v>persediaan</v>
      </c>
      <c r="G150" s="17">
        <f>'pem-peny &amp; transfer barang'!C4</f>
        <v>9</v>
      </c>
      <c r="H150" s="17" t="str">
        <f>'kode transaksi'!B10</f>
        <v>IJ</v>
      </c>
      <c r="I150" s="17" t="str">
        <f>'pem-peny &amp; transfer barang'!E4</f>
        <v>.000002</v>
      </c>
      <c r="J150" s="61">
        <f>'pem-peny &amp; transfer barang'!H4</f>
        <v>43271</v>
      </c>
      <c r="K150" s="84" t="str">
        <f>'pem-peny &amp; transfer barang'!I4</f>
        <v>transfer barang</v>
      </c>
      <c r="L150" s="17">
        <f>'data mata uang'!A3</f>
        <v>1</v>
      </c>
      <c r="M150" s="17" t="str">
        <f>'data mata uang'!D3</f>
        <v>IDR</v>
      </c>
      <c r="N150" s="17">
        <f>'data mata uang'!G3</f>
        <v>1</v>
      </c>
      <c r="O150" s="83">
        <f>'pem-peny &amp; transfer barang'!W4</f>
        <v>2250000</v>
      </c>
      <c r="P150" s="83"/>
      <c r="Q150" s="182">
        <f>N150*O150</f>
        <v>2250000</v>
      </c>
      <c r="R150" s="83"/>
      <c r="S150" s="17">
        <v>0</v>
      </c>
      <c r="T150" s="17" t="str">
        <f>'pem-peny &amp; transfer barang'!D4</f>
        <v>9.2</v>
      </c>
      <c r="U150" s="17">
        <f>'pem-peny &amp; transfer barang'!J4</f>
        <v>6</v>
      </c>
      <c r="V150" s="17">
        <f>'pem-peny &amp; transfer barang'!T4</f>
        <v>1</v>
      </c>
      <c r="W150" s="17"/>
      <c r="X150" s="17">
        <f>'pem-peny &amp; transfer barang'!M4</f>
        <v>0</v>
      </c>
      <c r="Y150" s="131">
        <f>'pem-peny &amp; transfer barang'!N4</f>
        <v>0</v>
      </c>
      <c r="Z150" s="17"/>
      <c r="AA150" s="17"/>
      <c r="AB150" s="17">
        <f>'pem-peny &amp; transfer barang'!Y4</f>
        <v>3</v>
      </c>
      <c r="AC150" s="17">
        <f>'pem-peny &amp; transfer barang'!Z4</f>
        <v>1</v>
      </c>
      <c r="AD150" s="17"/>
      <c r="AE150" s="17"/>
    </row>
    <row r="151" spans="1:31" x14ac:dyDescent="0.25">
      <c r="A151" s="179">
        <v>150</v>
      </c>
      <c r="B151" s="17"/>
      <c r="C151" s="17">
        <f>'pem-peny &amp; transfer barang'!Q3</f>
        <v>3</v>
      </c>
      <c r="D151" s="179" t="str">
        <f>'rekening perkiraan'!E5</f>
        <v>1.13.14.3</v>
      </c>
      <c r="E151" s="179" t="str">
        <f>'rekening perkiraan'!B5</f>
        <v>persediaan 1</v>
      </c>
      <c r="F151" s="179" t="str">
        <f>'rekening perkiraan'!D5</f>
        <v>persediaan</v>
      </c>
      <c r="G151" s="17">
        <f>'pem-peny &amp; transfer barang'!C3</f>
        <v>9</v>
      </c>
      <c r="H151" s="17" t="str">
        <f>'kode transaksi'!B10</f>
        <v>IJ</v>
      </c>
      <c r="I151" s="17" t="str">
        <f>'pem-peny &amp; transfer barang'!E3</f>
        <v>.000001</v>
      </c>
      <c r="J151" s="61">
        <f>'pem-peny &amp; transfer barang'!H3</f>
        <v>43368</v>
      </c>
      <c r="K151" s="84" t="str">
        <f>'pem-peny &amp; transfer barang'!I3</f>
        <v>barang rusak</v>
      </c>
      <c r="L151" s="17">
        <f>'data mata uang'!A3</f>
        <v>1</v>
      </c>
      <c r="M151" s="17" t="str">
        <f>'data mata uang'!D3</f>
        <v>IDR</v>
      </c>
      <c r="N151" s="17">
        <f>'data mata uang'!G3</f>
        <v>1</v>
      </c>
      <c r="O151" s="83"/>
      <c r="P151" s="83">
        <f>'pem-peny &amp; transfer barang'!S3</f>
        <v>150000</v>
      </c>
      <c r="Q151" s="83"/>
      <c r="R151" s="182">
        <f>N151*P151</f>
        <v>150000</v>
      </c>
      <c r="S151" s="17">
        <v>0</v>
      </c>
      <c r="T151" s="17" t="str">
        <f>'pem-peny &amp; transfer barang'!D3</f>
        <v>9.1</v>
      </c>
      <c r="U151" s="17">
        <f>'pem-peny &amp; transfer barang'!J3</f>
        <v>6</v>
      </c>
      <c r="V151" s="17">
        <f>'pem-peny &amp; transfer barang'!O3</f>
        <v>1</v>
      </c>
      <c r="W151" s="17"/>
      <c r="X151" s="17">
        <f>'pem-peny &amp; transfer barang'!M3</f>
        <v>0</v>
      </c>
      <c r="Y151" s="17">
        <f>'pem-peny &amp; transfer barang'!N3</f>
        <v>0</v>
      </c>
      <c r="Z151" s="17"/>
      <c r="AA151" s="17"/>
      <c r="AB151" s="17">
        <f>'pem-peny &amp; transfer barang'!Y3</f>
        <v>3</v>
      </c>
      <c r="AC151" s="17">
        <f>'pem-peny &amp; transfer barang'!Z3</f>
        <v>1</v>
      </c>
      <c r="AD151" s="17"/>
      <c r="AE151" s="17"/>
    </row>
    <row r="152" spans="1:31" x14ac:dyDescent="0.25">
      <c r="A152" s="179">
        <v>151</v>
      </c>
      <c r="B152" s="17"/>
      <c r="C152" s="17">
        <f>'pem-peny &amp; transfer barang'!V3</f>
        <v>23</v>
      </c>
      <c r="D152" s="17" t="str">
        <f>'rekening perkiraan'!E25</f>
        <v>10.21.22.23</v>
      </c>
      <c r="E152" s="17" t="str">
        <f>'rekening perkiraan'!B25</f>
        <v>kerusakan dan kegagalan material</v>
      </c>
      <c r="F152" s="17" t="str">
        <f>'rekening perkiraan'!D25</f>
        <v>biaya lain</v>
      </c>
      <c r="G152" s="17">
        <f>'pem-peny &amp; transfer barang'!C3</f>
        <v>9</v>
      </c>
      <c r="H152" s="17" t="str">
        <f>'kode transaksi'!B10</f>
        <v>IJ</v>
      </c>
      <c r="I152" s="17" t="str">
        <f>'pem-peny &amp; transfer barang'!E3</f>
        <v>.000001</v>
      </c>
      <c r="J152" s="61">
        <f>'pem-peny &amp; transfer barang'!H3</f>
        <v>43368</v>
      </c>
      <c r="K152" s="84" t="str">
        <f>'pem-peny &amp; transfer barang'!I3</f>
        <v>barang rusak</v>
      </c>
      <c r="L152" s="17">
        <f>'data mata uang'!A3</f>
        <v>1</v>
      </c>
      <c r="M152" s="17" t="str">
        <f>'data mata uang'!D3</f>
        <v>IDR</v>
      </c>
      <c r="N152" s="17">
        <f>'data mata uang'!G3</f>
        <v>1</v>
      </c>
      <c r="O152" s="83">
        <f>'pem-peny &amp; transfer barang'!W3</f>
        <v>150000</v>
      </c>
      <c r="P152" s="83"/>
      <c r="Q152" s="182">
        <f>N152*O152</f>
        <v>150000</v>
      </c>
      <c r="R152" s="182"/>
      <c r="S152" s="17">
        <v>0</v>
      </c>
      <c r="T152" s="17" t="str">
        <f>'pem-peny &amp; transfer barang'!D3</f>
        <v>9.1</v>
      </c>
      <c r="U152" s="17">
        <f>'pem-peny &amp; transfer barang'!J3</f>
        <v>6</v>
      </c>
      <c r="V152" s="17" t="str">
        <f>'pem-peny &amp; transfer barang'!T3</f>
        <v>disable</v>
      </c>
      <c r="W152" s="17"/>
      <c r="X152" s="17">
        <f>'pem-peny &amp; transfer barang'!M3</f>
        <v>0</v>
      </c>
      <c r="Y152" s="17">
        <f>'pem-peny &amp; transfer barang'!N3</f>
        <v>0</v>
      </c>
      <c r="Z152" s="17"/>
      <c r="AA152" s="17"/>
      <c r="AB152" s="17">
        <f>'pem-peny &amp; transfer barang'!Y3</f>
        <v>3</v>
      </c>
      <c r="AC152" s="17">
        <f>'pem-peny &amp; transfer barang'!Z3</f>
        <v>1</v>
      </c>
      <c r="AD152" s="17"/>
      <c r="AE152" s="17"/>
    </row>
    <row r="153" spans="1:31" x14ac:dyDescent="0.25">
      <c r="A153" s="179">
        <v>152</v>
      </c>
      <c r="B153" s="17" t="str">
        <f>'data harta tetap'!C3</f>
        <v>1.1</v>
      </c>
      <c r="C153" s="17">
        <f>'data harta tetap'!Y3</f>
        <v>9</v>
      </c>
      <c r="D153" s="17" t="str">
        <f>'rekening perkiraan'!E11</f>
        <v>1.2.3.9</v>
      </c>
      <c r="E153" s="17" t="str">
        <f>'rekening perkiraan'!B11</f>
        <v>kas</v>
      </c>
      <c r="F153" s="17" t="str">
        <f>'rekening perkiraan'!D11</f>
        <v>kas</v>
      </c>
      <c r="G153" s="17">
        <f>'data harta tetap'!B3</f>
        <v>1</v>
      </c>
      <c r="H153" s="17" t="str">
        <f>'data harta tetap'!D3</f>
        <v>GJ</v>
      </c>
      <c r="I153" s="17" t="str">
        <f>'data harta tetap'!E3</f>
        <v>.000001</v>
      </c>
      <c r="J153" s="61">
        <f>'data harta tetap'!K3</f>
        <v>43403</v>
      </c>
      <c r="K153" s="84"/>
      <c r="L153" s="17">
        <f>'data mata uang'!A3</f>
        <v>1</v>
      </c>
      <c r="M153" s="17" t="str">
        <f>'data mata uang'!D3</f>
        <v>IDR</v>
      </c>
      <c r="N153" s="17">
        <f>'data mata uang'!G3</f>
        <v>1</v>
      </c>
      <c r="O153" s="83"/>
      <c r="P153" s="83">
        <f>'data harta tetap'!AG3</f>
        <v>4600000000</v>
      </c>
      <c r="Q153" s="182"/>
      <c r="R153" s="182">
        <f t="shared" ref="R153" si="22">N153*P153</f>
        <v>4600000000</v>
      </c>
      <c r="S153" s="17">
        <v>1</v>
      </c>
      <c r="T153" s="17" t="str">
        <f>'data harta tetap'!C3</f>
        <v>1.1</v>
      </c>
      <c r="U153" s="17" t="s">
        <v>667</v>
      </c>
      <c r="V153" s="17">
        <f>'data harta tetap'!S3</f>
        <v>2</v>
      </c>
      <c r="W153" s="17" t="s">
        <v>667</v>
      </c>
      <c r="X153" s="17" t="s">
        <v>667</v>
      </c>
      <c r="Y153" s="17" t="s">
        <v>667</v>
      </c>
      <c r="Z153" s="17"/>
      <c r="AA153" s="17"/>
      <c r="AB153" s="17"/>
      <c r="AC153" s="17"/>
      <c r="AD153" s="17"/>
      <c r="AE153" s="17"/>
    </row>
    <row r="154" spans="1:31" x14ac:dyDescent="0.25">
      <c r="A154" s="179">
        <v>153</v>
      </c>
      <c r="B154" s="17" t="str">
        <f>'data harta tetap'!C3</f>
        <v>1.1</v>
      </c>
      <c r="C154" s="17">
        <f>'data harta tetap'!AJ3</f>
        <v>30</v>
      </c>
      <c r="D154" s="17" t="str">
        <f>'rekening perkiraan'!E32</f>
        <v>1.23.24.30</v>
      </c>
      <c r="E154" s="17" t="str">
        <f>'rekening perkiraan'!B32</f>
        <v>bangunan</v>
      </c>
      <c r="F154" s="17" t="str">
        <f>'rekening perkiraan'!D32</f>
        <v>harta tetap berwujud</v>
      </c>
      <c r="G154" s="17">
        <f>'data harta tetap'!B3</f>
        <v>1</v>
      </c>
      <c r="H154" s="17" t="str">
        <f>'data harta tetap'!D3</f>
        <v>GJ</v>
      </c>
      <c r="I154" s="17" t="str">
        <f>'data harta tetap'!E3</f>
        <v>.000001</v>
      </c>
      <c r="J154" s="61">
        <f>'data harta tetap'!K3</f>
        <v>43403</v>
      </c>
      <c r="K154" s="84"/>
      <c r="L154" s="17">
        <f>'data mata uang'!A3</f>
        <v>1</v>
      </c>
      <c r="M154" s="17" t="str">
        <f>'data mata uang'!D3</f>
        <v>IDR</v>
      </c>
      <c r="N154" s="17">
        <f>'data mata uang'!G3</f>
        <v>1</v>
      </c>
      <c r="O154" s="83">
        <f>'data harta tetap'!AG3</f>
        <v>4600000000</v>
      </c>
      <c r="P154" s="83"/>
      <c r="Q154" s="182">
        <f t="shared" ref="Q154" si="23">N154*O154</f>
        <v>4600000000</v>
      </c>
      <c r="R154" s="182"/>
      <c r="S154" s="17">
        <v>1</v>
      </c>
      <c r="T154" s="17" t="str">
        <f>'data harta tetap'!C3</f>
        <v>1.1</v>
      </c>
      <c r="U154" s="17" t="s">
        <v>667</v>
      </c>
      <c r="V154" s="17">
        <f>'data harta tetap'!S3</f>
        <v>2</v>
      </c>
      <c r="W154" s="17" t="s">
        <v>667</v>
      </c>
      <c r="X154" s="17" t="s">
        <v>667</v>
      </c>
      <c r="Y154" s="17" t="s">
        <v>667</v>
      </c>
      <c r="Z154" s="17"/>
      <c r="AA154" s="17"/>
      <c r="AB154" s="17"/>
      <c r="AC154" s="17"/>
      <c r="AD154" s="17"/>
      <c r="AE154" s="17"/>
    </row>
    <row r="155" spans="1:31" x14ac:dyDescent="0.25">
      <c r="A155" s="179">
        <v>154</v>
      </c>
      <c r="B155" s="17"/>
      <c r="C155" s="17">
        <f>order_closing!H25</f>
        <v>28</v>
      </c>
      <c r="D155" s="17" t="str">
        <f>'rekening perkiraan'!E30</f>
        <v>1.23.24.28</v>
      </c>
      <c r="E155" s="17" t="str">
        <f>'rekening perkiraan'!B30</f>
        <v>akumulasi penyusutan kendaraan</v>
      </c>
      <c r="F155" s="17" t="str">
        <f>'rekening perkiraan'!D30</f>
        <v>harta tetap berwujud</v>
      </c>
      <c r="G155" s="17">
        <f>order_closing!O25</f>
        <v>27</v>
      </c>
      <c r="H155" s="17" t="str">
        <f>'kode transaksi'!B28</f>
        <v>CL</v>
      </c>
      <c r="I155" s="17">
        <f>order_closing!C25</f>
        <v>54000001</v>
      </c>
      <c r="J155" s="61">
        <f>order_closing!D25</f>
        <v>43404</v>
      </c>
      <c r="K155" s="85" t="str">
        <f>order_closing!E25</f>
        <v>dep monthly</v>
      </c>
      <c r="L155" s="17"/>
      <c r="M155" s="17"/>
      <c r="N155" s="17"/>
      <c r="O155" s="83"/>
      <c r="P155" s="83">
        <f>order_closing!J25</f>
        <v>2500000</v>
      </c>
      <c r="Q155" s="83"/>
      <c r="R155" s="83"/>
      <c r="S155" s="17"/>
      <c r="T155" s="17" t="str">
        <f>order_closing!P25</f>
        <v>27.1</v>
      </c>
      <c r="U155" s="17" t="s">
        <v>667</v>
      </c>
      <c r="V155" s="17">
        <f>order_closing!N25</f>
        <v>2</v>
      </c>
      <c r="W155" s="17" t="s">
        <v>667</v>
      </c>
      <c r="X155" s="17" t="s">
        <v>667</v>
      </c>
      <c r="Y155" s="17" t="e">
        <f>order_closing!Q25</f>
        <v>#REF!</v>
      </c>
      <c r="Z155" s="17"/>
      <c r="AA155" s="17"/>
      <c r="AB155" s="17">
        <f>order_closing!S25</f>
        <v>0</v>
      </c>
      <c r="AC155" s="17">
        <f>order_closing!R25</f>
        <v>1</v>
      </c>
      <c r="AD155" s="17"/>
      <c r="AE155" s="17"/>
    </row>
    <row r="156" spans="1:31" x14ac:dyDescent="0.25">
      <c r="A156" s="179">
        <v>155</v>
      </c>
      <c r="B156" s="17"/>
      <c r="C156" s="17">
        <f>order_closing!K25</f>
        <v>29</v>
      </c>
      <c r="D156" s="17" t="str">
        <f>'rekening perkiraan'!E31</f>
        <v>29.30.31.29</v>
      </c>
      <c r="E156" s="17" t="str">
        <f>'rekening perkiraan'!B31</f>
        <v>penyusutan kendaraan</v>
      </c>
      <c r="F156" s="17" t="str">
        <f>'rekening perkiraan'!D31</f>
        <v>biaya non operasional</v>
      </c>
      <c r="G156" s="17">
        <f>order_closing!O25</f>
        <v>27</v>
      </c>
      <c r="H156" s="17" t="str">
        <f>'kode transaksi'!B28</f>
        <v>CL</v>
      </c>
      <c r="I156" s="17">
        <f>order_closing!C25</f>
        <v>54000001</v>
      </c>
      <c r="J156" s="61">
        <f>order_closing!D25</f>
        <v>43404</v>
      </c>
      <c r="K156" s="84" t="str">
        <f>order_closing!E25</f>
        <v>dep monthly</v>
      </c>
      <c r="L156" s="17"/>
      <c r="M156" s="17"/>
      <c r="N156" s="17"/>
      <c r="O156" s="83">
        <f>order_closing!L25</f>
        <v>2500000</v>
      </c>
      <c r="P156" s="83"/>
      <c r="Q156" s="83">
        <v>2500000</v>
      </c>
      <c r="R156" s="83"/>
      <c r="S156" s="17"/>
      <c r="T156" s="17" t="str">
        <f>order_closing!P25</f>
        <v>27.1</v>
      </c>
      <c r="U156" s="17" t="s">
        <v>667</v>
      </c>
      <c r="V156" s="17">
        <f>order_closing!N25</f>
        <v>2</v>
      </c>
      <c r="W156" s="17" t="s">
        <v>667</v>
      </c>
      <c r="X156" s="17" t="s">
        <v>667</v>
      </c>
      <c r="Y156" s="17" t="e">
        <f>order_closing!Q25</f>
        <v>#REF!</v>
      </c>
      <c r="Z156" s="17"/>
      <c r="AA156" s="17"/>
      <c r="AB156" s="17">
        <f>order_closing!S25</f>
        <v>0</v>
      </c>
      <c r="AC156" s="17">
        <f>order_closing!R25</f>
        <v>1</v>
      </c>
      <c r="AD156" s="17"/>
      <c r="AE156" s="17"/>
    </row>
    <row r="157" spans="1:31" x14ac:dyDescent="0.25">
      <c r="A157" s="179">
        <v>155</v>
      </c>
      <c r="B157" s="17" t="str">
        <f>'order jurnal umum'!T2</f>
        <v>1.1</v>
      </c>
      <c r="C157" s="17">
        <f>'order jurnal umum'!I2</f>
        <v>6</v>
      </c>
      <c r="D157" s="17" t="str">
        <f>'order jurnal umum'!J2</f>
        <v>1.2.4.6</v>
      </c>
      <c r="E157" s="17" t="str">
        <f>'order jurnal umum'!K2</f>
        <v>bank</v>
      </c>
      <c r="F157" s="17" t="str">
        <f>'order jurnal umum'!L2</f>
        <v>bank</v>
      </c>
      <c r="G157" s="17">
        <f>'order jurnal umum'!S2</f>
        <v>1</v>
      </c>
      <c r="H157" s="17" t="str">
        <f>'kode transaksi'!B2</f>
        <v>GJ</v>
      </c>
      <c r="I157" s="17">
        <f>'order jurnal umum'!C2</f>
        <v>18000001</v>
      </c>
      <c r="J157" s="61">
        <f>'order jurnal umum'!D2</f>
        <v>43375</v>
      </c>
      <c r="K157" s="85" t="str">
        <f>'order jurnal umum'!H2</f>
        <v>denda</v>
      </c>
      <c r="L157" s="17">
        <f>'order jurnal umum'!E2</f>
        <v>1</v>
      </c>
      <c r="M157" s="17" t="str">
        <f>'order jurnal umum'!F2</f>
        <v>IDR</v>
      </c>
      <c r="N157" s="17">
        <f>'data mata uang'!G3</f>
        <v>1</v>
      </c>
      <c r="O157" s="83">
        <f>'order jurnal umum'!M2</f>
        <v>100000</v>
      </c>
      <c r="P157" s="83">
        <f>'order jurnal umum'!N2</f>
        <v>0</v>
      </c>
      <c r="Q157" s="83">
        <f>O157*N157</f>
        <v>100000</v>
      </c>
      <c r="R157" s="83">
        <f>P157*N157</f>
        <v>0</v>
      </c>
      <c r="S157" s="17">
        <v>0</v>
      </c>
      <c r="T157" s="17" t="str">
        <f>'order jurnal umum'!U2</f>
        <v>1.1</v>
      </c>
      <c r="U157" s="17">
        <f>'order jurnal umum'!O2</f>
        <v>4</v>
      </c>
      <c r="V157" s="17"/>
      <c r="W157" s="17"/>
      <c r="X157" s="17">
        <f>'order jurnal umum'!W2</f>
        <v>0</v>
      </c>
      <c r="Y157" s="17">
        <f>'order jurnal umum'!X2</f>
        <v>0</v>
      </c>
      <c r="Z157" s="17"/>
      <c r="AA157" s="17"/>
      <c r="AB157" s="17">
        <f>AB146</f>
        <v>1</v>
      </c>
      <c r="AC157" s="17">
        <f>order_closing!R25</f>
        <v>1</v>
      </c>
      <c r="AD157" s="17"/>
      <c r="AE157" s="17"/>
    </row>
    <row r="158" spans="1:31" x14ac:dyDescent="0.25">
      <c r="A158" s="179">
        <v>155</v>
      </c>
      <c r="B158" s="17"/>
      <c r="C158" s="17"/>
      <c r="D158" s="17"/>
      <c r="E158" s="17"/>
      <c r="F158" s="17"/>
      <c r="G158" s="17"/>
      <c r="H158" s="17"/>
      <c r="I158" s="17"/>
      <c r="J158" s="61"/>
      <c r="K158" s="84"/>
      <c r="L158" s="17"/>
      <c r="M158" s="17"/>
      <c r="N158" s="17"/>
      <c r="O158" s="83"/>
      <c r="P158" s="83"/>
      <c r="Q158" s="83"/>
      <c r="R158" s="83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x14ac:dyDescent="0.25">
      <c r="A159" s="179"/>
      <c r="B159" s="17" t="str">
        <f>production!R2</f>
        <v>28.1</v>
      </c>
      <c r="C159" s="17">
        <f>production!I2</f>
        <v>3</v>
      </c>
      <c r="D159" s="17"/>
      <c r="E159" s="17"/>
      <c r="F159" s="17"/>
      <c r="G159" s="17"/>
      <c r="H159" s="17"/>
      <c r="I159" s="17"/>
      <c r="J159" s="61"/>
      <c r="K159" s="84"/>
      <c r="L159" s="17"/>
      <c r="M159" s="17"/>
      <c r="N159" s="17"/>
      <c r="O159" s="83">
        <f>production!J2</f>
        <v>14300000</v>
      </c>
      <c r="P159" s="83"/>
      <c r="Q159" s="83"/>
      <c r="R159" s="83"/>
      <c r="S159" s="17"/>
      <c r="T159" s="17"/>
      <c r="U159" s="17">
        <f>production!O2</f>
        <v>4</v>
      </c>
      <c r="V159" s="17">
        <f>production!E2</f>
        <v>1</v>
      </c>
      <c r="W159" s="17" t="s">
        <v>667</v>
      </c>
      <c r="X159" s="17"/>
      <c r="Y159" s="17"/>
      <c r="Z159" s="17"/>
      <c r="AA159" s="17"/>
      <c r="AB159" s="17"/>
      <c r="AC159" s="17"/>
      <c r="AD159" s="17"/>
      <c r="AE159" s="17"/>
    </row>
    <row r="160" spans="1:31" x14ac:dyDescent="0.25">
      <c r="A160" s="179"/>
      <c r="B160" s="17" t="str">
        <f>production!R2</f>
        <v>28.1</v>
      </c>
      <c r="C160" s="17">
        <f>production!I2</f>
        <v>3</v>
      </c>
      <c r="D160" s="17"/>
      <c r="E160" s="17"/>
      <c r="F160" s="17"/>
      <c r="G160" s="17"/>
      <c r="H160" s="17"/>
      <c r="I160" s="17"/>
      <c r="J160" s="61"/>
      <c r="K160" s="84"/>
      <c r="L160" s="17"/>
      <c r="M160" s="17"/>
      <c r="N160" s="17"/>
      <c r="O160" s="83"/>
      <c r="P160" s="83">
        <f>production!K2</f>
        <v>14100000</v>
      </c>
      <c r="Q160" s="83"/>
      <c r="R160" s="83"/>
      <c r="S160" s="17">
        <v>0</v>
      </c>
      <c r="T160" s="17"/>
      <c r="U160" s="17">
        <f>production!O2</f>
        <v>4</v>
      </c>
      <c r="V160" s="17">
        <f>production!E2</f>
        <v>1</v>
      </c>
      <c r="W160" s="17" t="s">
        <v>667</v>
      </c>
      <c r="X160" s="17"/>
      <c r="Y160" s="17"/>
      <c r="Z160" s="17"/>
      <c r="AA160" s="17"/>
      <c r="AB160" s="17"/>
      <c r="AC160" s="17"/>
      <c r="AD160" s="17"/>
      <c r="AE160" s="17"/>
    </row>
    <row r="161" spans="1:31" x14ac:dyDescent="0.25">
      <c r="A161" s="179"/>
      <c r="B161" s="17" t="str">
        <f>production!R2</f>
        <v>28.1</v>
      </c>
      <c r="C161" s="17">
        <f>production!L2</f>
        <v>26</v>
      </c>
      <c r="D161" s="17"/>
      <c r="E161" s="17"/>
      <c r="F161" s="17"/>
      <c r="G161" s="17"/>
      <c r="H161" s="17"/>
      <c r="I161" s="17"/>
      <c r="J161" s="61"/>
      <c r="K161" s="84"/>
      <c r="L161" s="17"/>
      <c r="M161" s="17"/>
      <c r="N161" s="17"/>
      <c r="O161" s="83"/>
      <c r="P161" s="83">
        <f>production!N2</f>
        <v>200000</v>
      </c>
      <c r="Q161" s="83"/>
      <c r="R161" s="83"/>
      <c r="S161" s="17">
        <v>0</v>
      </c>
      <c r="T161" s="17"/>
      <c r="U161" s="17">
        <f>production!O2</f>
        <v>4</v>
      </c>
      <c r="V161" s="17">
        <f>production!E2</f>
        <v>1</v>
      </c>
      <c r="W161" s="17" t="s">
        <v>667</v>
      </c>
      <c r="X161" s="17"/>
      <c r="Y161" s="17"/>
      <c r="Z161" s="17"/>
      <c r="AA161" s="17"/>
      <c r="AB161" s="17"/>
      <c r="AC161" s="17"/>
      <c r="AD161" s="17"/>
      <c r="AE161" s="17"/>
    </row>
    <row r="162" spans="1:31" x14ac:dyDescent="0.25">
      <c r="A162" s="179"/>
      <c r="B162" s="17"/>
      <c r="C162" s="17"/>
      <c r="D162" s="17"/>
      <c r="E162" s="17"/>
      <c r="F162" s="17"/>
      <c r="G162" s="17"/>
      <c r="H162" s="17"/>
      <c r="I162" s="17"/>
      <c r="J162" s="61"/>
      <c r="K162" s="84"/>
      <c r="L162" s="17"/>
      <c r="M162" s="17"/>
      <c r="N162" s="17"/>
      <c r="O162" s="83"/>
      <c r="P162" s="83"/>
      <c r="Q162" s="83"/>
      <c r="R162" s="83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x14ac:dyDescent="0.25">
      <c r="A163" s="179"/>
      <c r="B163" s="17"/>
      <c r="C163" s="17"/>
      <c r="D163" s="17"/>
      <c r="E163" s="17"/>
      <c r="F163" s="17"/>
      <c r="G163" s="17"/>
      <c r="H163" s="17"/>
      <c r="I163" s="17"/>
      <c r="J163" s="61"/>
      <c r="K163" s="85"/>
      <c r="L163" s="17"/>
      <c r="M163" s="17"/>
      <c r="N163" s="17"/>
      <c r="O163" s="83"/>
      <c r="P163" s="83"/>
      <c r="Q163" s="83"/>
      <c r="R163" s="83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x14ac:dyDescent="0.25">
      <c r="A164" s="179"/>
      <c r="B164" s="17"/>
      <c r="C164" s="17"/>
      <c r="D164" s="17"/>
      <c r="E164" s="17"/>
      <c r="F164" s="17"/>
      <c r="G164" s="17"/>
      <c r="H164" s="17"/>
      <c r="I164" s="17"/>
      <c r="J164" s="61"/>
      <c r="K164" s="85"/>
      <c r="L164" s="17"/>
      <c r="M164" s="17"/>
      <c r="N164" s="17"/>
      <c r="O164" s="83"/>
      <c r="P164" s="83"/>
      <c r="Q164" s="83"/>
      <c r="R164" s="83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x14ac:dyDescent="0.25">
      <c r="K165" s="86"/>
    </row>
    <row r="166" spans="1:31" x14ac:dyDescent="0.25">
      <c r="K166" s="86"/>
    </row>
    <row r="171" spans="1:31" x14ac:dyDescent="0.25">
      <c r="A171" s="275"/>
      <c r="B171" s="51"/>
      <c r="G171" s="51" t="s">
        <v>1545</v>
      </c>
      <c r="H171" s="51"/>
    </row>
    <row r="172" spans="1:31" x14ac:dyDescent="0.25">
      <c r="A172" s="18"/>
      <c r="B172" s="275" t="s">
        <v>13</v>
      </c>
      <c r="G172" s="81">
        <v>50000000</v>
      </c>
      <c r="H172" s="51"/>
    </row>
    <row r="173" spans="1:31" x14ac:dyDescent="0.25">
      <c r="A173" s="18"/>
      <c r="B173" s="275" t="s">
        <v>9</v>
      </c>
      <c r="G173" s="81">
        <v>10000000</v>
      </c>
      <c r="H173" s="51"/>
    </row>
    <row r="174" spans="1:31" x14ac:dyDescent="0.25">
      <c r="A174" s="18"/>
      <c r="B174" s="275"/>
      <c r="G174" s="51"/>
      <c r="H174" s="51"/>
      <c r="K174" s="86"/>
    </row>
    <row r="175" spans="1:31" x14ac:dyDescent="0.25">
      <c r="A175" s="18"/>
      <c r="B175" s="275" t="s">
        <v>1546</v>
      </c>
      <c r="G175" s="51"/>
      <c r="H175" s="51"/>
      <c r="K175" s="86"/>
    </row>
    <row r="176" spans="1:31" x14ac:dyDescent="0.25">
      <c r="A176" s="18"/>
      <c r="B176" s="275"/>
      <c r="G176" s="51"/>
      <c r="H176" s="51"/>
    </row>
    <row r="177" spans="1:11" x14ac:dyDescent="0.25">
      <c r="A177" s="18"/>
      <c r="B177" s="275" t="s">
        <v>1576</v>
      </c>
    </row>
    <row r="183" spans="1:11" x14ac:dyDescent="0.25">
      <c r="K183" s="86"/>
    </row>
    <row r="184" spans="1:11" x14ac:dyDescent="0.25">
      <c r="K184" s="86"/>
    </row>
    <row r="185" spans="1:11" x14ac:dyDescent="0.25">
      <c r="K185" s="86"/>
    </row>
    <row r="186" spans="1:11" x14ac:dyDescent="0.25">
      <c r="K186" s="86"/>
    </row>
    <row r="195" spans="11:11" x14ac:dyDescent="0.25">
      <c r="K195" s="86"/>
    </row>
    <row r="282" spans="1:2" x14ac:dyDescent="0.25">
      <c r="A282" s="275"/>
      <c r="B282" s="5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U3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24.85546875" style="1" bestFit="1" customWidth="1"/>
    <col min="2" max="2" width="24.85546875" style="290" customWidth="1"/>
    <col min="3" max="3" width="25.42578125" style="1" bestFit="1" customWidth="1"/>
    <col min="4" max="4" width="13.42578125" style="1" bestFit="1" customWidth="1"/>
    <col min="5" max="5" width="10.85546875" style="1" bestFit="1" customWidth="1"/>
    <col min="6" max="6" width="10.85546875" style="1" customWidth="1"/>
    <col min="7" max="7" width="25" style="1" bestFit="1" customWidth="1"/>
    <col min="8" max="8" width="22.28515625" style="1" bestFit="1" customWidth="1"/>
    <col min="9" max="9" width="11.85546875" style="1" bestFit="1" customWidth="1"/>
    <col min="10" max="10" width="11" style="1" bestFit="1" customWidth="1"/>
    <col min="11" max="11" width="10.85546875" style="1" bestFit="1" customWidth="1"/>
    <col min="12" max="12" width="11.42578125" style="1" bestFit="1" customWidth="1"/>
    <col min="13" max="13" width="7.85546875" style="1" bestFit="1" customWidth="1"/>
    <col min="14" max="14" width="10.7109375" style="1" bestFit="1" customWidth="1"/>
    <col min="15" max="15" width="16.85546875" style="1" bestFit="1" customWidth="1"/>
    <col min="16" max="16" width="16.42578125" style="1" bestFit="1" customWidth="1"/>
    <col min="17" max="17" width="17.28515625" style="1" bestFit="1" customWidth="1"/>
    <col min="18" max="18" width="17.28515625" style="1" customWidth="1"/>
    <col min="19" max="19" width="10.28515625" style="1" bestFit="1" customWidth="1"/>
    <col min="20" max="20" width="19.42578125" style="260" bestFit="1" customWidth="1"/>
    <col min="21" max="21" width="19.28515625" style="1" bestFit="1" customWidth="1"/>
    <col min="22" max="16384" width="9.140625" style="1"/>
  </cols>
  <sheetData>
    <row r="1" spans="1:21" x14ac:dyDescent="0.25">
      <c r="A1" s="1" t="s">
        <v>564</v>
      </c>
      <c r="B1" s="290" t="s">
        <v>1690</v>
      </c>
      <c r="C1" s="1" t="s">
        <v>565</v>
      </c>
      <c r="D1" s="1" t="s">
        <v>115</v>
      </c>
      <c r="E1" s="1" t="s">
        <v>21</v>
      </c>
      <c r="F1" s="1" t="s">
        <v>1122</v>
      </c>
      <c r="G1" s="1" t="s">
        <v>22</v>
      </c>
      <c r="H1" s="1" t="s">
        <v>23</v>
      </c>
      <c r="I1" s="13" t="s">
        <v>481</v>
      </c>
      <c r="J1" s="1" t="s">
        <v>26</v>
      </c>
      <c r="K1" s="1" t="s">
        <v>567</v>
      </c>
      <c r="L1" s="1" t="s">
        <v>568</v>
      </c>
      <c r="M1" s="1" t="s">
        <v>566</v>
      </c>
      <c r="N1" s="1" t="s">
        <v>35</v>
      </c>
      <c r="O1" s="1" t="s">
        <v>36</v>
      </c>
      <c r="P1" s="1" t="s">
        <v>43</v>
      </c>
      <c r="Q1" s="1" t="s">
        <v>617</v>
      </c>
      <c r="R1" s="1" t="s">
        <v>655</v>
      </c>
      <c r="S1" s="1" t="s">
        <v>624</v>
      </c>
      <c r="T1" s="260" t="s">
        <v>1416</v>
      </c>
      <c r="U1" s="260" t="s">
        <v>1644</v>
      </c>
    </row>
    <row r="2" spans="1:21" x14ac:dyDescent="0.25">
      <c r="A2" s="1">
        <v>1</v>
      </c>
      <c r="B2" s="290" t="str">
        <f>CONCATENATE(Q2,".",A2)</f>
        <v>1.1</v>
      </c>
      <c r="C2" s="1">
        <v>18000001</v>
      </c>
      <c r="D2" s="1">
        <f>'data mata uang'!A3</f>
        <v>1</v>
      </c>
      <c r="E2" s="1" t="str">
        <f>'data mata uang'!D3</f>
        <v>IDR</v>
      </c>
      <c r="F2" s="1">
        <f>'data mata uang'!G3</f>
        <v>1</v>
      </c>
      <c r="I2" s="6">
        <v>43375</v>
      </c>
      <c r="J2" s="1" t="s">
        <v>616</v>
      </c>
      <c r="K2" s="1">
        <f>'order jurnal umum'!M2</f>
        <v>100000</v>
      </c>
      <c r="L2" s="1">
        <f>'order jurnal umum'!N3</f>
        <v>100000</v>
      </c>
      <c r="M2" s="1">
        <f>K2-L2</f>
        <v>0</v>
      </c>
      <c r="N2" s="1">
        <f>kontak!A6</f>
        <v>4</v>
      </c>
      <c r="O2" s="1" t="str">
        <f>kontak!G6</f>
        <v>dea fitri maharani</v>
      </c>
      <c r="P2" s="1">
        <v>1</v>
      </c>
      <c r="Q2" s="1">
        <f>'kode transaksi'!A2</f>
        <v>1</v>
      </c>
      <c r="R2" s="1" t="str">
        <f>B2</f>
        <v>1.1</v>
      </c>
      <c r="S2" s="1">
        <f>'user id'!A2</f>
        <v>1</v>
      </c>
      <c r="T2" s="208">
        <f>'periode akuntansi'!A2</f>
        <v>1</v>
      </c>
    </row>
    <row r="3" spans="1:21" x14ac:dyDescent="0.25">
      <c r="A3" s="1">
        <v>2</v>
      </c>
      <c r="B3" s="290" t="str">
        <f>CONCATENATE(Q3,".",A3)</f>
        <v>1.2</v>
      </c>
      <c r="C3" s="1">
        <v>18000002</v>
      </c>
      <c r="D3" s="1">
        <f>'data mata uang'!A3</f>
        <v>1</v>
      </c>
      <c r="E3" s="1" t="str">
        <f>'data mata uang'!D3</f>
        <v>IDR</v>
      </c>
      <c r="F3" s="1">
        <f>'data mata uang'!G3</f>
        <v>1</v>
      </c>
      <c r="I3" s="6">
        <v>43376</v>
      </c>
      <c r="J3" s="1" t="s">
        <v>616</v>
      </c>
      <c r="K3" s="1">
        <f>'order jurnal umum'!M4</f>
        <v>140000</v>
      </c>
      <c r="L3" s="1">
        <f>'order jurnal umum'!N5+'order jurnal umum'!N6</f>
        <v>140000</v>
      </c>
      <c r="M3" s="1">
        <f>K3-L3</f>
        <v>0</v>
      </c>
      <c r="N3" s="1">
        <f>kontak!A7</f>
        <v>5</v>
      </c>
      <c r="O3" s="1" t="str">
        <f>kontak!G7</f>
        <v>gisela tria canitha</v>
      </c>
      <c r="P3" s="1">
        <v>1</v>
      </c>
      <c r="Q3" s="1">
        <f>'kode transaksi'!A2</f>
        <v>1</v>
      </c>
      <c r="R3" s="290" t="str">
        <f>B3</f>
        <v>1.2</v>
      </c>
      <c r="S3" s="1">
        <f>'user id'!A3</f>
        <v>2</v>
      </c>
      <c r="T3" s="208">
        <f>'periode akuntansi'!A2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zoomScale="70" zoomScaleNormal="70" workbookViewId="0">
      <selection sqref="A1:G4"/>
    </sheetView>
  </sheetViews>
  <sheetFormatPr defaultColWidth="8.85546875" defaultRowHeight="15" x14ac:dyDescent="0.25"/>
  <cols>
    <col min="3" max="3" width="28.140625" bestFit="1" customWidth="1"/>
    <col min="4" max="4" width="22.140625" bestFit="1" customWidth="1"/>
    <col min="5" max="5" width="34.28515625" bestFit="1" customWidth="1"/>
    <col min="7" max="7" width="12.42578125" style="22" bestFit="1" customWidth="1"/>
  </cols>
  <sheetData>
    <row r="1" spans="1:10" x14ac:dyDescent="0.25">
      <c r="A1" s="296" t="s">
        <v>1726</v>
      </c>
      <c r="B1" s="296"/>
      <c r="C1" s="296"/>
      <c r="D1" s="296"/>
      <c r="E1" s="296"/>
      <c r="F1" s="296"/>
      <c r="G1" s="296"/>
    </row>
    <row r="2" spans="1:10" x14ac:dyDescent="0.25">
      <c r="A2" s="296"/>
      <c r="B2" s="296"/>
      <c r="C2" s="296"/>
      <c r="D2" s="296"/>
      <c r="E2" s="296"/>
      <c r="F2" s="296"/>
      <c r="G2" s="296"/>
    </row>
    <row r="3" spans="1:10" x14ac:dyDescent="0.25">
      <c r="A3" s="296"/>
      <c r="B3" s="296"/>
      <c r="C3" s="296"/>
      <c r="D3" s="296"/>
      <c r="E3" s="296"/>
      <c r="F3" s="296"/>
      <c r="G3" s="296"/>
    </row>
    <row r="4" spans="1:10" x14ac:dyDescent="0.25">
      <c r="A4" s="296"/>
      <c r="B4" s="296"/>
      <c r="C4" s="296"/>
      <c r="D4" s="296"/>
      <c r="E4" s="296"/>
      <c r="F4" s="296"/>
      <c r="G4" s="296"/>
    </row>
    <row r="5" spans="1:10" ht="15" customHeight="1" x14ac:dyDescent="0.25">
      <c r="C5" s="292" t="s">
        <v>778</v>
      </c>
      <c r="D5" s="292"/>
      <c r="E5" s="292"/>
      <c r="F5" s="292"/>
      <c r="G5" s="292"/>
      <c r="H5" s="19"/>
      <c r="I5" s="19"/>
      <c r="J5" s="19"/>
    </row>
    <row r="6" spans="1:10" ht="15" customHeight="1" x14ac:dyDescent="0.25">
      <c r="C6" s="292"/>
      <c r="D6" s="292"/>
      <c r="E6" s="292"/>
      <c r="F6" s="292"/>
      <c r="G6" s="292"/>
      <c r="H6" s="19"/>
      <c r="I6" s="19"/>
      <c r="J6" s="19"/>
    </row>
    <row r="7" spans="1:10" ht="15" customHeight="1" x14ac:dyDescent="0.25">
      <c r="C7" s="293"/>
      <c r="D7" s="293"/>
      <c r="E7" s="293"/>
      <c r="F7" s="293"/>
      <c r="G7" s="293"/>
      <c r="H7" s="20"/>
      <c r="I7" s="20"/>
      <c r="J7" s="20"/>
    </row>
    <row r="8" spans="1:10" ht="15" customHeight="1" x14ac:dyDescent="0.25">
      <c r="C8" s="293"/>
      <c r="D8" s="293"/>
      <c r="E8" s="293"/>
      <c r="F8" s="293"/>
      <c r="G8" s="293"/>
      <c r="H8" s="20"/>
      <c r="I8" s="20"/>
      <c r="J8" s="20"/>
    </row>
    <row r="9" spans="1:10" x14ac:dyDescent="0.25">
      <c r="C9" s="294"/>
      <c r="D9" s="294"/>
      <c r="E9" s="294"/>
      <c r="F9" s="294"/>
      <c r="G9" s="294"/>
      <c r="H9" s="21"/>
      <c r="I9" s="21"/>
      <c r="J9" s="21"/>
    </row>
    <row r="11" spans="1:10" x14ac:dyDescent="0.25">
      <c r="G11" s="36" t="s">
        <v>484</v>
      </c>
    </row>
    <row r="12" spans="1:10" x14ac:dyDescent="0.25">
      <c r="B12" s="65"/>
      <c r="C12" s="27" t="str">
        <f>'klasifikasi akun'!B8</f>
        <v>pendapatan</v>
      </c>
      <c r="D12" s="28"/>
      <c r="E12" s="28"/>
      <c r="F12" s="28"/>
      <c r="G12" s="23" t="s">
        <v>285</v>
      </c>
    </row>
    <row r="13" spans="1:10" x14ac:dyDescent="0.25">
      <c r="C13" s="28"/>
      <c r="D13" s="27" t="str">
        <f>'rekening perkiraan'!D4</f>
        <v xml:space="preserve">pendapatan usaha </v>
      </c>
      <c r="E13" s="28"/>
      <c r="F13" s="28"/>
      <c r="G13" s="23"/>
    </row>
    <row r="14" spans="1:10" x14ac:dyDescent="0.25">
      <c r="C14" s="28"/>
      <c r="D14" s="28"/>
      <c r="E14" s="28" t="str">
        <f>'rekening perkiraan'!B4</f>
        <v>penjualan produk 1</v>
      </c>
      <c r="F14" s="28"/>
      <c r="G14" s="23">
        <f>SUM('BUKU BESAR'!R39+'BUKU BESAR'!R46+'BUKU BESAR'!R51-'BUKU BESAR'!Q62+'BUKU BESAR'!R105+'BUKU BESAR'!R116+'BUKU BESAR'!R126+'BUKU BESAR'!R133+'BUKU BESAR'!R141)</f>
        <v>136500000</v>
      </c>
    </row>
    <row r="15" spans="1:10" x14ac:dyDescent="0.25">
      <c r="C15" s="28"/>
      <c r="D15" s="28"/>
      <c r="E15" s="28" t="str">
        <f>'rekening perkiraan'!B39</f>
        <v>penjualan service 1</v>
      </c>
      <c r="F15" s="28"/>
      <c r="G15" s="23">
        <f>SUM(-'BUKU BESAR'!Q86)</f>
        <v>-500000</v>
      </c>
    </row>
    <row r="16" spans="1:10" x14ac:dyDescent="0.25">
      <c r="C16" s="28"/>
      <c r="D16" s="28"/>
      <c r="E16" s="28" t="str">
        <f>'rekening perkiraan'!B40</f>
        <v>biaya custom 1</v>
      </c>
      <c r="F16" s="28"/>
      <c r="G16" s="23">
        <f>SUM('BUKU BESAR'!R107)</f>
        <v>300000</v>
      </c>
    </row>
    <row r="17" spans="2:7" x14ac:dyDescent="0.25">
      <c r="C17" s="28"/>
      <c r="D17" s="278" t="s">
        <v>761</v>
      </c>
      <c r="E17" s="28"/>
      <c r="F17" s="28"/>
      <c r="G17" s="29">
        <f>SUM(G14)</f>
        <v>136500000</v>
      </c>
    </row>
    <row r="18" spans="2:7" x14ac:dyDescent="0.25">
      <c r="C18" s="28"/>
      <c r="D18" s="27"/>
      <c r="E18" s="28"/>
      <c r="F18" s="28"/>
      <c r="G18" s="30"/>
    </row>
    <row r="19" spans="2:7" x14ac:dyDescent="0.25">
      <c r="C19" s="280" t="s">
        <v>762</v>
      </c>
      <c r="D19" s="28"/>
      <c r="E19" s="28"/>
      <c r="F19" s="28"/>
      <c r="G19" s="29">
        <f>SUM(G17)</f>
        <v>136500000</v>
      </c>
    </row>
    <row r="20" spans="2:7" x14ac:dyDescent="0.25">
      <c r="C20" s="31"/>
      <c r="D20" s="31"/>
      <c r="E20" s="31"/>
      <c r="F20" s="31"/>
      <c r="G20" s="32"/>
    </row>
    <row r="21" spans="2:7" x14ac:dyDescent="0.25">
      <c r="B21" s="65"/>
      <c r="C21" s="33" t="str">
        <f>'klasifikasi akun'!B11</f>
        <v>biaya atas pendapatan</v>
      </c>
      <c r="D21" s="31"/>
      <c r="E21" s="31"/>
      <c r="F21" s="31"/>
      <c r="G21" s="32"/>
    </row>
    <row r="22" spans="2:7" x14ac:dyDescent="0.25">
      <c r="C22" s="31"/>
      <c r="D22" s="33" t="str">
        <f>'rekening perkiraan'!D3</f>
        <v>biaya produksi</v>
      </c>
      <c r="E22" s="31"/>
      <c r="F22" s="31"/>
      <c r="G22" s="32"/>
    </row>
    <row r="23" spans="2:7" x14ac:dyDescent="0.25">
      <c r="C23" s="31"/>
      <c r="D23" s="31"/>
      <c r="E23" s="31" t="str">
        <f>'rekening perkiraan'!B3</f>
        <v>biaya 1</v>
      </c>
      <c r="F23" s="31"/>
      <c r="G23" s="281">
        <f>SUM('BUKU BESAR'!Q38+'BUKU BESAR'!Q45+'BUKU BESAR'!Q50-'BUKU BESAR'!R61+'BUKU BESAR'!Q104+'BUKU BESAR'!Q115+'BUKU BESAR'!Q120+'BUKU BESAR'!Q125+'BUKU BESAR'!Q132+'BUKU BESAR'!Q140)</f>
        <v>106565657.78853914</v>
      </c>
    </row>
    <row r="24" spans="2:7" x14ac:dyDescent="0.25">
      <c r="C24" s="31"/>
      <c r="D24" s="277" t="s">
        <v>763</v>
      </c>
      <c r="E24" s="31"/>
      <c r="F24" s="31"/>
      <c r="G24" s="276">
        <f>SUM(G23)</f>
        <v>106565657.78853914</v>
      </c>
    </row>
    <row r="25" spans="2:7" x14ac:dyDescent="0.25">
      <c r="C25" s="31"/>
      <c r="D25" s="33"/>
      <c r="E25" s="31"/>
      <c r="F25" s="31"/>
      <c r="G25" s="276"/>
    </row>
    <row r="26" spans="2:7" x14ac:dyDescent="0.25">
      <c r="C26" s="31"/>
      <c r="D26" s="33" t="str">
        <f>'rekening perkiraan'!D25</f>
        <v>biaya lain</v>
      </c>
      <c r="E26" s="31"/>
      <c r="F26" s="31"/>
      <c r="G26" s="276"/>
    </row>
    <row r="27" spans="2:7" x14ac:dyDescent="0.25">
      <c r="C27" s="31"/>
      <c r="D27" s="33"/>
      <c r="E27" s="31" t="str">
        <f>'rekening perkiraan'!B25</f>
        <v>kerusakan dan kegagalan material</v>
      </c>
      <c r="F27" s="31"/>
      <c r="G27" s="282">
        <f>SUM('BUKU BESAR'!Q152)</f>
        <v>150000</v>
      </c>
    </row>
    <row r="28" spans="2:7" x14ac:dyDescent="0.25">
      <c r="C28" s="31"/>
      <c r="D28" s="277" t="s">
        <v>1723</v>
      </c>
      <c r="E28" s="31"/>
      <c r="F28" s="31"/>
      <c r="G28" s="35">
        <f>SUM(G27)</f>
        <v>150000</v>
      </c>
    </row>
    <row r="29" spans="2:7" x14ac:dyDescent="0.25">
      <c r="C29" s="279" t="s">
        <v>764</v>
      </c>
      <c r="D29" s="31"/>
      <c r="E29" s="31"/>
      <c r="F29" s="31"/>
      <c r="G29" s="34">
        <f>SUM(G24+G28)</f>
        <v>106715657.78853914</v>
      </c>
    </row>
    <row r="31" spans="2:7" x14ac:dyDescent="0.25">
      <c r="C31" s="24" t="s">
        <v>765</v>
      </c>
      <c r="G31" s="25">
        <f>G19-G29</f>
        <v>29784342.211460859</v>
      </c>
    </row>
    <row r="33" spans="2:7" x14ac:dyDescent="0.25">
      <c r="B33" s="65"/>
      <c r="C33" s="33" t="str">
        <f>'klasifikasi akun'!B29</f>
        <v>pengeluaran operasional</v>
      </c>
      <c r="D33" s="31"/>
      <c r="E33" s="31"/>
      <c r="F33" s="31"/>
      <c r="G33" s="32"/>
    </row>
    <row r="34" spans="2:7" x14ac:dyDescent="0.25">
      <c r="C34" s="33"/>
      <c r="D34" s="71" t="str">
        <f>'klasifikasi akun'!B31</f>
        <v>biaya non operasional</v>
      </c>
      <c r="E34" s="31"/>
      <c r="F34" s="31"/>
      <c r="G34" s="32"/>
    </row>
    <row r="35" spans="2:7" x14ac:dyDescent="0.25">
      <c r="C35" s="33"/>
      <c r="D35" s="31"/>
      <c r="E35" s="31" t="str">
        <f>'rekening perkiraan'!B31</f>
        <v>penyusutan kendaraan</v>
      </c>
      <c r="F35" s="31"/>
      <c r="G35" s="281">
        <f>SUM('BUKU BESAR'!Q156)</f>
        <v>2500000</v>
      </c>
    </row>
    <row r="36" spans="2:7" x14ac:dyDescent="0.25">
      <c r="C36" s="33"/>
      <c r="D36" s="277" t="s">
        <v>1724</v>
      </c>
      <c r="E36" s="31"/>
      <c r="F36" s="31"/>
      <c r="G36" s="32">
        <f>SUM(G35)</f>
        <v>2500000</v>
      </c>
    </row>
    <row r="37" spans="2:7" x14ac:dyDescent="0.25">
      <c r="C37" s="279" t="s">
        <v>772</v>
      </c>
      <c r="D37" s="31"/>
      <c r="E37" s="31"/>
      <c r="F37" s="31"/>
      <c r="G37" s="34">
        <f>SUM(G36)</f>
        <v>2500000</v>
      </c>
    </row>
    <row r="39" spans="2:7" x14ac:dyDescent="0.25">
      <c r="C39" s="24" t="s">
        <v>775</v>
      </c>
      <c r="G39" s="26">
        <f>G31-G37</f>
        <v>27284342.211460859</v>
      </c>
    </row>
    <row r="41" spans="2:7" x14ac:dyDescent="0.25">
      <c r="B41" s="65"/>
      <c r="C41" s="27" t="str">
        <f>'klasifikasi akun'!B32</f>
        <v>pendapatan lain</v>
      </c>
      <c r="D41" s="28"/>
      <c r="E41" s="28"/>
      <c r="F41" s="28"/>
      <c r="G41" s="23"/>
    </row>
    <row r="42" spans="2:7" x14ac:dyDescent="0.25">
      <c r="C42" s="27"/>
      <c r="D42" s="70" t="str">
        <f>'rekening perkiraan'!D35</f>
        <v>pendapatan luar usaha</v>
      </c>
      <c r="E42" s="28"/>
      <c r="F42" s="28"/>
      <c r="G42" s="23"/>
    </row>
    <row r="43" spans="2:7" x14ac:dyDescent="0.25">
      <c r="C43" s="27"/>
      <c r="D43" s="28"/>
      <c r="E43" s="28" t="str">
        <f>'rekening perkiraan'!B35</f>
        <v>hasil sewa</v>
      </c>
      <c r="F43" s="28"/>
      <c r="G43" s="283">
        <v>0</v>
      </c>
    </row>
    <row r="44" spans="2:7" x14ac:dyDescent="0.25">
      <c r="C44" s="27"/>
      <c r="D44" s="278" t="s">
        <v>1705</v>
      </c>
      <c r="E44" s="28"/>
      <c r="F44" s="28"/>
      <c r="G44" s="23">
        <f>SUM(G43)</f>
        <v>0</v>
      </c>
    </row>
    <row r="45" spans="2:7" x14ac:dyDescent="0.25">
      <c r="C45" s="280" t="s">
        <v>773</v>
      </c>
      <c r="D45" s="28"/>
      <c r="E45" s="28"/>
      <c r="F45" s="28"/>
      <c r="G45" s="29">
        <f>SUM(G43)</f>
        <v>0</v>
      </c>
    </row>
    <row r="47" spans="2:7" x14ac:dyDescent="0.25">
      <c r="B47" s="65"/>
      <c r="C47" s="33" t="str">
        <f>'klasifikasi akun'!B35</f>
        <v>pengeluaran lain</v>
      </c>
      <c r="D47" s="31"/>
      <c r="E47" s="31"/>
      <c r="F47" s="31"/>
      <c r="G47" s="32"/>
    </row>
    <row r="48" spans="2:7" x14ac:dyDescent="0.25">
      <c r="C48" s="33"/>
      <c r="D48" s="71" t="str">
        <f>'rekening perkiraan'!D36</f>
        <v>pengeluaran luar usaha</v>
      </c>
      <c r="E48" s="31"/>
      <c r="F48" s="31"/>
      <c r="G48" s="32"/>
    </row>
    <row r="49" spans="3:7" x14ac:dyDescent="0.25">
      <c r="C49" s="33"/>
      <c r="D49" s="31"/>
      <c r="E49" s="31" t="str">
        <f>'rekening perkiraan'!B36</f>
        <v>biaya bunga</v>
      </c>
      <c r="F49" s="31"/>
      <c r="G49" s="281">
        <v>0</v>
      </c>
    </row>
    <row r="50" spans="3:7" x14ac:dyDescent="0.25">
      <c r="C50" s="33"/>
      <c r="D50" s="277" t="s">
        <v>1706</v>
      </c>
      <c r="E50" s="31"/>
      <c r="F50" s="31"/>
      <c r="G50" s="32">
        <f>SUM(G49)</f>
        <v>0</v>
      </c>
    </row>
    <row r="51" spans="3:7" x14ac:dyDescent="0.25">
      <c r="C51" s="279" t="s">
        <v>774</v>
      </c>
      <c r="D51" s="31"/>
      <c r="E51" s="31"/>
      <c r="F51" s="31"/>
      <c r="G51" s="34">
        <f>SUM(G49)</f>
        <v>0</v>
      </c>
    </row>
    <row r="53" spans="3:7" x14ac:dyDescent="0.25">
      <c r="C53" s="24" t="s">
        <v>776</v>
      </c>
      <c r="G53" s="24">
        <f>G39+G45-G51</f>
        <v>27284342.211460859</v>
      </c>
    </row>
  </sheetData>
  <mergeCells count="4">
    <mergeCell ref="C5:G6"/>
    <mergeCell ref="C7:G8"/>
    <mergeCell ref="C9:G9"/>
    <mergeCell ref="A1:G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X6"/>
  <sheetViews>
    <sheetView topLeftCell="S1" zoomScale="160" zoomScaleNormal="160" workbookViewId="0">
      <selection activeCell="T2" sqref="T2"/>
    </sheetView>
  </sheetViews>
  <sheetFormatPr defaultColWidth="9.140625" defaultRowHeight="15" x14ac:dyDescent="0.25"/>
  <cols>
    <col min="1" max="1" width="21.85546875" style="1" bestFit="1" customWidth="1"/>
    <col min="2" max="2" width="24.85546875" style="1" bestFit="1" customWidth="1"/>
    <col min="3" max="3" width="25.42578125" style="1" bestFit="1" customWidth="1"/>
    <col min="4" max="4" width="10.7109375" style="1" bestFit="1" customWidth="1"/>
    <col min="5" max="5" width="13.42578125" style="1" bestFit="1" customWidth="1"/>
    <col min="6" max="6" width="10.85546875" style="1" bestFit="1" customWidth="1"/>
    <col min="7" max="7" width="4.85546875" style="1" bestFit="1" customWidth="1"/>
    <col min="8" max="8" width="11" style="1" bestFit="1" customWidth="1"/>
    <col min="9" max="9" width="21.42578125" style="1" bestFit="1" customWidth="1"/>
    <col min="10" max="10" width="22" style="1" bestFit="1" customWidth="1"/>
    <col min="11" max="11" width="24.42578125" style="1" bestFit="1" customWidth="1"/>
    <col min="12" max="12" width="28.42578125" style="1" bestFit="1" customWidth="1"/>
    <col min="13" max="14" width="7.85546875" style="1" bestFit="1" customWidth="1"/>
    <col min="15" max="15" width="10.7109375" style="1" bestFit="1" customWidth="1"/>
    <col min="16" max="16" width="16.85546875" style="1" bestFit="1" customWidth="1"/>
    <col min="17" max="17" width="10.28515625" style="1" bestFit="1" customWidth="1"/>
    <col min="18" max="18" width="16.42578125" style="1" bestFit="1" customWidth="1"/>
    <col min="19" max="19" width="17.28515625" style="1" bestFit="1" customWidth="1"/>
    <col min="20" max="20" width="17.28515625" style="290" customWidth="1"/>
    <col min="21" max="21" width="18.85546875" style="1" bestFit="1" customWidth="1"/>
    <col min="22" max="22" width="16.85546875" style="13" bestFit="1" customWidth="1"/>
    <col min="23" max="23" width="9.85546875" style="1" bestFit="1" customWidth="1"/>
    <col min="24" max="24" width="14.85546875" style="1" bestFit="1" customWidth="1"/>
    <col min="25" max="25" width="9.85546875" style="1" bestFit="1" customWidth="1"/>
    <col min="26" max="26" width="14.85546875" style="1" bestFit="1" customWidth="1"/>
    <col min="27" max="16384" width="9.140625" style="1"/>
  </cols>
  <sheetData>
    <row r="1" spans="1:24" x14ac:dyDescent="0.25">
      <c r="A1" s="1" t="s">
        <v>569</v>
      </c>
      <c r="B1" s="1" t="s">
        <v>564</v>
      </c>
      <c r="C1" s="1" t="s">
        <v>565</v>
      </c>
      <c r="D1" s="1" t="s">
        <v>481</v>
      </c>
      <c r="E1" s="1" t="s">
        <v>115</v>
      </c>
      <c r="F1" s="1" t="s">
        <v>21</v>
      </c>
      <c r="G1" s="1" t="s">
        <v>1122</v>
      </c>
      <c r="H1" s="1" t="s">
        <v>26</v>
      </c>
      <c r="I1" s="1" t="s">
        <v>541</v>
      </c>
      <c r="J1" s="1" t="s">
        <v>615</v>
      </c>
      <c r="K1" s="1" t="s">
        <v>542</v>
      </c>
      <c r="L1" s="1" t="s">
        <v>451</v>
      </c>
      <c r="M1" s="1" t="s">
        <v>482</v>
      </c>
      <c r="N1" s="1" t="s">
        <v>483</v>
      </c>
      <c r="O1" s="1" t="s">
        <v>35</v>
      </c>
      <c r="P1" s="1" t="s">
        <v>36</v>
      </c>
      <c r="Q1" s="1" t="s">
        <v>624</v>
      </c>
      <c r="R1" s="1" t="s">
        <v>43</v>
      </c>
      <c r="S1" s="1" t="s">
        <v>617</v>
      </c>
      <c r="T1" s="290" t="s">
        <v>1690</v>
      </c>
      <c r="U1" s="1" t="s">
        <v>655</v>
      </c>
      <c r="V1" s="260" t="s">
        <v>1416</v>
      </c>
      <c r="W1" s="1" t="s">
        <v>46</v>
      </c>
      <c r="X1" s="1" t="s">
        <v>47</v>
      </c>
    </row>
    <row r="2" spans="1:24" x14ac:dyDescent="0.25">
      <c r="A2" s="1">
        <v>1</v>
      </c>
      <c r="B2" s="1">
        <f>'transaksi jurnal umum'!A2</f>
        <v>1</v>
      </c>
      <c r="C2" s="1">
        <f>'transaksi jurnal umum'!C2</f>
        <v>18000001</v>
      </c>
      <c r="D2" s="6">
        <f>'transaksi jurnal umum'!I2</f>
        <v>43375</v>
      </c>
      <c r="E2" s="1">
        <f>'transaksi jurnal umum'!D2</f>
        <v>1</v>
      </c>
      <c r="F2" s="1" t="str">
        <f>'transaksi jurnal umum'!E2</f>
        <v>IDR</v>
      </c>
      <c r="G2" s="1">
        <f>'transaksi jurnal umum'!F2</f>
        <v>1</v>
      </c>
      <c r="H2" s="6" t="str">
        <f>'transaksi jurnal umum'!J2</f>
        <v>denda</v>
      </c>
      <c r="I2" s="1">
        <f>'rekening perkiraan'!A8</f>
        <v>6</v>
      </c>
      <c r="J2" s="1" t="str">
        <f>'rekening perkiraan'!E8</f>
        <v>1.2.4.6</v>
      </c>
      <c r="K2" s="1" t="str">
        <f>'rekening perkiraan'!B8</f>
        <v>bank</v>
      </c>
      <c r="L2" s="1" t="str">
        <f>'rekening perkiraan'!D8</f>
        <v>bank</v>
      </c>
      <c r="M2" s="1">
        <v>100000</v>
      </c>
      <c r="O2" s="1">
        <f>'transaksi jurnal umum'!N2</f>
        <v>4</v>
      </c>
      <c r="P2" s="1" t="str">
        <f>'transaksi jurnal umum'!O2</f>
        <v>dea fitri maharani</v>
      </c>
      <c r="Q2" s="1">
        <f>'transaksi jurnal umum'!S2</f>
        <v>1</v>
      </c>
      <c r="R2" s="1">
        <f>'transaksi jurnal umum'!P2</f>
        <v>1</v>
      </c>
      <c r="S2" s="1">
        <f>'transaksi jurnal umum'!Q2</f>
        <v>1</v>
      </c>
      <c r="T2" s="290" t="str">
        <f>'transaksi jurnal umum'!B2</f>
        <v>1.1</v>
      </c>
      <c r="U2" s="1" t="str">
        <f>'transaksi jurnal umum'!R2</f>
        <v>1.1</v>
      </c>
      <c r="V2" s="208">
        <f>'transaksi jurnal umum'!T2</f>
        <v>1</v>
      </c>
    </row>
    <row r="3" spans="1:24" x14ac:dyDescent="0.25">
      <c r="A3" s="1">
        <v>2</v>
      </c>
      <c r="B3" s="1">
        <f>'transaksi jurnal umum'!A2</f>
        <v>1</v>
      </c>
      <c r="C3" s="1">
        <f>'transaksi jurnal umum'!C2</f>
        <v>18000001</v>
      </c>
      <c r="D3" s="6">
        <f>'transaksi jurnal umum'!I2</f>
        <v>43375</v>
      </c>
      <c r="E3" s="1">
        <f>'transaksi jurnal umum'!D2</f>
        <v>1</v>
      </c>
      <c r="F3" s="1" t="str">
        <f>'transaksi jurnal umum'!E2</f>
        <v>IDR</v>
      </c>
      <c r="G3" s="1">
        <f>'transaksi jurnal umum'!F2</f>
        <v>1</v>
      </c>
      <c r="H3" s="6" t="str">
        <f>'transaksi jurnal umum'!J2</f>
        <v>denda</v>
      </c>
      <c r="I3" s="1">
        <f>'rekening perkiraan'!A11</f>
        <v>9</v>
      </c>
      <c r="J3" s="1" t="str">
        <f>'rekening perkiraan'!E11</f>
        <v>1.2.3.9</v>
      </c>
      <c r="K3" s="1" t="str">
        <f>'rekening perkiraan'!B11</f>
        <v>kas</v>
      </c>
      <c r="L3" s="1" t="str">
        <f>'rekening perkiraan'!D11</f>
        <v>kas</v>
      </c>
      <c r="N3" s="1">
        <v>100000</v>
      </c>
      <c r="O3" s="1">
        <f>'transaksi jurnal umum'!N2</f>
        <v>4</v>
      </c>
      <c r="P3" s="1" t="str">
        <f>'transaksi jurnal umum'!O2</f>
        <v>dea fitri maharani</v>
      </c>
      <c r="Q3" s="1">
        <f>'transaksi jurnal umum'!S2</f>
        <v>1</v>
      </c>
      <c r="R3" s="1">
        <f>'transaksi jurnal umum'!P2</f>
        <v>1</v>
      </c>
      <c r="S3" s="1">
        <f>'transaksi jurnal umum'!Q2</f>
        <v>1</v>
      </c>
      <c r="T3" s="290" t="str">
        <f>'transaksi jurnal umum'!B2</f>
        <v>1.1</v>
      </c>
      <c r="U3" s="1" t="str">
        <f>'transaksi jurnal umum'!R2</f>
        <v>1.1</v>
      </c>
      <c r="V3" s="208">
        <f>'transaksi jurnal umum'!T2</f>
        <v>1</v>
      </c>
    </row>
    <row r="4" spans="1:24" x14ac:dyDescent="0.25">
      <c r="A4" s="1">
        <v>3</v>
      </c>
      <c r="B4" s="1">
        <f>'transaksi jurnal umum'!A3</f>
        <v>2</v>
      </c>
      <c r="C4" s="1">
        <f>'transaksi jurnal umum'!C3</f>
        <v>18000002</v>
      </c>
      <c r="D4" s="6">
        <f>'transaksi jurnal umum'!I3</f>
        <v>43376</v>
      </c>
      <c r="E4" s="1">
        <f>'transaksi jurnal umum'!D3</f>
        <v>1</v>
      </c>
      <c r="F4" s="1" t="str">
        <f>'transaksi jurnal umum'!E3</f>
        <v>IDR</v>
      </c>
      <c r="G4" s="1">
        <f>'transaksi jurnal umum'!F3</f>
        <v>1</v>
      </c>
      <c r="H4" s="6" t="str">
        <f>'transaksi jurnal umum'!J3</f>
        <v>denda</v>
      </c>
      <c r="I4" s="1">
        <f>'rekening perkiraan'!A11</f>
        <v>9</v>
      </c>
      <c r="J4" s="1" t="str">
        <f>'rekening perkiraan'!E11</f>
        <v>1.2.3.9</v>
      </c>
      <c r="K4" s="1" t="str">
        <f>'rekening perkiraan'!B11</f>
        <v>kas</v>
      </c>
      <c r="L4" s="1" t="str">
        <f>'rekening perkiraan'!D11</f>
        <v>kas</v>
      </c>
      <c r="M4" s="1">
        <v>140000</v>
      </c>
      <c r="O4" s="1">
        <f>'transaksi jurnal umum'!N3</f>
        <v>5</v>
      </c>
      <c r="P4" s="1" t="str">
        <f>'transaksi jurnal umum'!O3</f>
        <v>gisela tria canitha</v>
      </c>
      <c r="Q4" s="1">
        <f>'transaksi jurnal umum'!S3</f>
        <v>2</v>
      </c>
      <c r="R4" s="1">
        <f>'transaksi jurnal umum'!P3</f>
        <v>1</v>
      </c>
      <c r="S4" s="1">
        <f>'transaksi jurnal umum'!Q3</f>
        <v>1</v>
      </c>
      <c r="U4" s="1" t="str">
        <f>'transaksi jurnal umum'!R3</f>
        <v>1.2</v>
      </c>
      <c r="V4" s="208">
        <f>'transaksi jurnal umum'!T3</f>
        <v>1</v>
      </c>
    </row>
    <row r="5" spans="1:24" x14ac:dyDescent="0.25">
      <c r="A5" s="1">
        <v>4</v>
      </c>
      <c r="B5" s="1">
        <f>'transaksi jurnal umum'!A3</f>
        <v>2</v>
      </c>
      <c r="C5" s="1">
        <f>'transaksi jurnal umum'!C3</f>
        <v>18000002</v>
      </c>
      <c r="D5" s="6">
        <f>'transaksi jurnal umum'!I3</f>
        <v>43376</v>
      </c>
      <c r="E5" s="1">
        <f>'transaksi jurnal umum'!D3</f>
        <v>1</v>
      </c>
      <c r="F5" s="1" t="str">
        <f>'transaksi jurnal umum'!E3</f>
        <v>IDR</v>
      </c>
      <c r="G5" s="1">
        <f>'transaksi jurnal umum'!F3</f>
        <v>1</v>
      </c>
      <c r="H5" s="6" t="str">
        <f>'transaksi jurnal umum'!J3</f>
        <v>denda</v>
      </c>
      <c r="I5" s="1">
        <f>'rekening perkiraan'!A8</f>
        <v>6</v>
      </c>
      <c r="J5" s="1" t="str">
        <f>'rekening perkiraan'!E8</f>
        <v>1.2.4.6</v>
      </c>
      <c r="K5" s="1" t="str">
        <f>'rekening perkiraan'!B8</f>
        <v>bank</v>
      </c>
      <c r="L5" s="1" t="str">
        <f>'rekening perkiraan'!D8</f>
        <v>bank</v>
      </c>
      <c r="N5" s="1">
        <v>100000</v>
      </c>
      <c r="O5" s="1">
        <f>'transaksi jurnal umum'!N3</f>
        <v>5</v>
      </c>
      <c r="P5" s="1" t="str">
        <f>'transaksi jurnal umum'!O3</f>
        <v>gisela tria canitha</v>
      </c>
      <c r="Q5" s="1">
        <f>'transaksi jurnal umum'!S3</f>
        <v>2</v>
      </c>
      <c r="R5" s="1">
        <f>'transaksi jurnal umum'!P3</f>
        <v>1</v>
      </c>
      <c r="S5" s="1">
        <f>'transaksi jurnal umum'!Q3</f>
        <v>1</v>
      </c>
      <c r="U5" s="1" t="str">
        <f>'transaksi jurnal umum'!R3</f>
        <v>1.2</v>
      </c>
      <c r="V5" s="208">
        <f>'transaksi jurnal umum'!T3</f>
        <v>1</v>
      </c>
    </row>
    <row r="6" spans="1:24" x14ac:dyDescent="0.25">
      <c r="A6" s="1">
        <v>5</v>
      </c>
      <c r="B6" s="1">
        <f>'transaksi jurnal umum'!A3</f>
        <v>2</v>
      </c>
      <c r="C6" s="1">
        <f>'transaksi jurnal umum'!C3</f>
        <v>18000002</v>
      </c>
      <c r="D6" s="6">
        <f>'transaksi jurnal umum'!I3</f>
        <v>43376</v>
      </c>
      <c r="E6" s="1">
        <f>'transaksi jurnal umum'!D3</f>
        <v>1</v>
      </c>
      <c r="F6" s="1" t="str">
        <f>'transaksi jurnal umum'!E3</f>
        <v>IDR</v>
      </c>
      <c r="G6" s="1">
        <f>'transaksi jurnal umum'!F3</f>
        <v>1</v>
      </c>
      <c r="H6" s="6" t="str">
        <f>'transaksi jurnal umum'!J3</f>
        <v>denda</v>
      </c>
      <c r="I6" s="1">
        <f>'rekening perkiraan'!A9</f>
        <v>7</v>
      </c>
      <c r="J6" s="1" t="str">
        <f>'rekening perkiraan'!E9</f>
        <v>1.2.5.7</v>
      </c>
      <c r="K6" s="1" t="str">
        <f>'rekening perkiraan'!B9</f>
        <v>piutang usaha</v>
      </c>
      <c r="L6" s="1" t="str">
        <f>'rekening perkiraan'!D9</f>
        <v>piutang dagang</v>
      </c>
      <c r="N6" s="1">
        <v>40000</v>
      </c>
      <c r="O6" s="1">
        <f>'transaksi jurnal umum'!N3</f>
        <v>5</v>
      </c>
      <c r="P6" s="1" t="str">
        <f>'transaksi jurnal umum'!O3</f>
        <v>gisela tria canitha</v>
      </c>
      <c r="Q6" s="1">
        <f>'transaksi jurnal umum'!S3</f>
        <v>2</v>
      </c>
      <c r="R6" s="1">
        <f>'transaksi jurnal umum'!P3</f>
        <v>1</v>
      </c>
      <c r="S6" s="1">
        <f>'transaksi jurnal umum'!Q3</f>
        <v>1</v>
      </c>
      <c r="U6" s="1" t="str">
        <f>'transaksi jurnal umum'!R3</f>
        <v>1.2</v>
      </c>
      <c r="V6" s="208">
        <f>'transaksi jurnal umum'!T3</f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1"/>
  <sheetViews>
    <sheetView workbookViewId="0"/>
  </sheetViews>
  <sheetFormatPr defaultColWidth="8.85546875" defaultRowHeight="15" x14ac:dyDescent="0.25"/>
  <cols>
    <col min="1" max="1" width="24.85546875" bestFit="1" customWidth="1"/>
    <col min="2" max="2" width="22.7109375" bestFit="1" customWidth="1"/>
    <col min="3" max="3" width="20.85546875" bestFit="1" customWidth="1"/>
  </cols>
  <sheetData>
    <row r="1" spans="1:3" x14ac:dyDescent="0.25">
      <c r="A1" t="s">
        <v>553</v>
      </c>
      <c r="B1" t="s">
        <v>554</v>
      </c>
      <c r="C1" t="s">
        <v>555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"/>
  <sheetViews>
    <sheetView topLeftCell="B1" workbookViewId="0">
      <selection activeCell="F6" sqref="F6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I9"/>
  <sheetViews>
    <sheetView workbookViewId="0">
      <selection activeCell="H2" sqref="H2"/>
    </sheetView>
  </sheetViews>
  <sheetFormatPr defaultColWidth="9.140625" defaultRowHeight="15" x14ac:dyDescent="0.25"/>
  <cols>
    <col min="1" max="1" width="13.85546875" style="1" bestFit="1" customWidth="1"/>
    <col min="2" max="2" width="10" style="1" bestFit="1" customWidth="1"/>
    <col min="3" max="3" width="18" style="1" bestFit="1" customWidth="1"/>
    <col min="4" max="4" width="20.28515625" style="1" bestFit="1" customWidth="1"/>
    <col min="5" max="5" width="10.7109375" style="1" bestFit="1" customWidth="1"/>
    <col min="6" max="6" width="11.85546875" style="1" bestFit="1" customWidth="1"/>
    <col min="7" max="7" width="12.42578125" style="1" bestFit="1" customWidth="1"/>
    <col min="8" max="8" width="12.28515625" style="1" bestFit="1" customWidth="1"/>
    <col min="9" max="9" width="10" style="1" bestFit="1" customWidth="1"/>
    <col min="10" max="16384" width="9.140625" style="1"/>
  </cols>
  <sheetData>
    <row r="1" spans="1:9" x14ac:dyDescent="0.25">
      <c r="A1" s="16" t="s">
        <v>670</v>
      </c>
      <c r="B1" s="7" t="s">
        <v>78</v>
      </c>
      <c r="C1" s="16" t="s">
        <v>88</v>
      </c>
      <c r="D1" s="16" t="s">
        <v>471</v>
      </c>
      <c r="E1" s="16" t="s">
        <v>21</v>
      </c>
      <c r="F1" s="16" t="s">
        <v>509</v>
      </c>
      <c r="G1" s="16" t="s">
        <v>507</v>
      </c>
      <c r="H1" s="16" t="s">
        <v>472</v>
      </c>
      <c r="I1" s="16" t="s">
        <v>671</v>
      </c>
    </row>
    <row r="2" spans="1:9" x14ac:dyDescent="0.25">
      <c r="A2" s="16">
        <v>1</v>
      </c>
      <c r="B2" s="7">
        <f>produk!A3</f>
        <v>1</v>
      </c>
      <c r="C2" s="16" t="str">
        <f>produk!F3</f>
        <v>sin-iphone6-16Gb</v>
      </c>
      <c r="D2" s="16" t="str">
        <f>produk!I3</f>
        <v>iphone6-16gb-putih</v>
      </c>
      <c r="E2" s="16" t="str">
        <f>produk!N3</f>
        <v>Rupiah</v>
      </c>
      <c r="F2" s="16" t="e">
        <f>produk!AA3</f>
        <v>#REF!</v>
      </c>
      <c r="G2" s="16" t="str">
        <f>produk!S3</f>
        <v>unit</v>
      </c>
      <c r="H2" s="16">
        <f>produk!J3</f>
        <v>0</v>
      </c>
      <c r="I2" s="16" t="e">
        <f>F2*H2</f>
        <v>#REF!</v>
      </c>
    </row>
    <row r="3" spans="1:9" x14ac:dyDescent="0.25">
      <c r="A3" s="16">
        <v>2</v>
      </c>
      <c r="B3" s="7">
        <f>produk!A4</f>
        <v>2</v>
      </c>
      <c r="C3" s="16" t="str">
        <f>produk!F4</f>
        <v>sin-srvc-iphone</v>
      </c>
      <c r="D3" s="16" t="str">
        <f>produk!I4</f>
        <v>service iphone6</v>
      </c>
      <c r="E3" s="16" t="str">
        <f>produk!N4</f>
        <v>Rupiah</v>
      </c>
      <c r="F3" s="16">
        <f>produk!AA4</f>
        <v>0</v>
      </c>
      <c r="G3" s="16" t="str">
        <f>produk!S4</f>
        <v>service</v>
      </c>
      <c r="H3" s="16">
        <f>produk!J4</f>
        <v>0</v>
      </c>
      <c r="I3" s="16">
        <f t="shared" ref="I3:I6" si="0">F3*H3</f>
        <v>0</v>
      </c>
    </row>
    <row r="4" spans="1:9" x14ac:dyDescent="0.25">
      <c r="A4" s="16">
        <v>3</v>
      </c>
      <c r="B4" s="7">
        <f>produk!A5</f>
        <v>3</v>
      </c>
      <c r="C4" s="16" t="str">
        <f>produk!F5</f>
        <v>sin-csg-iphone</v>
      </c>
      <c r="D4" s="16" t="str">
        <f>produk!I5</f>
        <v>hardcase-iphone6</v>
      </c>
      <c r="E4" s="16" t="str">
        <f>produk!N5</f>
        <v>Rupiah</v>
      </c>
      <c r="F4" s="16">
        <f>produk!AA5</f>
        <v>20</v>
      </c>
      <c r="G4" s="16" t="str">
        <f>produk!S5</f>
        <v>piece</v>
      </c>
      <c r="H4" s="16">
        <f>produk!J5</f>
        <v>0</v>
      </c>
      <c r="I4" s="16">
        <f t="shared" si="0"/>
        <v>0</v>
      </c>
    </row>
    <row r="5" spans="1:9" x14ac:dyDescent="0.25">
      <c r="A5" s="16">
        <v>4</v>
      </c>
      <c r="B5" s="7">
        <f>produk!A6</f>
        <v>4</v>
      </c>
      <c r="C5" s="16" t="str">
        <f>produk!F6</f>
        <v>sin-dlv-iphone</v>
      </c>
      <c r="D5" s="16" t="str">
        <f>produk!I6</f>
        <v>pengantaran</v>
      </c>
      <c r="E5" s="16" t="str">
        <f>produk!N6</f>
        <v>Rupiah</v>
      </c>
      <c r="F5" s="16">
        <f>produk!AA6</f>
        <v>0</v>
      </c>
      <c r="G5" s="16" t="str">
        <f>produk!S6</f>
        <v>service</v>
      </c>
      <c r="H5" s="16">
        <f>produk!J6</f>
        <v>0</v>
      </c>
      <c r="I5" s="16">
        <f t="shared" si="0"/>
        <v>0</v>
      </c>
    </row>
    <row r="6" spans="1:9" x14ac:dyDescent="0.25">
      <c r="A6" s="16">
        <v>5</v>
      </c>
      <c r="B6" s="7">
        <f>produk!A7</f>
        <v>5</v>
      </c>
      <c r="C6" s="16" t="str">
        <f>produk!F7</f>
        <v>sin-iphone4S-16Gb</v>
      </c>
      <c r="D6" s="16" t="str">
        <f>produk!I7</f>
        <v>iphone4S-16gb-hitam</v>
      </c>
      <c r="E6" s="16" t="str">
        <f>produk!N7</f>
        <v>Rupiah</v>
      </c>
      <c r="F6" s="16">
        <f>produk!AA7</f>
        <v>42</v>
      </c>
      <c r="G6" s="16" t="str">
        <f>produk!S7</f>
        <v>unit</v>
      </c>
      <c r="H6" s="16">
        <f>produk!J7</f>
        <v>0</v>
      </c>
      <c r="I6" s="16">
        <f t="shared" si="0"/>
        <v>0</v>
      </c>
    </row>
    <row r="7" spans="1:9" x14ac:dyDescent="0.25">
      <c r="A7" s="16"/>
      <c r="B7" s="7"/>
      <c r="C7" s="16"/>
      <c r="D7" s="16"/>
      <c r="E7" s="16"/>
      <c r="F7" s="16"/>
      <c r="G7" s="16"/>
      <c r="H7" s="16"/>
      <c r="I7" s="16"/>
    </row>
    <row r="8" spans="1:9" x14ac:dyDescent="0.25">
      <c r="A8" s="16"/>
      <c r="B8" s="7"/>
      <c r="C8" s="16"/>
      <c r="D8" s="16"/>
      <c r="E8" s="16"/>
      <c r="F8" s="16"/>
      <c r="G8" s="16"/>
      <c r="H8" s="16"/>
      <c r="I8" s="16"/>
    </row>
    <row r="9" spans="1:9" x14ac:dyDescent="0.25">
      <c r="A9" s="16"/>
      <c r="B9" s="7"/>
      <c r="C9" s="16"/>
      <c r="D9" s="16"/>
      <c r="E9" s="16"/>
      <c r="F9" s="16"/>
      <c r="G9" s="16"/>
      <c r="H9" s="16"/>
      <c r="I9" s="1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M43"/>
  <sheetViews>
    <sheetView topLeftCell="AK1" zoomScaleNormal="100" workbookViewId="0">
      <selection activeCell="AL17" sqref="AL17"/>
    </sheetView>
  </sheetViews>
  <sheetFormatPr defaultColWidth="9.140625" defaultRowHeight="15" x14ac:dyDescent="0.25"/>
  <cols>
    <col min="1" max="1" width="16" style="1" bestFit="1" customWidth="1"/>
    <col min="2" max="2" width="66.7109375" style="1" bestFit="1" customWidth="1"/>
    <col min="3" max="3" width="17" style="1" bestFit="1" customWidth="1"/>
    <col min="4" max="4" width="19.28515625" style="1" bestFit="1" customWidth="1"/>
    <col min="5" max="5" width="16.42578125" style="1" bestFit="1" customWidth="1"/>
    <col min="6" max="6" width="18.85546875" style="1" bestFit="1" customWidth="1"/>
    <col min="7" max="7" width="16.7109375" style="1" bestFit="1" customWidth="1"/>
    <col min="8" max="8" width="20.28515625" style="1" bestFit="1" customWidth="1"/>
    <col min="9" max="9" width="21" style="1" bestFit="1" customWidth="1"/>
    <col min="10" max="10" width="22" style="1" bestFit="1" customWidth="1"/>
    <col min="11" max="11" width="16.42578125" style="41" bestFit="1" customWidth="1"/>
    <col min="12" max="12" width="12.42578125" style="41" bestFit="1" customWidth="1"/>
    <col min="13" max="13" width="14.42578125" style="1" bestFit="1" customWidth="1"/>
    <col min="14" max="14" width="11.42578125" style="1" bestFit="1" customWidth="1"/>
    <col min="15" max="15" width="15" style="264" bestFit="1" customWidth="1"/>
    <col min="16" max="16" width="14.28515625" style="264" bestFit="1" customWidth="1"/>
    <col min="17" max="17" width="19.42578125" style="264" bestFit="1" customWidth="1"/>
    <col min="18" max="18" width="16.7109375" style="1" bestFit="1" customWidth="1"/>
    <col min="19" max="19" width="14.140625" style="1" bestFit="1" customWidth="1"/>
    <col min="20" max="20" width="16.42578125" style="1" bestFit="1" customWidth="1"/>
    <col min="21" max="21" width="24.42578125" style="1" bestFit="1" customWidth="1"/>
    <col min="22" max="22" width="22.140625" style="1" bestFit="1" customWidth="1"/>
    <col min="23" max="23" width="26.140625" style="1" bestFit="1" customWidth="1"/>
    <col min="24" max="24" width="29.7109375" style="1" bestFit="1" customWidth="1"/>
    <col min="25" max="25" width="32.28515625" style="1" bestFit="1" customWidth="1"/>
    <col min="26" max="26" width="24.140625" style="1" bestFit="1" customWidth="1"/>
    <col min="27" max="27" width="12.42578125" style="1" bestFit="1" customWidth="1"/>
    <col min="28" max="28" width="16" style="1" bestFit="1" customWidth="1"/>
    <col min="29" max="29" width="18" style="1" bestFit="1" customWidth="1"/>
    <col min="30" max="30" width="15.28515625" style="1" bestFit="1" customWidth="1"/>
    <col min="31" max="31" width="23.28515625" style="1" bestFit="1" customWidth="1"/>
    <col min="32" max="32" width="21.85546875" style="1" bestFit="1" customWidth="1"/>
    <col min="33" max="33" width="19.28515625" style="1" bestFit="1" customWidth="1"/>
    <col min="34" max="34" width="20.42578125" style="1" bestFit="1" customWidth="1"/>
    <col min="35" max="35" width="25.28515625" style="1" bestFit="1" customWidth="1"/>
    <col min="36" max="36" width="25.140625" style="1" bestFit="1" customWidth="1"/>
    <col min="37" max="37" width="24.85546875" style="1" bestFit="1" customWidth="1"/>
    <col min="38" max="38" width="13.42578125" style="1" bestFit="1" customWidth="1"/>
    <col min="39" max="39" width="11.42578125" style="1" bestFit="1" customWidth="1"/>
    <col min="40" max="40" width="17.42578125" style="1" bestFit="1" customWidth="1"/>
    <col min="41" max="41" width="9" style="1" bestFit="1" customWidth="1"/>
    <col min="42" max="42" width="6.140625" style="1" bestFit="1" customWidth="1"/>
    <col min="43" max="43" width="17.85546875" style="3" bestFit="1" customWidth="1"/>
    <col min="44" max="44" width="14.7109375" style="1" bestFit="1" customWidth="1"/>
    <col min="45" max="45" width="22.85546875" style="1" bestFit="1" customWidth="1"/>
    <col min="46" max="46" width="8.42578125" style="1" bestFit="1" customWidth="1"/>
    <col min="47" max="47" width="6.140625" style="1" bestFit="1" customWidth="1"/>
    <col min="48" max="48" width="6.7109375" style="1" bestFit="1" customWidth="1"/>
    <col min="49" max="49" width="7.42578125" style="1" bestFit="1" customWidth="1"/>
    <col min="50" max="51" width="15.7109375" style="1" bestFit="1" customWidth="1"/>
    <col min="52" max="52" width="16.28515625" style="1" bestFit="1" customWidth="1"/>
    <col min="53" max="53" width="15.7109375" style="1" bestFit="1" customWidth="1"/>
    <col min="54" max="54" width="10.28515625" style="1" bestFit="1" customWidth="1"/>
    <col min="55" max="55" width="9.85546875" style="1" bestFit="1" customWidth="1"/>
    <col min="56" max="56" width="21.85546875" style="1" bestFit="1" customWidth="1"/>
    <col min="57" max="57" width="10.28515625" style="1" bestFit="1" customWidth="1"/>
    <col min="58" max="58" width="9.85546875" style="1" bestFit="1" customWidth="1"/>
    <col min="59" max="59" width="21.85546875" style="1" bestFit="1" customWidth="1"/>
    <col min="60" max="60" width="10.28515625" style="1" bestFit="1" customWidth="1"/>
    <col min="61" max="61" width="9.7109375" style="1" bestFit="1" customWidth="1"/>
    <col min="62" max="62" width="21.42578125" style="1" bestFit="1" customWidth="1"/>
    <col min="63" max="63" width="10.28515625" style="1" bestFit="1" customWidth="1"/>
    <col min="64" max="64" width="10" style="1" bestFit="1" customWidth="1"/>
    <col min="65" max="65" width="22" style="1" bestFit="1" customWidth="1"/>
    <col min="66" max="70" width="30" style="1" customWidth="1"/>
    <col min="71" max="16384" width="9.140625" style="1"/>
  </cols>
  <sheetData>
    <row r="1" spans="1:65" s="44" customFormat="1" x14ac:dyDescent="0.25">
      <c r="A1" s="58"/>
      <c r="B1" s="44" t="s">
        <v>1135</v>
      </c>
      <c r="C1" s="44" t="s">
        <v>1379</v>
      </c>
      <c r="D1" s="297" t="s">
        <v>1130</v>
      </c>
      <c r="E1" s="297"/>
      <c r="F1" s="44" t="s">
        <v>88</v>
      </c>
      <c r="G1" s="297" t="s">
        <v>1166</v>
      </c>
      <c r="H1" s="297"/>
      <c r="I1" s="44" t="s">
        <v>1131</v>
      </c>
      <c r="J1" s="44" t="s">
        <v>1134</v>
      </c>
      <c r="K1" s="79" t="s">
        <v>1132</v>
      </c>
      <c r="L1" s="79" t="s">
        <v>1133</v>
      </c>
      <c r="M1" s="297" t="s">
        <v>1145</v>
      </c>
      <c r="N1" s="297"/>
      <c r="O1" s="263" t="s">
        <v>1694</v>
      </c>
      <c r="P1" s="263" t="s">
        <v>1695</v>
      </c>
      <c r="Q1" s="263" t="s">
        <v>1696</v>
      </c>
      <c r="R1" s="297" t="s">
        <v>1136</v>
      </c>
      <c r="S1" s="297"/>
      <c r="T1" s="44" t="s">
        <v>1147</v>
      </c>
      <c r="U1" s="44" t="s">
        <v>1146</v>
      </c>
      <c r="V1" s="44" t="s">
        <v>1455</v>
      </c>
      <c r="W1" s="44" t="s">
        <v>1171</v>
      </c>
      <c r="X1" s="297" t="s">
        <v>1148</v>
      </c>
      <c r="Y1" s="297"/>
      <c r="Z1" s="44" t="s">
        <v>1150</v>
      </c>
      <c r="AA1" s="44" t="s">
        <v>1151</v>
      </c>
      <c r="AB1" s="44" t="s">
        <v>1149</v>
      </c>
      <c r="AC1" s="44" t="s">
        <v>1189</v>
      </c>
      <c r="AD1" s="297" t="s">
        <v>1152</v>
      </c>
      <c r="AE1" s="297"/>
      <c r="AJ1" s="58"/>
      <c r="AM1" s="44" t="s">
        <v>1011</v>
      </c>
      <c r="AN1" s="44" t="s">
        <v>1153</v>
      </c>
      <c r="AO1" s="297" t="s">
        <v>1156</v>
      </c>
      <c r="AP1" s="297"/>
      <c r="AQ1" s="297"/>
      <c r="AR1" s="297"/>
      <c r="AS1" s="44" t="s">
        <v>1154</v>
      </c>
      <c r="AT1" s="44" t="s">
        <v>1174</v>
      </c>
      <c r="AU1" s="44" t="s">
        <v>1175</v>
      </c>
      <c r="AV1" s="44" t="s">
        <v>1176</v>
      </c>
      <c r="AW1" s="44" t="s">
        <v>1177</v>
      </c>
      <c r="AX1" s="297" t="s">
        <v>1157</v>
      </c>
      <c r="AY1" s="297"/>
      <c r="AZ1" s="297"/>
      <c r="BA1" s="297"/>
      <c r="BB1" s="297" t="s">
        <v>1158</v>
      </c>
      <c r="BC1" s="297"/>
      <c r="BD1" s="44" t="s">
        <v>1011</v>
      </c>
      <c r="BE1" s="297" t="s">
        <v>1163</v>
      </c>
      <c r="BF1" s="297"/>
      <c r="BG1" s="44" t="s">
        <v>1011</v>
      </c>
      <c r="BH1" s="297" t="s">
        <v>1164</v>
      </c>
      <c r="BI1" s="297"/>
      <c r="BJ1" s="60" t="s">
        <v>1011</v>
      </c>
      <c r="BK1" s="307" t="s">
        <v>1165</v>
      </c>
      <c r="BL1" s="308"/>
      <c r="BM1" s="59" t="s">
        <v>1011</v>
      </c>
    </row>
    <row r="2" spans="1:65" x14ac:dyDescent="0.25">
      <c r="A2" s="1" t="s">
        <v>78</v>
      </c>
      <c r="B2" s="1" t="s">
        <v>85</v>
      </c>
      <c r="C2" s="1" t="s">
        <v>1375</v>
      </c>
      <c r="D2" s="1" t="s">
        <v>86</v>
      </c>
      <c r="E2" s="1" t="s">
        <v>87</v>
      </c>
      <c r="F2" s="1" t="s">
        <v>88</v>
      </c>
      <c r="G2" s="1" t="s">
        <v>89</v>
      </c>
      <c r="H2" t="s">
        <v>90</v>
      </c>
      <c r="I2" s="1" t="s">
        <v>91</v>
      </c>
      <c r="J2" s="1" t="s">
        <v>1193</v>
      </c>
      <c r="K2" s="41" t="s">
        <v>92</v>
      </c>
      <c r="L2" s="41" t="s">
        <v>93</v>
      </c>
      <c r="M2" s="1" t="s">
        <v>115</v>
      </c>
      <c r="N2" s="1" t="s">
        <v>454</v>
      </c>
      <c r="O2" s="264" t="s">
        <v>1694</v>
      </c>
      <c r="P2" s="264" t="s">
        <v>1695</v>
      </c>
      <c r="Q2" s="264" t="s">
        <v>1697</v>
      </c>
      <c r="R2" s="1" t="s">
        <v>94</v>
      </c>
      <c r="S2" s="1" t="s">
        <v>95</v>
      </c>
      <c r="T2" s="1" t="s">
        <v>116</v>
      </c>
      <c r="U2" s="1" t="s">
        <v>117</v>
      </c>
      <c r="V2" s="1" t="s">
        <v>1456</v>
      </c>
      <c r="W2" s="1" t="s">
        <v>118</v>
      </c>
      <c r="X2" s="1" t="s">
        <v>119</v>
      </c>
      <c r="Y2" s="1" t="s">
        <v>120</v>
      </c>
      <c r="Z2" s="1" t="s">
        <v>96</v>
      </c>
      <c r="AA2" s="1" t="s">
        <v>97</v>
      </c>
      <c r="AB2" s="1" t="s">
        <v>98</v>
      </c>
      <c r="AC2" s="1" t="s">
        <v>832</v>
      </c>
      <c r="AD2" s="1" t="s">
        <v>1188</v>
      </c>
      <c r="AE2" s="1" t="s">
        <v>102</v>
      </c>
      <c r="AF2" s="1" t="s">
        <v>103</v>
      </c>
      <c r="AG2" s="1" t="s">
        <v>104</v>
      </c>
      <c r="AH2" s="1" t="s">
        <v>105</v>
      </c>
      <c r="AI2" s="1" t="s">
        <v>106</v>
      </c>
      <c r="AJ2" s="1" t="s">
        <v>107</v>
      </c>
      <c r="AK2" s="1" t="s">
        <v>108</v>
      </c>
      <c r="AL2" s="1" t="s">
        <v>109</v>
      </c>
      <c r="AM2" s="1" t="s">
        <v>114</v>
      </c>
      <c r="AN2" s="1" t="s">
        <v>1155</v>
      </c>
      <c r="AO2" s="1" t="s">
        <v>82</v>
      </c>
      <c r="AP2" s="1" t="s">
        <v>469</v>
      </c>
      <c r="AQ2" s="3" t="s">
        <v>536</v>
      </c>
      <c r="AR2" s="1" t="s">
        <v>539</v>
      </c>
      <c r="AS2" s="1" t="s">
        <v>33</v>
      </c>
      <c r="AT2" s="1" t="s">
        <v>110</v>
      </c>
      <c r="AU2" s="1" t="s">
        <v>111</v>
      </c>
      <c r="AV2" s="1" t="s">
        <v>112</v>
      </c>
      <c r="AW2" s="1" t="s">
        <v>113</v>
      </c>
      <c r="AX2" s="1" t="s">
        <v>453</v>
      </c>
      <c r="AY2" s="1" t="s">
        <v>99</v>
      </c>
      <c r="AZ2" s="1" t="s">
        <v>100</v>
      </c>
      <c r="BA2" s="1" t="s">
        <v>101</v>
      </c>
      <c r="BB2" s="1" t="s">
        <v>394</v>
      </c>
      <c r="BC2" s="1" t="s">
        <v>1159</v>
      </c>
      <c r="BD2" s="1" t="s">
        <v>121</v>
      </c>
      <c r="BE2" s="1" t="s">
        <v>394</v>
      </c>
      <c r="BF2" s="1" t="s">
        <v>1162</v>
      </c>
      <c r="BG2" s="1" t="s">
        <v>122</v>
      </c>
      <c r="BH2" s="1" t="s">
        <v>394</v>
      </c>
      <c r="BI2" s="1" t="s">
        <v>1160</v>
      </c>
      <c r="BJ2" s="1" t="s">
        <v>123</v>
      </c>
      <c r="BK2" s="1" t="s">
        <v>394</v>
      </c>
      <c r="BL2" s="1" t="s">
        <v>1161</v>
      </c>
      <c r="BM2" s="1" t="s">
        <v>124</v>
      </c>
    </row>
    <row r="3" spans="1:65" x14ac:dyDescent="0.25">
      <c r="A3" s="1">
        <v>1</v>
      </c>
      <c r="B3" s="1">
        <v>0</v>
      </c>
      <c r="C3" s="1">
        <v>0</v>
      </c>
      <c r="D3" s="1">
        <f>'kategori produk '!A3</f>
        <v>2</v>
      </c>
      <c r="E3" s="1" t="str">
        <f>'kategori produk '!B3</f>
        <v>iphone</v>
      </c>
      <c r="F3" s="1" t="s">
        <v>529</v>
      </c>
      <c r="G3" s="1">
        <f>'group produk'!A3</f>
        <v>1</v>
      </c>
      <c r="H3" s="1" t="str">
        <f>'group produk'!B3</f>
        <v>iphone6</v>
      </c>
      <c r="I3" s="1" t="s">
        <v>125</v>
      </c>
      <c r="K3" s="41">
        <f>'order inventori'!P9</f>
        <v>2400000</v>
      </c>
      <c r="L3" s="41">
        <v>3000000</v>
      </c>
      <c r="M3" s="1">
        <f>'data mata uang'!A3</f>
        <v>1</v>
      </c>
      <c r="N3" s="1" t="str">
        <f>'data mata uang'!C3</f>
        <v>Rupiah</v>
      </c>
      <c r="O3" s="264">
        <v>0</v>
      </c>
      <c r="P3" s="264">
        <v>0</v>
      </c>
      <c r="Q3" s="264">
        <v>0</v>
      </c>
      <c r="R3" s="1">
        <f>'satuan dasar'!A3</f>
        <v>1</v>
      </c>
      <c r="S3" s="1" t="str">
        <f>'satuan dasar'!E3</f>
        <v>unit</v>
      </c>
      <c r="T3" s="1">
        <v>1</v>
      </c>
      <c r="U3" s="1">
        <v>1</v>
      </c>
      <c r="V3" s="1">
        <v>0</v>
      </c>
      <c r="W3" s="1" t="s">
        <v>1185</v>
      </c>
      <c r="X3" s="1" t="s">
        <v>1185</v>
      </c>
      <c r="Y3" s="1" t="s">
        <v>1185</v>
      </c>
      <c r="Z3" s="1">
        <v>1</v>
      </c>
      <c r="AA3" s="1" t="e">
        <f>SUM('order inventori'!L2+'order inventori'!L4-'order inventori'!N7-'order inventori'!N10+'order inventori'!L11+'order inventori'!L12-'order inventori'!N13-'order inventori'!M17-'order inventori'!#REF!-'order inventori'!N23+'order inventori'!L24)</f>
        <v>#REF!</v>
      </c>
      <c r="AB3" s="1">
        <v>5</v>
      </c>
      <c r="AC3" s="1">
        <f>'harga pokok'!A2</f>
        <v>1</v>
      </c>
      <c r="AD3" s="1">
        <f>'type produk'!D4</f>
        <v>2</v>
      </c>
      <c r="AE3" s="1" t="str">
        <f>'type produk'!B4</f>
        <v>dijual_dibeli_disimpan</v>
      </c>
      <c r="AF3" s="1">
        <f>'type produk'!G4</f>
        <v>1</v>
      </c>
      <c r="AG3" s="1">
        <f>'type produk'!I4</f>
        <v>2</v>
      </c>
      <c r="AH3" s="1">
        <f>'type produk'!K4</f>
        <v>3</v>
      </c>
      <c r="AI3" s="1">
        <f>'type produk'!M4</f>
        <v>4</v>
      </c>
      <c r="AJ3" s="1">
        <f>'type produk'!O4</f>
        <v>5</v>
      </c>
      <c r="AK3" s="1">
        <f>'type produk'!Q4</f>
        <v>2</v>
      </c>
      <c r="AN3" s="1">
        <v>1</v>
      </c>
      <c r="AO3" s="1">
        <f>'data pajak'!A3</f>
        <v>1</v>
      </c>
      <c r="AP3" s="1" t="str">
        <f>'data pajak'!B3</f>
        <v>PPn</v>
      </c>
      <c r="AQ3" s="3">
        <f>'data pajak'!D3</f>
        <v>0.1</v>
      </c>
      <c r="AR3" s="1">
        <f>'data pajak'!G3</f>
        <v>19</v>
      </c>
    </row>
    <row r="4" spans="1:65" x14ac:dyDescent="0.25">
      <c r="A4" s="1">
        <v>2</v>
      </c>
      <c r="B4" s="1">
        <v>0</v>
      </c>
      <c r="C4" s="1">
        <v>1</v>
      </c>
      <c r="D4" s="1">
        <f>'kategori produk '!A7</f>
        <v>6</v>
      </c>
      <c r="E4" s="1" t="str">
        <f>'kategori produk '!B7</f>
        <v>service iphone</v>
      </c>
      <c r="F4" s="1" t="s">
        <v>126</v>
      </c>
      <c r="I4" s="1" t="s">
        <v>127</v>
      </c>
      <c r="M4" s="1">
        <f>'data mata uang'!A3</f>
        <v>1</v>
      </c>
      <c r="N4" s="1" t="str">
        <f>'data mata uang'!C3</f>
        <v>Rupiah</v>
      </c>
      <c r="O4" s="264">
        <v>0</v>
      </c>
      <c r="P4" s="264">
        <v>0</v>
      </c>
      <c r="Q4" s="264">
        <v>0</v>
      </c>
      <c r="R4" s="1">
        <f>'satuan dasar'!A5</f>
        <v>3</v>
      </c>
      <c r="S4" s="1" t="str">
        <f>'satuan dasar'!E5</f>
        <v>service</v>
      </c>
      <c r="T4" s="1">
        <v>1</v>
      </c>
      <c r="U4" s="1">
        <v>0</v>
      </c>
      <c r="V4" s="1">
        <v>0</v>
      </c>
      <c r="W4" s="3"/>
      <c r="Z4" s="1">
        <v>0</v>
      </c>
      <c r="AD4" s="1">
        <f>'type produk'!D9</f>
        <v>2</v>
      </c>
      <c r="AE4" s="1" t="str">
        <f>'type produk'!B9</f>
        <v>service</v>
      </c>
      <c r="AL4" s="1">
        <f>'type produk'!S9</f>
        <v>37</v>
      </c>
      <c r="AN4" s="1">
        <v>1</v>
      </c>
      <c r="AO4" s="1">
        <f>'data pajak'!A4</f>
        <v>2</v>
      </c>
      <c r="AP4" s="1" t="str">
        <f>'data pajak'!B4</f>
        <v>pph</v>
      </c>
      <c r="AQ4" s="3">
        <f>'data pajak'!D4</f>
        <v>0.02</v>
      </c>
      <c r="AR4" s="1">
        <f>'data pajak'!G4</f>
        <v>21</v>
      </c>
    </row>
    <row r="5" spans="1:65" x14ac:dyDescent="0.25">
      <c r="A5" s="1">
        <v>3</v>
      </c>
      <c r="B5" s="1">
        <v>0</v>
      </c>
      <c r="C5" s="1">
        <v>0</v>
      </c>
      <c r="D5" s="1">
        <f>'kategori produk '!A5</f>
        <v>4</v>
      </c>
      <c r="E5" s="1" t="str">
        <f>'kategori produk '!B5</f>
        <v>casing iphone</v>
      </c>
      <c r="F5" s="1" t="s">
        <v>128</v>
      </c>
      <c r="I5" s="1" t="s">
        <v>129</v>
      </c>
      <c r="L5" s="41">
        <v>100000</v>
      </c>
      <c r="M5" s="1">
        <f>'data mata uang'!A3</f>
        <v>1</v>
      </c>
      <c r="N5" s="1" t="str">
        <f>'data mata uang'!C3</f>
        <v>Rupiah</v>
      </c>
      <c r="O5" s="264">
        <v>0</v>
      </c>
      <c r="P5" s="264">
        <v>0</v>
      </c>
      <c r="Q5" s="264">
        <v>0</v>
      </c>
      <c r="R5" s="1">
        <f>'satuan dasar'!A4</f>
        <v>2</v>
      </c>
      <c r="S5" s="1" t="str">
        <f>'satuan dasar'!E4</f>
        <v>piece</v>
      </c>
      <c r="T5" s="1">
        <v>1</v>
      </c>
      <c r="U5" s="1">
        <v>0</v>
      </c>
      <c r="V5" s="1">
        <v>0</v>
      </c>
      <c r="Z5" s="1">
        <v>1</v>
      </c>
      <c r="AA5" s="1">
        <f>SUM('order inventori'!L5-'order inventori'!N9-'order inventori'!N6+'order inventori'!L26-'order inventori'!N25-'order inventori'!N27-'order inventori'!N28)</f>
        <v>20</v>
      </c>
      <c r="AB5" s="1">
        <v>5</v>
      </c>
      <c r="AC5" s="1">
        <f>'harga pokok'!A3</f>
        <v>2</v>
      </c>
      <c r="AD5" s="1">
        <f>'type produk'!D4</f>
        <v>2</v>
      </c>
      <c r="AE5" s="1" t="str">
        <f>'type produk'!B4</f>
        <v>dijual_dibeli_disimpan</v>
      </c>
      <c r="AF5" s="1">
        <f>'type produk'!G4</f>
        <v>1</v>
      </c>
      <c r="AG5" s="1">
        <f>'type produk'!I4</f>
        <v>2</v>
      </c>
      <c r="AH5" s="1">
        <f>'type produk'!K4</f>
        <v>3</v>
      </c>
      <c r="AI5" s="1">
        <f>'type produk'!M4</f>
        <v>4</v>
      </c>
      <c r="AJ5" s="1">
        <f>'type produk'!O4</f>
        <v>5</v>
      </c>
      <c r="AK5" s="1">
        <f>'type produk'!Q4</f>
        <v>2</v>
      </c>
      <c r="AN5" s="1">
        <v>1</v>
      </c>
      <c r="AO5" s="1">
        <f>'data pajak'!A3</f>
        <v>1</v>
      </c>
      <c r="AP5" s="1" t="str">
        <f>'data pajak'!B3</f>
        <v>PPn</v>
      </c>
      <c r="AQ5" s="3">
        <f>'data pajak'!D3</f>
        <v>0.1</v>
      </c>
      <c r="AR5" s="1">
        <f>'data pajak'!G3</f>
        <v>19</v>
      </c>
    </row>
    <row r="6" spans="1:65" x14ac:dyDescent="0.25">
      <c r="A6" s="1">
        <v>4</v>
      </c>
      <c r="B6" s="1">
        <v>0</v>
      </c>
      <c r="C6" s="1">
        <v>1</v>
      </c>
      <c r="D6" s="1">
        <f>'kategori produk '!A8</f>
        <v>7</v>
      </c>
      <c r="E6" s="1" t="str">
        <f>'kategori produk '!B8</f>
        <v>delivery</v>
      </c>
      <c r="F6" s="1" t="s">
        <v>436</v>
      </c>
      <c r="I6" s="1" t="s">
        <v>130</v>
      </c>
      <c r="L6" s="41">
        <v>500000</v>
      </c>
      <c r="M6" s="1">
        <f>'data mata uang'!A3</f>
        <v>1</v>
      </c>
      <c r="N6" s="1" t="str">
        <f>'data mata uang'!C3</f>
        <v>Rupiah</v>
      </c>
      <c r="O6" s="264">
        <v>0</v>
      </c>
      <c r="P6" s="264">
        <v>0</v>
      </c>
      <c r="Q6" s="264">
        <v>0</v>
      </c>
      <c r="R6" s="1">
        <f>'satuan dasar'!A5</f>
        <v>3</v>
      </c>
      <c r="S6" s="1" t="str">
        <f>'satuan dasar'!E5</f>
        <v>service</v>
      </c>
      <c r="T6" s="1">
        <v>1</v>
      </c>
      <c r="U6" s="1">
        <v>0</v>
      </c>
      <c r="V6" s="1">
        <v>0</v>
      </c>
      <c r="Z6" s="1">
        <v>0</v>
      </c>
      <c r="AD6" s="1">
        <f>'type produk'!D9</f>
        <v>2</v>
      </c>
      <c r="AE6" s="1" t="str">
        <f>'type produk'!B9</f>
        <v>service</v>
      </c>
      <c r="AL6" s="1">
        <f>'type produk'!S9</f>
        <v>37</v>
      </c>
      <c r="AN6" s="1">
        <v>1</v>
      </c>
      <c r="AO6" s="1">
        <f>'data pajak'!A4</f>
        <v>2</v>
      </c>
      <c r="AP6" s="1" t="str">
        <f>'data pajak'!B4</f>
        <v>pph</v>
      </c>
      <c r="AQ6" s="3">
        <f>'data pajak'!D4</f>
        <v>0.02</v>
      </c>
      <c r="AR6" s="1">
        <f>'data pajak'!G4</f>
        <v>21</v>
      </c>
    </row>
    <row r="7" spans="1:65" x14ac:dyDescent="0.25">
      <c r="A7" s="1">
        <v>5</v>
      </c>
      <c r="B7" s="1">
        <v>0</v>
      </c>
      <c r="C7" s="1">
        <v>0</v>
      </c>
      <c r="D7" s="1">
        <f>'kategori produk '!A3</f>
        <v>2</v>
      </c>
      <c r="E7" s="1" t="str">
        <f>'kategori produk '!B3</f>
        <v>iphone</v>
      </c>
      <c r="F7" s="1" t="s">
        <v>528</v>
      </c>
      <c r="I7" s="1" t="s">
        <v>530</v>
      </c>
      <c r="M7" s="1">
        <f>'data mata uang'!A3</f>
        <v>1</v>
      </c>
      <c r="N7" s="1" t="str">
        <f>'data mata uang'!C3</f>
        <v>Rupiah</v>
      </c>
      <c r="O7" s="264">
        <v>0</v>
      </c>
      <c r="P7" s="264">
        <v>0</v>
      </c>
      <c r="Q7" s="264">
        <v>0</v>
      </c>
      <c r="R7" s="1">
        <f>'satuan dasar'!A3</f>
        <v>1</v>
      </c>
      <c r="S7" s="1" t="str">
        <f>'satuan dasar'!E3</f>
        <v>unit</v>
      </c>
      <c r="T7" s="1">
        <v>1</v>
      </c>
      <c r="U7" s="1">
        <v>0</v>
      </c>
      <c r="V7" s="1">
        <v>0</v>
      </c>
      <c r="Z7" s="1">
        <v>1</v>
      </c>
      <c r="AA7" s="1">
        <f>SUM('order inventori'!L20-'order inventori'!M21-'order inventori'!N22)</f>
        <v>42</v>
      </c>
      <c r="AB7" s="1">
        <v>5</v>
      </c>
      <c r="AC7" s="1">
        <f>'harga pokok'!A2</f>
        <v>1</v>
      </c>
      <c r="AD7" s="1">
        <f>'type produk'!D10</f>
        <v>2</v>
      </c>
      <c r="AE7" s="1" t="str">
        <f>'type produk'!B10</f>
        <v>konsinyasi</v>
      </c>
      <c r="AF7" s="1">
        <f>'type produk'!G10</f>
        <v>1</v>
      </c>
      <c r="AG7" s="1">
        <f>'type produk'!I10</f>
        <v>2</v>
      </c>
      <c r="AH7" s="1">
        <f>'type produk'!K10</f>
        <v>22</v>
      </c>
      <c r="AI7" s="1">
        <f>'type produk'!M10</f>
        <v>0</v>
      </c>
      <c r="AJ7" s="1">
        <f>'type produk'!O10</f>
        <v>5</v>
      </c>
      <c r="AK7" s="1">
        <f>'type produk'!Q10</f>
        <v>2</v>
      </c>
      <c r="AN7" s="1">
        <v>1</v>
      </c>
      <c r="AO7" s="1">
        <f>'data pajak'!A3</f>
        <v>1</v>
      </c>
      <c r="AP7" s="1" t="str">
        <f>'data pajak'!B3</f>
        <v>PPn</v>
      </c>
      <c r="AQ7" s="3">
        <f>'data pajak'!D3</f>
        <v>0.1</v>
      </c>
      <c r="AR7" s="1">
        <f>'data pajak'!G3</f>
        <v>19</v>
      </c>
    </row>
    <row r="8" spans="1:65" x14ac:dyDescent="0.25">
      <c r="A8" s="1">
        <v>6</v>
      </c>
      <c r="B8" s="1">
        <v>0</v>
      </c>
      <c r="C8" s="1">
        <v>0</v>
      </c>
      <c r="D8" s="1">
        <f>'kategori produk '!A3</f>
        <v>2</v>
      </c>
      <c r="E8" s="1" t="str">
        <f>'kategori produk '!B3</f>
        <v>iphone</v>
      </c>
      <c r="F8" s="1" t="s">
        <v>843</v>
      </c>
      <c r="I8" s="1" t="s">
        <v>844</v>
      </c>
      <c r="M8" s="1">
        <f>'data mata uang'!A3</f>
        <v>1</v>
      </c>
      <c r="N8" s="1" t="str">
        <f>'data mata uang'!C3</f>
        <v>Rupiah</v>
      </c>
      <c r="O8" s="264">
        <v>0</v>
      </c>
      <c r="P8" s="264">
        <v>0</v>
      </c>
      <c r="Q8" s="264">
        <v>0</v>
      </c>
      <c r="R8" s="1">
        <f>'satuan dasar'!A3</f>
        <v>1</v>
      </c>
      <c r="S8" s="1" t="str">
        <f>'satuan dasar'!E3</f>
        <v>unit</v>
      </c>
      <c r="T8" s="1">
        <v>1</v>
      </c>
      <c r="U8" s="1">
        <v>0</v>
      </c>
      <c r="V8" s="1">
        <v>0</v>
      </c>
      <c r="Z8" s="1">
        <v>1</v>
      </c>
      <c r="AA8" s="1">
        <f>SUM('order inventori'!L29)</f>
        <v>0</v>
      </c>
      <c r="AB8" s="1">
        <v>5</v>
      </c>
      <c r="AC8" s="1">
        <f>'harga pokok'!A4</f>
        <v>3</v>
      </c>
      <c r="AD8" s="1">
        <f>'type produk'!D10</f>
        <v>2</v>
      </c>
      <c r="AE8" s="1" t="str">
        <f>'type produk'!B4</f>
        <v>dijual_dibeli_disimpan</v>
      </c>
      <c r="AF8" s="1">
        <f>'type produk'!G4</f>
        <v>1</v>
      </c>
      <c r="AG8" s="1">
        <f>'type produk'!I4</f>
        <v>2</v>
      </c>
      <c r="AH8" s="1">
        <f>'type produk'!K4</f>
        <v>3</v>
      </c>
      <c r="AI8" s="1">
        <f>'type produk'!M4</f>
        <v>4</v>
      </c>
      <c r="AJ8" s="1">
        <f>'type produk'!O4</f>
        <v>5</v>
      </c>
      <c r="AK8" s="1">
        <f>'type produk'!Q4</f>
        <v>2</v>
      </c>
      <c r="AO8" s="1">
        <f>'data pajak'!A3</f>
        <v>1</v>
      </c>
      <c r="AP8" s="1" t="str">
        <f>'data pajak'!B3</f>
        <v>PPn</v>
      </c>
      <c r="AQ8" s="3">
        <f>'data pajak'!D3</f>
        <v>0.1</v>
      </c>
      <c r="AR8" s="1">
        <f>'data pajak'!G3</f>
        <v>19</v>
      </c>
    </row>
    <row r="9" spans="1:65" x14ac:dyDescent="0.25">
      <c r="A9" s="1">
        <v>8</v>
      </c>
      <c r="B9" s="1">
        <v>0</v>
      </c>
      <c r="C9" s="1">
        <v>1</v>
      </c>
      <c r="D9" s="1">
        <f>'kategori produk '!A9</f>
        <v>8</v>
      </c>
      <c r="E9" s="1" t="str">
        <f>'kategori produk '!B9</f>
        <v>rental</v>
      </c>
      <c r="F9" s="1" t="s">
        <v>1381</v>
      </c>
      <c r="I9" s="1" t="s">
        <v>1382</v>
      </c>
      <c r="M9" s="1">
        <f>'data mata uang'!A3</f>
        <v>1</v>
      </c>
      <c r="N9" s="1" t="str">
        <f>'data mata uang'!C3</f>
        <v>Rupiah</v>
      </c>
      <c r="O9" s="264">
        <v>1</v>
      </c>
      <c r="P9" s="264">
        <v>0</v>
      </c>
      <c r="Q9" s="264">
        <v>1</v>
      </c>
      <c r="R9" s="1">
        <f>'satuan dasar'!A9</f>
        <v>7</v>
      </c>
      <c r="S9" s="1" t="str">
        <f>'satuan dasar'!E9</f>
        <v>day</v>
      </c>
      <c r="AD9" s="1">
        <f>'type produk'!D9</f>
        <v>2</v>
      </c>
      <c r="AE9" s="1" t="str">
        <f>'type produk'!B9</f>
        <v>service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f>'type produk'!S9</f>
        <v>37</v>
      </c>
      <c r="AN9" s="1">
        <v>1</v>
      </c>
      <c r="AO9" s="1">
        <f>'data pajak'!A4</f>
        <v>2</v>
      </c>
      <c r="AP9" s="1" t="str">
        <f>'data pajak'!B4</f>
        <v>pph</v>
      </c>
      <c r="AQ9" s="3">
        <f>'data pajak'!D4</f>
        <v>0.02</v>
      </c>
      <c r="AR9" s="1">
        <f>'data pajak'!G4</f>
        <v>21</v>
      </c>
    </row>
    <row r="10" spans="1:65" x14ac:dyDescent="0.25">
      <c r="A10" s="1">
        <v>9</v>
      </c>
      <c r="B10" s="1">
        <v>0</v>
      </c>
      <c r="C10" s="1">
        <v>0</v>
      </c>
      <c r="D10" s="288">
        <f>'kategori produk '!A3</f>
        <v>2</v>
      </c>
      <c r="E10" s="288" t="str">
        <f>'kategori produk '!B3</f>
        <v>iphone</v>
      </c>
      <c r="F10" s="1" t="s">
        <v>1728</v>
      </c>
      <c r="I10" s="1" t="s">
        <v>1728</v>
      </c>
      <c r="M10" s="288">
        <f>'data mata uang'!A3</f>
        <v>1</v>
      </c>
      <c r="N10" s="288" t="str">
        <f>'data mata uang'!C3</f>
        <v>Rupiah</v>
      </c>
      <c r="O10" s="264">
        <v>0</v>
      </c>
      <c r="P10" s="264">
        <v>0</v>
      </c>
      <c r="Q10" s="264">
        <v>0</v>
      </c>
      <c r="R10" s="288">
        <f>'satuan dasar'!A3</f>
        <v>1</v>
      </c>
      <c r="S10" s="288" t="str">
        <f>'satuan dasar'!E3</f>
        <v>unit</v>
      </c>
      <c r="T10" s="1">
        <v>1</v>
      </c>
      <c r="U10" s="1">
        <v>0</v>
      </c>
      <c r="V10" s="1">
        <v>0</v>
      </c>
      <c r="AO10" s="288">
        <f>'data pajak'!A3</f>
        <v>1</v>
      </c>
      <c r="AP10" s="288" t="str">
        <f>'data pajak'!B3</f>
        <v>PPn</v>
      </c>
      <c r="AQ10" s="3">
        <f>'data pajak'!D3</f>
        <v>0.1</v>
      </c>
      <c r="AR10" s="288">
        <f>'data pajak'!G3</f>
        <v>19</v>
      </c>
    </row>
    <row r="11" spans="1:65" x14ac:dyDescent="0.25">
      <c r="S11" s="288"/>
    </row>
    <row r="17" spans="1:3" x14ac:dyDescent="0.25">
      <c r="A17" s="40" t="s">
        <v>1178</v>
      </c>
      <c r="B17" s="40" t="s">
        <v>88</v>
      </c>
      <c r="C17" s="40"/>
    </row>
    <row r="18" spans="1:3" x14ac:dyDescent="0.25">
      <c r="A18" s="40"/>
      <c r="B18" s="40" t="s">
        <v>1179</v>
      </c>
      <c r="C18" s="40"/>
    </row>
    <row r="19" spans="1:3" x14ac:dyDescent="0.25">
      <c r="A19" s="40"/>
      <c r="B19" s="40" t="s">
        <v>1180</v>
      </c>
      <c r="C19" s="40"/>
    </row>
    <row r="20" spans="1:3" x14ac:dyDescent="0.25">
      <c r="A20" s="40"/>
      <c r="B20" s="40"/>
      <c r="C20" s="40"/>
    </row>
    <row r="21" spans="1:3" x14ac:dyDescent="0.25">
      <c r="A21" s="40" t="s">
        <v>932</v>
      </c>
      <c r="B21" s="40" t="s">
        <v>1181</v>
      </c>
      <c r="C21" s="40"/>
    </row>
    <row r="22" spans="1:3" x14ac:dyDescent="0.25">
      <c r="A22" s="40"/>
      <c r="B22" s="40" t="s">
        <v>1182</v>
      </c>
      <c r="C22" s="40"/>
    </row>
    <row r="23" spans="1:3" x14ac:dyDescent="0.25">
      <c r="A23" s="40"/>
      <c r="B23" s="40" t="s">
        <v>1190</v>
      </c>
      <c r="C23" s="40"/>
    </row>
    <row r="24" spans="1:3" x14ac:dyDescent="0.25">
      <c r="A24" s="40"/>
      <c r="B24" s="40" t="s">
        <v>1192</v>
      </c>
      <c r="C24" s="40"/>
    </row>
    <row r="25" spans="1:3" x14ac:dyDescent="0.25">
      <c r="A25" s="40"/>
      <c r="B25" s="40"/>
      <c r="C25" s="40"/>
    </row>
    <row r="26" spans="1:3" x14ac:dyDescent="0.25">
      <c r="A26" s="40" t="s">
        <v>1183</v>
      </c>
      <c r="B26" s="40" t="s">
        <v>1184</v>
      </c>
      <c r="C26" s="40"/>
    </row>
    <row r="27" spans="1:3" x14ac:dyDescent="0.25">
      <c r="A27" s="40"/>
      <c r="B27" s="40" t="s">
        <v>1191</v>
      </c>
      <c r="C27" s="40"/>
    </row>
    <row r="28" spans="1:3" x14ac:dyDescent="0.25">
      <c r="A28" s="40"/>
      <c r="B28" s="40" t="s">
        <v>1367</v>
      </c>
      <c r="C28" s="40"/>
    </row>
    <row r="29" spans="1:3" x14ac:dyDescent="0.25">
      <c r="A29" s="40"/>
      <c r="B29" s="40" t="s">
        <v>1457</v>
      </c>
      <c r="C29" s="40"/>
    </row>
    <row r="30" spans="1:3" x14ac:dyDescent="0.25">
      <c r="A30" s="40"/>
      <c r="B30" s="40"/>
      <c r="C30" s="40"/>
    </row>
    <row r="31" spans="1:3" x14ac:dyDescent="0.25">
      <c r="A31" s="40"/>
      <c r="B31" s="40"/>
      <c r="C31" s="40"/>
    </row>
    <row r="32" spans="1:3" x14ac:dyDescent="0.25">
      <c r="A32" s="40"/>
      <c r="B32" s="40"/>
      <c r="C32" s="40"/>
    </row>
    <row r="33" spans="1:5" x14ac:dyDescent="0.25">
      <c r="A33" s="40"/>
      <c r="B33" s="40"/>
      <c r="C33" s="40"/>
    </row>
    <row r="34" spans="1:5" x14ac:dyDescent="0.25">
      <c r="A34" s="40"/>
      <c r="B34" s="40"/>
      <c r="C34" s="40"/>
    </row>
    <row r="35" spans="1:5" x14ac:dyDescent="0.25">
      <c r="A35" s="40"/>
      <c r="B35" s="40"/>
      <c r="C35" s="40"/>
    </row>
    <row r="40" spans="1:5" x14ac:dyDescent="0.25">
      <c r="B40" s="1" t="s">
        <v>838</v>
      </c>
      <c r="D40" s="1" t="s">
        <v>839</v>
      </c>
      <c r="E40" s="1" t="s">
        <v>849</v>
      </c>
    </row>
    <row r="41" spans="1:5" x14ac:dyDescent="0.25">
      <c r="A41" s="1" t="s">
        <v>830</v>
      </c>
      <c r="B41" s="1" t="s">
        <v>840</v>
      </c>
      <c r="D41" s="1" t="s">
        <v>841</v>
      </c>
      <c r="E41" s="1" t="s">
        <v>842</v>
      </c>
    </row>
    <row r="42" spans="1:5" x14ac:dyDescent="0.25">
      <c r="A42" s="1" t="s">
        <v>831</v>
      </c>
      <c r="B42" s="1" t="s">
        <v>840</v>
      </c>
      <c r="D42" s="1" t="s">
        <v>840</v>
      </c>
      <c r="E42" s="1" t="s">
        <v>842</v>
      </c>
    </row>
    <row r="43" spans="1:5" x14ac:dyDescent="0.25">
      <c r="A43" s="1" t="s">
        <v>837</v>
      </c>
      <c r="B43" s="1" t="s">
        <v>840</v>
      </c>
      <c r="D43" s="1" t="s">
        <v>842</v>
      </c>
      <c r="E43" s="1" t="s">
        <v>842</v>
      </c>
    </row>
  </sheetData>
  <mergeCells count="12">
    <mergeCell ref="D1:E1"/>
    <mergeCell ref="G1:H1"/>
    <mergeCell ref="R1:S1"/>
    <mergeCell ref="M1:N1"/>
    <mergeCell ref="X1:Y1"/>
    <mergeCell ref="BK1:BL1"/>
    <mergeCell ref="AD1:AE1"/>
    <mergeCell ref="AO1:AR1"/>
    <mergeCell ref="AX1:BA1"/>
    <mergeCell ref="BB1:BC1"/>
    <mergeCell ref="BE1:BF1"/>
    <mergeCell ref="BH1:BI1"/>
  </mergeCell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T10"/>
  <sheetViews>
    <sheetView zoomScale="130" zoomScaleNormal="130" workbookViewId="0">
      <selection activeCell="D17" sqref="D17"/>
    </sheetView>
  </sheetViews>
  <sheetFormatPr defaultColWidth="9.140625" defaultRowHeight="15" x14ac:dyDescent="0.25"/>
  <cols>
    <col min="1" max="1" width="15.7109375" style="224" customWidth="1"/>
    <col min="2" max="2" width="21.7109375" style="1" bestFit="1" customWidth="1"/>
    <col min="3" max="3" width="13.42578125" style="1" bestFit="1" customWidth="1"/>
    <col min="4" max="4" width="18.42578125" style="1" bestFit="1" customWidth="1"/>
    <col min="5" max="5" width="15.7109375" style="1" bestFit="1" customWidth="1"/>
    <col min="6" max="6" width="19.42578125" style="1" bestFit="1" customWidth="1"/>
    <col min="7" max="7" width="20.42578125" style="1" bestFit="1" customWidth="1"/>
    <col min="8" max="8" width="16.85546875" style="1" bestFit="1" customWidth="1"/>
    <col min="9" max="9" width="18.140625" style="1" bestFit="1" customWidth="1"/>
    <col min="10" max="10" width="18" style="1" bestFit="1" customWidth="1"/>
    <col min="11" max="11" width="19.140625" style="1" bestFit="1" customWidth="1"/>
    <col min="12" max="12" width="23.28515625" style="1" bestFit="1" customWidth="1"/>
    <col min="13" max="13" width="24" style="1" bestFit="1" customWidth="1"/>
    <col min="14" max="14" width="22.7109375" style="1" bestFit="1" customWidth="1"/>
    <col min="15" max="15" width="23.85546875" style="1" bestFit="1" customWidth="1"/>
    <col min="16" max="16" width="22.42578125" style="1" bestFit="1" customWidth="1"/>
    <col min="17" max="17" width="23.7109375" style="1" bestFit="1" customWidth="1"/>
    <col min="18" max="18" width="14.28515625" style="1" bestFit="1" customWidth="1"/>
    <col min="19" max="19" width="15.42578125" style="1" bestFit="1" customWidth="1"/>
    <col min="20" max="16384" width="9.140625" style="1"/>
  </cols>
  <sheetData>
    <row r="1" spans="1:20" x14ac:dyDescent="0.25">
      <c r="A1" s="224" t="s">
        <v>1547</v>
      </c>
      <c r="B1" s="1" t="s">
        <v>452</v>
      </c>
      <c r="C1" s="1" t="s">
        <v>115</v>
      </c>
      <c r="D1" s="1" t="s">
        <v>86</v>
      </c>
      <c r="E1" s="1" t="s">
        <v>87</v>
      </c>
      <c r="F1" s="1" t="s">
        <v>131</v>
      </c>
      <c r="G1" s="1" t="s">
        <v>103</v>
      </c>
      <c r="H1" s="1" t="s">
        <v>132</v>
      </c>
      <c r="I1" s="1" t="s">
        <v>104</v>
      </c>
      <c r="J1" s="1" t="s">
        <v>133</v>
      </c>
      <c r="K1" s="1" t="s">
        <v>105</v>
      </c>
      <c r="L1" s="1" t="s">
        <v>134</v>
      </c>
      <c r="M1" s="1" t="s">
        <v>106</v>
      </c>
      <c r="N1" s="1" t="s">
        <v>135</v>
      </c>
      <c r="O1" s="1" t="s">
        <v>107</v>
      </c>
      <c r="P1" s="1" t="s">
        <v>136</v>
      </c>
      <c r="Q1" s="1" t="s">
        <v>108</v>
      </c>
      <c r="R1" s="1" t="s">
        <v>1186</v>
      </c>
      <c r="S1" s="1" t="s">
        <v>1187</v>
      </c>
      <c r="T1" s="1" t="s">
        <v>625</v>
      </c>
    </row>
    <row r="2" spans="1:20" x14ac:dyDescent="0.25">
      <c r="A2" s="224">
        <v>1</v>
      </c>
      <c r="B2" s="1" t="s">
        <v>137</v>
      </c>
      <c r="C2" s="1">
        <v>1</v>
      </c>
      <c r="D2" s="1">
        <f>'kategori produk '!A3</f>
        <v>2</v>
      </c>
      <c r="E2" s="1" t="str">
        <f>'kategori produk '!B3</f>
        <v>iphone</v>
      </c>
      <c r="F2" s="1">
        <v>0</v>
      </c>
      <c r="H2" s="1">
        <v>1</v>
      </c>
      <c r="I2" s="1">
        <f>'rekening perkiraan'!A4</f>
        <v>2</v>
      </c>
      <c r="J2" s="1">
        <v>0</v>
      </c>
      <c r="L2" s="1">
        <v>0</v>
      </c>
      <c r="N2" s="1">
        <v>0</v>
      </c>
      <c r="P2" s="1">
        <v>1</v>
      </c>
      <c r="Q2" s="1">
        <f>'rekening perkiraan'!A4</f>
        <v>2</v>
      </c>
      <c r="R2" s="1">
        <v>0</v>
      </c>
    </row>
    <row r="3" spans="1:20" x14ac:dyDescent="0.25">
      <c r="A3" s="224">
        <v>2</v>
      </c>
      <c r="B3" s="1" t="s">
        <v>138</v>
      </c>
      <c r="C3" s="1">
        <v>1</v>
      </c>
      <c r="D3" s="1">
        <f>'kategori produk '!A3</f>
        <v>2</v>
      </c>
      <c r="E3" s="1" t="str">
        <f>'kategori produk '!B3</f>
        <v>iphone</v>
      </c>
      <c r="F3" s="1">
        <v>1</v>
      </c>
      <c r="G3" s="1">
        <f>'rekening perkiraan'!A3</f>
        <v>1</v>
      </c>
      <c r="H3" s="1">
        <v>1</v>
      </c>
      <c r="I3" s="1">
        <f>'rekening perkiraan'!A4</f>
        <v>2</v>
      </c>
      <c r="J3" s="1">
        <v>0</v>
      </c>
      <c r="L3" s="1">
        <v>0</v>
      </c>
      <c r="N3" s="1">
        <v>0</v>
      </c>
      <c r="P3" s="1">
        <v>1</v>
      </c>
      <c r="Q3" s="1">
        <f>'rekening perkiraan'!A4</f>
        <v>2</v>
      </c>
      <c r="R3" s="1">
        <v>0</v>
      </c>
    </row>
    <row r="4" spans="1:20" x14ac:dyDescent="0.25">
      <c r="A4" s="224">
        <v>3</v>
      </c>
      <c r="B4" s="1" t="s">
        <v>139</v>
      </c>
      <c r="C4" s="1">
        <v>1</v>
      </c>
      <c r="D4" s="1">
        <f>'kategori produk '!A3</f>
        <v>2</v>
      </c>
      <c r="E4" s="1" t="str">
        <f>'kategori produk '!B3</f>
        <v>iphone</v>
      </c>
      <c r="F4" s="1">
        <v>1</v>
      </c>
      <c r="G4" s="1">
        <f>'rekening perkiraan'!A3</f>
        <v>1</v>
      </c>
      <c r="H4" s="1">
        <v>1</v>
      </c>
      <c r="I4" s="1">
        <f>'rekening perkiraan'!A4</f>
        <v>2</v>
      </c>
      <c r="J4" s="1">
        <v>1</v>
      </c>
      <c r="K4" s="1">
        <f>'rekening perkiraan'!A5</f>
        <v>3</v>
      </c>
      <c r="L4" s="1">
        <v>1</v>
      </c>
      <c r="M4" s="1">
        <f>'rekening perkiraan'!A6</f>
        <v>4</v>
      </c>
      <c r="N4" s="1">
        <v>1</v>
      </c>
      <c r="O4" s="1">
        <f>'rekening perkiraan'!A7</f>
        <v>5</v>
      </c>
      <c r="P4" s="1">
        <v>1</v>
      </c>
      <c r="Q4" s="1">
        <f>'rekening perkiraan'!A4</f>
        <v>2</v>
      </c>
      <c r="R4" s="1">
        <v>0</v>
      </c>
    </row>
    <row r="5" spans="1:20" x14ac:dyDescent="0.25">
      <c r="A5" s="224">
        <v>4</v>
      </c>
      <c r="B5" s="1" t="s">
        <v>140</v>
      </c>
      <c r="C5" s="1">
        <v>1</v>
      </c>
      <c r="D5" s="1">
        <f>'kategori produk '!A3</f>
        <v>2</v>
      </c>
      <c r="E5" s="1" t="str">
        <f>'kategori produk '!B3</f>
        <v>iphone</v>
      </c>
      <c r="F5" s="1">
        <v>1</v>
      </c>
      <c r="G5" s="1">
        <f>'rekening perkiraan'!A3</f>
        <v>1</v>
      </c>
      <c r="H5" s="1">
        <v>0</v>
      </c>
      <c r="J5" s="1">
        <v>0</v>
      </c>
      <c r="L5" s="1">
        <v>0</v>
      </c>
      <c r="N5" s="1">
        <v>0</v>
      </c>
      <c r="P5" s="1">
        <v>0</v>
      </c>
      <c r="R5" s="1">
        <v>0</v>
      </c>
    </row>
    <row r="6" spans="1:20" x14ac:dyDescent="0.25">
      <c r="A6" s="224">
        <v>5</v>
      </c>
      <c r="B6" s="1" t="s">
        <v>141</v>
      </c>
      <c r="C6" s="1">
        <v>1</v>
      </c>
      <c r="D6" s="1">
        <f>'kategori produk '!A3</f>
        <v>2</v>
      </c>
      <c r="E6" s="1" t="str">
        <f>'kategori produk '!B3</f>
        <v>iphone</v>
      </c>
      <c r="F6" s="1">
        <v>0</v>
      </c>
      <c r="H6" s="1">
        <v>0</v>
      </c>
      <c r="J6" s="1">
        <v>1</v>
      </c>
      <c r="K6" s="1">
        <f>'rekening perkiraan'!A5</f>
        <v>3</v>
      </c>
      <c r="L6" s="1">
        <v>1</v>
      </c>
      <c r="M6" s="1">
        <f>'rekening perkiraan'!A6</f>
        <v>4</v>
      </c>
      <c r="N6" s="1">
        <v>1</v>
      </c>
      <c r="O6" s="1">
        <f>'rekening perkiraan'!A7</f>
        <v>5</v>
      </c>
      <c r="P6" s="1">
        <v>0</v>
      </c>
      <c r="R6" s="1">
        <v>0</v>
      </c>
    </row>
    <row r="7" spans="1:20" x14ac:dyDescent="0.25">
      <c r="A7" s="224">
        <v>6</v>
      </c>
      <c r="B7" s="1" t="s">
        <v>142</v>
      </c>
      <c r="C7" s="1">
        <v>1</v>
      </c>
      <c r="D7" s="1">
        <f>'kategori produk '!A3</f>
        <v>2</v>
      </c>
      <c r="E7" s="1" t="str">
        <f>'kategori produk '!B3</f>
        <v>iphone</v>
      </c>
      <c r="F7" s="1">
        <v>0</v>
      </c>
      <c r="H7" s="1">
        <v>0</v>
      </c>
      <c r="J7" s="1">
        <v>1</v>
      </c>
      <c r="K7" s="1">
        <f>'rekening perkiraan'!A5</f>
        <v>3</v>
      </c>
      <c r="L7" s="1">
        <v>0</v>
      </c>
      <c r="N7" s="1">
        <v>1</v>
      </c>
      <c r="O7" s="1">
        <f>'rekening perkiraan'!A7</f>
        <v>5</v>
      </c>
      <c r="P7" s="1">
        <v>0</v>
      </c>
      <c r="R7" s="1">
        <v>0</v>
      </c>
    </row>
    <row r="8" spans="1:20" x14ac:dyDescent="0.25">
      <c r="A8" s="224">
        <v>7</v>
      </c>
      <c r="B8" s="1" t="s">
        <v>143</v>
      </c>
      <c r="C8" s="1">
        <v>1</v>
      </c>
      <c r="D8" s="1">
        <f>'kategori produk '!A3</f>
        <v>2</v>
      </c>
      <c r="E8" s="1" t="str">
        <f>'kategori produk '!B3</f>
        <v>iphone</v>
      </c>
      <c r="F8" s="1">
        <v>1</v>
      </c>
      <c r="G8" s="1">
        <f>'rekening perkiraan'!A3</f>
        <v>1</v>
      </c>
      <c r="H8" s="1">
        <v>1</v>
      </c>
      <c r="I8" s="1">
        <f>'rekening perkiraan'!A4</f>
        <v>2</v>
      </c>
      <c r="J8" s="1">
        <v>1</v>
      </c>
      <c r="K8" s="1">
        <f>'rekening perkiraan'!A5</f>
        <v>3</v>
      </c>
      <c r="L8" s="1">
        <v>0</v>
      </c>
      <c r="N8" s="1">
        <v>1</v>
      </c>
      <c r="O8" s="1">
        <f>'rekening perkiraan'!A7</f>
        <v>5</v>
      </c>
      <c r="P8" s="1">
        <v>1</v>
      </c>
      <c r="Q8" s="1">
        <f>'rekening perkiraan'!A4</f>
        <v>2</v>
      </c>
      <c r="R8" s="1">
        <v>0</v>
      </c>
    </row>
    <row r="9" spans="1:20" x14ac:dyDescent="0.25">
      <c r="A9" s="224">
        <v>8</v>
      </c>
      <c r="B9" s="1" t="s">
        <v>246</v>
      </c>
      <c r="C9" s="1">
        <v>1</v>
      </c>
      <c r="D9" s="1">
        <f>'kategori produk '!A3</f>
        <v>2</v>
      </c>
      <c r="E9" s="1" t="str">
        <f>'kategori produk '!B3</f>
        <v>iphone</v>
      </c>
      <c r="F9" s="1">
        <v>0</v>
      </c>
      <c r="H9" s="1">
        <v>0</v>
      </c>
      <c r="J9" s="1">
        <v>0</v>
      </c>
      <c r="L9" s="1">
        <v>0</v>
      </c>
      <c r="N9" s="1">
        <v>0</v>
      </c>
      <c r="P9" s="1">
        <v>0</v>
      </c>
      <c r="R9" s="1">
        <v>1</v>
      </c>
      <c r="S9" s="1">
        <f>'rekening perkiraan'!A39</f>
        <v>37</v>
      </c>
    </row>
    <row r="10" spans="1:20" x14ac:dyDescent="0.25">
      <c r="A10" s="224">
        <v>9</v>
      </c>
      <c r="B10" s="1" t="s">
        <v>1316</v>
      </c>
      <c r="C10" s="1">
        <v>1</v>
      </c>
      <c r="D10" s="1">
        <f>'kategori produk '!A3</f>
        <v>2</v>
      </c>
      <c r="E10" s="1" t="str">
        <f>'kategori produk '!B3</f>
        <v>iphone</v>
      </c>
      <c r="F10" s="1">
        <v>1</v>
      </c>
      <c r="G10" s="1">
        <f>'rekening perkiraan'!A3</f>
        <v>1</v>
      </c>
      <c r="H10" s="1">
        <v>1</v>
      </c>
      <c r="I10" s="1">
        <f>'rekening perkiraan'!A4</f>
        <v>2</v>
      </c>
      <c r="J10" s="1">
        <v>1</v>
      </c>
      <c r="K10" s="1">
        <f>'rekening perkiraan'!A24</f>
        <v>22</v>
      </c>
      <c r="L10" s="1">
        <v>0</v>
      </c>
      <c r="N10" s="1">
        <v>1</v>
      </c>
      <c r="O10" s="1">
        <f>'rekening perkiraan'!A7</f>
        <v>5</v>
      </c>
      <c r="P10" s="1">
        <v>1</v>
      </c>
      <c r="Q10" s="1">
        <f>'rekening perkiraan'!A4</f>
        <v>2</v>
      </c>
      <c r="R10" s="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J4"/>
  <sheetViews>
    <sheetView topLeftCell="D1" zoomScaleNormal="100" workbookViewId="0">
      <selection activeCell="K3" sqref="K3"/>
    </sheetView>
  </sheetViews>
  <sheetFormatPr defaultColWidth="9.140625" defaultRowHeight="15" x14ac:dyDescent="0.25"/>
  <cols>
    <col min="1" max="1" width="16.28515625" style="1" bestFit="1" customWidth="1"/>
    <col min="2" max="2" width="19.42578125" style="1" bestFit="1" customWidth="1"/>
    <col min="3" max="3" width="19.42578125" style="1" customWidth="1"/>
    <col min="4" max="4" width="18.42578125" style="1" bestFit="1" customWidth="1"/>
    <col min="5" max="5" width="22.140625" style="1" bestFit="1" customWidth="1"/>
    <col min="6" max="7" width="22.140625" style="1" customWidth="1"/>
    <col min="8" max="8" width="14.7109375" style="1" bestFit="1" customWidth="1"/>
    <col min="9" max="9" width="20.42578125" style="1" bestFit="1" customWidth="1"/>
    <col min="10" max="10" width="23.140625" style="1" bestFit="1" customWidth="1"/>
    <col min="11" max="20" width="18.28515625" style="1" customWidth="1"/>
    <col min="21" max="16384" width="9.140625" style="1"/>
  </cols>
  <sheetData>
    <row r="1" spans="1:10" x14ac:dyDescent="0.25">
      <c r="A1" s="1" t="s">
        <v>1173</v>
      </c>
      <c r="B1" s="1" t="s">
        <v>1167</v>
      </c>
      <c r="C1" s="1" t="s">
        <v>88</v>
      </c>
      <c r="D1" s="291" t="s">
        <v>1168</v>
      </c>
      <c r="E1" s="291"/>
      <c r="F1" s="1" t="s">
        <v>939</v>
      </c>
      <c r="G1" s="1" t="s">
        <v>1170</v>
      </c>
      <c r="H1" s="1" t="s">
        <v>1171</v>
      </c>
      <c r="I1" s="291" t="s">
        <v>1172</v>
      </c>
      <c r="J1" s="291"/>
    </row>
    <row r="2" spans="1:10" x14ac:dyDescent="0.25">
      <c r="A2" s="1" t="s">
        <v>89</v>
      </c>
      <c r="B2" s="1" t="s">
        <v>90</v>
      </c>
      <c r="C2" s="1" t="s">
        <v>1454</v>
      </c>
      <c r="D2" s="1" t="s">
        <v>86</v>
      </c>
      <c r="E2" s="1" t="s">
        <v>337</v>
      </c>
      <c r="F2" s="1" t="s">
        <v>26</v>
      </c>
      <c r="G2" s="1" t="s">
        <v>1169</v>
      </c>
      <c r="H2" s="1" t="s">
        <v>338</v>
      </c>
      <c r="I2" s="1" t="s">
        <v>339</v>
      </c>
      <c r="J2" s="1" t="s">
        <v>340</v>
      </c>
    </row>
    <row r="3" spans="1:10" x14ac:dyDescent="0.25">
      <c r="A3" s="1">
        <v>1</v>
      </c>
      <c r="B3" s="1" t="s">
        <v>341</v>
      </c>
      <c r="D3" s="1">
        <f>'kategori produk '!A3</f>
        <v>2</v>
      </c>
      <c r="E3" s="1" t="str">
        <f>'kategori produk '!B3</f>
        <v>iphone</v>
      </c>
      <c r="G3" s="1">
        <v>0</v>
      </c>
    </row>
    <row r="4" spans="1:10" x14ac:dyDescent="0.25">
      <c r="A4" s="1">
        <v>2</v>
      </c>
      <c r="B4" s="1" t="s">
        <v>342</v>
      </c>
      <c r="D4" s="1">
        <f>'kategori produk '!A3</f>
        <v>2</v>
      </c>
      <c r="E4" s="1" t="str">
        <f>'kategori produk '!B3</f>
        <v>iphone</v>
      </c>
      <c r="G4" s="1">
        <v>0</v>
      </c>
    </row>
  </sheetData>
  <mergeCells count="2">
    <mergeCell ref="D1:E1"/>
    <mergeCell ref="I1:J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D9"/>
  <sheetViews>
    <sheetView zoomScale="160" zoomScaleNormal="160" workbookViewId="0">
      <selection activeCell="B4" sqref="B4"/>
    </sheetView>
  </sheetViews>
  <sheetFormatPr defaultColWidth="9.140625" defaultRowHeight="15" x14ac:dyDescent="0.25"/>
  <cols>
    <col min="1" max="1" width="18.42578125" style="1" bestFit="1" customWidth="1"/>
    <col min="2" max="2" width="15.7109375" style="1" bestFit="1" customWidth="1"/>
    <col min="3" max="3" width="26.140625" style="1" bestFit="1" customWidth="1"/>
    <col min="4" max="5" width="18.140625" style="1" customWidth="1"/>
    <col min="6" max="16384" width="9.140625" style="1"/>
  </cols>
  <sheetData>
    <row r="1" spans="1:4" x14ac:dyDescent="0.25">
      <c r="A1" s="1" t="s">
        <v>86</v>
      </c>
      <c r="B1" s="1" t="s">
        <v>87</v>
      </c>
      <c r="C1" s="1" t="s">
        <v>241</v>
      </c>
      <c r="D1" s="1" t="s">
        <v>396</v>
      </c>
    </row>
    <row r="2" spans="1:4" x14ac:dyDescent="0.25">
      <c r="A2" s="1">
        <v>1</v>
      </c>
      <c r="B2" s="1" t="s">
        <v>242</v>
      </c>
    </row>
    <row r="3" spans="1:4" x14ac:dyDescent="0.25">
      <c r="A3" s="1">
        <v>2</v>
      </c>
      <c r="B3" s="1" t="s">
        <v>243</v>
      </c>
      <c r="C3" s="1">
        <f>A2</f>
        <v>1</v>
      </c>
    </row>
    <row r="4" spans="1:4" x14ac:dyDescent="0.25">
      <c r="A4" s="1">
        <v>3</v>
      </c>
      <c r="B4" s="1" t="s">
        <v>244</v>
      </c>
    </row>
    <row r="5" spans="1:4" x14ac:dyDescent="0.25">
      <c r="A5" s="1">
        <v>4</v>
      </c>
      <c r="B5" s="1" t="s">
        <v>245</v>
      </c>
      <c r="C5" s="1">
        <f>A4</f>
        <v>3</v>
      </c>
    </row>
    <row r="6" spans="1:4" x14ac:dyDescent="0.25">
      <c r="A6" s="1">
        <v>5</v>
      </c>
      <c r="B6" s="1" t="s">
        <v>246</v>
      </c>
    </row>
    <row r="7" spans="1:4" x14ac:dyDescent="0.25">
      <c r="A7" s="1">
        <v>6</v>
      </c>
      <c r="B7" s="1" t="s">
        <v>247</v>
      </c>
      <c r="C7" s="1">
        <f>A6</f>
        <v>5</v>
      </c>
    </row>
    <row r="8" spans="1:4" x14ac:dyDescent="0.25">
      <c r="A8" s="1">
        <v>7</v>
      </c>
      <c r="B8" s="1" t="s">
        <v>248</v>
      </c>
      <c r="C8" s="1">
        <v>5</v>
      </c>
    </row>
    <row r="9" spans="1:4" x14ac:dyDescent="0.25">
      <c r="A9" s="1">
        <v>8</v>
      </c>
      <c r="B9" s="1" t="s">
        <v>1380</v>
      </c>
      <c r="C9" s="1">
        <f>A6</f>
        <v>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4"/>
  <sheetViews>
    <sheetView zoomScale="145" zoomScaleNormal="145" workbookViewId="0">
      <selection activeCell="A2" sqref="A2"/>
    </sheetView>
  </sheetViews>
  <sheetFormatPr defaultColWidth="9.140625" defaultRowHeight="15" x14ac:dyDescent="0.25"/>
  <cols>
    <col min="1" max="1" width="19.85546875" style="1" bestFit="1" customWidth="1"/>
    <col min="2" max="2" width="17.85546875" style="1" bestFit="1" customWidth="1"/>
    <col min="3" max="16384" width="9.140625" style="1"/>
  </cols>
  <sheetData>
    <row r="1" spans="1:2" x14ac:dyDescent="0.25">
      <c r="A1" s="1" t="s">
        <v>829</v>
      </c>
      <c r="B1" s="1" t="s">
        <v>832</v>
      </c>
    </row>
    <row r="2" spans="1:2" x14ac:dyDescent="0.25">
      <c r="A2" s="1">
        <v>1</v>
      </c>
      <c r="B2" s="1" t="s">
        <v>830</v>
      </c>
    </row>
    <row r="3" spans="1:2" x14ac:dyDescent="0.25">
      <c r="A3" s="1">
        <v>2</v>
      </c>
      <c r="B3" s="1" t="s">
        <v>831</v>
      </c>
    </row>
    <row r="4" spans="1:2" x14ac:dyDescent="0.25">
      <c r="A4" s="1">
        <v>3</v>
      </c>
      <c r="B4" s="1" t="s">
        <v>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8"/>
  <sheetViews>
    <sheetView zoomScaleNormal="100" workbookViewId="0">
      <selection activeCell="A5" sqref="A5"/>
    </sheetView>
  </sheetViews>
  <sheetFormatPr defaultColWidth="8.85546875" defaultRowHeight="15" x14ac:dyDescent="0.25"/>
  <cols>
    <col min="3" max="3" width="29.85546875" bestFit="1" customWidth="1"/>
    <col min="4" max="4" width="34.42578125" bestFit="1" customWidth="1"/>
    <col min="5" max="5" width="31.28515625" bestFit="1" customWidth="1"/>
    <col min="7" max="7" width="11.42578125" style="22" bestFit="1" customWidth="1"/>
  </cols>
  <sheetData>
    <row r="1" spans="1:10" x14ac:dyDescent="0.25">
      <c r="A1" s="296" t="s">
        <v>1727</v>
      </c>
      <c r="B1" s="296"/>
      <c r="C1" s="296"/>
      <c r="D1" s="296"/>
      <c r="E1" s="296"/>
      <c r="F1" s="296"/>
      <c r="G1" s="296"/>
    </row>
    <row r="2" spans="1:10" x14ac:dyDescent="0.25">
      <c r="A2" s="296"/>
      <c r="B2" s="296"/>
      <c r="C2" s="296"/>
      <c r="D2" s="296"/>
      <c r="E2" s="296"/>
      <c r="F2" s="296"/>
      <c r="G2" s="296"/>
    </row>
    <row r="3" spans="1:10" x14ac:dyDescent="0.25">
      <c r="A3" s="296"/>
      <c r="B3" s="296"/>
      <c r="C3" s="296"/>
      <c r="D3" s="296"/>
      <c r="E3" s="296"/>
      <c r="F3" s="296"/>
      <c r="G3" s="296"/>
    </row>
    <row r="4" spans="1:10" x14ac:dyDescent="0.25">
      <c r="A4" s="296"/>
      <c r="B4" s="296"/>
      <c r="C4" s="296"/>
      <c r="D4" s="296"/>
      <c r="E4" s="296"/>
      <c r="F4" s="296"/>
      <c r="G4" s="296"/>
    </row>
    <row r="5" spans="1:10" ht="15" customHeight="1" x14ac:dyDescent="0.25">
      <c r="C5" s="292" t="s">
        <v>1506</v>
      </c>
      <c r="D5" s="292"/>
      <c r="E5" s="292"/>
      <c r="F5" s="292"/>
      <c r="G5" s="292"/>
      <c r="H5" s="19"/>
      <c r="I5" s="19"/>
      <c r="J5" s="19"/>
    </row>
    <row r="6" spans="1:10" ht="15" customHeight="1" x14ac:dyDescent="0.25">
      <c r="C6" s="292"/>
      <c r="D6" s="292"/>
      <c r="E6" s="292"/>
      <c r="F6" s="292"/>
      <c r="G6" s="292"/>
      <c r="H6" s="19"/>
      <c r="I6" s="19"/>
      <c r="J6" s="19"/>
    </row>
    <row r="7" spans="1:10" ht="15" customHeight="1" x14ac:dyDescent="0.25">
      <c r="C7" s="293"/>
      <c r="D7" s="293"/>
      <c r="E7" s="293"/>
      <c r="F7" s="293"/>
      <c r="G7" s="293"/>
      <c r="H7" s="20"/>
      <c r="I7" s="20"/>
      <c r="J7" s="20"/>
    </row>
    <row r="8" spans="1:10" ht="15" customHeight="1" x14ac:dyDescent="0.25">
      <c r="C8" s="293"/>
      <c r="D8" s="293"/>
      <c r="E8" s="293"/>
      <c r="F8" s="293"/>
      <c r="G8" s="293"/>
      <c r="H8" s="20"/>
      <c r="I8" s="20"/>
      <c r="J8" s="20"/>
    </row>
    <row r="9" spans="1:10" x14ac:dyDescent="0.25">
      <c r="C9" s="294" t="s">
        <v>779</v>
      </c>
      <c r="D9" s="294"/>
      <c r="E9" s="294"/>
      <c r="F9" s="294"/>
      <c r="G9" s="294"/>
      <c r="H9" s="21"/>
      <c r="I9" s="21"/>
      <c r="J9" s="21"/>
    </row>
    <row r="11" spans="1:10" x14ac:dyDescent="0.25">
      <c r="G11" s="37" t="s">
        <v>484</v>
      </c>
    </row>
    <row r="12" spans="1:10" x14ac:dyDescent="0.25">
      <c r="B12" s="65"/>
      <c r="C12" t="str">
        <f>'klasifikasi akun'!B3</f>
        <v>harta</v>
      </c>
      <c r="G12" s="22" t="s">
        <v>285</v>
      </c>
    </row>
    <row r="13" spans="1:10" x14ac:dyDescent="0.25">
      <c r="D13" s="67" t="str">
        <f>'klasifikasi akun'!B5</f>
        <v>kas</v>
      </c>
    </row>
    <row r="14" spans="1:10" x14ac:dyDescent="0.25">
      <c r="D14" s="67"/>
      <c r="E14" t="str">
        <f>'rekening perkiraan'!B11</f>
        <v>kas</v>
      </c>
      <c r="G14" s="22">
        <f>SUM('BUKU BESAR'!Q8+'BUKU BESAR'!Q14+'BUKU BESAR'!Q24+'BUKU BESAR'!Q37+'BUKU BESAR'!Q42+'BUKU BESAR'!Q55-'BUKU BESAR'!R82-'BUKU BESAR'!R88+'BUKU BESAR'!Q100+'BUKU BESAR'!Q129-'BUKU BESAR'!R153)</f>
        <v>-4608040000</v>
      </c>
    </row>
    <row r="15" spans="1:10" x14ac:dyDescent="0.25">
      <c r="D15" s="67"/>
      <c r="E15" t="str">
        <f>'rekening perkiraan'!B17</f>
        <v>kas (USD)</v>
      </c>
      <c r="G15" s="22">
        <v>0</v>
      </c>
    </row>
    <row r="16" spans="1:10" x14ac:dyDescent="0.25">
      <c r="D16" s="68" t="s">
        <v>1507</v>
      </c>
      <c r="G16" s="22">
        <f>SUM(G14:G15)</f>
        <v>-4608040000</v>
      </c>
    </row>
    <row r="17" spans="4:7" x14ac:dyDescent="0.25">
      <c r="D17" s="67" t="str">
        <f>'klasifikasi akun'!B6</f>
        <v>bank</v>
      </c>
    </row>
    <row r="18" spans="4:7" x14ac:dyDescent="0.25">
      <c r="D18" s="67"/>
      <c r="E18" t="str">
        <f>'rekening perkiraan'!B8</f>
        <v>bank</v>
      </c>
      <c r="G18" s="22">
        <f>SUM('BUKU BESAR'!Q10-'BUKU BESAR'!R12-'BUKU BESAR'!R18+'BUKU BESAR'!Q22-'BUKU BESAR'!R26+'BUKU BESAR'!Q30-'BUKU BESAR'!R34-'BUKU BESAR'!R36+'BUKU BESAR'!Q43+'BUKU BESAR'!Q59-'BUKU BESAR'!R66-'BUKU BESAR'!R78-'BUKU BESAR'!R91-'BUKU BESAR'!R95-'BUKU BESAR'!R145-'BUKU BESAR'!R147)</f>
        <v>-131000000</v>
      </c>
    </row>
    <row r="19" spans="4:7" x14ac:dyDescent="0.25">
      <c r="D19" s="67"/>
      <c r="E19" t="str">
        <f>'rekening perkiraan'!B16</f>
        <v>bank (USD)</v>
      </c>
    </row>
    <row r="20" spans="4:7" x14ac:dyDescent="0.25">
      <c r="D20" s="68" t="s">
        <v>1508</v>
      </c>
      <c r="G20" s="22">
        <f>SUM(G18:G19)</f>
        <v>-131000000</v>
      </c>
    </row>
    <row r="21" spans="4:7" x14ac:dyDescent="0.25">
      <c r="D21" s="67" t="str">
        <f>'klasifikasi akun'!B7</f>
        <v>piutang dagang</v>
      </c>
    </row>
    <row r="22" spans="4:7" x14ac:dyDescent="0.25">
      <c r="D22" s="67"/>
      <c r="E22" t="str">
        <f>'rekening perkiraan'!B9</f>
        <v>piutang usaha</v>
      </c>
      <c r="G22" s="22">
        <f>SUM(-'BUKU BESAR'!R25+'BUKU BESAR'!Q27-'BUKU BESAR'!R29+'BUKU BESAR'!Q33-'BUKU BESAR'!R44+'BUKU BESAR'!Q49+'BUKU BESAR'!Q54-'BUKU BESAR'!R56-'BUKU BESAR'!R58-'BUKU BESAR'!R65+'BUKU BESAR'!Q67+'BUKU BESAR'!Q109+'BUKU BESAR'!Q119+'BUKU BESAR'!Q136+'BUKU BESAR'!Q144)</f>
        <v>41000000</v>
      </c>
    </row>
    <row r="23" spans="4:7" x14ac:dyDescent="0.25">
      <c r="D23" s="67"/>
      <c r="E23" t="str">
        <f>'rekening perkiraan'!B14</f>
        <v>piutang usaha (USD)</v>
      </c>
      <c r="G23" s="22">
        <f>SUM('BUKU BESAR'!Q124)</f>
        <v>6600000</v>
      </c>
    </row>
    <row r="24" spans="4:7" x14ac:dyDescent="0.25">
      <c r="D24" s="67"/>
      <c r="E24" t="str">
        <f>'rekening perkiraan'!B12</f>
        <v>uang muka pembelian</v>
      </c>
      <c r="G24" s="22">
        <v>0</v>
      </c>
    </row>
    <row r="25" spans="4:7" x14ac:dyDescent="0.25">
      <c r="D25" s="67"/>
      <c r="E25" t="str">
        <f>'rekening perkiraan'!B18</f>
        <v>uang muka pembelian (USD)</v>
      </c>
      <c r="G25" s="22">
        <v>0</v>
      </c>
    </row>
    <row r="26" spans="4:7" x14ac:dyDescent="0.25">
      <c r="D26" s="67"/>
      <c r="E26" t="str">
        <f>'rekening perkiraan'!B26</f>
        <v>piutang giro</v>
      </c>
      <c r="G26" s="22">
        <f>SUM('BUKU BESAR'!Q20-'BUKU BESAR'!R23+'BUKU BESAR'!Q28-'BUKU BESAR'!R31-'BUKU BESAR'!R80+'BUKU BESAR'!Q83)</f>
        <v>0</v>
      </c>
    </row>
    <row r="27" spans="4:7" x14ac:dyDescent="0.25">
      <c r="D27" s="68" t="s">
        <v>1509</v>
      </c>
      <c r="G27" s="22">
        <f>SUM(G22:G26)</f>
        <v>47600000</v>
      </c>
    </row>
    <row r="28" spans="4:7" x14ac:dyDescent="0.25">
      <c r="D28" s="67" t="str">
        <f>'klasifikasi akun'!B15</f>
        <v>persediaan</v>
      </c>
    </row>
    <row r="29" spans="4:7" x14ac:dyDescent="0.25">
      <c r="D29" s="67"/>
      <c r="E29" t="str">
        <f>'rekening perkiraan'!B5</f>
        <v>persediaan 1</v>
      </c>
      <c r="G29" s="22">
        <f>SUM(-'BUKU BESAR'!R40-'BUKU BESAR'!R47-'BUKU BESAR'!R52+'BUKU BESAR'!Q63+'BUKU BESAR'!Q68+'BUKU BESAR'!Q70+'BUKU BESAR'!Q84+'BUKU BESAR'!Q89+'BUKU BESAR'!Q92-'BUKU BESAR'!R97-'BUKU BESAR'!R102+'BUKU BESAR'!Q110-'BUKU BESAR'!R113-'BUKU BESAR'!R122-'BUKU BESAR'!R127-'BUKU BESAR'!R134+'BUKU BESAR'!Q137-'BUKU BESAR'!R149+'BUKU BESAR'!Q150-'BUKU BESAR'!R151)</f>
        <v>138773809.52380952</v>
      </c>
    </row>
    <row r="30" spans="4:7" x14ac:dyDescent="0.25">
      <c r="D30" s="67"/>
      <c r="E30" t="str">
        <f>'rekening perkiraan'!B6</f>
        <v>persediaan dalam perjalanan beli</v>
      </c>
      <c r="G30" s="22">
        <f>SUM(-'BUKU BESAR'!R69-'BUKU BESAR'!R71+'BUKU BESAR'!Q72+'BUKU BESAR'!Q75-'BUKU BESAR'!R121)</f>
        <v>-6000000</v>
      </c>
    </row>
    <row r="31" spans="4:7" x14ac:dyDescent="0.25">
      <c r="D31" s="67"/>
      <c r="E31" t="str">
        <f>'rekening perkiraan'!B7</f>
        <v>persediaan dalam perjalanan jual</v>
      </c>
      <c r="G31" s="22">
        <f>SUM('BUKU BESAR'!Q103-'BUKU BESAR'!R106+'BUKU BESAR'!Q114-'BUKU BESAR'!R117)</f>
        <v>4560532.6876513306</v>
      </c>
    </row>
    <row r="32" spans="4:7" x14ac:dyDescent="0.25">
      <c r="D32" s="68" t="s">
        <v>1510</v>
      </c>
      <c r="G32" s="22">
        <f>SUM(G29:G31)</f>
        <v>137334342.21146086</v>
      </c>
    </row>
    <row r="33" spans="3:7" x14ac:dyDescent="0.25">
      <c r="D33" s="67" t="str">
        <f>'klasifikasi akun'!B20</f>
        <v>biaya dibayar dimuka</v>
      </c>
    </row>
    <row r="34" spans="3:7" x14ac:dyDescent="0.25">
      <c r="D34" s="67"/>
      <c r="E34" t="str">
        <f>'rekening perkiraan'!B20</f>
        <v>pajak dibayar dimuka</v>
      </c>
      <c r="G34" s="22">
        <f>SUM(-'BUKU BESAR'!R41-'BUKU BESAR'!R48-'BUKU BESAR'!R53+'BUKU BESAR'!Q64+'BUKU BESAR'!Q73+'BUKU BESAR'!Q76+'BUKU BESAR'!Q85+'BUKU BESAR'!Q90+'BUKU BESAR'!Q93-'BUKU BESAR'!R98-'BUKU BESAR'!R108+'BUKU BESAR'!Q111-'BUKU BESAR'!R118-'BUKU BESAR'!R123-'BUKU BESAR'!R128-'BUKU BESAR'!R135+'BUKU BESAR'!Q138-'BUKU BESAR'!R143)</f>
        <v>9755000</v>
      </c>
    </row>
    <row r="35" spans="3:7" x14ac:dyDescent="0.25">
      <c r="D35" s="68" t="s">
        <v>782</v>
      </c>
      <c r="G35" s="22">
        <f>SUM(G34)</f>
        <v>9755000</v>
      </c>
    </row>
    <row r="36" spans="3:7" x14ac:dyDescent="0.25">
      <c r="D36" s="67" t="str">
        <f>'klasifikasi akun'!B24</f>
        <v>harta tetap berwujud</v>
      </c>
    </row>
    <row r="37" spans="3:7" x14ac:dyDescent="0.25">
      <c r="D37" s="67"/>
      <c r="E37" t="str">
        <f>'rekening perkiraan'!B29</f>
        <v>kendaraan</v>
      </c>
      <c r="G37" s="22">
        <v>0</v>
      </c>
    </row>
    <row r="38" spans="3:7" x14ac:dyDescent="0.25">
      <c r="D38" s="67"/>
      <c r="E38" t="str">
        <f>'rekening perkiraan'!B30</f>
        <v>akumulasi penyusutan kendaraan</v>
      </c>
      <c r="G38" s="22">
        <v>0</v>
      </c>
    </row>
    <row r="39" spans="3:7" x14ac:dyDescent="0.25">
      <c r="D39" s="67"/>
      <c r="E39" t="str">
        <f>'rekening perkiraan'!B32</f>
        <v>bangunan</v>
      </c>
      <c r="G39" s="22">
        <v>0</v>
      </c>
    </row>
    <row r="40" spans="3:7" x14ac:dyDescent="0.25">
      <c r="D40" s="67"/>
      <c r="E40" t="str">
        <f>'rekening perkiraan'!B33</f>
        <v>akumulasi penyusutan bangunan</v>
      </c>
      <c r="G40" s="22">
        <v>0</v>
      </c>
    </row>
    <row r="41" spans="3:7" x14ac:dyDescent="0.25">
      <c r="D41" s="68" t="s">
        <v>784</v>
      </c>
      <c r="G41" s="22">
        <f>SUM(G37:G40)</f>
        <v>0</v>
      </c>
    </row>
    <row r="42" spans="3:7" x14ac:dyDescent="0.25">
      <c r="D42" s="67" t="str">
        <f>'klasifikasi akun'!B26</f>
        <v>harta tetap tidak berwujud</v>
      </c>
    </row>
    <row r="43" spans="3:7" x14ac:dyDescent="0.25">
      <c r="D43" s="68" t="s">
        <v>1511</v>
      </c>
      <c r="G43" s="22">
        <v>0</v>
      </c>
    </row>
    <row r="44" spans="3:7" x14ac:dyDescent="0.25">
      <c r="D44" s="67" t="str">
        <f>'klasifikasi akun'!B28</f>
        <v>harta lainnya</v>
      </c>
    </row>
    <row r="45" spans="3:7" x14ac:dyDescent="0.25">
      <c r="D45" s="68" t="s">
        <v>1512</v>
      </c>
      <c r="G45" s="22">
        <v>0</v>
      </c>
    </row>
    <row r="46" spans="3:7" x14ac:dyDescent="0.25">
      <c r="D46" s="67" t="str">
        <f>'klasifikasi akun'!B59</f>
        <v>investasi jangka panjang</v>
      </c>
    </row>
    <row r="47" spans="3:7" x14ac:dyDescent="0.25">
      <c r="D47" s="68" t="s">
        <v>783</v>
      </c>
      <c r="G47" s="22">
        <v>0</v>
      </c>
    </row>
    <row r="48" spans="3:7" x14ac:dyDescent="0.25">
      <c r="C48" s="74" t="s">
        <v>1518</v>
      </c>
      <c r="D48" s="68"/>
      <c r="G48" s="75">
        <f>SUM(G16,G20,G27,G32,G35,G41,G43,G45,G47)</f>
        <v>-4544350657.7885389</v>
      </c>
    </row>
    <row r="49" spans="2:7" x14ac:dyDescent="0.25">
      <c r="D49" s="68"/>
    </row>
    <row r="50" spans="2:7" x14ac:dyDescent="0.25">
      <c r="B50" s="65"/>
      <c r="C50" s="66" t="s">
        <v>780</v>
      </c>
      <c r="D50" s="69"/>
      <c r="G50" s="26"/>
    </row>
    <row r="51" spans="2:7" x14ac:dyDescent="0.25">
      <c r="C51" s="66"/>
      <c r="D51" s="67" t="str">
        <f>'klasifikasi akun'!B18</f>
        <v>hutang lancar</v>
      </c>
      <c r="E51" s="284"/>
    </row>
    <row r="52" spans="2:7" x14ac:dyDescent="0.25">
      <c r="C52" s="66"/>
      <c r="D52" s="67"/>
      <c r="E52" s="284" t="str">
        <f>'rekening perkiraan'!B10</f>
        <v>hutang usaha</v>
      </c>
      <c r="G52" s="22">
        <f>SUM(-'BUKU BESAR'!Q3-'BUKU BESAR'!Q5-'BUKU BESAR'!Q7+'BUKU BESAR'!R9+'BUKU BESAR'!R11-'BUKU BESAR'!Q13+'BUKU BESAR'!R15-'BUKU BESAR'!Q17+'BUKU BESAR'!R21+'BUKU BESAR'!R74+'BUKU BESAR'!R77-'BUKU BESAR'!Q79-'BUKU BESAR'!Q81+'BUKU BESAR'!R94-'BUKU BESAR'!Q96-'BUKU BESAR'!Q99+'BUKU BESAR'!R101+'BUKU BESAR'!R112+'BUKU BESAR'!R139)</f>
        <v>28805000</v>
      </c>
    </row>
    <row r="53" spans="2:7" x14ac:dyDescent="0.25">
      <c r="C53" s="66"/>
      <c r="D53" s="67"/>
      <c r="E53" s="284" t="str">
        <f>'rekening perkiraan'!B15</f>
        <v>hutang usaha (USD)</v>
      </c>
      <c r="G53" s="22">
        <v>0</v>
      </c>
    </row>
    <row r="54" spans="2:7" x14ac:dyDescent="0.25">
      <c r="C54" s="66"/>
      <c r="D54" s="67"/>
      <c r="E54" s="284" t="str">
        <f>'rekening perkiraan'!B13</f>
        <v>uang muka penjualan</v>
      </c>
      <c r="G54" s="22">
        <v>0</v>
      </c>
    </row>
    <row r="55" spans="2:7" x14ac:dyDescent="0.25">
      <c r="C55" s="66"/>
      <c r="D55" s="67"/>
      <c r="E55" s="284" t="str">
        <f>'rekening perkiraan'!B19</f>
        <v>uang muka penjualan (USD)</v>
      </c>
      <c r="G55" s="22">
        <v>0</v>
      </c>
    </row>
    <row r="56" spans="2:7" x14ac:dyDescent="0.25">
      <c r="C56" s="66"/>
      <c r="D56" s="67"/>
      <c r="E56" s="284" t="str">
        <f>'rekening perkiraan'!B21</f>
        <v>hutang pajak penjualan</v>
      </c>
      <c r="G56" s="22">
        <v>0</v>
      </c>
    </row>
    <row r="57" spans="2:7" x14ac:dyDescent="0.25">
      <c r="C57" s="66"/>
      <c r="D57" s="67"/>
      <c r="E57" t="str">
        <f>'rekening perkiraan'!B22</f>
        <v>hutang bunga</v>
      </c>
      <c r="G57" s="22">
        <v>0</v>
      </c>
    </row>
    <row r="58" spans="2:7" x14ac:dyDescent="0.25">
      <c r="C58" s="66"/>
      <c r="D58" s="67"/>
      <c r="E58" t="str">
        <f>'rekening perkiraan'!B23</f>
        <v>kartu kredit</v>
      </c>
      <c r="G58" s="22">
        <f>SUM(-'BUKU BESAR'!Q87)</f>
        <v>-10000</v>
      </c>
    </row>
    <row r="59" spans="2:7" x14ac:dyDescent="0.25">
      <c r="C59" s="66"/>
      <c r="D59" s="67"/>
      <c r="E59" t="str">
        <f>'rekening perkiraan'!B24</f>
        <v>hutang konsinyasi</v>
      </c>
      <c r="G59" s="22">
        <f>SUM('BUKU BESAR'!R142)</f>
        <v>10000000</v>
      </c>
    </row>
    <row r="60" spans="2:7" x14ac:dyDescent="0.25">
      <c r="C60" s="66"/>
      <c r="D60" s="67"/>
      <c r="E60" t="str">
        <f>'rekening perkiraan'!B27</f>
        <v>hutang giro</v>
      </c>
      <c r="G60" s="22">
        <f>SUM('BUKU BESAR'!R16-'BUKU BESAR'!Q19+'BUKU BESAR'!R32-'BUKU BESAR'!Q35-'BUKU BESAR'!Q57+'BUKU BESAR'!R60)</f>
        <v>0</v>
      </c>
    </row>
    <row r="61" spans="2:7" x14ac:dyDescent="0.25">
      <c r="C61" s="66"/>
      <c r="D61" s="67"/>
      <c r="E61" t="str">
        <f>'rekening perkiraan'!B28</f>
        <v>gaji</v>
      </c>
      <c r="G61" s="22">
        <f>SUM(-'BUKU BESAR'!Q146-'BUKU BESAR'!Q148)</f>
        <v>-8050000</v>
      </c>
    </row>
    <row r="62" spans="2:7" x14ac:dyDescent="0.25">
      <c r="C62" s="66"/>
      <c r="D62" s="68" t="s">
        <v>1513</v>
      </c>
      <c r="G62" s="22">
        <f>SUM(G52:G61)</f>
        <v>30745000</v>
      </c>
    </row>
    <row r="63" spans="2:7" x14ac:dyDescent="0.25">
      <c r="C63" s="66"/>
      <c r="D63" s="67" t="str">
        <f>'klasifikasi akun'!B45</f>
        <v>pendapatan yg diterima dimuka</v>
      </c>
    </row>
    <row r="64" spans="2:7" x14ac:dyDescent="0.25">
      <c r="C64" s="66"/>
      <c r="D64" s="68" t="s">
        <v>1514</v>
      </c>
      <c r="G64" s="22">
        <v>0</v>
      </c>
    </row>
    <row r="65" spans="2:7" x14ac:dyDescent="0.25">
      <c r="C65" s="66"/>
      <c r="D65" s="67" t="str">
        <f>'klasifikasi akun'!B47</f>
        <v>hutang jangka panjang</v>
      </c>
    </row>
    <row r="66" spans="2:7" x14ac:dyDescent="0.25">
      <c r="C66" s="66"/>
      <c r="D66" s="68" t="s">
        <v>1515</v>
      </c>
      <c r="G66" s="22">
        <v>0</v>
      </c>
    </row>
    <row r="67" spans="2:7" x14ac:dyDescent="0.25">
      <c r="C67" s="72" t="s">
        <v>1519</v>
      </c>
      <c r="D67" s="68"/>
      <c r="G67" s="73">
        <f>SUM(G62,G64,G66)</f>
        <v>30745000</v>
      </c>
    </row>
    <row r="68" spans="2:7" x14ac:dyDescent="0.25">
      <c r="C68" s="66"/>
      <c r="D68" s="68"/>
    </row>
    <row r="69" spans="2:7" x14ac:dyDescent="0.25">
      <c r="B69" s="65"/>
      <c r="C69" s="66" t="s">
        <v>781</v>
      </c>
      <c r="D69" s="67"/>
      <c r="G69" s="26"/>
    </row>
    <row r="70" spans="2:7" x14ac:dyDescent="0.25">
      <c r="C70" s="66"/>
      <c r="D70" s="67" t="str">
        <f>'klasifikasi akun'!B48</f>
        <v>modal</v>
      </c>
    </row>
    <row r="71" spans="2:7" x14ac:dyDescent="0.25">
      <c r="C71" s="66"/>
      <c r="D71" s="68" t="s">
        <v>1516</v>
      </c>
      <c r="G71" s="22">
        <v>0</v>
      </c>
    </row>
    <row r="72" spans="2:7" x14ac:dyDescent="0.25">
      <c r="C72" s="66"/>
      <c r="D72" s="67" t="str">
        <f>'klasifikasi akun'!B50</f>
        <v>laba</v>
      </c>
    </row>
    <row r="73" spans="2:7" x14ac:dyDescent="0.25">
      <c r="C73" s="43"/>
      <c r="D73" s="67"/>
      <c r="E73" t="str">
        <f>'rekening perkiraan'!B37</f>
        <v>laba tahun berjalan</v>
      </c>
      <c r="G73" s="37">
        <f>SUM(LabaRugi!G53)</f>
        <v>27284342.211460859</v>
      </c>
    </row>
    <row r="74" spans="2:7" x14ac:dyDescent="0.25">
      <c r="D74" s="67"/>
      <c r="E74" t="str">
        <f>'rekening perkiraan'!B38</f>
        <v>laba ditahan</v>
      </c>
      <c r="G74" s="22">
        <v>0</v>
      </c>
    </row>
    <row r="75" spans="2:7" x14ac:dyDescent="0.25">
      <c r="C75" s="43"/>
      <c r="D75" s="68" t="s">
        <v>1517</v>
      </c>
      <c r="G75" s="22">
        <f>SUM(G73:G74)</f>
        <v>27284342.211460859</v>
      </c>
    </row>
    <row r="76" spans="2:7" x14ac:dyDescent="0.25">
      <c r="C76" s="72" t="s">
        <v>1520</v>
      </c>
      <c r="G76" s="73">
        <f>SUM(G71,G75)</f>
        <v>27284342.211460859</v>
      </c>
    </row>
    <row r="78" spans="2:7" x14ac:dyDescent="0.25">
      <c r="C78" s="76" t="s">
        <v>1521</v>
      </c>
      <c r="G78" s="76">
        <f>SUM(G67,G76)</f>
        <v>58029342.211460859</v>
      </c>
    </row>
  </sheetData>
  <mergeCells count="4">
    <mergeCell ref="C5:G6"/>
    <mergeCell ref="C7:G8"/>
    <mergeCell ref="C9:G9"/>
    <mergeCell ref="A1:G4"/>
  </mergeCells>
  <pageMargins left="0.7" right="0.7" top="0.75" bottom="0.75" header="0.3" footer="0.3"/>
  <pageSetup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J10"/>
  <sheetViews>
    <sheetView workbookViewId="0">
      <selection activeCell="B1" sqref="B1"/>
    </sheetView>
  </sheetViews>
  <sheetFormatPr defaultColWidth="9.140625" defaultRowHeight="15" x14ac:dyDescent="0.25"/>
  <cols>
    <col min="1" max="1" width="13.42578125" style="1" bestFit="1" customWidth="1"/>
    <col min="2" max="2" width="9.7109375" style="1" bestFit="1" customWidth="1"/>
    <col min="3" max="3" width="12" style="1" bestFit="1" customWidth="1"/>
    <col min="4" max="5" width="16.85546875" style="1" bestFit="1" customWidth="1"/>
    <col min="6" max="6" width="12" style="1" bestFit="1" customWidth="1"/>
    <col min="7" max="7" width="28.42578125" style="1" bestFit="1" customWidth="1"/>
    <col min="8" max="8" width="31.140625" style="1" bestFit="1" customWidth="1"/>
    <col min="9" max="9" width="14" style="1" bestFit="1" customWidth="1"/>
    <col min="10" max="10" width="9.7109375" style="1" bestFit="1" customWidth="1"/>
    <col min="11" max="16384" width="9.140625" style="1"/>
  </cols>
  <sheetData>
    <row r="1" spans="1:10" x14ac:dyDescent="0.25">
      <c r="A1" s="1" t="s">
        <v>672</v>
      </c>
      <c r="B1" s="1" t="s">
        <v>394</v>
      </c>
      <c r="C1" s="1" t="s">
        <v>155</v>
      </c>
      <c r="D1" s="1" t="s">
        <v>157</v>
      </c>
      <c r="E1" s="1" t="s">
        <v>158</v>
      </c>
      <c r="F1" s="1" t="s">
        <v>162</v>
      </c>
      <c r="G1" s="1" t="s">
        <v>166</v>
      </c>
      <c r="H1" s="1" t="s">
        <v>174</v>
      </c>
      <c r="I1" s="1" t="s">
        <v>178</v>
      </c>
      <c r="J1" s="1" t="s">
        <v>190</v>
      </c>
    </row>
    <row r="2" spans="1:10" x14ac:dyDescent="0.25">
      <c r="A2" s="1">
        <v>1</v>
      </c>
      <c r="B2" s="1">
        <f>kontak!A3</f>
        <v>1</v>
      </c>
      <c r="C2" s="1" t="str">
        <f>kontak!C3</f>
        <v>pelanggan</v>
      </c>
      <c r="D2" s="1" t="str">
        <f>kontak!E3</f>
        <v>karyawan</v>
      </c>
      <c r="E2" s="1" t="str">
        <f>kontak!G3</f>
        <v>dimas dhaniarso</v>
      </c>
      <c r="F2" s="1">
        <f>kontak!K3</f>
        <v>81273845323</v>
      </c>
      <c r="G2" s="1" t="str">
        <f>kontak!O3</f>
        <v>dhadan33@gmail.com</v>
      </c>
      <c r="H2" s="1" t="str">
        <f>kontak!AE3</f>
        <v xml:space="preserve">jln. Tebet barat dalam IV D no. 24 </v>
      </c>
      <c r="I2" s="1" t="str">
        <f>kontak!AI3</f>
        <v>jakarta selatan</v>
      </c>
      <c r="J2" s="1" t="e">
        <f>kontak!#REF!</f>
        <v>#REF!</v>
      </c>
    </row>
    <row r="3" spans="1:10" x14ac:dyDescent="0.25">
      <c r="A3" s="1">
        <v>2</v>
      </c>
      <c r="B3" s="1">
        <f>kontak!A4</f>
        <v>2</v>
      </c>
      <c r="C3" s="1" t="str">
        <f>kontak!C4</f>
        <v>pelanggan</v>
      </c>
      <c r="D3" s="1" t="str">
        <f>kontak!E4</f>
        <v>karyawan</v>
      </c>
      <c r="E3" s="1" t="str">
        <f>kontak!G4</f>
        <v>yuli hendarto</v>
      </c>
      <c r="F3" s="1">
        <f>kontak!K4</f>
        <v>8551003553</v>
      </c>
      <c r="G3" s="1" t="str">
        <f>kontak!O4</f>
        <v>yuli_hendarto@yahoo.com</v>
      </c>
      <c r="H3" s="1" t="str">
        <f>kontak!AE4</f>
        <v>jln. Sersan bajuri raya no. 41</v>
      </c>
      <c r="I3" s="1" t="str">
        <f>kontak!AI4</f>
        <v>bandung</v>
      </c>
      <c r="J3" s="1" t="e">
        <f>kontak!#REF!</f>
        <v>#REF!</v>
      </c>
    </row>
    <row r="4" spans="1:10" x14ac:dyDescent="0.25">
      <c r="A4" s="1">
        <v>3</v>
      </c>
      <c r="B4" s="1">
        <f>kontak!A5</f>
        <v>3</v>
      </c>
      <c r="C4" s="1" t="str">
        <f>kontak!C5</f>
        <v>pelanggan</v>
      </c>
      <c r="D4" s="1" t="str">
        <f>kontak!E5</f>
        <v>karyawan</v>
      </c>
      <c r="E4" s="1" t="str">
        <f>kontak!G5</f>
        <v>rahmat handono</v>
      </c>
      <c r="F4" s="1">
        <f>kontak!K5</f>
        <v>8551434991</v>
      </c>
      <c r="G4" s="1" t="str">
        <f>kontak!O5</f>
        <v>rahmat.ph@gmail.com</v>
      </c>
      <c r="H4" s="1" t="str">
        <f>kontak!AE5</f>
        <v>jln. Jendral A rivai no. 56</v>
      </c>
      <c r="I4" s="1" t="str">
        <f>kontak!AI5</f>
        <v>palembang</v>
      </c>
      <c r="J4" s="1" t="e">
        <f>kontak!#REF!</f>
        <v>#REF!</v>
      </c>
    </row>
    <row r="5" spans="1:10" x14ac:dyDescent="0.25">
      <c r="A5" s="1">
        <v>4</v>
      </c>
      <c r="B5" s="1">
        <f>kontak!A6</f>
        <v>4</v>
      </c>
      <c r="C5" s="1" t="str">
        <f>kontak!C6</f>
        <v>employee</v>
      </c>
      <c r="D5" s="1" t="str">
        <f>kontak!E6</f>
        <v>staff</v>
      </c>
      <c r="E5" s="1" t="str">
        <f>kontak!G6</f>
        <v>dea fitri maharani</v>
      </c>
      <c r="F5" s="1">
        <f>kontak!K6</f>
        <v>8121328297</v>
      </c>
      <c r="G5" s="1" t="str">
        <f>kontak!O6</f>
        <v>maharani.deafitri@yahoo.com</v>
      </c>
      <c r="H5" s="1" t="str">
        <f>kontak!AE6</f>
        <v>jln. Tebet barat dalam IV D no. 25</v>
      </c>
      <c r="I5" s="1" t="str">
        <f>kontak!AI6</f>
        <v>jakarta selatan</v>
      </c>
      <c r="J5" s="1" t="e">
        <f>kontak!#REF!</f>
        <v>#REF!</v>
      </c>
    </row>
    <row r="6" spans="1:10" x14ac:dyDescent="0.25">
      <c r="A6" s="1">
        <v>5</v>
      </c>
      <c r="B6" s="1">
        <f>kontak!A7</f>
        <v>5</v>
      </c>
      <c r="C6" s="1" t="str">
        <f>kontak!C7</f>
        <v>employee</v>
      </c>
      <c r="D6" s="1" t="str">
        <f>kontak!E7</f>
        <v>staff</v>
      </c>
      <c r="E6" s="1" t="str">
        <f>kontak!G7</f>
        <v>gisela tria canitha</v>
      </c>
      <c r="F6" s="1">
        <f>kontak!K7</f>
        <v>81298555284</v>
      </c>
      <c r="G6" s="1" t="str">
        <f>kontak!O7</f>
        <v>giselatria91@yahoo.com</v>
      </c>
      <c r="H6" s="1" t="str">
        <f>kontak!AE7</f>
        <v>jln. Bunga mawar no 41</v>
      </c>
      <c r="I6" s="1" t="str">
        <f>kontak!AI7</f>
        <v>jakarta timur</v>
      </c>
      <c r="J6" s="1" t="e">
        <f>kontak!#REF!</f>
        <v>#REF!</v>
      </c>
    </row>
    <row r="7" spans="1:10" x14ac:dyDescent="0.25">
      <c r="A7" s="1">
        <v>6</v>
      </c>
      <c r="B7" s="1">
        <f>kontak!A8</f>
        <v>6</v>
      </c>
      <c r="C7" s="1" t="str">
        <f>kontak!C8</f>
        <v>employee</v>
      </c>
      <c r="D7" s="1" t="str">
        <f>kontak!E8</f>
        <v>manager</v>
      </c>
      <c r="E7" s="1" t="str">
        <f>kontak!G8</f>
        <v>yusril</v>
      </c>
      <c r="F7" s="1">
        <f>kontak!K8</f>
        <v>81290559181</v>
      </c>
      <c r="G7" s="1" t="str">
        <f>kontak!O8</f>
        <v>yusril@gmail.com</v>
      </c>
      <c r="H7" s="1" t="str">
        <f>kontak!AE8</f>
        <v>jln. Bekasi no 12</v>
      </c>
      <c r="I7" s="1" t="str">
        <f>kontak!AI8</f>
        <v>bekasi</v>
      </c>
      <c r="J7" s="1" t="e">
        <f>kontak!#REF!</f>
        <v>#REF!</v>
      </c>
    </row>
    <row r="8" spans="1:10" x14ac:dyDescent="0.25">
      <c r="A8" s="1">
        <v>7</v>
      </c>
      <c r="B8" s="1">
        <f>kontak!A9</f>
        <v>7</v>
      </c>
      <c r="C8" s="1" t="str">
        <f>kontak!C9</f>
        <v>vendor</v>
      </c>
      <c r="D8" s="1" t="str">
        <f>kontak!E9</f>
        <v>pegawai</v>
      </c>
      <c r="E8" s="1" t="str">
        <f>kontak!G9</f>
        <v>djayakusuma</v>
      </c>
      <c r="F8" s="1">
        <f>kontak!K9</f>
        <v>8170175139</v>
      </c>
      <c r="G8" s="1" t="str">
        <f>kontak!O9</f>
        <v>djayakusuma@gmail.com</v>
      </c>
      <c r="H8" s="1" t="str">
        <f>kontak!AE9</f>
        <v>jln. Bungur no. 21</v>
      </c>
      <c r="I8" s="1" t="str">
        <f>kontak!AI9</f>
        <v>jakarta barat</v>
      </c>
      <c r="J8" s="1" t="e">
        <f>kontak!#REF!</f>
        <v>#REF!</v>
      </c>
    </row>
    <row r="9" spans="1:10" x14ac:dyDescent="0.25">
      <c r="A9" s="1">
        <v>8</v>
      </c>
      <c r="B9" s="1">
        <f>kontak!A10</f>
        <v>8</v>
      </c>
      <c r="C9" s="1" t="str">
        <f>kontak!C10</f>
        <v>vendor</v>
      </c>
      <c r="D9" s="1" t="str">
        <f>kontak!E10</f>
        <v>pegawai</v>
      </c>
      <c r="E9" s="1" t="str">
        <f>kontak!G10</f>
        <v>dodi kusuma</v>
      </c>
      <c r="F9" s="1">
        <f>kontak!K10</f>
        <v>217229385</v>
      </c>
      <c r="G9" s="1" t="str">
        <f>kontak!O10</f>
        <v>dodikusuma@yahoo.co.id</v>
      </c>
      <c r="H9" s="1" t="str">
        <f>kontak!AE10</f>
        <v>jln. Komplek timah no. 14</v>
      </c>
      <c r="I9" s="1" t="str">
        <f>kontak!AI10</f>
        <v>jakarta barat</v>
      </c>
      <c r="J9" s="1" t="e">
        <f>kontak!#REF!</f>
        <v>#REF!</v>
      </c>
    </row>
    <row r="10" spans="1:10" x14ac:dyDescent="0.25">
      <c r="A10" s="1">
        <v>9</v>
      </c>
      <c r="B10" s="1">
        <f>kontak!A11</f>
        <v>9</v>
      </c>
      <c r="C10" s="1" t="str">
        <f>kontak!C11</f>
        <v>vendor</v>
      </c>
      <c r="D10" s="1" t="str">
        <f>kontak!E11</f>
        <v>pegawai</v>
      </c>
      <c r="E10" s="1" t="str">
        <f>kontak!G11</f>
        <v>supriatna</v>
      </c>
      <c r="F10" s="1">
        <f>kontak!K11</f>
        <v>218301433</v>
      </c>
      <c r="G10" s="1" t="str">
        <f>kontak!O11</f>
        <v>supriatna@rocketmail.com</v>
      </c>
      <c r="H10" s="1" t="str">
        <f>kontak!AE11</f>
        <v>jln. Tandu Raya no.3</v>
      </c>
      <c r="I10" s="1" t="str">
        <f>kontak!AI11</f>
        <v>depok</v>
      </c>
      <c r="J10" s="1" t="e">
        <f>kontak!#REF!</f>
        <v>#REF!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E36"/>
  <sheetViews>
    <sheetView zoomScale="160" zoomScaleNormal="160" workbookViewId="0">
      <selection activeCell="A12" sqref="A12"/>
    </sheetView>
  </sheetViews>
  <sheetFormatPr defaultColWidth="9.140625" defaultRowHeight="15" x14ac:dyDescent="0.25"/>
  <cols>
    <col min="1" max="1" width="15.28515625" style="1" bestFit="1" customWidth="1"/>
    <col min="2" max="2" width="73.7109375" style="1" bestFit="1" customWidth="1"/>
    <col min="3" max="3" width="12" style="1" bestFit="1" customWidth="1"/>
    <col min="4" max="4" width="19.7109375" style="1" bestFit="1" customWidth="1"/>
    <col min="5" max="5" width="16.85546875" style="1" bestFit="1" customWidth="1"/>
    <col min="6" max="6" width="11.85546875" style="1" bestFit="1" customWidth="1"/>
    <col min="7" max="7" width="16.85546875" style="1" bestFit="1" customWidth="1"/>
    <col min="8" max="10" width="12" style="1" bestFit="1" customWidth="1"/>
    <col min="11" max="11" width="14.42578125" style="1" bestFit="1" customWidth="1"/>
    <col min="12" max="14" width="20.42578125" style="1" bestFit="1" customWidth="1"/>
    <col min="15" max="15" width="32.28515625" style="1" bestFit="1" customWidth="1"/>
    <col min="16" max="18" width="11.42578125" style="1" bestFit="1" customWidth="1"/>
    <col min="19" max="19" width="9.28515625" style="1" bestFit="1" customWidth="1"/>
    <col min="20" max="22" width="13.42578125" style="1" bestFit="1" customWidth="1"/>
    <col min="23" max="23" width="11.7109375" style="1" bestFit="1" customWidth="1"/>
    <col min="24" max="24" width="10.42578125" style="1" bestFit="1" customWidth="1"/>
    <col min="25" max="25" width="11.85546875" style="1" bestFit="1" customWidth="1"/>
    <col min="26" max="26" width="9.140625" style="1" bestFit="1" customWidth="1"/>
    <col min="27" max="27" width="11.42578125" style="1" bestFit="1" customWidth="1"/>
    <col min="28" max="28" width="8.85546875" style="1" bestFit="1" customWidth="1"/>
    <col min="29" max="29" width="11.85546875" style="1" bestFit="1" customWidth="1"/>
    <col min="30" max="30" width="9.140625" style="1" bestFit="1" customWidth="1"/>
    <col min="31" max="31" width="31.140625" style="1" bestFit="1" customWidth="1"/>
    <col min="32" max="35" width="14" style="1" bestFit="1" customWidth="1"/>
    <col min="36" max="38" width="10.140625" style="1" bestFit="1" customWidth="1"/>
    <col min="39" max="39" width="13.140625" style="1" bestFit="1" customWidth="1"/>
    <col min="40" max="40" width="18.42578125" style="1" bestFit="1" customWidth="1"/>
    <col min="41" max="41" width="13.28515625" style="1" bestFit="1" customWidth="1"/>
    <col min="42" max="42" width="10.42578125" style="1" bestFit="1" customWidth="1"/>
    <col min="43" max="43" width="12.85546875" style="1" bestFit="1" customWidth="1"/>
    <col min="44" max="44" width="10.140625" style="1" bestFit="1" customWidth="1"/>
    <col min="45" max="45" width="13.28515625" style="1" bestFit="1" customWidth="1"/>
    <col min="46" max="46" width="10.42578125" style="1" bestFit="1" customWidth="1"/>
    <col min="47" max="47" width="11.42578125" style="1" bestFit="1" customWidth="1"/>
    <col min="48" max="50" width="14.42578125" style="1" bestFit="1" customWidth="1"/>
    <col min="51" max="51" width="15.140625" style="2" bestFit="1" customWidth="1"/>
    <col min="52" max="54" width="18.7109375" style="1" bestFit="1" customWidth="1"/>
    <col min="55" max="55" width="10.28515625" style="1" bestFit="1" customWidth="1"/>
    <col min="56" max="58" width="14.140625" style="1" bestFit="1" customWidth="1"/>
    <col min="59" max="59" width="14.7109375" style="1" bestFit="1" customWidth="1"/>
    <col min="60" max="60" width="18" style="1" bestFit="1" customWidth="1"/>
    <col min="61" max="61" width="11.85546875" style="1" bestFit="1" customWidth="1"/>
    <col min="62" max="62" width="15.140625" style="1" bestFit="1" customWidth="1"/>
    <col min="63" max="63" width="14.85546875" style="1" bestFit="1" customWidth="1"/>
    <col min="64" max="64" width="12" style="1" bestFit="1" customWidth="1"/>
    <col min="65" max="65" width="8.85546875" style="1" bestFit="1" customWidth="1"/>
    <col min="66" max="66" width="6.140625" style="1" bestFit="1" customWidth="1"/>
    <col min="67" max="67" width="9.85546875" style="1" bestFit="1" customWidth="1"/>
    <col min="68" max="68" width="7.140625" style="1" bestFit="1" customWidth="1"/>
    <col min="69" max="69" width="8" style="1" bestFit="1" customWidth="1"/>
    <col min="70" max="70" width="14.140625" style="1" bestFit="1" customWidth="1"/>
    <col min="71" max="71" width="13.28515625" style="1" bestFit="1" customWidth="1"/>
    <col min="72" max="72" width="19.28515625" style="1" bestFit="1" customWidth="1"/>
    <col min="73" max="73" width="20.42578125" style="1" bestFit="1" customWidth="1"/>
    <col min="74" max="74" width="13.140625" style="1" bestFit="1" customWidth="1"/>
    <col min="75" max="77" width="14.42578125" style="1" bestFit="1" customWidth="1"/>
    <col min="78" max="78" width="14" style="1" bestFit="1" customWidth="1"/>
    <col min="79" max="79" width="14.140625" style="1" bestFit="1" customWidth="1"/>
    <col min="80" max="80" width="13.85546875" style="1" bestFit="1" customWidth="1"/>
    <col min="81" max="81" width="14.140625" style="1" bestFit="1" customWidth="1"/>
    <col min="82" max="82" width="10.28515625" style="1" bestFit="1" customWidth="1"/>
    <col min="83" max="83" width="19.28515625" bestFit="1" customWidth="1"/>
    <col min="84" max="87" width="15.28515625" style="1" bestFit="1" customWidth="1"/>
    <col min="88" max="16384" width="9.140625" style="1"/>
  </cols>
  <sheetData>
    <row r="1" spans="1:83" s="44" customFormat="1" x14ac:dyDescent="0.25">
      <c r="B1" s="297" t="s">
        <v>963</v>
      </c>
      <c r="C1" s="297"/>
      <c r="D1" s="297" t="s">
        <v>1072</v>
      </c>
      <c r="E1" s="297"/>
      <c r="F1" s="44" t="s">
        <v>977</v>
      </c>
      <c r="G1" s="44" t="s">
        <v>978</v>
      </c>
      <c r="H1" s="44" t="s">
        <v>986</v>
      </c>
      <c r="I1" s="44" t="s">
        <v>987</v>
      </c>
      <c r="J1" s="44" t="s">
        <v>988</v>
      </c>
      <c r="K1" s="44" t="s">
        <v>979</v>
      </c>
      <c r="L1" s="44" t="s">
        <v>989</v>
      </c>
      <c r="M1" s="44" t="s">
        <v>990</v>
      </c>
      <c r="N1" s="44" t="s">
        <v>991</v>
      </c>
      <c r="O1" s="44" t="s">
        <v>980</v>
      </c>
      <c r="P1" s="44" t="s">
        <v>992</v>
      </c>
      <c r="Q1" s="44" t="s">
        <v>993</v>
      </c>
      <c r="R1" s="44" t="s">
        <v>994</v>
      </c>
      <c r="S1" s="44" t="s">
        <v>982</v>
      </c>
      <c r="T1" s="44" t="s">
        <v>995</v>
      </c>
      <c r="U1" s="44" t="s">
        <v>996</v>
      </c>
      <c r="V1" s="44" t="s">
        <v>997</v>
      </c>
      <c r="W1" s="297" t="s">
        <v>981</v>
      </c>
      <c r="X1" s="297"/>
      <c r="Y1" s="297" t="s">
        <v>1000</v>
      </c>
      <c r="Z1" s="297"/>
      <c r="AA1" s="297" t="s">
        <v>999</v>
      </c>
      <c r="AB1" s="297"/>
      <c r="AC1" s="297" t="s">
        <v>998</v>
      </c>
      <c r="AD1" s="297"/>
      <c r="AE1" s="44" t="s">
        <v>983</v>
      </c>
      <c r="AF1" s="44" t="s">
        <v>1024</v>
      </c>
      <c r="AG1" s="44" t="s">
        <v>1025</v>
      </c>
      <c r="AH1" s="44" t="s">
        <v>1026</v>
      </c>
      <c r="AI1" s="44" t="s">
        <v>984</v>
      </c>
      <c r="AJ1" s="44" t="s">
        <v>1027</v>
      </c>
      <c r="AK1" s="44" t="s">
        <v>1028</v>
      </c>
      <c r="AL1" s="44" t="s">
        <v>1029</v>
      </c>
      <c r="AM1" s="297" t="s">
        <v>985</v>
      </c>
      <c r="AN1" s="297"/>
      <c r="AO1" s="297" t="s">
        <v>1030</v>
      </c>
      <c r="AP1" s="297"/>
      <c r="AQ1" s="297" t="s">
        <v>1031</v>
      </c>
      <c r="AR1" s="297"/>
      <c r="AS1" s="297" t="s">
        <v>1032</v>
      </c>
      <c r="AT1" s="297"/>
      <c r="AU1" s="44" t="s">
        <v>1033</v>
      </c>
      <c r="AV1" s="44" t="s">
        <v>1034</v>
      </c>
      <c r="AW1" s="44" t="s">
        <v>1035</v>
      </c>
      <c r="AX1" s="44" t="s">
        <v>1036</v>
      </c>
      <c r="AY1" s="50" t="s">
        <v>1037</v>
      </c>
      <c r="AZ1" s="44" t="s">
        <v>1038</v>
      </c>
      <c r="BA1" s="44" t="s">
        <v>1039</v>
      </c>
      <c r="BB1" s="44" t="s">
        <v>1040</v>
      </c>
      <c r="BC1" s="44" t="s">
        <v>1001</v>
      </c>
      <c r="BD1" s="44" t="s">
        <v>1002</v>
      </c>
      <c r="BE1" s="44" t="s">
        <v>1003</v>
      </c>
      <c r="BF1" s="44" t="s">
        <v>1004</v>
      </c>
      <c r="BG1" s="297" t="s">
        <v>1005</v>
      </c>
      <c r="BH1" s="297"/>
      <c r="BI1" s="297" t="s">
        <v>1019</v>
      </c>
      <c r="BJ1" s="297"/>
      <c r="BK1" s="297" t="s">
        <v>1021</v>
      </c>
      <c r="BL1" s="297"/>
      <c r="BM1" s="297" t="s">
        <v>919</v>
      </c>
      <c r="BN1" s="297"/>
      <c r="BO1" s="297" t="s">
        <v>1023</v>
      </c>
      <c r="BP1" s="297"/>
      <c r="BQ1" s="44" t="s">
        <v>1006</v>
      </c>
      <c r="BR1" s="44" t="s">
        <v>1007</v>
      </c>
      <c r="BS1" s="44" t="s">
        <v>1008</v>
      </c>
      <c r="BT1" s="44" t="s">
        <v>1009</v>
      </c>
      <c r="BU1" s="44" t="s">
        <v>1069</v>
      </c>
      <c r="BV1" s="44" t="s">
        <v>1011</v>
      </c>
      <c r="BW1" s="44" t="s">
        <v>1012</v>
      </c>
      <c r="BX1" s="44" t="s">
        <v>1013</v>
      </c>
      <c r="BY1" s="44" t="s">
        <v>1014</v>
      </c>
      <c r="BZ1" s="44" t="s">
        <v>1015</v>
      </c>
      <c r="CA1" s="44" t="s">
        <v>1016</v>
      </c>
      <c r="CB1" s="44" t="s">
        <v>1017</v>
      </c>
      <c r="CC1" s="44" t="s">
        <v>1018</v>
      </c>
    </row>
    <row r="2" spans="1:83" x14ac:dyDescent="0.25">
      <c r="A2" s="1" t="s">
        <v>394</v>
      </c>
      <c r="B2" s="1" t="s">
        <v>154</v>
      </c>
      <c r="C2" s="1" t="s">
        <v>155</v>
      </c>
      <c r="D2" s="1" t="s">
        <v>156</v>
      </c>
      <c r="E2" s="1" t="s">
        <v>157</v>
      </c>
      <c r="F2" s="1" t="s">
        <v>976</v>
      </c>
      <c r="G2" s="1" t="s">
        <v>158</v>
      </c>
      <c r="H2" s="1" t="s">
        <v>159</v>
      </c>
      <c r="I2" s="1" t="s">
        <v>160</v>
      </c>
      <c r="J2" s="1" t="s">
        <v>161</v>
      </c>
      <c r="K2" s="1" t="s">
        <v>162</v>
      </c>
      <c r="L2" s="1" t="s">
        <v>163</v>
      </c>
      <c r="M2" s="1" t="s">
        <v>164</v>
      </c>
      <c r="N2" s="1" t="s">
        <v>165</v>
      </c>
      <c r="O2" s="1" t="s">
        <v>166</v>
      </c>
      <c r="P2" s="1" t="s">
        <v>167</v>
      </c>
      <c r="Q2" s="1" t="s">
        <v>168</v>
      </c>
      <c r="R2" s="1" t="s">
        <v>169</v>
      </c>
      <c r="S2" s="1" t="s">
        <v>170</v>
      </c>
      <c r="T2" s="1" t="s">
        <v>171</v>
      </c>
      <c r="U2" s="1" t="s">
        <v>172</v>
      </c>
      <c r="V2" s="1" t="s">
        <v>173</v>
      </c>
      <c r="W2" s="1" t="s">
        <v>1055</v>
      </c>
      <c r="X2" s="1" t="s">
        <v>190</v>
      </c>
      <c r="Y2" s="1" t="s">
        <v>1056</v>
      </c>
      <c r="Z2" s="1" t="s">
        <v>191</v>
      </c>
      <c r="AA2" s="1" t="s">
        <v>1057</v>
      </c>
      <c r="AB2" s="1" t="s">
        <v>192</v>
      </c>
      <c r="AC2" s="1" t="s">
        <v>1058</v>
      </c>
      <c r="AD2" s="1" t="s">
        <v>193</v>
      </c>
      <c r="AE2" s="1" t="s">
        <v>174</v>
      </c>
      <c r="AF2" s="1" t="s">
        <v>175</v>
      </c>
      <c r="AG2" s="1" t="s">
        <v>176</v>
      </c>
      <c r="AH2" s="1" t="s">
        <v>177</v>
      </c>
      <c r="AI2" s="1" t="s">
        <v>178</v>
      </c>
      <c r="AJ2" s="1" t="s">
        <v>179</v>
      </c>
      <c r="AK2" s="1" t="s">
        <v>180</v>
      </c>
      <c r="AL2" s="1" t="s">
        <v>181</v>
      </c>
      <c r="AM2" s="1" t="s">
        <v>1052</v>
      </c>
      <c r="AN2" s="1" t="s">
        <v>186</v>
      </c>
      <c r="AO2" s="1" t="s">
        <v>1051</v>
      </c>
      <c r="AP2" s="1" t="s">
        <v>187</v>
      </c>
      <c r="AQ2" s="1" t="s">
        <v>1053</v>
      </c>
      <c r="AR2" s="1" t="s">
        <v>188</v>
      </c>
      <c r="AS2" s="1" t="s">
        <v>1054</v>
      </c>
      <c r="AT2" s="1" t="s">
        <v>189</v>
      </c>
      <c r="AU2" s="1" t="s">
        <v>182</v>
      </c>
      <c r="AV2" s="1" t="s">
        <v>183</v>
      </c>
      <c r="AW2" s="1" t="s">
        <v>184</v>
      </c>
      <c r="AX2" s="1" t="s">
        <v>185</v>
      </c>
      <c r="AY2" s="2" t="s">
        <v>194</v>
      </c>
      <c r="AZ2" s="1" t="s">
        <v>195</v>
      </c>
      <c r="BA2" s="1" t="s">
        <v>196</v>
      </c>
      <c r="BB2" s="1" t="s">
        <v>197</v>
      </c>
      <c r="BC2" s="1" t="s">
        <v>882</v>
      </c>
      <c r="BD2" s="1" t="s">
        <v>883</v>
      </c>
      <c r="BE2" s="1" t="s">
        <v>884</v>
      </c>
      <c r="BF2" s="1" t="s">
        <v>885</v>
      </c>
      <c r="BG2" s="1" t="s">
        <v>1049</v>
      </c>
      <c r="BH2" s="1" t="s">
        <v>1050</v>
      </c>
      <c r="BI2" s="1" t="s">
        <v>887</v>
      </c>
      <c r="BJ2" s="1" t="s">
        <v>888</v>
      </c>
      <c r="BK2" s="1" t="s">
        <v>47</v>
      </c>
      <c r="BL2" s="1" t="s">
        <v>690</v>
      </c>
      <c r="BM2" s="1" t="s">
        <v>24</v>
      </c>
      <c r="BN2" s="1" t="s">
        <v>689</v>
      </c>
      <c r="BO2" s="1" t="s">
        <v>46</v>
      </c>
      <c r="BP2" s="1" t="s">
        <v>1022</v>
      </c>
      <c r="BQ2" s="1" t="s">
        <v>206</v>
      </c>
      <c r="BR2" s="1" t="s">
        <v>207</v>
      </c>
      <c r="BS2" s="1" t="s">
        <v>208</v>
      </c>
      <c r="BT2" s="1" t="s">
        <v>209</v>
      </c>
      <c r="BU2" s="1" t="s">
        <v>1010</v>
      </c>
      <c r="BV2" s="1" t="s">
        <v>202</v>
      </c>
      <c r="BW2" s="1" t="s">
        <v>203</v>
      </c>
      <c r="BX2" s="1" t="s">
        <v>204</v>
      </c>
      <c r="BY2" s="1" t="s">
        <v>205</v>
      </c>
      <c r="BZ2" s="1" t="s">
        <v>198</v>
      </c>
      <c r="CA2" s="1" t="s">
        <v>199</v>
      </c>
      <c r="CB2" s="1" t="s">
        <v>200</v>
      </c>
      <c r="CC2" s="1" t="s">
        <v>201</v>
      </c>
      <c r="CD2" s="260" t="s">
        <v>624</v>
      </c>
      <c r="CE2" s="260" t="s">
        <v>1644</v>
      </c>
    </row>
    <row r="3" spans="1:83" ht="17.25" x14ac:dyDescent="0.25">
      <c r="A3" s="1">
        <v>1</v>
      </c>
      <c r="B3" s="1">
        <f>'type kontak'!A2</f>
        <v>1</v>
      </c>
      <c r="C3" s="1" t="str">
        <f>'type kontak'!B2</f>
        <v>pelanggan</v>
      </c>
      <c r="D3" s="1">
        <f>'klasifikasi kontak'!A2</f>
        <v>1</v>
      </c>
      <c r="E3" s="1" t="str">
        <f>'klasifikasi kontak'!D2</f>
        <v>karyawan</v>
      </c>
      <c r="F3" s="1" t="s">
        <v>1041</v>
      </c>
      <c r="G3" s="1" t="s">
        <v>210</v>
      </c>
      <c r="K3" s="1">
        <v>81273845323</v>
      </c>
      <c r="O3" s="4" t="s">
        <v>211</v>
      </c>
      <c r="S3" s="1">
        <v>1</v>
      </c>
      <c r="X3" s="1" t="s">
        <v>1044</v>
      </c>
      <c r="AE3" s="1" t="s">
        <v>212</v>
      </c>
      <c r="AI3" s="1" t="s">
        <v>213</v>
      </c>
      <c r="AN3" s="1" t="s">
        <v>1045</v>
      </c>
      <c r="AU3" s="1">
        <v>12810</v>
      </c>
      <c r="AY3" s="2" t="s">
        <v>1046</v>
      </c>
      <c r="BC3" s="1" t="s">
        <v>1047</v>
      </c>
      <c r="BG3" s="1">
        <f>'Grup diskon'!A2</f>
        <v>1</v>
      </c>
      <c r="BH3" s="1" t="str">
        <f>'Grup diskon'!B2</f>
        <v>diskon a</v>
      </c>
      <c r="BS3" s="1" t="s">
        <v>214</v>
      </c>
      <c r="BT3" s="1">
        <v>1510386864</v>
      </c>
      <c r="CE3" s="1"/>
    </row>
    <row r="4" spans="1:83" ht="17.25" x14ac:dyDescent="0.25">
      <c r="A4" s="1">
        <v>2</v>
      </c>
      <c r="B4" s="1">
        <f>'type kontak'!A2</f>
        <v>1</v>
      </c>
      <c r="C4" s="1" t="str">
        <f>'type kontak'!B2</f>
        <v>pelanggan</v>
      </c>
      <c r="D4" s="1">
        <f>'klasifikasi kontak'!A2</f>
        <v>1</v>
      </c>
      <c r="E4" s="1" t="str">
        <f>'klasifikasi kontak'!D2</f>
        <v>karyawan</v>
      </c>
      <c r="F4" s="1" t="s">
        <v>1064</v>
      </c>
      <c r="G4" s="1" t="s">
        <v>215</v>
      </c>
      <c r="K4" s="1">
        <v>8551003553</v>
      </c>
      <c r="O4" s="4" t="s">
        <v>216</v>
      </c>
      <c r="S4" s="1">
        <v>1</v>
      </c>
      <c r="X4" s="1" t="s">
        <v>1044</v>
      </c>
      <c r="AE4" s="1" t="s">
        <v>217</v>
      </c>
      <c r="AI4" s="1" t="s">
        <v>218</v>
      </c>
      <c r="AN4" s="1" t="s">
        <v>1045</v>
      </c>
      <c r="AU4" s="1">
        <v>21534</v>
      </c>
      <c r="AY4" s="2" t="s">
        <v>1046</v>
      </c>
      <c r="BC4" s="1" t="s">
        <v>1048</v>
      </c>
      <c r="BS4" s="1" t="s">
        <v>219</v>
      </c>
      <c r="BT4" s="1">
        <v>232118327</v>
      </c>
      <c r="CE4" s="1"/>
    </row>
    <row r="5" spans="1:83" ht="17.25" x14ac:dyDescent="0.25">
      <c r="A5" s="1">
        <v>3</v>
      </c>
      <c r="B5" s="1">
        <f>'type kontak'!A2</f>
        <v>1</v>
      </c>
      <c r="C5" s="1" t="str">
        <f>'type kontak'!B2</f>
        <v>pelanggan</v>
      </c>
      <c r="D5" s="1">
        <f>'klasifikasi kontak'!A2</f>
        <v>1</v>
      </c>
      <c r="E5" s="1" t="str">
        <f>'klasifikasi kontak'!D2</f>
        <v>karyawan</v>
      </c>
      <c r="F5" s="1" t="s">
        <v>1065</v>
      </c>
      <c r="G5" s="1" t="s">
        <v>220</v>
      </c>
      <c r="K5" s="1">
        <v>8551434991</v>
      </c>
      <c r="O5" s="4" t="s">
        <v>221</v>
      </c>
      <c r="S5" s="1">
        <v>1</v>
      </c>
      <c r="X5" s="1" t="s">
        <v>1044</v>
      </c>
      <c r="AE5" s="1" t="s">
        <v>222</v>
      </c>
      <c r="AI5" s="1" t="s">
        <v>223</v>
      </c>
      <c r="AN5" s="1" t="s">
        <v>1045</v>
      </c>
      <c r="AU5" s="1">
        <v>43564</v>
      </c>
      <c r="AY5" s="2" t="s">
        <v>1046</v>
      </c>
      <c r="BS5" s="1" t="s">
        <v>224</v>
      </c>
      <c r="BT5" s="1">
        <v>3288399217444</v>
      </c>
      <c r="CE5" s="1"/>
    </row>
    <row r="6" spans="1:83" ht="17.25" x14ac:dyDescent="0.25">
      <c r="A6" s="1">
        <v>4</v>
      </c>
      <c r="B6" s="1">
        <f>'type kontak'!A4</f>
        <v>3</v>
      </c>
      <c r="C6" s="1" t="str">
        <f>'type kontak'!B4</f>
        <v>employee</v>
      </c>
      <c r="D6" s="1">
        <f>'klasifikasi kontak'!A4</f>
        <v>3</v>
      </c>
      <c r="E6" s="1" t="str">
        <f>'klasifikasi kontak'!D4</f>
        <v>staff</v>
      </c>
      <c r="F6" s="1" t="s">
        <v>1042</v>
      </c>
      <c r="G6" s="1" t="s">
        <v>225</v>
      </c>
      <c r="K6" s="1">
        <v>8121328297</v>
      </c>
      <c r="O6" s="4" t="s">
        <v>226</v>
      </c>
      <c r="S6" s="1">
        <v>0</v>
      </c>
      <c r="X6" s="1" t="s">
        <v>1044</v>
      </c>
      <c r="AE6" s="1" t="s">
        <v>227</v>
      </c>
      <c r="AI6" s="1" t="s">
        <v>213</v>
      </c>
      <c r="AN6" s="1" t="s">
        <v>1045</v>
      </c>
      <c r="AU6" s="1">
        <v>12810</v>
      </c>
      <c r="AY6" s="2" t="s">
        <v>1046</v>
      </c>
      <c r="BS6" s="1" t="s">
        <v>214</v>
      </c>
      <c r="BT6" s="1">
        <v>1321892280</v>
      </c>
      <c r="CD6" s="1">
        <f>'user id'!A2</f>
        <v>1</v>
      </c>
      <c r="CE6" s="1"/>
    </row>
    <row r="7" spans="1:83" ht="17.25" x14ac:dyDescent="0.25">
      <c r="A7" s="1">
        <v>5</v>
      </c>
      <c r="B7" s="1">
        <f>'type kontak'!A4</f>
        <v>3</v>
      </c>
      <c r="C7" s="1" t="str">
        <f>'type kontak'!B4</f>
        <v>employee</v>
      </c>
      <c r="D7" s="1">
        <f>'klasifikasi kontak'!A4</f>
        <v>3</v>
      </c>
      <c r="E7" s="1" t="str">
        <f>'klasifikasi kontak'!D4</f>
        <v>staff</v>
      </c>
      <c r="F7" s="1" t="s">
        <v>1062</v>
      </c>
      <c r="G7" s="1" t="s">
        <v>228</v>
      </c>
      <c r="K7" s="1">
        <v>81298555284</v>
      </c>
      <c r="O7" s="4" t="s">
        <v>229</v>
      </c>
      <c r="S7" s="1">
        <v>0</v>
      </c>
      <c r="X7" s="1" t="s">
        <v>1044</v>
      </c>
      <c r="AE7" s="1" t="s">
        <v>230</v>
      </c>
      <c r="AI7" s="1" t="s">
        <v>231</v>
      </c>
      <c r="AN7" s="1" t="s">
        <v>1045</v>
      </c>
      <c r="AU7" s="1">
        <v>13940</v>
      </c>
      <c r="AY7" s="2" t="s">
        <v>1046</v>
      </c>
      <c r="BI7" s="1">
        <f>'Golongan Kontak'!A2</f>
        <v>1</v>
      </c>
      <c r="BJ7" s="1" t="str">
        <f>'Golongan Kontak'!B2</f>
        <v>karyawan</v>
      </c>
      <c r="BS7" s="1" t="s">
        <v>214</v>
      </c>
      <c r="BT7" s="1">
        <v>1150470474</v>
      </c>
      <c r="CD7" s="1">
        <f>'user id'!A3</f>
        <v>2</v>
      </c>
      <c r="CE7" s="1"/>
    </row>
    <row r="8" spans="1:83" ht="16.5" customHeight="1" x14ac:dyDescent="0.25">
      <c r="A8" s="1">
        <v>6</v>
      </c>
      <c r="B8" s="1">
        <f>'type kontak'!A4</f>
        <v>3</v>
      </c>
      <c r="C8" s="1" t="str">
        <f>'type kontak'!B4</f>
        <v>employee</v>
      </c>
      <c r="D8" s="1">
        <f>'klasifikasi kontak'!A5</f>
        <v>4</v>
      </c>
      <c r="E8" s="1" t="str">
        <f>'klasifikasi kontak'!D5</f>
        <v>manager</v>
      </c>
      <c r="F8" s="1" t="s">
        <v>1063</v>
      </c>
      <c r="G8" s="1" t="s">
        <v>232</v>
      </c>
      <c r="K8" s="1">
        <v>81290559181</v>
      </c>
      <c r="O8" s="4" t="s">
        <v>233</v>
      </c>
      <c r="S8" s="1">
        <v>1</v>
      </c>
      <c r="X8" s="1" t="s">
        <v>1044</v>
      </c>
      <c r="AE8" s="1" t="s">
        <v>234</v>
      </c>
      <c r="AI8" s="1" t="s">
        <v>235</v>
      </c>
      <c r="AN8" s="1" t="s">
        <v>1045</v>
      </c>
      <c r="AU8" s="1">
        <v>10720</v>
      </c>
      <c r="AY8" s="2" t="s">
        <v>1046</v>
      </c>
      <c r="BI8" s="1">
        <f>'Golongan Kontak'!A3</f>
        <v>2</v>
      </c>
      <c r="BJ8" s="1" t="str">
        <f>'Golongan Kontak'!B3</f>
        <v>manager</v>
      </c>
      <c r="BS8" s="1" t="s">
        <v>236</v>
      </c>
      <c r="BT8" s="8">
        <v>1140007768332480</v>
      </c>
      <c r="BU8" s="8"/>
      <c r="CD8" s="1">
        <f>'user id'!A4</f>
        <v>3</v>
      </c>
      <c r="CE8" s="1"/>
    </row>
    <row r="9" spans="1:83" ht="17.25" x14ac:dyDescent="0.25">
      <c r="A9" s="1">
        <v>7</v>
      </c>
      <c r="B9" s="1">
        <f>'type kontak'!A3</f>
        <v>2</v>
      </c>
      <c r="C9" s="1" t="str">
        <f>'type kontak'!B3</f>
        <v>vendor</v>
      </c>
      <c r="D9" s="1">
        <f>'klasifikasi kontak'!A3</f>
        <v>2</v>
      </c>
      <c r="E9" s="1" t="str">
        <f>'klasifikasi kontak'!D3</f>
        <v>pegawai</v>
      </c>
      <c r="F9" s="1" t="s">
        <v>1043</v>
      </c>
      <c r="G9" s="1" t="s">
        <v>437</v>
      </c>
      <c r="K9" s="1">
        <v>8170175139</v>
      </c>
      <c r="O9" s="4" t="s">
        <v>440</v>
      </c>
      <c r="S9" s="1">
        <v>1</v>
      </c>
      <c r="X9" s="1" t="s">
        <v>1044</v>
      </c>
      <c r="AE9" s="1" t="s">
        <v>443</v>
      </c>
      <c r="AI9" s="1" t="s">
        <v>446</v>
      </c>
      <c r="AN9" s="1" t="s">
        <v>1045</v>
      </c>
      <c r="AU9" s="1">
        <v>14323</v>
      </c>
      <c r="AY9" s="2" t="s">
        <v>1046</v>
      </c>
      <c r="BS9" s="1" t="s">
        <v>219</v>
      </c>
      <c r="BT9" s="1">
        <v>222331441</v>
      </c>
      <c r="CE9" s="1"/>
    </row>
    <row r="10" spans="1:83" ht="17.25" x14ac:dyDescent="0.25">
      <c r="A10" s="1">
        <v>8</v>
      </c>
      <c r="B10" s="1">
        <f>'type kontak'!A3</f>
        <v>2</v>
      </c>
      <c r="C10" s="1" t="str">
        <f>'type kontak'!B3</f>
        <v>vendor</v>
      </c>
      <c r="D10" s="1">
        <f>'klasifikasi kontak'!A3</f>
        <v>2</v>
      </c>
      <c r="E10" s="1" t="str">
        <f>'klasifikasi kontak'!D3</f>
        <v>pegawai</v>
      </c>
      <c r="F10" s="1" t="s">
        <v>1060</v>
      </c>
      <c r="G10" s="1" t="s">
        <v>438</v>
      </c>
      <c r="K10" s="1">
        <v>217229385</v>
      </c>
      <c r="O10" s="4" t="s">
        <v>441</v>
      </c>
      <c r="S10" s="1">
        <v>1</v>
      </c>
      <c r="X10" s="1" t="s">
        <v>1044</v>
      </c>
      <c r="AE10" s="1" t="s">
        <v>444</v>
      </c>
      <c r="AI10" s="1" t="s">
        <v>446</v>
      </c>
      <c r="AN10" s="1" t="s">
        <v>1045</v>
      </c>
      <c r="AU10" s="1">
        <v>12532</v>
      </c>
      <c r="AY10" s="2" t="s">
        <v>1046</v>
      </c>
      <c r="BS10" s="1" t="s">
        <v>236</v>
      </c>
      <c r="BT10" s="8">
        <v>1230004996343240</v>
      </c>
      <c r="BU10" s="8"/>
      <c r="CE10" s="1"/>
    </row>
    <row r="11" spans="1:83" ht="17.25" x14ac:dyDescent="0.25">
      <c r="A11" s="1">
        <v>9</v>
      </c>
      <c r="B11" s="1">
        <f>'type kontak'!A3</f>
        <v>2</v>
      </c>
      <c r="C11" s="1" t="str">
        <f>'type kontak'!B3</f>
        <v>vendor</v>
      </c>
      <c r="D11" s="1">
        <f>'klasifikasi kontak'!A3</f>
        <v>2</v>
      </c>
      <c r="E11" s="1" t="str">
        <f>'klasifikasi kontak'!D3</f>
        <v>pegawai</v>
      </c>
      <c r="F11" s="1" t="s">
        <v>1061</v>
      </c>
      <c r="G11" s="1" t="s">
        <v>439</v>
      </c>
      <c r="K11" s="1">
        <v>218301433</v>
      </c>
      <c r="O11" s="4" t="s">
        <v>442</v>
      </c>
      <c r="S11" s="1">
        <v>1</v>
      </c>
      <c r="X11" s="1" t="s">
        <v>1044</v>
      </c>
      <c r="AE11" s="1" t="s">
        <v>445</v>
      </c>
      <c r="AI11" s="1" t="s">
        <v>447</v>
      </c>
      <c r="AN11" s="1" t="s">
        <v>1045</v>
      </c>
      <c r="AU11" s="1">
        <v>16243</v>
      </c>
      <c r="AY11" s="2" t="s">
        <v>1046</v>
      </c>
      <c r="BS11" s="1" t="s">
        <v>448</v>
      </c>
      <c r="BT11" s="8">
        <v>129376289819873</v>
      </c>
      <c r="BU11" s="8"/>
      <c r="CE11" s="1"/>
    </row>
    <row r="12" spans="1:83" x14ac:dyDescent="0.25">
      <c r="A12" s="1">
        <v>10</v>
      </c>
      <c r="B12" s="1">
        <f>'type kontak'!A5</f>
        <v>4</v>
      </c>
      <c r="C12" s="1" t="str">
        <f>'type kontak'!B5</f>
        <v>company</v>
      </c>
      <c r="D12" s="1" t="s">
        <v>1579</v>
      </c>
      <c r="CE12" s="1"/>
    </row>
    <row r="14" spans="1:83" x14ac:dyDescent="0.25">
      <c r="A14" s="40"/>
      <c r="B14" s="40"/>
      <c r="C14" s="40"/>
      <c r="D14" s="40"/>
    </row>
    <row r="15" spans="1:83" s="40" customFormat="1" x14ac:dyDescent="0.25">
      <c r="A15" s="40" t="s">
        <v>927</v>
      </c>
      <c r="B15" s="39" t="s">
        <v>1072</v>
      </c>
      <c r="C15" s="39"/>
      <c r="AY15" s="49"/>
      <c r="CE15" s="48"/>
    </row>
    <row r="16" spans="1:83" s="40" customFormat="1" x14ac:dyDescent="0.25">
      <c r="B16" s="40" t="s">
        <v>1074</v>
      </c>
      <c r="AY16" s="49"/>
      <c r="CE16" s="48"/>
    </row>
    <row r="17" spans="1:83" s="40" customFormat="1" x14ac:dyDescent="0.25">
      <c r="A17" s="1"/>
      <c r="B17" s="39" t="s">
        <v>1073</v>
      </c>
      <c r="AY17" s="49"/>
      <c r="CE17" s="48"/>
    </row>
    <row r="18" spans="1:83" s="40" customFormat="1" x14ac:dyDescent="0.25">
      <c r="A18" s="1"/>
      <c r="B18" s="39"/>
      <c r="AY18" s="49"/>
      <c r="CE18" s="48"/>
    </row>
    <row r="19" spans="1:83" s="40" customFormat="1" x14ac:dyDescent="0.25">
      <c r="A19" s="1"/>
      <c r="B19" s="39"/>
      <c r="AY19" s="49"/>
      <c r="CE19" s="48"/>
    </row>
    <row r="20" spans="1:83" s="40" customFormat="1" x14ac:dyDescent="0.25">
      <c r="A20" s="1"/>
      <c r="B20" s="39"/>
      <c r="AY20" s="49"/>
      <c r="CE20" s="48"/>
    </row>
    <row r="21" spans="1:83" s="40" customFormat="1" x14ac:dyDescent="0.25">
      <c r="A21" s="1" t="s">
        <v>932</v>
      </c>
      <c r="B21" s="39" t="s">
        <v>1075</v>
      </c>
      <c r="AY21" s="49"/>
      <c r="CE21" s="48"/>
    </row>
    <row r="22" spans="1:83" s="40" customFormat="1" x14ac:dyDescent="0.25">
      <c r="A22" s="1"/>
      <c r="B22" s="39" t="s">
        <v>1076</v>
      </c>
      <c r="AY22" s="49"/>
      <c r="CE22" s="48"/>
    </row>
    <row r="23" spans="1:83" s="40" customFormat="1" x14ac:dyDescent="0.25">
      <c r="A23" s="1"/>
      <c r="B23" s="39"/>
      <c r="AY23" s="49"/>
      <c r="CE23" s="48"/>
    </row>
    <row r="24" spans="1:83" s="40" customFormat="1" x14ac:dyDescent="0.25">
      <c r="A24" s="1"/>
      <c r="B24" s="39"/>
      <c r="AY24" s="49"/>
      <c r="CE24" s="48"/>
    </row>
    <row r="25" spans="1:83" s="40" customFormat="1" x14ac:dyDescent="0.25">
      <c r="A25" s="1" t="s">
        <v>936</v>
      </c>
      <c r="B25" s="39" t="s">
        <v>1077</v>
      </c>
      <c r="AY25" s="49"/>
      <c r="CE25" s="48"/>
    </row>
    <row r="26" spans="1:83" s="40" customFormat="1" x14ac:dyDescent="0.25">
      <c r="AY26" s="49"/>
      <c r="CE26" s="48"/>
    </row>
    <row r="27" spans="1:83" s="40" customFormat="1" x14ac:dyDescent="0.25">
      <c r="AY27" s="49"/>
      <c r="CE27" s="48"/>
    </row>
    <row r="28" spans="1:83" s="40" customFormat="1" x14ac:dyDescent="0.25">
      <c r="AY28" s="49"/>
      <c r="CE28" s="48"/>
    </row>
    <row r="29" spans="1:83" s="40" customFormat="1" x14ac:dyDescent="0.25">
      <c r="A29" s="40" t="s">
        <v>1117</v>
      </c>
      <c r="B29" s="40" t="s">
        <v>1118</v>
      </c>
      <c r="AY29" s="49"/>
      <c r="CE29" s="48"/>
    </row>
    <row r="30" spans="1:83" s="40" customFormat="1" x14ac:dyDescent="0.25">
      <c r="B30" s="40" t="s">
        <v>1119</v>
      </c>
      <c r="AY30" s="49"/>
      <c r="CE30" s="48"/>
    </row>
    <row r="31" spans="1:83" s="40" customFormat="1" x14ac:dyDescent="0.25">
      <c r="AY31" s="49"/>
      <c r="CE31" s="48"/>
    </row>
    <row r="32" spans="1:83" s="40" customFormat="1" x14ac:dyDescent="0.25">
      <c r="AY32" s="49"/>
      <c r="CE32" s="48"/>
    </row>
    <row r="33" spans="51:83" s="40" customFormat="1" x14ac:dyDescent="0.25">
      <c r="AY33" s="49"/>
      <c r="CE33" s="48"/>
    </row>
    <row r="34" spans="51:83" s="40" customFormat="1" x14ac:dyDescent="0.25">
      <c r="AY34" s="49"/>
      <c r="CE34" s="48"/>
    </row>
    <row r="35" spans="51:83" s="40" customFormat="1" x14ac:dyDescent="0.25">
      <c r="AY35" s="49"/>
      <c r="CE35" s="48"/>
    </row>
    <row r="36" spans="51:83" s="40" customFormat="1" x14ac:dyDescent="0.25">
      <c r="AY36" s="49"/>
      <c r="CE36" s="48"/>
    </row>
  </sheetData>
  <mergeCells count="15">
    <mergeCell ref="BO1:BP1"/>
    <mergeCell ref="W1:X1"/>
    <mergeCell ref="Y1:Z1"/>
    <mergeCell ref="AA1:AB1"/>
    <mergeCell ref="AC1:AD1"/>
    <mergeCell ref="BK1:BL1"/>
    <mergeCell ref="BM1:BN1"/>
    <mergeCell ref="D1:E1"/>
    <mergeCell ref="B1:C1"/>
    <mergeCell ref="BG1:BH1"/>
    <mergeCell ref="BI1:BJ1"/>
    <mergeCell ref="AM1:AN1"/>
    <mergeCell ref="AO1:AP1"/>
    <mergeCell ref="AQ1:AR1"/>
    <mergeCell ref="AS1:AT1"/>
  </mergeCells>
  <hyperlinks>
    <hyperlink ref="O3" r:id="rId1" xr:uid="{00000000-0004-0000-9C00-000000000000}"/>
    <hyperlink ref="O4" r:id="rId2" xr:uid="{00000000-0004-0000-9C00-000001000000}"/>
    <hyperlink ref="O5" r:id="rId3" xr:uid="{00000000-0004-0000-9C00-000002000000}"/>
    <hyperlink ref="O6" r:id="rId4" xr:uid="{00000000-0004-0000-9C00-000003000000}"/>
    <hyperlink ref="O7" r:id="rId5" xr:uid="{00000000-0004-0000-9C00-000004000000}"/>
    <hyperlink ref="O8" r:id="rId6" xr:uid="{00000000-0004-0000-9C00-000005000000}"/>
    <hyperlink ref="O9" r:id="rId7" xr:uid="{00000000-0004-0000-9C00-000006000000}"/>
    <hyperlink ref="O10" r:id="rId8" xr:uid="{00000000-0004-0000-9C00-000007000000}"/>
    <hyperlink ref="O11" r:id="rId9" xr:uid="{00000000-0004-0000-9C00-000008000000}"/>
  </hyperlinks>
  <pageMargins left="0.7" right="0.7" top="0.75" bottom="0.75" header="0.3" footer="0.3"/>
  <pageSetup orientation="portrait" r:id="rId1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D4"/>
  <sheetViews>
    <sheetView zoomScale="175" zoomScaleNormal="175" workbookViewId="0">
      <selection activeCell="A2" sqref="A2"/>
    </sheetView>
  </sheetViews>
  <sheetFormatPr defaultColWidth="9.140625" defaultRowHeight="15" x14ac:dyDescent="0.25"/>
  <cols>
    <col min="1" max="1" width="15.85546875" style="1" bestFit="1" customWidth="1"/>
    <col min="2" max="2" width="19.140625" style="1" bestFit="1" customWidth="1"/>
    <col min="3" max="3" width="6.85546875" style="1" bestFit="1" customWidth="1"/>
    <col min="4" max="4" width="11" style="1" bestFit="1" customWidth="1"/>
    <col min="5" max="16384" width="9.140625" style="1"/>
  </cols>
  <sheetData>
    <row r="1" spans="1:4" x14ac:dyDescent="0.25">
      <c r="A1" s="1" t="s">
        <v>870</v>
      </c>
      <c r="B1" s="1" t="s">
        <v>871</v>
      </c>
      <c r="C1" s="1" t="s">
        <v>786</v>
      </c>
      <c r="D1" s="1" t="s">
        <v>26</v>
      </c>
    </row>
    <row r="2" spans="1:4" x14ac:dyDescent="0.25">
      <c r="A2" s="1">
        <v>1</v>
      </c>
      <c r="B2" s="1" t="s">
        <v>872</v>
      </c>
      <c r="C2" s="3">
        <v>0.05</v>
      </c>
    </row>
    <row r="3" spans="1:4" x14ac:dyDescent="0.25">
      <c r="A3" s="1">
        <v>2</v>
      </c>
      <c r="B3" s="1" t="s">
        <v>873</v>
      </c>
      <c r="C3" s="3">
        <v>0.1</v>
      </c>
    </row>
    <row r="4" spans="1:4" x14ac:dyDescent="0.25">
      <c r="A4" s="1">
        <v>3</v>
      </c>
      <c r="B4" s="1" t="s">
        <v>874</v>
      </c>
      <c r="C4" s="3">
        <v>0.15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F4"/>
  <sheetViews>
    <sheetView topLeftCell="A2" zoomScale="205" zoomScaleNormal="205" workbookViewId="0">
      <selection activeCell="D11" sqref="D11"/>
    </sheetView>
  </sheetViews>
  <sheetFormatPr defaultColWidth="9.140625" defaultRowHeight="15" x14ac:dyDescent="0.25"/>
  <cols>
    <col min="1" max="1" width="11.85546875" style="1" bestFit="1" customWidth="1"/>
    <col min="2" max="2" width="15.140625" style="1" bestFit="1" customWidth="1"/>
    <col min="3" max="3" width="10.42578125" style="1" bestFit="1" customWidth="1"/>
    <col min="4" max="4" width="9.85546875" style="1" bestFit="1" customWidth="1"/>
    <col min="5" max="5" width="14.28515625" style="1" bestFit="1" customWidth="1"/>
    <col min="6" max="6" width="20.85546875" style="1" bestFit="1" customWidth="1"/>
    <col min="7" max="16384" width="9.140625" style="1"/>
  </cols>
  <sheetData>
    <row r="1" spans="1:6" x14ac:dyDescent="0.25">
      <c r="A1" s="1" t="s">
        <v>887</v>
      </c>
      <c r="B1" s="1" t="s">
        <v>888</v>
      </c>
      <c r="C1" s="1" t="s">
        <v>889</v>
      </c>
      <c r="D1" s="1" t="s">
        <v>890</v>
      </c>
      <c r="E1" s="1" t="s">
        <v>1070</v>
      </c>
      <c r="F1" s="1" t="s">
        <v>1498</v>
      </c>
    </row>
    <row r="2" spans="1:6" x14ac:dyDescent="0.25">
      <c r="A2" s="1">
        <v>1</v>
      </c>
      <c r="B2" s="1" t="s">
        <v>964</v>
      </c>
      <c r="C2" s="1">
        <v>3000000</v>
      </c>
      <c r="D2" s="1">
        <v>200000</v>
      </c>
      <c r="E2" s="1">
        <v>50000</v>
      </c>
      <c r="F2" s="1">
        <v>0</v>
      </c>
    </row>
    <row r="3" spans="1:6" x14ac:dyDescent="0.25">
      <c r="A3" s="1">
        <v>2</v>
      </c>
      <c r="B3" s="1" t="s">
        <v>1020</v>
      </c>
      <c r="C3" s="1">
        <v>4000000</v>
      </c>
      <c r="D3" s="1">
        <v>500000</v>
      </c>
      <c r="E3" s="1">
        <v>100000</v>
      </c>
      <c r="F3" s="1">
        <v>1</v>
      </c>
    </row>
    <row r="4" spans="1:6" x14ac:dyDescent="0.25">
      <c r="A4" s="1">
        <v>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U17"/>
  <sheetViews>
    <sheetView zoomScale="115" zoomScaleNormal="115" workbookViewId="0">
      <selection activeCell="C2" sqref="C2"/>
    </sheetView>
  </sheetViews>
  <sheetFormatPr defaultColWidth="9.140625" defaultRowHeight="15" x14ac:dyDescent="0.25"/>
  <cols>
    <col min="1" max="1" width="19.7109375" style="1" bestFit="1" customWidth="1"/>
    <col min="2" max="2" width="14.85546875" style="1" bestFit="1" customWidth="1"/>
    <col min="3" max="3" width="12" style="1" bestFit="1" customWidth="1"/>
    <col min="4" max="4" width="23" style="1" bestFit="1" customWidth="1"/>
    <col min="5" max="5" width="16.7109375" style="1" bestFit="1" customWidth="1"/>
    <col min="6" max="6" width="17.85546875" style="1" bestFit="1" customWidth="1"/>
    <col min="7" max="7" width="18.42578125" style="1" bestFit="1" customWidth="1"/>
    <col min="8" max="8" width="21.140625" style="1" bestFit="1" customWidth="1"/>
    <col min="9" max="9" width="14.28515625" style="1" bestFit="1" customWidth="1"/>
    <col min="10" max="10" width="11.140625" style="1" bestFit="1" customWidth="1"/>
    <col min="11" max="11" width="16.7109375" style="1" bestFit="1" customWidth="1"/>
    <col min="12" max="12" width="17.85546875" style="1" bestFit="1" customWidth="1"/>
    <col min="13" max="13" width="14.28515625" style="1" bestFit="1" customWidth="1"/>
    <col min="14" max="14" width="11.140625" style="1" bestFit="1" customWidth="1"/>
    <col min="15" max="15" width="16.7109375" style="1" bestFit="1" customWidth="1"/>
    <col min="16" max="16" width="17.85546875" style="1" bestFit="1" customWidth="1"/>
    <col min="17" max="17" width="14.28515625" style="1" bestFit="1" customWidth="1"/>
    <col min="18" max="18" width="11.140625" style="1" bestFit="1" customWidth="1"/>
    <col min="19" max="19" width="16.7109375" style="1" bestFit="1" customWidth="1"/>
    <col min="20" max="20" width="17.85546875" style="1" bestFit="1" customWidth="1"/>
    <col min="21" max="21" width="5.42578125" style="1" bestFit="1" customWidth="1"/>
    <col min="22" max="16384" width="9.140625" style="1"/>
  </cols>
  <sheetData>
    <row r="1" spans="1:21" x14ac:dyDescent="0.25">
      <c r="A1" s="1" t="s">
        <v>156</v>
      </c>
      <c r="B1" s="1" t="s">
        <v>154</v>
      </c>
      <c r="C1" s="1" t="s">
        <v>155</v>
      </c>
      <c r="D1" s="1" t="s">
        <v>240</v>
      </c>
      <c r="E1" s="1" t="s">
        <v>965</v>
      </c>
      <c r="F1" s="1" t="s">
        <v>966</v>
      </c>
      <c r="G1" s="1" t="s">
        <v>1561</v>
      </c>
      <c r="H1" s="1" t="s">
        <v>1562</v>
      </c>
      <c r="I1" s="1" t="s">
        <v>967</v>
      </c>
      <c r="J1" s="1" t="s">
        <v>968</v>
      </c>
      <c r="K1" s="1" t="s">
        <v>965</v>
      </c>
      <c r="L1" s="1" t="s">
        <v>966</v>
      </c>
      <c r="M1" s="1" t="s">
        <v>971</v>
      </c>
      <c r="N1" s="1" t="s">
        <v>972</v>
      </c>
      <c r="O1" s="1" t="s">
        <v>965</v>
      </c>
      <c r="P1" s="1" t="s">
        <v>966</v>
      </c>
      <c r="Q1" s="1" t="s">
        <v>970</v>
      </c>
      <c r="R1" s="1" t="s">
        <v>969</v>
      </c>
      <c r="S1" s="1" t="s">
        <v>965</v>
      </c>
      <c r="T1" s="1" t="s">
        <v>966</v>
      </c>
      <c r="U1" s="1" t="s">
        <v>920</v>
      </c>
    </row>
    <row r="2" spans="1:21" x14ac:dyDescent="0.25">
      <c r="A2" s="1">
        <v>1</v>
      </c>
      <c r="B2" s="1">
        <f>'type kontak'!A2</f>
        <v>1</v>
      </c>
      <c r="C2" s="1" t="str">
        <f>'type kontak'!B2</f>
        <v>pelanggan</v>
      </c>
      <c r="D2" s="1" t="s">
        <v>964</v>
      </c>
      <c r="E2" s="1">
        <v>1</v>
      </c>
      <c r="F2" s="1">
        <v>1</v>
      </c>
      <c r="I2" s="1">
        <v>1</v>
      </c>
      <c r="J2" s="1" t="s">
        <v>975</v>
      </c>
      <c r="K2" s="1">
        <v>1</v>
      </c>
      <c r="L2" s="1">
        <v>1</v>
      </c>
      <c r="M2" s="1">
        <v>1</v>
      </c>
      <c r="N2" s="1" t="s">
        <v>974</v>
      </c>
      <c r="O2" s="1">
        <v>1</v>
      </c>
      <c r="P2" s="1">
        <v>1</v>
      </c>
      <c r="Q2" s="1">
        <v>1</v>
      </c>
      <c r="R2" s="1" t="s">
        <v>973</v>
      </c>
      <c r="S2" s="1">
        <v>1</v>
      </c>
      <c r="T2" s="1">
        <v>1</v>
      </c>
      <c r="U2" s="1" t="s">
        <v>667</v>
      </c>
    </row>
    <row r="3" spans="1:21" x14ac:dyDescent="0.25">
      <c r="A3" s="1">
        <v>2</v>
      </c>
      <c r="B3" s="1">
        <f>'type kontak'!A3</f>
        <v>2</v>
      </c>
      <c r="C3" s="1" t="str">
        <f>'type kontak'!B3</f>
        <v>vendor</v>
      </c>
      <c r="D3" s="1" t="s">
        <v>1047</v>
      </c>
      <c r="E3" s="1">
        <v>1</v>
      </c>
      <c r="F3" s="1">
        <v>1</v>
      </c>
      <c r="G3" s="1" t="s">
        <v>1563</v>
      </c>
      <c r="H3" s="1" t="s">
        <v>1563</v>
      </c>
      <c r="I3" s="1">
        <v>1</v>
      </c>
    </row>
    <row r="4" spans="1:21" x14ac:dyDescent="0.25">
      <c r="A4" s="1">
        <v>3</v>
      </c>
      <c r="B4" s="1">
        <f>'type kontak'!A4</f>
        <v>3</v>
      </c>
      <c r="C4" s="1" t="str">
        <f>'type kontak'!B4</f>
        <v>employee</v>
      </c>
      <c r="D4" s="1" t="s">
        <v>1059</v>
      </c>
      <c r="E4" s="1">
        <v>1</v>
      </c>
      <c r="F4" s="1">
        <v>1</v>
      </c>
      <c r="G4" s="1" t="s">
        <v>1563</v>
      </c>
      <c r="H4" s="1" t="s">
        <v>1563</v>
      </c>
      <c r="I4" s="1">
        <v>1</v>
      </c>
    </row>
    <row r="5" spans="1:21" x14ac:dyDescent="0.25">
      <c r="A5" s="1">
        <v>4</v>
      </c>
      <c r="B5" s="1">
        <f>'type kontak'!A4</f>
        <v>3</v>
      </c>
      <c r="C5" s="1" t="str">
        <f>'type kontak'!B4</f>
        <v>employee</v>
      </c>
      <c r="D5" s="1" t="s">
        <v>1020</v>
      </c>
      <c r="E5" s="1">
        <v>1</v>
      </c>
      <c r="F5" s="1">
        <v>1</v>
      </c>
      <c r="G5" s="1" t="s">
        <v>1563</v>
      </c>
      <c r="H5" s="1" t="s">
        <v>1563</v>
      </c>
      <c r="I5" s="1">
        <v>1</v>
      </c>
    </row>
    <row r="6" spans="1:21" x14ac:dyDescent="0.25">
      <c r="A6" s="1">
        <v>5</v>
      </c>
      <c r="B6" s="1">
        <f>'type kontak'!A2</f>
        <v>1</v>
      </c>
      <c r="C6" s="1" t="str">
        <f>'type kontak'!B2</f>
        <v>pelanggan</v>
      </c>
      <c r="D6" s="1" t="s">
        <v>1067</v>
      </c>
      <c r="E6" s="1">
        <v>1</v>
      </c>
      <c r="F6" s="1">
        <v>1</v>
      </c>
      <c r="I6" s="1">
        <v>1</v>
      </c>
    </row>
    <row r="7" spans="1:21" x14ac:dyDescent="0.25">
      <c r="A7" s="1">
        <v>6</v>
      </c>
      <c r="B7" s="1">
        <f>'type kontak'!A2</f>
        <v>1</v>
      </c>
      <c r="C7" s="1" t="str">
        <f>'type kontak'!B2</f>
        <v>pelanggan</v>
      </c>
      <c r="D7" s="1" t="s">
        <v>1068</v>
      </c>
      <c r="E7" s="1">
        <v>1</v>
      </c>
      <c r="F7" s="1">
        <v>1</v>
      </c>
      <c r="I7" s="1">
        <v>1</v>
      </c>
    </row>
    <row r="8" spans="1:21" x14ac:dyDescent="0.25">
      <c r="A8" s="1">
        <v>7</v>
      </c>
    </row>
    <row r="17" spans="1:1" x14ac:dyDescent="0.25">
      <c r="A17" s="1" t="s">
        <v>1564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B5"/>
  <sheetViews>
    <sheetView zoomScale="130" zoomScaleNormal="130" workbookViewId="0">
      <selection activeCell="B2" sqref="B2"/>
    </sheetView>
  </sheetViews>
  <sheetFormatPr defaultColWidth="9.140625" defaultRowHeight="15" x14ac:dyDescent="0.25"/>
  <cols>
    <col min="1" max="1" width="17.42578125" style="1" customWidth="1"/>
    <col min="2" max="2" width="19.7109375" style="1" customWidth="1"/>
    <col min="3" max="16384" width="9.140625" style="1"/>
  </cols>
  <sheetData>
    <row r="1" spans="1:2" x14ac:dyDescent="0.25">
      <c r="A1" s="1" t="s">
        <v>154</v>
      </c>
      <c r="B1" s="1" t="s">
        <v>155</v>
      </c>
    </row>
    <row r="2" spans="1:2" x14ac:dyDescent="0.25">
      <c r="A2" s="1">
        <v>1</v>
      </c>
      <c r="B2" s="1" t="s">
        <v>237</v>
      </c>
    </row>
    <row r="3" spans="1:2" x14ac:dyDescent="0.25">
      <c r="A3" s="1">
        <v>2</v>
      </c>
      <c r="B3" s="1" t="s">
        <v>238</v>
      </c>
    </row>
    <row r="4" spans="1:2" x14ac:dyDescent="0.25">
      <c r="A4" s="1">
        <v>3</v>
      </c>
      <c r="B4" s="1" t="s">
        <v>239</v>
      </c>
    </row>
    <row r="5" spans="1:2" x14ac:dyDescent="0.25">
      <c r="A5" s="1">
        <v>4</v>
      </c>
      <c r="B5" s="1" t="s">
        <v>1527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F4"/>
  <sheetViews>
    <sheetView zoomScale="145" zoomScaleNormal="145" workbookViewId="0">
      <selection activeCell="A2" sqref="A2"/>
    </sheetView>
  </sheetViews>
  <sheetFormatPr defaultColWidth="9.140625" defaultRowHeight="15" x14ac:dyDescent="0.25"/>
  <cols>
    <col min="1" max="1" width="10.28515625" style="1" bestFit="1" customWidth="1"/>
    <col min="2" max="2" width="4.42578125" style="1" bestFit="1" customWidth="1"/>
    <col min="3" max="3" width="7.42578125" style="1" bestFit="1" customWidth="1"/>
    <col min="4" max="4" width="9.42578125" style="1" bestFit="1" customWidth="1"/>
    <col min="5" max="5" width="5.28515625" style="1" bestFit="1" customWidth="1"/>
    <col min="6" max="6" width="12.7109375" style="1" bestFit="1" customWidth="1"/>
    <col min="7" max="16384" width="9.140625" style="1"/>
  </cols>
  <sheetData>
    <row r="1" spans="1:6" x14ac:dyDescent="0.25">
      <c r="A1" s="1" t="s">
        <v>624</v>
      </c>
      <c r="B1" s="1" t="s">
        <v>620</v>
      </c>
      <c r="C1" s="1" t="s">
        <v>625</v>
      </c>
      <c r="D1" s="1" t="s">
        <v>626</v>
      </c>
      <c r="E1" s="1" t="s">
        <v>627</v>
      </c>
      <c r="F1" s="1" t="s">
        <v>886</v>
      </c>
    </row>
    <row r="2" spans="1:6" x14ac:dyDescent="0.25">
      <c r="A2" s="1">
        <v>1</v>
      </c>
      <c r="B2" s="1">
        <f>'role employee'!A2</f>
        <v>1</v>
      </c>
      <c r="C2" s="1">
        <v>1234</v>
      </c>
      <c r="D2" s="1">
        <v>883728</v>
      </c>
      <c r="E2" s="1">
        <v>2233</v>
      </c>
      <c r="F2" s="1">
        <f>kontak!A6</f>
        <v>4</v>
      </c>
    </row>
    <row r="3" spans="1:6" x14ac:dyDescent="0.25">
      <c r="A3" s="1">
        <v>2</v>
      </c>
      <c r="B3" s="1">
        <f>'role employee'!A3</f>
        <v>2</v>
      </c>
      <c r="C3" s="1">
        <v>5678</v>
      </c>
      <c r="D3" s="1">
        <v>223213</v>
      </c>
      <c r="E3" s="1">
        <v>4343</v>
      </c>
      <c r="F3" s="1">
        <f>kontak!A7</f>
        <v>5</v>
      </c>
    </row>
    <row r="4" spans="1:6" x14ac:dyDescent="0.25">
      <c r="A4" s="1">
        <v>3</v>
      </c>
      <c r="B4" s="1">
        <f>'role employee'!A4</f>
        <v>3</v>
      </c>
      <c r="C4" s="1">
        <v>7654</v>
      </c>
      <c r="D4" s="1">
        <v>333455</v>
      </c>
      <c r="E4" s="1">
        <v>4545</v>
      </c>
      <c r="F4" s="1">
        <f>kontak!A8</f>
        <v>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B4"/>
  <sheetViews>
    <sheetView zoomScale="145" zoomScaleNormal="145" workbookViewId="0">
      <selection activeCell="A2" sqref="A2"/>
    </sheetView>
  </sheetViews>
  <sheetFormatPr defaultColWidth="9.140625" defaultRowHeight="15" x14ac:dyDescent="0.25"/>
  <cols>
    <col min="1" max="1" width="17.42578125" style="1" bestFit="1" customWidth="1"/>
    <col min="2" max="2" width="6.42578125" style="1" bestFit="1" customWidth="1"/>
    <col min="3" max="16384" width="9.140625" style="1"/>
  </cols>
  <sheetData>
    <row r="1" spans="1:2" x14ac:dyDescent="0.25">
      <c r="A1" s="1" t="s">
        <v>619</v>
      </c>
      <c r="B1" s="1" t="s">
        <v>620</v>
      </c>
    </row>
    <row r="2" spans="1:2" x14ac:dyDescent="0.25">
      <c r="A2" s="1">
        <v>1</v>
      </c>
      <c r="B2" s="1" t="s">
        <v>621</v>
      </c>
    </row>
    <row r="3" spans="1:2" x14ac:dyDescent="0.25">
      <c r="A3" s="1">
        <v>2</v>
      </c>
      <c r="B3" s="1" t="s">
        <v>622</v>
      </c>
    </row>
    <row r="4" spans="1:2" x14ac:dyDescent="0.25">
      <c r="A4" s="1">
        <v>3</v>
      </c>
      <c r="B4" s="1" t="s">
        <v>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F3"/>
  <sheetViews>
    <sheetView workbookViewId="0">
      <selection sqref="A1:F1"/>
    </sheetView>
  </sheetViews>
  <sheetFormatPr defaultColWidth="9.140625" defaultRowHeight="15" x14ac:dyDescent="0.25"/>
  <cols>
    <col min="1" max="1" width="22.28515625" style="1" bestFit="1" customWidth="1"/>
    <col min="2" max="2" width="18.42578125" style="1" bestFit="1" customWidth="1"/>
    <col min="3" max="3" width="16.7109375" style="1" bestFit="1" customWidth="1"/>
    <col min="4" max="4" width="16.7109375" style="1" customWidth="1"/>
    <col min="5" max="5" width="23.28515625" style="1" bestFit="1" customWidth="1"/>
    <col min="6" max="6" width="10.7109375" style="1" bestFit="1" customWidth="1"/>
    <col min="7" max="16384" width="9.140625" style="1"/>
  </cols>
  <sheetData>
    <row r="1" spans="1:6" x14ac:dyDescent="0.25">
      <c r="A1" s="1" t="s">
        <v>673</v>
      </c>
      <c r="B1" s="1" t="s">
        <v>326</v>
      </c>
      <c r="C1" s="1" t="s">
        <v>497</v>
      </c>
      <c r="D1" s="1" t="s">
        <v>899</v>
      </c>
      <c r="E1" s="1" t="s">
        <v>327</v>
      </c>
      <c r="F1" s="1" t="s">
        <v>496</v>
      </c>
    </row>
    <row r="2" spans="1:6" x14ac:dyDescent="0.25">
      <c r="A2" s="1">
        <v>1</v>
      </c>
      <c r="B2" s="1" t="e">
        <f>'data mata uang'!#REF!</f>
        <v>#REF!</v>
      </c>
      <c r="C2" s="1" t="str">
        <f>'data mata uang'!C3</f>
        <v>Rupiah</v>
      </c>
      <c r="D2" s="1" t="str">
        <f>'data mata uang'!D3</f>
        <v>IDR</v>
      </c>
      <c r="E2" s="6">
        <f>'data mata uang'!F3</f>
        <v>43260</v>
      </c>
      <c r="F2" s="1">
        <f>'data mata uang'!G3</f>
        <v>1</v>
      </c>
    </row>
    <row r="3" spans="1:6" x14ac:dyDescent="0.25">
      <c r="A3" s="1">
        <v>2</v>
      </c>
      <c r="B3" s="1" t="e">
        <f>'data mata uang'!#REF!</f>
        <v>#REF!</v>
      </c>
      <c r="C3" s="1" t="str">
        <f>'data mata uang'!C4</f>
        <v>Dollar</v>
      </c>
      <c r="D3" s="1" t="e">
        <f>'data mata uang'!#REF!</f>
        <v>#REF!</v>
      </c>
      <c r="E3" s="6">
        <f>'data mata uang'!F4</f>
        <v>43262</v>
      </c>
      <c r="F3" s="1">
        <f>'data mata uang'!G4</f>
        <v>14000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19"/>
  <sheetViews>
    <sheetView zoomScaleNormal="100" workbookViewId="0">
      <selection activeCell="A2" sqref="A2:I2"/>
    </sheetView>
  </sheetViews>
  <sheetFormatPr defaultColWidth="9.140625" defaultRowHeight="15" x14ac:dyDescent="0.25"/>
  <cols>
    <col min="1" max="1" width="18.85546875" style="1" bestFit="1" customWidth="1"/>
    <col min="2" max="2" width="14.42578125" style="1" bestFit="1" customWidth="1"/>
    <col min="3" max="3" width="17" style="1" bestFit="1" customWidth="1"/>
    <col min="4" max="4" width="16.28515625" style="1" bestFit="1" customWidth="1"/>
    <col min="5" max="5" width="18.140625" style="1" bestFit="1" customWidth="1"/>
    <col min="6" max="6" width="23.42578125" style="1" bestFit="1" customWidth="1"/>
    <col min="7" max="7" width="11" style="1" bestFit="1" customWidth="1"/>
    <col min="8" max="8" width="23.42578125" style="1" bestFit="1" customWidth="1"/>
    <col min="9" max="9" width="21.140625" style="1" bestFit="1" customWidth="1"/>
    <col min="10" max="10" width="16.140625" style="1" bestFit="1" customWidth="1"/>
    <col min="11" max="11" width="20.28515625" style="1" bestFit="1" customWidth="1"/>
    <col min="12" max="12" width="20.42578125" style="1" bestFit="1" customWidth="1"/>
    <col min="13" max="13" width="24.85546875" style="1" bestFit="1" customWidth="1"/>
    <col min="14" max="14" width="24.140625" style="1" bestFit="1" customWidth="1"/>
    <col min="15" max="15" width="27.28515625" style="1" bestFit="1" customWidth="1"/>
    <col min="16" max="16" width="26.7109375" style="1" bestFit="1" customWidth="1"/>
    <col min="17" max="17" width="7.42578125" style="1" bestFit="1" customWidth="1"/>
    <col min="18" max="16384" width="9.140625" style="1"/>
  </cols>
  <sheetData>
    <row r="1" spans="1:9" x14ac:dyDescent="0.25">
      <c r="A1" s="39"/>
      <c r="C1" s="39"/>
      <c r="D1" s="39"/>
      <c r="E1" s="39"/>
      <c r="F1" s="1" t="s">
        <v>1110</v>
      </c>
      <c r="G1" s="1" t="s">
        <v>1111</v>
      </c>
    </row>
    <row r="2" spans="1:9" x14ac:dyDescent="0.25">
      <c r="A2" s="1" t="s">
        <v>1120</v>
      </c>
      <c r="B2" s="1" t="s">
        <v>266</v>
      </c>
      <c r="C2" s="1" t="s">
        <v>497</v>
      </c>
      <c r="D2" s="1" t="s">
        <v>899</v>
      </c>
      <c r="E2" s="1" t="s">
        <v>900</v>
      </c>
      <c r="F2" s="1" t="s">
        <v>327</v>
      </c>
      <c r="G2" s="1" t="s">
        <v>496</v>
      </c>
      <c r="H2" s="1" t="s">
        <v>267</v>
      </c>
      <c r="I2" t="s">
        <v>1542</v>
      </c>
    </row>
    <row r="3" spans="1:9" x14ac:dyDescent="0.25">
      <c r="A3" s="1">
        <v>1</v>
      </c>
      <c r="B3" s="1">
        <v>1</v>
      </c>
      <c r="C3" s="1" t="s">
        <v>286</v>
      </c>
      <c r="D3" s="1" t="s">
        <v>285</v>
      </c>
      <c r="E3" s="1" t="s">
        <v>287</v>
      </c>
      <c r="F3" s="6">
        <f>'Kurs mata uang'!D2</f>
        <v>43260</v>
      </c>
      <c r="G3" s="1">
        <f>'Kurs mata uang'!E2</f>
        <v>1</v>
      </c>
      <c r="H3" s="1">
        <v>1</v>
      </c>
      <c r="I3" s="1">
        <f>'default akun mata uang'!A3</f>
        <v>1</v>
      </c>
    </row>
    <row r="4" spans="1:9" x14ac:dyDescent="0.25">
      <c r="A4" s="1">
        <v>2</v>
      </c>
      <c r="B4" s="1">
        <v>1</v>
      </c>
      <c r="C4" s="1" t="s">
        <v>283</v>
      </c>
      <c r="D4" s="1" t="s">
        <v>313</v>
      </c>
      <c r="E4" s="1" t="s">
        <v>307</v>
      </c>
      <c r="F4" s="6">
        <f>'Kurs mata uang'!D4</f>
        <v>43262</v>
      </c>
      <c r="G4" s="1">
        <f>'Kurs mata uang'!E4</f>
        <v>14000</v>
      </c>
      <c r="H4" s="1">
        <v>0</v>
      </c>
      <c r="I4" s="1">
        <f>'default akun mata uang'!A4</f>
        <v>2</v>
      </c>
    </row>
    <row r="5" spans="1:9" x14ac:dyDescent="0.25">
      <c r="A5" s="1">
        <v>3</v>
      </c>
      <c r="B5" s="1">
        <v>0</v>
      </c>
      <c r="C5" s="1" t="s">
        <v>269</v>
      </c>
      <c r="D5" s="1" t="s">
        <v>268</v>
      </c>
      <c r="E5" s="1" t="s">
        <v>270</v>
      </c>
    </row>
    <row r="6" spans="1:9" x14ac:dyDescent="0.25">
      <c r="A6" s="1">
        <v>4</v>
      </c>
      <c r="B6" s="1">
        <v>0</v>
      </c>
      <c r="C6" s="1" t="s">
        <v>272</v>
      </c>
      <c r="D6" s="1" t="s">
        <v>271</v>
      </c>
      <c r="E6" s="1" t="s">
        <v>273</v>
      </c>
    </row>
    <row r="7" spans="1:9" x14ac:dyDescent="0.25">
      <c r="A7" s="1">
        <v>5</v>
      </c>
      <c r="B7" s="1">
        <v>0</v>
      </c>
      <c r="C7" s="1" t="s">
        <v>275</v>
      </c>
      <c r="D7" s="1" t="s">
        <v>274</v>
      </c>
      <c r="E7" s="1" t="s">
        <v>276</v>
      </c>
    </row>
    <row r="8" spans="1:9" x14ac:dyDescent="0.25">
      <c r="A8" s="1">
        <v>6</v>
      </c>
      <c r="B8" s="1">
        <v>0</v>
      </c>
      <c r="C8" s="1" t="s">
        <v>278</v>
      </c>
      <c r="D8" s="1" t="s">
        <v>277</v>
      </c>
      <c r="E8" s="1" t="s">
        <v>279</v>
      </c>
    </row>
    <row r="9" spans="1:9" x14ac:dyDescent="0.25">
      <c r="A9" s="1">
        <v>7</v>
      </c>
      <c r="B9" s="1">
        <v>0</v>
      </c>
      <c r="C9" s="1" t="s">
        <v>275</v>
      </c>
      <c r="D9" s="1" t="s">
        <v>280</v>
      </c>
      <c r="E9" s="1" t="s">
        <v>281</v>
      </c>
    </row>
    <row r="10" spans="1:9" x14ac:dyDescent="0.25">
      <c r="A10" s="1">
        <v>8</v>
      </c>
      <c r="B10" s="1">
        <v>0</v>
      </c>
      <c r="C10" s="1" t="s">
        <v>283</v>
      </c>
      <c r="D10" s="1" t="s">
        <v>282</v>
      </c>
      <c r="E10" s="1" t="s">
        <v>284</v>
      </c>
    </row>
    <row r="11" spans="1:9" x14ac:dyDescent="0.25">
      <c r="A11" s="1">
        <v>9</v>
      </c>
      <c r="B11" s="1">
        <v>0</v>
      </c>
      <c r="C11" s="1" t="s">
        <v>289</v>
      </c>
      <c r="D11" s="1" t="s">
        <v>288</v>
      </c>
      <c r="E11" s="5" t="s">
        <v>290</v>
      </c>
    </row>
    <row r="12" spans="1:9" x14ac:dyDescent="0.25">
      <c r="A12" s="1">
        <v>10</v>
      </c>
      <c r="B12" s="1">
        <v>0</v>
      </c>
      <c r="C12" s="1" t="s">
        <v>292</v>
      </c>
      <c r="D12" s="1" t="s">
        <v>291</v>
      </c>
      <c r="E12" s="1" t="s">
        <v>293</v>
      </c>
    </row>
    <row r="13" spans="1:9" x14ac:dyDescent="0.25">
      <c r="A13" s="1">
        <v>11</v>
      </c>
      <c r="B13" s="1">
        <v>0</v>
      </c>
      <c r="C13" s="1" t="s">
        <v>295</v>
      </c>
      <c r="D13" s="1" t="s">
        <v>294</v>
      </c>
      <c r="E13" s="1" t="s">
        <v>296</v>
      </c>
    </row>
    <row r="14" spans="1:9" x14ac:dyDescent="0.25">
      <c r="A14" s="1">
        <v>12</v>
      </c>
      <c r="B14" s="1">
        <v>0</v>
      </c>
      <c r="C14" s="1" t="s">
        <v>298</v>
      </c>
      <c r="D14" s="1" t="s">
        <v>297</v>
      </c>
      <c r="E14" s="1" t="s">
        <v>299</v>
      </c>
    </row>
    <row r="15" spans="1:9" x14ac:dyDescent="0.25">
      <c r="A15" s="1">
        <v>13</v>
      </c>
      <c r="B15" s="1">
        <v>0</v>
      </c>
      <c r="C15" s="1" t="s">
        <v>301</v>
      </c>
      <c r="D15" s="1" t="s">
        <v>300</v>
      </c>
      <c r="E15" s="1" t="s">
        <v>302</v>
      </c>
    </row>
    <row r="16" spans="1:9" x14ac:dyDescent="0.25">
      <c r="A16" s="1">
        <v>14</v>
      </c>
      <c r="B16" s="1">
        <v>0</v>
      </c>
      <c r="C16" s="1" t="s">
        <v>304</v>
      </c>
      <c r="D16" s="1" t="s">
        <v>303</v>
      </c>
      <c r="E16" s="1" t="s">
        <v>305</v>
      </c>
    </row>
    <row r="17" spans="1:5" x14ac:dyDescent="0.25">
      <c r="A17" s="1">
        <v>15</v>
      </c>
      <c r="B17" s="1">
        <v>0</v>
      </c>
      <c r="C17" s="1" t="s">
        <v>283</v>
      </c>
      <c r="D17" s="1" t="s">
        <v>306</v>
      </c>
      <c r="E17" s="1" t="s">
        <v>307</v>
      </c>
    </row>
    <row r="18" spans="1:5" x14ac:dyDescent="0.25">
      <c r="A18" s="1">
        <v>16</v>
      </c>
      <c r="B18" s="1">
        <v>0</v>
      </c>
      <c r="C18" s="1" t="s">
        <v>309</v>
      </c>
      <c r="D18" s="1" t="s">
        <v>308</v>
      </c>
      <c r="E18" s="1" t="s">
        <v>310</v>
      </c>
    </row>
    <row r="19" spans="1:5" x14ac:dyDescent="0.25">
      <c r="A19" s="1">
        <v>17</v>
      </c>
      <c r="B19" s="1">
        <v>0</v>
      </c>
      <c r="C19" s="1" t="s">
        <v>283</v>
      </c>
      <c r="D19" s="1" t="s">
        <v>311</v>
      </c>
      <c r="E19" s="1" t="s">
        <v>312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U27"/>
  <sheetViews>
    <sheetView zoomScale="70" zoomScaleNormal="70" workbookViewId="0">
      <selection activeCell="A3" sqref="A3"/>
    </sheetView>
  </sheetViews>
  <sheetFormatPr defaultColWidth="9.140625" defaultRowHeight="15" x14ac:dyDescent="0.25"/>
  <cols>
    <col min="1" max="1" width="22" style="1" bestFit="1" customWidth="1"/>
    <col min="2" max="2" width="30.42578125" style="1" customWidth="1"/>
    <col min="3" max="3" width="22" style="256" customWidth="1"/>
    <col min="4" max="4" width="15.7109375" style="1" bestFit="1" customWidth="1"/>
    <col min="5" max="5" width="22.85546875" style="1" bestFit="1" customWidth="1"/>
    <col min="6" max="6" width="20" style="1" bestFit="1" customWidth="1"/>
    <col min="7" max="7" width="10.42578125" style="1" bestFit="1" customWidth="1"/>
    <col min="8" max="8" width="18.28515625" style="1" bestFit="1" customWidth="1"/>
    <col min="9" max="9" width="14" style="1" bestFit="1" customWidth="1"/>
    <col min="10" max="10" width="23" style="1" bestFit="1" customWidth="1"/>
    <col min="11" max="11" width="15" style="1" bestFit="1" customWidth="1"/>
    <col min="12" max="12" width="12.140625" style="1" bestFit="1" customWidth="1"/>
    <col min="13" max="13" width="11.140625" style="1" bestFit="1" customWidth="1"/>
    <col min="14" max="14" width="27.7109375" style="6" bestFit="1" customWidth="1"/>
    <col min="15" max="15" width="26.7109375" style="1" bestFit="1" customWidth="1"/>
    <col min="16" max="16" width="23.42578125" style="1" bestFit="1" customWidth="1"/>
    <col min="17" max="17" width="9.42578125" style="1" bestFit="1" customWidth="1"/>
    <col min="18" max="18" width="14.28515625" style="1" bestFit="1" customWidth="1"/>
    <col min="19" max="19" width="12.140625" style="1" bestFit="1" customWidth="1"/>
    <col min="20" max="20" width="10.42578125" style="1" bestFit="1" customWidth="1"/>
    <col min="21" max="21" width="15.7109375" style="1" bestFit="1" customWidth="1"/>
    <col min="22" max="22" width="24.42578125" style="1" bestFit="1" customWidth="1"/>
    <col min="23" max="23" width="20.28515625" style="1" bestFit="1" customWidth="1"/>
    <col min="24" max="24" width="12" style="1" bestFit="1" customWidth="1"/>
    <col min="25" max="25" width="15.7109375" style="1" bestFit="1" customWidth="1"/>
    <col min="26" max="26" width="21.42578125" style="133" bestFit="1" customWidth="1"/>
    <col min="27" max="27" width="35.28515625" style="1" bestFit="1" customWidth="1"/>
    <col min="28" max="28" width="29.7109375" style="1" bestFit="1" customWidth="1"/>
    <col min="29" max="30" width="20.42578125" style="1" bestFit="1" customWidth="1"/>
    <col min="31" max="31" width="18.85546875" style="1" bestFit="1" customWidth="1"/>
    <col min="32" max="32" width="18.28515625" style="1" bestFit="1" customWidth="1"/>
    <col min="33" max="33" width="19.42578125" style="1" bestFit="1" customWidth="1"/>
    <col min="34" max="34" width="19.7109375" style="1" bestFit="1" customWidth="1"/>
    <col min="35" max="35" width="17.28515625" style="1" bestFit="1" customWidth="1"/>
    <col min="36" max="36" width="17.140625" style="1" bestFit="1" customWidth="1"/>
    <col min="37" max="37" width="21.42578125" style="1" bestFit="1" customWidth="1"/>
    <col min="38" max="38" width="11.7109375" style="1" bestFit="1" customWidth="1"/>
    <col min="39" max="39" width="20.140625" style="1" bestFit="1" customWidth="1"/>
    <col min="40" max="40" width="20" style="1" bestFit="1" customWidth="1"/>
    <col min="41" max="41" width="18.85546875" style="1" bestFit="1" customWidth="1"/>
    <col min="42" max="42" width="14.42578125" style="1" bestFit="1" customWidth="1"/>
    <col min="43" max="43" width="10.42578125" style="1" bestFit="1" customWidth="1"/>
    <col min="44" max="44" width="11.140625" style="1" bestFit="1" customWidth="1"/>
    <col min="45" max="45" width="20.7109375" style="1" bestFit="1" customWidth="1"/>
    <col min="46" max="47" width="18.7109375" style="1" bestFit="1" customWidth="1"/>
    <col min="48" max="16384" width="9.140625" style="1"/>
  </cols>
  <sheetData>
    <row r="1" spans="1:47" s="44" customFormat="1" x14ac:dyDescent="0.25">
      <c r="C1" s="255"/>
      <c r="E1" s="44" t="s">
        <v>917</v>
      </c>
      <c r="G1" s="297" t="s">
        <v>913</v>
      </c>
      <c r="H1" s="297"/>
      <c r="I1" s="44" t="s">
        <v>914</v>
      </c>
      <c r="J1" s="44" t="s">
        <v>20</v>
      </c>
      <c r="K1" s="297" t="s">
        <v>915</v>
      </c>
      <c r="L1" s="297"/>
      <c r="M1" s="297"/>
      <c r="N1" s="45" t="s">
        <v>918</v>
      </c>
      <c r="O1" s="297" t="s">
        <v>916</v>
      </c>
      <c r="P1" s="297"/>
      <c r="Q1" s="297" t="s">
        <v>919</v>
      </c>
      <c r="R1" s="297"/>
      <c r="S1" s="44" t="s">
        <v>920</v>
      </c>
      <c r="T1" s="44" t="s">
        <v>1023</v>
      </c>
      <c r="U1" s="44" t="s">
        <v>1021</v>
      </c>
      <c r="V1" s="44" t="s">
        <v>922</v>
      </c>
      <c r="W1" s="44" t="s">
        <v>923</v>
      </c>
      <c r="X1" s="297" t="s">
        <v>924</v>
      </c>
      <c r="Y1" s="297"/>
      <c r="Z1" s="132" t="s">
        <v>1464</v>
      </c>
      <c r="AA1" s="44" t="s">
        <v>1445</v>
      </c>
      <c r="AB1" s="44" t="s">
        <v>1405</v>
      </c>
      <c r="AC1" s="44" t="s">
        <v>1389</v>
      </c>
      <c r="AD1" s="44" t="s">
        <v>1391</v>
      </c>
      <c r="AE1" s="44" t="s">
        <v>1390</v>
      </c>
      <c r="AF1" s="44" t="s">
        <v>1392</v>
      </c>
      <c r="AL1" s="44" t="s">
        <v>1459</v>
      </c>
      <c r="AM1" s="44" t="s">
        <v>1471</v>
      </c>
      <c r="AN1" s="44" t="s">
        <v>1477</v>
      </c>
      <c r="AO1" s="44" t="s">
        <v>1468</v>
      </c>
      <c r="AP1" s="44" t="s">
        <v>1462</v>
      </c>
      <c r="AQ1" s="44" t="s">
        <v>1463</v>
      </c>
      <c r="AU1" s="44" t="s">
        <v>921</v>
      </c>
    </row>
    <row r="2" spans="1:47" x14ac:dyDescent="0.25">
      <c r="A2" s="1" t="s">
        <v>450</v>
      </c>
      <c r="B2" s="1" t="s">
        <v>617</v>
      </c>
      <c r="C2" s="256" t="s">
        <v>1685</v>
      </c>
      <c r="D2" s="1" t="s">
        <v>614</v>
      </c>
      <c r="E2" s="1" t="s">
        <v>642</v>
      </c>
      <c r="F2" s="1" t="s">
        <v>655</v>
      </c>
      <c r="G2" s="1" t="s">
        <v>394</v>
      </c>
      <c r="H2" s="1" t="s">
        <v>18</v>
      </c>
      <c r="I2" s="1" t="s">
        <v>19</v>
      </c>
      <c r="J2" s="1" t="s">
        <v>20</v>
      </c>
      <c r="K2" s="1" t="s">
        <v>115</v>
      </c>
      <c r="L2" s="1" t="s">
        <v>21</v>
      </c>
      <c r="M2" s="1" t="s">
        <v>828</v>
      </c>
      <c r="N2" s="6" t="s">
        <v>643</v>
      </c>
      <c r="O2" s="1" t="s">
        <v>22</v>
      </c>
      <c r="P2" s="1" t="s">
        <v>23</v>
      </c>
      <c r="Q2" s="1" t="s">
        <v>24</v>
      </c>
      <c r="R2" s="1" t="s">
        <v>467</v>
      </c>
      <c r="S2" s="1" t="s">
        <v>26</v>
      </c>
      <c r="T2" s="1" t="s">
        <v>46</v>
      </c>
      <c r="U2" s="1" t="s">
        <v>47</v>
      </c>
      <c r="V2" s="1" t="s">
        <v>33</v>
      </c>
      <c r="W2" s="1" t="s">
        <v>32</v>
      </c>
      <c r="X2" s="1" t="s">
        <v>35</v>
      </c>
      <c r="Y2" s="1" t="s">
        <v>36</v>
      </c>
      <c r="Z2" s="133" t="s">
        <v>1469</v>
      </c>
      <c r="AA2" s="1" t="s">
        <v>37</v>
      </c>
      <c r="AB2" s="1" t="s">
        <v>875</v>
      </c>
      <c r="AC2" s="1" t="s">
        <v>38</v>
      </c>
      <c r="AD2" s="1" t="s">
        <v>39</v>
      </c>
      <c r="AE2" s="1" t="s">
        <v>876</v>
      </c>
      <c r="AF2" s="1" t="s">
        <v>40</v>
      </c>
      <c r="AG2" s="1" t="s">
        <v>27</v>
      </c>
      <c r="AH2" s="1" t="s">
        <v>28</v>
      </c>
      <c r="AI2" s="1" t="s">
        <v>29</v>
      </c>
      <c r="AJ2" s="1" t="s">
        <v>30</v>
      </c>
      <c r="AK2" s="1" t="s">
        <v>487</v>
      </c>
      <c r="AL2" s="1" t="s">
        <v>41</v>
      </c>
      <c r="AM2" s="1" t="s">
        <v>42</v>
      </c>
      <c r="AN2" s="1" t="s">
        <v>1466</v>
      </c>
      <c r="AO2" s="1" t="s">
        <v>433</v>
      </c>
      <c r="AP2" s="1" t="s">
        <v>877</v>
      </c>
      <c r="AQ2" s="1" t="s">
        <v>435</v>
      </c>
      <c r="AR2" s="17" t="s">
        <v>624</v>
      </c>
      <c r="AS2" s="18" t="s">
        <v>1583</v>
      </c>
      <c r="AT2" s="18" t="s">
        <v>848</v>
      </c>
      <c r="AU2" s="1" t="s">
        <v>34</v>
      </c>
    </row>
    <row r="3" spans="1:47" x14ac:dyDescent="0.25">
      <c r="A3" s="1">
        <v>1</v>
      </c>
      <c r="B3" s="1">
        <f>'kode transaksi'!A16</f>
        <v>15</v>
      </c>
      <c r="C3" s="256" t="str">
        <f>CONCATENATE(B3,".",A3)</f>
        <v>15.1</v>
      </c>
      <c r="D3" s="206" t="str">
        <f>'kode transaksi'!B16</f>
        <v>SQ</v>
      </c>
      <c r="E3" s="1" t="s">
        <v>1595</v>
      </c>
      <c r="F3" s="1" t="str">
        <f>CONCATENATE(B3,".",A3)</f>
        <v>15.1</v>
      </c>
      <c r="G3" s="1">
        <f>kontak!A5</f>
        <v>3</v>
      </c>
      <c r="H3" s="206" t="str">
        <f>kontak!G5</f>
        <v>rahmat handono</v>
      </c>
      <c r="I3" s="206">
        <f>kontak!K5</f>
        <v>8551434991</v>
      </c>
      <c r="J3" s="206" t="str">
        <f>kontak!O5</f>
        <v>rahmat.ph@gmail.com</v>
      </c>
      <c r="K3" s="1">
        <f>'data mata uang'!A3</f>
        <v>1</v>
      </c>
      <c r="L3" s="206" t="str">
        <f>'data mata uang'!D3</f>
        <v>IDR</v>
      </c>
      <c r="M3" s="208">
        <f>'data mata uang'!I3</f>
        <v>1</v>
      </c>
      <c r="N3" s="6">
        <v>43260</v>
      </c>
      <c r="O3" s="1">
        <v>0</v>
      </c>
      <c r="P3" s="1">
        <v>0</v>
      </c>
      <c r="Q3" s="1">
        <f>lokasi!A3</f>
        <v>1</v>
      </c>
      <c r="R3" s="206" t="str">
        <f>lokasi!B3</f>
        <v>cempaka putih</v>
      </c>
      <c r="S3" s="1" t="s">
        <v>1654</v>
      </c>
      <c r="T3" s="1">
        <v>0</v>
      </c>
      <c r="U3" s="1">
        <v>0</v>
      </c>
      <c r="V3" s="1">
        <v>0</v>
      </c>
      <c r="W3" s="6">
        <v>43265</v>
      </c>
      <c r="X3" s="1">
        <f>kontak!B8</f>
        <v>3</v>
      </c>
      <c r="Y3" s="206" t="str">
        <f>kontak!G8</f>
        <v>yusril</v>
      </c>
      <c r="Z3" s="133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SUM('order produk jual'!Q7)</f>
        <v>9000000</v>
      </c>
      <c r="AH3" s="1">
        <f>SUM('order produk jual'!U7)</f>
        <v>900000</v>
      </c>
      <c r="AI3" s="1">
        <v>0</v>
      </c>
      <c r="AJ3" s="1">
        <v>0</v>
      </c>
      <c r="AK3" s="206">
        <f>SUM('order produk jual'!Q7)</f>
        <v>9000000</v>
      </c>
      <c r="AL3" s="206">
        <f>SUM('order produk jual'!U7)</f>
        <v>900000</v>
      </c>
      <c r="AM3" s="206">
        <f>SUM('order produk jual'!Q7+'order produk jual'!U7)</f>
        <v>9900000</v>
      </c>
      <c r="AN3" s="1">
        <v>0</v>
      </c>
      <c r="AO3" s="1">
        <v>0</v>
      </c>
      <c r="AP3" s="1">
        <v>0</v>
      </c>
      <c r="AQ3" s="1">
        <v>0</v>
      </c>
      <c r="AR3" s="18">
        <f>'user id'!A4</f>
        <v>3</v>
      </c>
      <c r="AS3" s="18">
        <f>'periode akuntansi'!A2</f>
        <v>1</v>
      </c>
      <c r="AT3" s="18"/>
      <c r="AU3" s="1">
        <v>1</v>
      </c>
    </row>
    <row r="4" spans="1:47" x14ac:dyDescent="0.25">
      <c r="AR4" s="18"/>
      <c r="AS4" s="18"/>
      <c r="AT4" s="18"/>
    </row>
    <row r="5" spans="1:47" x14ac:dyDescent="0.25">
      <c r="AR5" s="18"/>
      <c r="AS5" s="18"/>
      <c r="AT5" s="18"/>
    </row>
    <row r="6" spans="1:47" x14ac:dyDescent="0.25">
      <c r="AR6" s="18"/>
      <c r="AS6" s="18"/>
      <c r="AT6" s="18"/>
    </row>
    <row r="7" spans="1:47" x14ac:dyDescent="0.25">
      <c r="AR7" s="18"/>
      <c r="AS7" s="18"/>
      <c r="AT7" s="18"/>
    </row>
    <row r="8" spans="1:47" x14ac:dyDescent="0.25">
      <c r="AR8" s="18"/>
      <c r="AS8" s="18"/>
      <c r="AT8" s="18"/>
    </row>
    <row r="15" spans="1:47" x14ac:dyDescent="0.25">
      <c r="A15" s="1" t="s">
        <v>927</v>
      </c>
      <c r="C15" s="39" t="s">
        <v>928</v>
      </c>
    </row>
    <row r="16" spans="1:47" x14ac:dyDescent="0.25">
      <c r="C16" s="39" t="s">
        <v>929</v>
      </c>
    </row>
    <row r="17" spans="1:14" x14ac:dyDescent="0.25">
      <c r="C17" s="39" t="s">
        <v>926</v>
      </c>
    </row>
    <row r="18" spans="1:14" x14ac:dyDescent="0.25">
      <c r="C18" s="39" t="s">
        <v>930</v>
      </c>
    </row>
    <row r="19" spans="1:14" x14ac:dyDescent="0.25">
      <c r="C19" s="39" t="s">
        <v>931</v>
      </c>
    </row>
    <row r="20" spans="1:14" x14ac:dyDescent="0.25">
      <c r="C20" s="39"/>
    </row>
    <row r="21" spans="1:14" x14ac:dyDescent="0.25">
      <c r="A21" s="1" t="s">
        <v>932</v>
      </c>
      <c r="C21" s="39" t="s">
        <v>933</v>
      </c>
    </row>
    <row r="22" spans="1:14" x14ac:dyDescent="0.25">
      <c r="C22" s="39" t="s">
        <v>934</v>
      </c>
    </row>
    <row r="23" spans="1:14" x14ac:dyDescent="0.25">
      <c r="C23" s="39" t="s">
        <v>935</v>
      </c>
      <c r="N23" s="1"/>
    </row>
    <row r="24" spans="1:14" x14ac:dyDescent="0.25">
      <c r="C24" s="39"/>
      <c r="N24" s="1"/>
    </row>
    <row r="25" spans="1:14" x14ac:dyDescent="0.25">
      <c r="A25" s="1" t="s">
        <v>936</v>
      </c>
      <c r="C25" s="39" t="s">
        <v>937</v>
      </c>
      <c r="N25" s="1"/>
    </row>
    <row r="26" spans="1:14" x14ac:dyDescent="0.25">
      <c r="E26" s="39"/>
      <c r="N26" s="1"/>
    </row>
    <row r="27" spans="1:14" x14ac:dyDescent="0.25">
      <c r="E27" s="39"/>
      <c r="N27" s="1"/>
    </row>
  </sheetData>
  <mergeCells count="5">
    <mergeCell ref="G1:H1"/>
    <mergeCell ref="K1:M1"/>
    <mergeCell ref="O1:P1"/>
    <mergeCell ref="Q1:R1"/>
    <mergeCell ref="X1:Y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8F97-1B07-4492-B936-BF8E1D10CD2F}">
  <dimension ref="A1:J4"/>
  <sheetViews>
    <sheetView workbookViewId="0">
      <selection activeCell="A4" sqref="A4"/>
    </sheetView>
  </sheetViews>
  <sheetFormatPr defaultColWidth="9.140625" defaultRowHeight="15" x14ac:dyDescent="0.25"/>
  <cols>
    <col min="1" max="1" width="21.140625" style="1" bestFit="1" customWidth="1"/>
    <col min="2" max="2" width="17.85546875" style="1" bestFit="1" customWidth="1"/>
    <col min="3" max="3" width="16.140625" style="1" bestFit="1" customWidth="1"/>
    <col min="4" max="4" width="20.28515625" style="1" bestFit="1" customWidth="1"/>
    <col min="5" max="5" width="20.42578125" style="1" bestFit="1" customWidth="1"/>
    <col min="6" max="6" width="24.85546875" style="1" bestFit="1" customWidth="1"/>
    <col min="7" max="7" width="24.140625" style="1" bestFit="1" customWidth="1"/>
    <col min="8" max="8" width="27.28515625" style="1" bestFit="1" customWidth="1"/>
    <col min="9" max="9" width="26.7109375" style="1" bestFit="1" customWidth="1"/>
    <col min="10" max="10" width="7.42578125" style="1" bestFit="1" customWidth="1"/>
    <col min="11" max="16384" width="9.140625" style="1"/>
  </cols>
  <sheetData>
    <row r="1" spans="1:10" x14ac:dyDescent="0.25">
      <c r="B1" s="1" t="s">
        <v>1112</v>
      </c>
      <c r="C1" s="1" t="s">
        <v>1113</v>
      </c>
      <c r="D1" s="1" t="s">
        <v>1114</v>
      </c>
      <c r="E1" s="1" t="s">
        <v>1115</v>
      </c>
      <c r="F1" s="1" t="s">
        <v>1116</v>
      </c>
      <c r="G1" s="1" t="s">
        <v>1536</v>
      </c>
      <c r="H1" s="1" t="s">
        <v>1537</v>
      </c>
      <c r="I1" s="1" t="s">
        <v>1538</v>
      </c>
    </row>
    <row r="2" spans="1:10" x14ac:dyDescent="0.25">
      <c r="A2" s="1" t="s">
        <v>1542</v>
      </c>
      <c r="B2" s="1" t="s">
        <v>495</v>
      </c>
      <c r="C2" s="1" t="s">
        <v>494</v>
      </c>
      <c r="D2" s="1" t="s">
        <v>493</v>
      </c>
      <c r="E2" s="1" t="s">
        <v>498</v>
      </c>
      <c r="F2" s="1" t="s">
        <v>499</v>
      </c>
      <c r="G2" s="1" t="s">
        <v>500</v>
      </c>
      <c r="H2" s="1" t="s">
        <v>559</v>
      </c>
      <c r="I2" s="1" t="s">
        <v>560</v>
      </c>
      <c r="J2" s="1" t="s">
        <v>625</v>
      </c>
    </row>
    <row r="3" spans="1:10" x14ac:dyDescent="0.25">
      <c r="A3" s="1">
        <v>1</v>
      </c>
      <c r="B3" s="1">
        <f>'rekening perkiraan'!A9</f>
        <v>7</v>
      </c>
      <c r="C3" s="1">
        <f>'rekening perkiraan'!A10</f>
        <v>8</v>
      </c>
      <c r="D3" s="1">
        <f>'rekening perkiraan'!A8</f>
        <v>6</v>
      </c>
      <c r="E3" s="1">
        <f>'rekening perkiraan'!A11</f>
        <v>9</v>
      </c>
      <c r="F3" s="1">
        <f>'rekening perkiraan'!A12</f>
        <v>10</v>
      </c>
      <c r="G3" s="1">
        <f>'rekening perkiraan'!A13</f>
        <v>11</v>
      </c>
      <c r="H3" s="1">
        <f>'rekening perkiraan'!A26</f>
        <v>24</v>
      </c>
      <c r="I3" s="1">
        <f>'rekening perkiraan'!A27</f>
        <v>25</v>
      </c>
    </row>
    <row r="4" spans="1:10" x14ac:dyDescent="0.25">
      <c r="A4" s="1">
        <v>2</v>
      </c>
      <c r="B4" s="1">
        <f>'rekening perkiraan'!A14</f>
        <v>12</v>
      </c>
      <c r="C4" s="1">
        <f>'rekening perkiraan'!A15</f>
        <v>13</v>
      </c>
      <c r="D4" s="1">
        <f>'rekening perkiraan'!A16</f>
        <v>14</v>
      </c>
      <c r="E4" s="1">
        <f>'rekening perkiraan'!A17</f>
        <v>15</v>
      </c>
      <c r="F4" s="1">
        <f>'rekening perkiraan'!A18</f>
        <v>16</v>
      </c>
      <c r="G4" s="1">
        <f>'rekening perkiraan'!A16</f>
        <v>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F9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18.42578125" style="1" bestFit="1" customWidth="1"/>
    <col min="2" max="2" width="18.7109375" style="1" bestFit="1" customWidth="1"/>
    <col min="3" max="3" width="16.28515625" style="1" bestFit="1" customWidth="1"/>
    <col min="4" max="4" width="11.85546875" style="1" bestFit="1" customWidth="1"/>
    <col min="5" max="5" width="6.7109375" style="1" bestFit="1" customWidth="1"/>
    <col min="6" max="6" width="24.7109375" style="1" bestFit="1" customWidth="1"/>
    <col min="7" max="16384" width="9.140625" style="1"/>
  </cols>
  <sheetData>
    <row r="1" spans="1:6" x14ac:dyDescent="0.25">
      <c r="A1" s="1" t="s">
        <v>326</v>
      </c>
      <c r="B1" s="1" t="s">
        <v>1120</v>
      </c>
      <c r="C1" s="1" t="s">
        <v>899</v>
      </c>
      <c r="D1" s="1" t="s">
        <v>481</v>
      </c>
      <c r="E1" s="1" t="s">
        <v>1121</v>
      </c>
    </row>
    <row r="2" spans="1:6" x14ac:dyDescent="0.25">
      <c r="A2" s="1">
        <v>1</v>
      </c>
      <c r="B2" s="1">
        <f>'data mata uang'!A3</f>
        <v>1</v>
      </c>
      <c r="C2" s="1" t="str">
        <f>'data mata uang'!D3</f>
        <v>IDR</v>
      </c>
      <c r="D2" s="6">
        <v>43260</v>
      </c>
      <c r="E2" s="1">
        <v>1</v>
      </c>
    </row>
    <row r="3" spans="1:6" x14ac:dyDescent="0.25">
      <c r="A3" s="1">
        <v>2</v>
      </c>
      <c r="B3" s="1">
        <f>'data mata uang'!A4</f>
        <v>2</v>
      </c>
      <c r="C3" s="1" t="str">
        <f>'data mata uang'!D4</f>
        <v>USD</v>
      </c>
      <c r="D3" s="6">
        <v>43256</v>
      </c>
      <c r="E3" s="1">
        <v>15000</v>
      </c>
    </row>
    <row r="4" spans="1:6" x14ac:dyDescent="0.25">
      <c r="A4" s="1">
        <v>3</v>
      </c>
      <c r="B4" s="1">
        <f>'data mata uang'!A4</f>
        <v>2</v>
      </c>
      <c r="C4" s="1" t="str">
        <f>'data mata uang'!D4</f>
        <v>USD</v>
      </c>
      <c r="D4" s="6">
        <v>43262</v>
      </c>
      <c r="E4" s="1">
        <v>14000</v>
      </c>
    </row>
    <row r="9" spans="1:6" x14ac:dyDescent="0.25">
      <c r="F9" s="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3"/>
  <sheetViews>
    <sheetView workbookViewId="0">
      <selection activeCell="F3" sqref="F3"/>
    </sheetView>
  </sheetViews>
  <sheetFormatPr defaultColWidth="9.140625" defaultRowHeight="15" x14ac:dyDescent="0.25"/>
  <cols>
    <col min="1" max="1" width="12.140625" style="1" bestFit="1" customWidth="1"/>
    <col min="2" max="2" width="8.42578125" style="1" bestFit="1" customWidth="1"/>
    <col min="3" max="3" width="11.140625" style="1" bestFit="1" customWidth="1"/>
    <col min="4" max="4" width="22.7109375" style="1" bestFit="1" customWidth="1"/>
    <col min="5" max="5" width="10.85546875" style="1" bestFit="1" customWidth="1"/>
    <col min="6" max="6" width="26" style="1" bestFit="1" customWidth="1"/>
    <col min="7" max="7" width="20" style="1" bestFit="1" customWidth="1"/>
    <col min="8" max="8" width="22" style="1" bestFit="1" customWidth="1"/>
    <col min="9" max="9" width="11.140625" style="1" bestFit="1" customWidth="1"/>
    <col min="10" max="16384" width="9.140625" style="1"/>
  </cols>
  <sheetData>
    <row r="1" spans="1:9" x14ac:dyDescent="0.25">
      <c r="A1" s="1" t="s">
        <v>674</v>
      </c>
      <c r="B1" s="1" t="s">
        <v>531</v>
      </c>
      <c r="C1" s="1" t="s">
        <v>675</v>
      </c>
      <c r="D1" s="1" t="s">
        <v>676</v>
      </c>
      <c r="E1" s="1" t="s">
        <v>468</v>
      </c>
      <c r="F1" s="1" t="s">
        <v>532</v>
      </c>
      <c r="G1" s="1" t="s">
        <v>534</v>
      </c>
      <c r="H1" s="1" t="s">
        <v>535</v>
      </c>
      <c r="I1" s="1" t="s">
        <v>114</v>
      </c>
    </row>
    <row r="2" spans="1:9" x14ac:dyDescent="0.25">
      <c r="A2" s="1">
        <v>1</v>
      </c>
      <c r="B2" s="1">
        <f>'data pajak'!A3</f>
        <v>1</v>
      </c>
      <c r="C2" s="1" t="str">
        <f>'data pajak'!B3</f>
        <v>PPn</v>
      </c>
      <c r="D2" s="1" t="str">
        <f>'data pajak'!C3</f>
        <v>pajak pertambahan nilai</v>
      </c>
      <c r="E2" s="3">
        <f>'data pajak'!D3</f>
        <v>0.1</v>
      </c>
      <c r="F2" s="1" t="e">
        <f>'data pajak'!#REF!</f>
        <v>#REF!</v>
      </c>
      <c r="G2" s="1" t="str">
        <f>'data pajak'!F3</f>
        <v>pajak dibayar dimuka</v>
      </c>
      <c r="H2" s="1" t="str">
        <f>'data pajak'!H3</f>
        <v>hutang pajak penjualan</v>
      </c>
    </row>
    <row r="3" spans="1:9" x14ac:dyDescent="0.25">
      <c r="A3" s="1">
        <v>2</v>
      </c>
      <c r="B3" s="1">
        <f>'data pajak'!A4</f>
        <v>2</v>
      </c>
      <c r="C3" s="1" t="str">
        <f>'data pajak'!B4</f>
        <v>pph</v>
      </c>
      <c r="D3" s="1" t="str">
        <f>'data pajak'!C4</f>
        <v>pajak penghasilan</v>
      </c>
      <c r="E3" s="3">
        <f>'data pajak'!D4</f>
        <v>0.02</v>
      </c>
      <c r="F3" s="1" t="e">
        <f>'data pajak'!#REF!</f>
        <v>#REF!</v>
      </c>
      <c r="G3" s="1" t="str">
        <f>'data pajak'!F4</f>
        <v>hutang bunga</v>
      </c>
      <c r="H3" s="1" t="str">
        <f>'data pajak'!H4</f>
        <v>kartu kredit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K31"/>
  <sheetViews>
    <sheetView zoomScaleNormal="100" workbookViewId="0">
      <selection activeCell="F8" sqref="F8"/>
    </sheetView>
  </sheetViews>
  <sheetFormatPr defaultColWidth="9.140625" defaultRowHeight="15" x14ac:dyDescent="0.25"/>
  <cols>
    <col min="1" max="1" width="15.28515625" style="1" bestFit="1" customWidth="1"/>
    <col min="2" max="2" width="11.42578125" style="1" bestFit="1" customWidth="1"/>
    <col min="3" max="3" width="22.7109375" style="1" bestFit="1" customWidth="1"/>
    <col min="4" max="4" width="11" style="1" bestFit="1" customWidth="1"/>
    <col min="5" max="5" width="12.42578125" style="1" bestFit="1" customWidth="1"/>
    <col min="6" max="6" width="20" style="1" bestFit="1" customWidth="1"/>
    <col min="7" max="7" width="12.28515625" style="1" bestFit="1" customWidth="1"/>
    <col min="8" max="8" width="22" style="1" bestFit="1" customWidth="1"/>
    <col min="9" max="9" width="11.140625" style="1" bestFit="1" customWidth="1"/>
    <col min="10" max="10" width="17.42578125" style="1" bestFit="1" customWidth="1"/>
    <col min="11" max="11" width="7.42578125" style="1" bestFit="1" customWidth="1"/>
    <col min="12" max="16384" width="9.140625" style="1"/>
  </cols>
  <sheetData>
    <row r="1" spans="1:11" x14ac:dyDescent="0.25">
      <c r="B1" s="1" t="s">
        <v>1105</v>
      </c>
      <c r="C1" s="1" t="s">
        <v>1106</v>
      </c>
      <c r="D1" s="1" t="s">
        <v>1107</v>
      </c>
      <c r="E1" s="291" t="s">
        <v>1108</v>
      </c>
      <c r="F1" s="291"/>
      <c r="G1" s="291" t="s">
        <v>1109</v>
      </c>
      <c r="H1" s="291"/>
      <c r="I1" s="1" t="s">
        <v>951</v>
      </c>
    </row>
    <row r="2" spans="1:11" x14ac:dyDescent="0.25">
      <c r="A2" s="1" t="s">
        <v>531</v>
      </c>
      <c r="B2" s="1" t="s">
        <v>675</v>
      </c>
      <c r="C2" s="1" t="s">
        <v>676</v>
      </c>
      <c r="D2" s="1" t="s">
        <v>468</v>
      </c>
      <c r="E2" s="1" t="s">
        <v>533</v>
      </c>
      <c r="F2" s="1" t="s">
        <v>534</v>
      </c>
      <c r="G2" s="1" t="s">
        <v>470</v>
      </c>
      <c r="H2" s="1" t="s">
        <v>535</v>
      </c>
      <c r="I2" s="1" t="s">
        <v>114</v>
      </c>
      <c r="J2" s="1" t="s">
        <v>1475</v>
      </c>
      <c r="K2" s="1" t="s">
        <v>625</v>
      </c>
    </row>
    <row r="3" spans="1:11" x14ac:dyDescent="0.25">
      <c r="A3" s="1">
        <v>1</v>
      </c>
      <c r="B3" s="1" t="s">
        <v>249</v>
      </c>
      <c r="C3" s="1" t="s">
        <v>677</v>
      </c>
      <c r="D3" s="3">
        <v>0.1</v>
      </c>
      <c r="E3" s="1">
        <f>'rekening perkiraan'!A20</f>
        <v>18</v>
      </c>
      <c r="F3" s="1" t="str">
        <f>'rekening perkiraan'!B20</f>
        <v>pajak dibayar dimuka</v>
      </c>
      <c r="G3" s="1">
        <f>'rekening perkiraan'!A21</f>
        <v>19</v>
      </c>
      <c r="H3" s="1" t="str">
        <f>'rekening perkiraan'!B21</f>
        <v>hutang pajak penjualan</v>
      </c>
    </row>
    <row r="4" spans="1:11" x14ac:dyDescent="0.25">
      <c r="A4" s="1">
        <v>2</v>
      </c>
      <c r="B4" s="1" t="s">
        <v>250</v>
      </c>
      <c r="C4" s="1" t="s">
        <v>678</v>
      </c>
      <c r="D4" s="3">
        <v>0.02</v>
      </c>
      <c r="E4" s="1">
        <f>'rekening perkiraan'!A22</f>
        <v>20</v>
      </c>
      <c r="F4" s="1" t="str">
        <f>'rekening perkiraan'!B22</f>
        <v>hutang bunga</v>
      </c>
      <c r="G4" s="1">
        <f>'rekening perkiraan'!A23</f>
        <v>21</v>
      </c>
      <c r="H4" s="1" t="str">
        <f>'rekening perkiraan'!B23</f>
        <v>kartu kredit</v>
      </c>
    </row>
    <row r="7" spans="1:11" x14ac:dyDescent="0.25">
      <c r="A7" s="40"/>
      <c r="B7" s="40"/>
    </row>
    <row r="8" spans="1:11" x14ac:dyDescent="0.25">
      <c r="A8" s="40" t="s">
        <v>927</v>
      </c>
      <c r="B8" s="40" t="s">
        <v>1105</v>
      </c>
    </row>
    <row r="9" spans="1:11" x14ac:dyDescent="0.25">
      <c r="A9" s="40"/>
      <c r="B9" s="40" t="s">
        <v>1107</v>
      </c>
    </row>
    <row r="10" spans="1:11" x14ac:dyDescent="0.25">
      <c r="A10" s="40"/>
      <c r="B10" s="40" t="s">
        <v>1108</v>
      </c>
    </row>
    <row r="11" spans="1:11" x14ac:dyDescent="0.25">
      <c r="A11" s="40"/>
      <c r="B11" s="40" t="s">
        <v>1109</v>
      </c>
    </row>
    <row r="12" spans="1:11" x14ac:dyDescent="0.25">
      <c r="A12" s="40"/>
      <c r="B12" s="40"/>
    </row>
    <row r="13" spans="1:11" x14ac:dyDescent="0.25">
      <c r="A13" s="40"/>
      <c r="B13" s="40"/>
    </row>
    <row r="14" spans="1:11" x14ac:dyDescent="0.25">
      <c r="A14" s="40" t="s">
        <v>932</v>
      </c>
      <c r="B14" s="40"/>
    </row>
    <row r="15" spans="1:11" x14ac:dyDescent="0.25">
      <c r="A15" s="40"/>
      <c r="B15" s="40"/>
    </row>
    <row r="16" spans="1:11" x14ac:dyDescent="0.25">
      <c r="A16" s="40"/>
      <c r="B16" s="40"/>
    </row>
    <row r="17" spans="1:2" x14ac:dyDescent="0.25">
      <c r="A17" s="40"/>
      <c r="B17" s="40"/>
    </row>
    <row r="18" spans="1:2" x14ac:dyDescent="0.25">
      <c r="A18" s="40" t="s">
        <v>936</v>
      </c>
      <c r="B18" s="40"/>
    </row>
    <row r="19" spans="1:2" x14ac:dyDescent="0.25">
      <c r="A19" s="40"/>
      <c r="B19" s="40"/>
    </row>
    <row r="20" spans="1:2" x14ac:dyDescent="0.25">
      <c r="A20" s="40"/>
      <c r="B20" s="40"/>
    </row>
    <row r="21" spans="1:2" x14ac:dyDescent="0.25">
      <c r="A21" s="40"/>
      <c r="B21" s="40"/>
    </row>
    <row r="22" spans="1:2" x14ac:dyDescent="0.25">
      <c r="A22" s="40" t="s">
        <v>1117</v>
      </c>
      <c r="B22" s="40"/>
    </row>
    <row r="23" spans="1:2" x14ac:dyDescent="0.25">
      <c r="A23" s="40"/>
      <c r="B23" s="40"/>
    </row>
    <row r="24" spans="1:2" x14ac:dyDescent="0.25">
      <c r="A24" s="40"/>
      <c r="B24" s="40"/>
    </row>
    <row r="25" spans="1:2" x14ac:dyDescent="0.25">
      <c r="A25" s="40"/>
      <c r="B25" s="40"/>
    </row>
    <row r="26" spans="1:2" x14ac:dyDescent="0.25">
      <c r="A26" s="40"/>
      <c r="B26" s="40"/>
    </row>
    <row r="27" spans="1:2" x14ac:dyDescent="0.25">
      <c r="A27" s="40"/>
      <c r="B27" s="40"/>
    </row>
    <row r="28" spans="1:2" x14ac:dyDescent="0.25">
      <c r="A28" s="40"/>
      <c r="B28" s="40"/>
    </row>
    <row r="29" spans="1:2" x14ac:dyDescent="0.25">
      <c r="A29" s="40"/>
      <c r="B29" s="40"/>
    </row>
    <row r="30" spans="1:2" x14ac:dyDescent="0.25">
      <c r="A30" s="40"/>
      <c r="B30" s="40"/>
    </row>
    <row r="31" spans="1:2" x14ac:dyDescent="0.25">
      <c r="A31" s="40"/>
      <c r="B31" s="40"/>
    </row>
  </sheetData>
  <mergeCells count="2">
    <mergeCell ref="E1:F1"/>
    <mergeCell ref="G1:H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E3"/>
  <sheetViews>
    <sheetView workbookViewId="0">
      <selection activeCell="D2" sqref="D2"/>
    </sheetView>
  </sheetViews>
  <sheetFormatPr defaultColWidth="9.140625" defaultRowHeight="15" x14ac:dyDescent="0.25"/>
  <cols>
    <col min="1" max="1" width="16" style="1" bestFit="1" customWidth="1"/>
    <col min="2" max="2" width="12.140625" style="1" bestFit="1" customWidth="1"/>
    <col min="3" max="3" width="17" style="1" bestFit="1" customWidth="1"/>
    <col min="4" max="4" width="19.85546875" style="1" bestFit="1" customWidth="1"/>
    <col min="5" max="5" width="20.7109375" style="1" bestFit="1" customWidth="1"/>
    <col min="6" max="16384" width="9.140625" style="1"/>
  </cols>
  <sheetData>
    <row r="1" spans="1:5" x14ac:dyDescent="0.25">
      <c r="A1" s="1" t="s">
        <v>679</v>
      </c>
      <c r="B1" s="1" t="s">
        <v>314</v>
      </c>
      <c r="C1" s="1" t="s">
        <v>317</v>
      </c>
      <c r="D1" s="1" t="s">
        <v>318</v>
      </c>
      <c r="E1" s="1" t="s">
        <v>319</v>
      </c>
    </row>
    <row r="2" spans="1:5" x14ac:dyDescent="0.25">
      <c r="A2" s="1">
        <v>1</v>
      </c>
      <c r="B2" s="1">
        <f>dokumen!A9</f>
        <v>7</v>
      </c>
      <c r="C2" s="6">
        <f>dokumen!E9</f>
        <v>43361</v>
      </c>
      <c r="D2" s="1" t="e">
        <f>dokumen!G9</f>
        <v>#REF!</v>
      </c>
      <c r="E2" s="1">
        <f>dokumen!J9</f>
        <v>0</v>
      </c>
    </row>
    <row r="3" spans="1:5" x14ac:dyDescent="0.25">
      <c r="A3" s="1">
        <v>2</v>
      </c>
      <c r="B3" s="1">
        <f>dokumen!A14</f>
        <v>12</v>
      </c>
      <c r="C3" s="6">
        <f>dokumen!E19</f>
        <v>0</v>
      </c>
      <c r="D3" s="1" t="e">
        <f>dokumen!G14</f>
        <v>#REF!</v>
      </c>
      <c r="E3" s="1">
        <f>dokumen!J19</f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N23"/>
  <sheetViews>
    <sheetView zoomScale="70" zoomScaleNormal="70" workbookViewId="0">
      <selection activeCell="G4" sqref="G4"/>
    </sheetView>
  </sheetViews>
  <sheetFormatPr defaultColWidth="9.140625" defaultRowHeight="15" x14ac:dyDescent="0.25"/>
  <cols>
    <col min="1" max="1" width="15.28515625" style="1" bestFit="1" customWidth="1"/>
    <col min="2" max="2" width="55.42578125" style="1" bestFit="1" customWidth="1"/>
    <col min="3" max="3" width="20" style="1" bestFit="1" customWidth="1"/>
    <col min="4" max="4" width="22.28515625" style="1" bestFit="1" customWidth="1"/>
    <col min="5" max="5" width="17" style="1" bestFit="1" customWidth="1"/>
    <col min="6" max="6" width="17" style="1" customWidth="1"/>
    <col min="7" max="7" width="19.85546875" style="1" bestFit="1" customWidth="1"/>
    <col min="8" max="8" width="9.85546875" style="1" bestFit="1" customWidth="1"/>
    <col min="9" max="9" width="14.85546875" style="1" bestFit="1" customWidth="1"/>
    <col min="10" max="10" width="22" style="1" bestFit="1" customWidth="1"/>
    <col min="11" max="11" width="12.42578125" style="1" bestFit="1" customWidth="1"/>
    <col min="12" max="14" width="12.140625" style="1" bestFit="1" customWidth="1"/>
    <col min="15" max="15" width="15.42578125" style="1" customWidth="1"/>
    <col min="16" max="16384" width="9.140625" style="1"/>
  </cols>
  <sheetData>
    <row r="1" spans="1:14" s="44" customFormat="1" x14ac:dyDescent="0.25">
      <c r="B1" s="297" t="s">
        <v>947</v>
      </c>
      <c r="C1" s="297"/>
      <c r="D1" s="44" t="s">
        <v>948</v>
      </c>
      <c r="E1" s="44" t="s">
        <v>949</v>
      </c>
      <c r="F1" s="297" t="s">
        <v>950</v>
      </c>
      <c r="G1" s="297"/>
      <c r="J1" s="44" t="s">
        <v>951</v>
      </c>
      <c r="K1" s="297" t="s">
        <v>952</v>
      </c>
      <c r="L1" s="297"/>
      <c r="M1" s="297"/>
      <c r="N1" s="297"/>
    </row>
    <row r="2" spans="1:14" x14ac:dyDescent="0.25">
      <c r="A2" s="1" t="s">
        <v>314</v>
      </c>
      <c r="B2" s="1" t="s">
        <v>315</v>
      </c>
      <c r="C2" s="1" t="s">
        <v>316</v>
      </c>
      <c r="D2" s="1" t="s">
        <v>23</v>
      </c>
      <c r="E2" s="1" t="s">
        <v>317</v>
      </c>
      <c r="F2" s="1" t="s">
        <v>394</v>
      </c>
      <c r="G2" s="1" t="s">
        <v>318</v>
      </c>
      <c r="H2" s="1" t="s">
        <v>46</v>
      </c>
      <c r="I2" s="1" t="s">
        <v>47</v>
      </c>
      <c r="J2" s="1" t="s">
        <v>319</v>
      </c>
      <c r="K2" s="1" t="s">
        <v>320</v>
      </c>
      <c r="L2" s="1" t="s">
        <v>321</v>
      </c>
      <c r="M2" s="1" t="s">
        <v>322</v>
      </c>
      <c r="N2" s="1" t="s">
        <v>323</v>
      </c>
    </row>
    <row r="3" spans="1:14" x14ac:dyDescent="0.25">
      <c r="A3" s="1">
        <v>1</v>
      </c>
      <c r="B3" s="1">
        <f>'type dokumen'!A5</f>
        <v>3</v>
      </c>
      <c r="C3" s="1" t="str">
        <f>'type dokumen'!B5</f>
        <v>sales order</v>
      </c>
      <c r="E3" s="6">
        <v>43260</v>
      </c>
      <c r="F3" s="6"/>
      <c r="G3" s="1" t="str">
        <f>kontak!G3</f>
        <v>dimas dhaniarso</v>
      </c>
    </row>
    <row r="4" spans="1:14" x14ac:dyDescent="0.25">
      <c r="A4" s="1">
        <v>2</v>
      </c>
      <c r="B4" s="1">
        <f>'type dokumen'!A8</f>
        <v>6</v>
      </c>
      <c r="C4" s="1" t="str">
        <f>'type dokumen'!B8</f>
        <v>term of sales</v>
      </c>
      <c r="D4" s="1" t="s">
        <v>324</v>
      </c>
      <c r="E4" s="6">
        <v>43361</v>
      </c>
      <c r="F4" s="6"/>
      <c r="G4" s="1" t="e">
        <f>'Sales Quotation'!#REF!</f>
        <v>#REF!</v>
      </c>
      <c r="J4" s="1" t="s">
        <v>325</v>
      </c>
    </row>
    <row r="5" spans="1:14" x14ac:dyDescent="0.25">
      <c r="A5" s="1">
        <v>3</v>
      </c>
      <c r="B5" s="1">
        <f>'type dokumen'!A8</f>
        <v>6</v>
      </c>
      <c r="C5" s="1" t="str">
        <f>'type dokumen'!B8</f>
        <v>term of sales</v>
      </c>
      <c r="D5" s="1" t="s">
        <v>324</v>
      </c>
      <c r="E5" s="6">
        <v>43361</v>
      </c>
      <c r="F5" s="6"/>
      <c r="G5" s="1" t="e">
        <f>'Sales Order'!#REF!</f>
        <v>#REF!</v>
      </c>
    </row>
    <row r="6" spans="1:14" x14ac:dyDescent="0.25">
      <c r="A6" s="1">
        <v>4</v>
      </c>
      <c r="B6" s="1">
        <f>'type dokumen'!A8</f>
        <v>6</v>
      </c>
      <c r="C6" s="1" t="str">
        <f>'type dokumen'!B8</f>
        <v>term of sales</v>
      </c>
      <c r="D6" s="1" t="s">
        <v>324</v>
      </c>
      <c r="E6" s="6">
        <v>43361</v>
      </c>
      <c r="F6" s="6"/>
      <c r="G6" s="1" t="e">
        <f>'Delivery Order'!#REF!</f>
        <v>#REF!</v>
      </c>
    </row>
    <row r="7" spans="1:14" x14ac:dyDescent="0.25">
      <c r="A7" s="1">
        <v>5</v>
      </c>
      <c r="B7" s="1">
        <f>'type dokumen'!A8</f>
        <v>6</v>
      </c>
      <c r="C7" s="1" t="str">
        <f>'type dokumen'!B8</f>
        <v>term of sales</v>
      </c>
      <c r="D7" s="1" t="s">
        <v>324</v>
      </c>
      <c r="E7" s="6">
        <v>43361</v>
      </c>
      <c r="F7" s="6"/>
      <c r="G7" s="1" t="e">
        <f>Invoice!#REF!</f>
        <v>#REF!</v>
      </c>
    </row>
    <row r="8" spans="1:14" x14ac:dyDescent="0.25">
      <c r="A8" s="1">
        <v>6</v>
      </c>
      <c r="B8" s="1">
        <f>'type dokumen'!A8</f>
        <v>6</v>
      </c>
      <c r="C8" s="1" t="str">
        <f>'type dokumen'!B8</f>
        <v>term of sales</v>
      </c>
      <c r="D8" s="1" t="s">
        <v>324</v>
      </c>
      <c r="E8" s="6">
        <v>43361</v>
      </c>
      <c r="F8" s="6"/>
      <c r="G8" s="1" t="e">
        <f>#REF!</f>
        <v>#REF!</v>
      </c>
    </row>
    <row r="9" spans="1:14" x14ac:dyDescent="0.25">
      <c r="A9" s="1">
        <v>7</v>
      </c>
      <c r="B9" s="1">
        <f>'type dokumen'!A8</f>
        <v>6</v>
      </c>
      <c r="C9" s="1" t="str">
        <f>'type dokumen'!B8</f>
        <v>term of sales</v>
      </c>
      <c r="D9" s="1" t="s">
        <v>324</v>
      </c>
      <c r="E9" s="6">
        <v>43361</v>
      </c>
      <c r="F9" s="6"/>
      <c r="G9" s="1" t="e">
        <f>#REF!</f>
        <v>#REF!</v>
      </c>
    </row>
    <row r="10" spans="1:14" x14ac:dyDescent="0.25">
      <c r="A10" s="1">
        <v>8</v>
      </c>
      <c r="B10" s="1">
        <f>'type dokumen'!A10</f>
        <v>8</v>
      </c>
      <c r="C10" s="1" t="str">
        <f>'type dokumen'!B10</f>
        <v>internal office memo</v>
      </c>
      <c r="D10" s="1" t="s">
        <v>491</v>
      </c>
      <c r="E10" s="6">
        <v>43363</v>
      </c>
      <c r="F10" s="6"/>
      <c r="G10" s="1" t="e">
        <f>'Shoping Cart'!#REF!</f>
        <v>#REF!</v>
      </c>
    </row>
    <row r="11" spans="1:14" x14ac:dyDescent="0.25">
      <c r="A11" s="1">
        <v>9</v>
      </c>
      <c r="B11" s="1">
        <f>'type dokumen'!A10</f>
        <v>8</v>
      </c>
      <c r="C11" s="1" t="str">
        <f>'type dokumen'!B10</f>
        <v>internal office memo</v>
      </c>
      <c r="D11" s="1" t="s">
        <v>491</v>
      </c>
      <c r="E11" s="6">
        <v>43363</v>
      </c>
      <c r="F11" s="6"/>
      <c r="G11" s="1" t="e">
        <f>'Quotation Request'!#REF!</f>
        <v>#REF!</v>
      </c>
    </row>
    <row r="12" spans="1:14" x14ac:dyDescent="0.25">
      <c r="A12" s="1">
        <v>10</v>
      </c>
      <c r="B12" s="1">
        <f>'type dokumen'!A10</f>
        <v>8</v>
      </c>
      <c r="C12" s="1" t="str">
        <f>'type dokumen'!B10</f>
        <v>internal office memo</v>
      </c>
      <c r="D12" s="1" t="s">
        <v>491</v>
      </c>
      <c r="E12" s="6">
        <v>43363</v>
      </c>
      <c r="F12" s="6"/>
      <c r="G12" s="1" t="e">
        <f>'Purchase Order'!#REF!</f>
        <v>#REF!</v>
      </c>
    </row>
    <row r="13" spans="1:14" x14ac:dyDescent="0.25">
      <c r="A13" s="1">
        <v>11</v>
      </c>
      <c r="B13" s="1">
        <f>'type dokumen'!A10</f>
        <v>8</v>
      </c>
      <c r="C13" s="1" t="str">
        <f>'type dokumen'!B10</f>
        <v>internal office memo</v>
      </c>
      <c r="D13" s="1" t="s">
        <v>491</v>
      </c>
      <c r="E13" s="6">
        <v>43363</v>
      </c>
      <c r="F13" s="6"/>
      <c r="G13" s="1" t="e">
        <f>'Purchase Delivery'!#REF!</f>
        <v>#REF!</v>
      </c>
    </row>
    <row r="14" spans="1:14" x14ac:dyDescent="0.25">
      <c r="A14" s="1">
        <v>12</v>
      </c>
      <c r="B14" s="1">
        <f>'type dokumen'!A10</f>
        <v>8</v>
      </c>
      <c r="C14" s="1" t="str">
        <f>'type dokumen'!B10</f>
        <v>internal office memo</v>
      </c>
      <c r="D14" s="1" t="s">
        <v>491</v>
      </c>
      <c r="E14" s="6">
        <v>43363</v>
      </c>
      <c r="F14" s="6"/>
      <c r="G14" s="1" t="e">
        <f>'Received Goods'!#REF!</f>
        <v>#REF!</v>
      </c>
    </row>
    <row r="15" spans="1:14" x14ac:dyDescent="0.25">
      <c r="G15" s="1" t="e">
        <f>#REF!</f>
        <v>#REF!</v>
      </c>
    </row>
    <row r="18" spans="1:2" x14ac:dyDescent="0.25">
      <c r="A18" s="40" t="s">
        <v>927</v>
      </c>
      <c r="B18" s="39" t="s">
        <v>947</v>
      </c>
    </row>
    <row r="19" spans="1:2" x14ac:dyDescent="0.25">
      <c r="A19" s="40"/>
      <c r="B19" s="39" t="s">
        <v>950</v>
      </c>
    </row>
    <row r="20" spans="1:2" x14ac:dyDescent="0.25">
      <c r="A20" s="40"/>
      <c r="B20" s="39"/>
    </row>
    <row r="21" spans="1:2" x14ac:dyDescent="0.25">
      <c r="A21" s="40" t="s">
        <v>945</v>
      </c>
      <c r="B21" s="39" t="s">
        <v>953</v>
      </c>
    </row>
    <row r="22" spans="1:2" x14ac:dyDescent="0.25">
      <c r="B22" s="39" t="s">
        <v>954</v>
      </c>
    </row>
    <row r="23" spans="1:2" x14ac:dyDescent="0.25">
      <c r="B23" s="39"/>
    </row>
  </sheetData>
  <mergeCells count="3">
    <mergeCell ref="B1:C1"/>
    <mergeCell ref="K1:N1"/>
    <mergeCell ref="F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C25"/>
  <sheetViews>
    <sheetView zoomScale="160" zoomScaleNormal="160" workbookViewId="0">
      <selection activeCell="C22" sqref="C22"/>
    </sheetView>
  </sheetViews>
  <sheetFormatPr defaultColWidth="9.140625" defaultRowHeight="15" x14ac:dyDescent="0.25"/>
  <cols>
    <col min="1" max="1" width="17.42578125" style="1" bestFit="1" customWidth="1"/>
    <col min="2" max="2" width="18" style="1" customWidth="1"/>
    <col min="3" max="3" width="17.85546875" style="1" customWidth="1"/>
    <col min="4" max="16384" width="9.140625" style="1"/>
  </cols>
  <sheetData>
    <row r="1" spans="1:3" s="44" customFormat="1" x14ac:dyDescent="0.25">
      <c r="A1" s="44" t="s">
        <v>940</v>
      </c>
      <c r="B1" s="44" t="s">
        <v>938</v>
      </c>
      <c r="C1" s="44" t="s">
        <v>939</v>
      </c>
    </row>
    <row r="2" spans="1:3" x14ac:dyDescent="0.25">
      <c r="A2" s="1" t="s">
        <v>315</v>
      </c>
      <c r="B2" s="1" t="s">
        <v>316</v>
      </c>
      <c r="C2" s="1" t="s">
        <v>26</v>
      </c>
    </row>
    <row r="3" spans="1:3" x14ac:dyDescent="0.25">
      <c r="A3" s="1">
        <v>1</v>
      </c>
      <c r="B3" s="1" t="s">
        <v>381</v>
      </c>
    </row>
    <row r="4" spans="1:3" x14ac:dyDescent="0.25">
      <c r="A4" s="1">
        <v>2</v>
      </c>
      <c r="B4" s="1" t="s">
        <v>382</v>
      </c>
    </row>
    <row r="5" spans="1:3" x14ac:dyDescent="0.25">
      <c r="A5" s="1">
        <v>3</v>
      </c>
      <c r="B5" s="1" t="s">
        <v>383</v>
      </c>
    </row>
    <row r="6" spans="1:3" x14ac:dyDescent="0.25">
      <c r="A6" s="1">
        <v>4</v>
      </c>
      <c r="B6" s="1" t="s">
        <v>486</v>
      </c>
    </row>
    <row r="7" spans="1:3" x14ac:dyDescent="0.25">
      <c r="A7" s="1">
        <v>5</v>
      </c>
      <c r="B7" s="1" t="s">
        <v>384</v>
      </c>
    </row>
    <row r="8" spans="1:3" x14ac:dyDescent="0.25">
      <c r="A8" s="1">
        <v>6</v>
      </c>
      <c r="B8" s="1" t="s">
        <v>385</v>
      </c>
    </row>
    <row r="9" spans="1:3" x14ac:dyDescent="0.25">
      <c r="A9" s="1">
        <v>7</v>
      </c>
      <c r="B9" s="1" t="s">
        <v>386</v>
      </c>
    </row>
    <row r="10" spans="1:3" x14ac:dyDescent="0.25">
      <c r="A10" s="1">
        <v>8</v>
      </c>
      <c r="B10" s="1" t="s">
        <v>490</v>
      </c>
    </row>
    <row r="11" spans="1:3" x14ac:dyDescent="0.25">
      <c r="A11" s="1">
        <v>9</v>
      </c>
      <c r="B11" s="1" t="s">
        <v>513</v>
      </c>
    </row>
    <row r="12" spans="1:3" x14ac:dyDescent="0.25">
      <c r="A12" s="1">
        <v>10</v>
      </c>
      <c r="B12" s="1" t="s">
        <v>387</v>
      </c>
    </row>
    <row r="15" spans="1:3" x14ac:dyDescent="0.25">
      <c r="A15" s="1" t="s">
        <v>927</v>
      </c>
      <c r="B15" s="39" t="s">
        <v>942</v>
      </c>
      <c r="C15" s="39" t="s">
        <v>941</v>
      </c>
    </row>
    <row r="16" spans="1:3" x14ac:dyDescent="0.25">
      <c r="B16" s="39" t="s">
        <v>943</v>
      </c>
      <c r="C16" s="39" t="s">
        <v>944</v>
      </c>
    </row>
    <row r="17" spans="1:3" x14ac:dyDescent="0.25">
      <c r="B17" s="39"/>
    </row>
    <row r="18" spans="1:3" x14ac:dyDescent="0.25">
      <c r="A18" s="1" t="s">
        <v>945</v>
      </c>
      <c r="B18" s="39" t="s">
        <v>946</v>
      </c>
    </row>
    <row r="19" spans="1:3" x14ac:dyDescent="0.25">
      <c r="B19" s="39"/>
    </row>
    <row r="20" spans="1:3" x14ac:dyDescent="0.25">
      <c r="B20" s="39"/>
    </row>
    <row r="21" spans="1:3" x14ac:dyDescent="0.25">
      <c r="B21" s="39"/>
    </row>
    <row r="22" spans="1:3" x14ac:dyDescent="0.25">
      <c r="B22" s="39"/>
      <c r="C22" s="39"/>
    </row>
    <row r="23" spans="1:3" x14ac:dyDescent="0.25">
      <c r="B23" s="39"/>
    </row>
    <row r="24" spans="1:3" x14ac:dyDescent="0.25">
      <c r="B24" s="39"/>
    </row>
    <row r="25" spans="1:3" x14ac:dyDescent="0.25">
      <c r="B25" s="3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2:S24"/>
  <sheetViews>
    <sheetView zoomScale="115" zoomScaleNormal="115" workbookViewId="0">
      <selection activeCell="C5" sqref="C5"/>
    </sheetView>
  </sheetViews>
  <sheetFormatPr defaultColWidth="9.140625" defaultRowHeight="15" x14ac:dyDescent="0.25"/>
  <cols>
    <col min="1" max="1" width="16" style="1" bestFit="1" customWidth="1"/>
    <col min="2" max="2" width="9.7109375" style="1" bestFit="1" customWidth="1"/>
    <col min="3" max="3" width="13" style="1" bestFit="1" customWidth="1"/>
    <col min="4" max="4" width="12.85546875" style="1" customWidth="1"/>
    <col min="5" max="5" width="10.140625" style="1" bestFit="1" customWidth="1"/>
    <col min="6" max="6" width="12.42578125" style="1" bestFit="1" customWidth="1"/>
    <col min="7" max="7" width="9.7109375" style="286" bestFit="1" customWidth="1"/>
    <col min="8" max="8" width="16" style="286" bestFit="1" customWidth="1"/>
    <col min="9" max="9" width="7.42578125" style="1" bestFit="1" customWidth="1"/>
    <col min="10" max="10" width="9.85546875" style="1" bestFit="1" customWidth="1"/>
    <col min="11" max="11" width="14.85546875" style="1" bestFit="1" customWidth="1"/>
    <col min="12" max="12" width="5.42578125" style="1" bestFit="1" customWidth="1"/>
    <col min="13" max="13" width="16.85546875" style="1" bestFit="1" customWidth="1"/>
    <col min="14" max="14" width="12.140625" style="1" bestFit="1" customWidth="1"/>
    <col min="15" max="15" width="22.28515625" style="1" bestFit="1" customWidth="1"/>
    <col min="16" max="16" width="10.140625" style="1" bestFit="1" customWidth="1"/>
    <col min="17" max="17" width="22.28515625" style="1" bestFit="1" customWidth="1"/>
    <col min="18" max="18" width="8.28515625" style="1" bestFit="1" customWidth="1"/>
    <col min="19" max="16384" width="9.140625" style="1"/>
  </cols>
  <sheetData>
    <row r="2" spans="1:19" x14ac:dyDescent="0.25">
      <c r="A2" s="1" t="s">
        <v>955</v>
      </c>
      <c r="B2" s="1" t="s">
        <v>394</v>
      </c>
      <c r="C2" s="1" t="s">
        <v>540</v>
      </c>
      <c r="D2" s="1" t="s">
        <v>960</v>
      </c>
      <c r="E2" s="1" t="s">
        <v>956</v>
      </c>
      <c r="F2" s="1" t="s">
        <v>791</v>
      </c>
      <c r="G2" s="286" t="s">
        <v>394</v>
      </c>
      <c r="H2" s="286" t="s">
        <v>1417</v>
      </c>
      <c r="I2" s="1" t="s">
        <v>481</v>
      </c>
      <c r="J2" s="1" t="s">
        <v>46</v>
      </c>
      <c r="K2" s="1" t="s">
        <v>47</v>
      </c>
      <c r="L2" s="1" t="s">
        <v>957</v>
      </c>
      <c r="M2" s="1" t="s">
        <v>958</v>
      </c>
      <c r="N2" s="1" t="s">
        <v>314</v>
      </c>
      <c r="O2" s="1" t="s">
        <v>23</v>
      </c>
      <c r="P2" s="1" t="s">
        <v>959</v>
      </c>
    </row>
    <row r="6" spans="1:19" x14ac:dyDescent="0.25">
      <c r="O6" s="136"/>
      <c r="P6" s="136"/>
      <c r="Q6" s="136"/>
      <c r="R6" s="136"/>
      <c r="S6" s="136"/>
    </row>
    <row r="7" spans="1:19" x14ac:dyDescent="0.25">
      <c r="O7" s="136"/>
      <c r="P7" s="136"/>
      <c r="Q7" s="136"/>
      <c r="R7" s="136"/>
      <c r="S7" s="136"/>
    </row>
    <row r="8" spans="1:19" x14ac:dyDescent="0.25">
      <c r="O8" s="136"/>
      <c r="P8" s="136"/>
      <c r="Q8" s="244"/>
      <c r="R8" s="136"/>
      <c r="S8" s="136"/>
    </row>
    <row r="9" spans="1:19" x14ac:dyDescent="0.25">
      <c r="O9" s="136"/>
      <c r="P9" s="136"/>
      <c r="Q9" s="244"/>
      <c r="R9" s="136"/>
      <c r="S9" s="136"/>
    </row>
    <row r="10" spans="1:19" x14ac:dyDescent="0.25">
      <c r="O10" s="136"/>
      <c r="P10" s="136"/>
      <c r="Q10" s="244"/>
      <c r="R10" s="136"/>
      <c r="S10" s="136"/>
    </row>
    <row r="11" spans="1:19" x14ac:dyDescent="0.25">
      <c r="O11" s="136"/>
      <c r="P11" s="136"/>
      <c r="Q11" s="244"/>
      <c r="R11" s="136"/>
      <c r="S11" s="136"/>
    </row>
    <row r="12" spans="1:19" x14ac:dyDescent="0.25">
      <c r="O12" s="136"/>
      <c r="P12" s="136"/>
      <c r="Q12" s="244"/>
      <c r="R12" s="136"/>
      <c r="S12" s="136"/>
    </row>
    <row r="13" spans="1:19" x14ac:dyDescent="0.25">
      <c r="O13" s="136"/>
      <c r="P13" s="136"/>
      <c r="Q13" s="244"/>
      <c r="R13" s="136"/>
      <c r="S13" s="136"/>
    </row>
    <row r="14" spans="1:19" x14ac:dyDescent="0.25">
      <c r="O14" s="136"/>
      <c r="P14" s="136"/>
      <c r="Q14" s="244"/>
      <c r="R14" s="136"/>
      <c r="S14" s="136"/>
    </row>
    <row r="15" spans="1:19" x14ac:dyDescent="0.25">
      <c r="O15" s="136"/>
      <c r="P15" s="136"/>
      <c r="Q15" s="244"/>
      <c r="R15" s="136"/>
      <c r="S15" s="136"/>
    </row>
    <row r="16" spans="1:19" x14ac:dyDescent="0.25">
      <c r="O16" s="136"/>
      <c r="P16" s="136"/>
      <c r="Q16" s="244"/>
      <c r="R16" s="136"/>
      <c r="S16" s="136"/>
    </row>
    <row r="17" spans="15:19" x14ac:dyDescent="0.25">
      <c r="O17" s="136"/>
      <c r="P17" s="136"/>
      <c r="Q17" s="244"/>
      <c r="R17" s="136"/>
      <c r="S17" s="136"/>
    </row>
    <row r="18" spans="15:19" x14ac:dyDescent="0.25">
      <c r="O18" s="136"/>
      <c r="P18" s="136"/>
      <c r="Q18" s="244"/>
      <c r="R18" s="136"/>
      <c r="S18" s="136"/>
    </row>
    <row r="19" spans="15:19" x14ac:dyDescent="0.25">
      <c r="O19" s="136"/>
      <c r="P19" s="136"/>
      <c r="Q19" s="244"/>
      <c r="R19" s="136"/>
      <c r="S19" s="136"/>
    </row>
    <row r="20" spans="15:19" x14ac:dyDescent="0.25">
      <c r="O20" s="136"/>
      <c r="P20" s="136"/>
      <c r="Q20" s="244"/>
      <c r="R20" s="136"/>
      <c r="S20" s="136"/>
    </row>
    <row r="21" spans="15:19" x14ac:dyDescent="0.25">
      <c r="O21" s="136"/>
      <c r="P21" s="136"/>
      <c r="Q21" s="244"/>
      <c r="R21" s="136"/>
      <c r="S21" s="136"/>
    </row>
    <row r="22" spans="15:19" x14ac:dyDescent="0.25">
      <c r="O22" s="136"/>
      <c r="P22" s="136"/>
      <c r="Q22" s="244"/>
      <c r="R22" s="136"/>
      <c r="S22" s="136"/>
    </row>
    <row r="23" spans="15:19" x14ac:dyDescent="0.25">
      <c r="O23" s="136"/>
      <c r="P23" s="136"/>
      <c r="Q23" s="244"/>
      <c r="R23" s="136"/>
      <c r="S23" s="136"/>
    </row>
    <row r="24" spans="15:19" x14ac:dyDescent="0.25">
      <c r="O24" s="136"/>
      <c r="P24" s="136"/>
      <c r="Q24" s="136"/>
      <c r="R24" s="136"/>
      <c r="S24" s="13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D4"/>
  <sheetViews>
    <sheetView zoomScale="145" zoomScaleNormal="145" workbookViewId="0"/>
  </sheetViews>
  <sheetFormatPr defaultColWidth="9.140625" defaultRowHeight="15" x14ac:dyDescent="0.25"/>
  <cols>
    <col min="1" max="1" width="12.85546875" style="1" bestFit="1" customWidth="1"/>
    <col min="2" max="2" width="10.42578125" style="1" bestFit="1" customWidth="1"/>
    <col min="3" max="3" width="11" style="1" bestFit="1" customWidth="1"/>
    <col min="4" max="4" width="9.140625" style="1" bestFit="1" customWidth="1"/>
    <col min="5" max="16384" width="9.140625" style="1"/>
  </cols>
  <sheetData>
    <row r="1" spans="1:4" x14ac:dyDescent="0.25">
      <c r="A1" s="1" t="s">
        <v>960</v>
      </c>
      <c r="B1" s="1" t="s">
        <v>956</v>
      </c>
      <c r="C1" s="1" t="s">
        <v>26</v>
      </c>
      <c r="D1" s="1" t="s">
        <v>962</v>
      </c>
    </row>
    <row r="2" spans="1:4" x14ac:dyDescent="0.25">
      <c r="A2" s="1">
        <v>1</v>
      </c>
      <c r="B2" s="1" t="s">
        <v>961</v>
      </c>
    </row>
    <row r="3" spans="1:4" x14ac:dyDescent="0.25">
      <c r="A3" s="1">
        <v>2</v>
      </c>
      <c r="B3" s="1" t="s">
        <v>636</v>
      </c>
    </row>
    <row r="4" spans="1:4" x14ac:dyDescent="0.25">
      <c r="A4" s="1">
        <v>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G6"/>
  <sheetViews>
    <sheetView workbookViewId="0">
      <selection activeCell="H16" sqref="H16"/>
    </sheetView>
  </sheetViews>
  <sheetFormatPr defaultColWidth="9.140625" defaultRowHeight="15" x14ac:dyDescent="0.25"/>
  <cols>
    <col min="1" max="1" width="19.28515625" style="1" bestFit="1" customWidth="1"/>
    <col min="2" max="2" width="15.42578125" style="1" bestFit="1" customWidth="1"/>
    <col min="3" max="3" width="12.42578125" style="1" bestFit="1" customWidth="1"/>
    <col min="4" max="4" width="13.28515625" style="1" bestFit="1" customWidth="1"/>
    <col min="5" max="5" width="14.140625" style="1" bestFit="1" customWidth="1"/>
    <col min="6" max="6" width="6.85546875" style="1" bestFit="1" customWidth="1"/>
    <col min="7" max="7" width="11" style="1" bestFit="1" customWidth="1"/>
    <col min="8" max="16384" width="9.140625" style="1"/>
  </cols>
  <sheetData>
    <row r="1" spans="1:7" x14ac:dyDescent="0.25">
      <c r="A1" s="1" t="s">
        <v>680</v>
      </c>
      <c r="B1" s="1" t="s">
        <v>94</v>
      </c>
      <c r="C1" s="1" t="s">
        <v>328</v>
      </c>
      <c r="D1" s="1" t="s">
        <v>329</v>
      </c>
      <c r="E1" s="1" t="s">
        <v>897</v>
      </c>
      <c r="F1" s="1" t="s">
        <v>898</v>
      </c>
      <c r="G1" s="1" t="s">
        <v>26</v>
      </c>
    </row>
    <row r="2" spans="1:7" x14ac:dyDescent="0.25">
      <c r="A2" s="1">
        <v>1</v>
      </c>
      <c r="B2" s="1">
        <f>'satuan dasar'!A3</f>
        <v>1</v>
      </c>
      <c r="C2" s="1" t="str">
        <f>'satuan dasar'!D3</f>
        <v>u</v>
      </c>
      <c r="D2" s="1" t="str">
        <f>'satuan dasar'!E3</f>
        <v>unit</v>
      </c>
      <c r="E2" s="1">
        <f>'satuan dasar'!F3</f>
        <v>0</v>
      </c>
      <c r="F2" s="1">
        <f>'satuan dasar'!H3</f>
        <v>0</v>
      </c>
    </row>
    <row r="3" spans="1:7" x14ac:dyDescent="0.25">
      <c r="A3" s="1">
        <v>2</v>
      </c>
      <c r="B3" s="1">
        <f>'satuan dasar'!A4</f>
        <v>2</v>
      </c>
      <c r="C3" s="1" t="str">
        <f>'satuan dasar'!D4</f>
        <v>pcs</v>
      </c>
      <c r="D3" s="1" t="str">
        <f>'satuan dasar'!E4</f>
        <v>piece</v>
      </c>
      <c r="E3" s="1">
        <f>'satuan dasar'!F4</f>
        <v>0</v>
      </c>
      <c r="F3" s="1">
        <f>'satuan dasar'!H4</f>
        <v>0</v>
      </c>
    </row>
    <row r="4" spans="1:7" x14ac:dyDescent="0.25">
      <c r="A4" s="1">
        <v>3</v>
      </c>
      <c r="B4" s="1">
        <f>'satuan dasar'!A5</f>
        <v>3</v>
      </c>
      <c r="C4" s="1" t="str">
        <f>'satuan dasar'!D5</f>
        <v>srv</v>
      </c>
      <c r="D4" s="1" t="str">
        <f>'satuan dasar'!E5</f>
        <v>service</v>
      </c>
      <c r="E4" s="1">
        <f>'satuan dasar'!F5</f>
        <v>0</v>
      </c>
      <c r="F4" s="1">
        <f>'satuan dasar'!H5</f>
        <v>0</v>
      </c>
    </row>
    <row r="5" spans="1:7" x14ac:dyDescent="0.25">
      <c r="A5" s="1">
        <v>4</v>
      </c>
      <c r="B5" s="1">
        <f>'satuan dasar'!A7</f>
        <v>5</v>
      </c>
      <c r="C5" s="1" t="str">
        <f>'satuan dasar'!D7</f>
        <v>Kg</v>
      </c>
      <c r="D5" s="1" t="str">
        <f>'satuan dasar'!E7</f>
        <v>kilogram</v>
      </c>
      <c r="E5" s="1">
        <f>'satuan dasar'!F7</f>
        <v>1000</v>
      </c>
      <c r="F5" s="1" t="str">
        <f>'satuan dasar'!H7</f>
        <v>gram</v>
      </c>
    </row>
    <row r="6" spans="1:7" x14ac:dyDescent="0.25">
      <c r="A6" s="1">
        <v>5</v>
      </c>
      <c r="B6" s="1">
        <f>'satuan dasar'!A8</f>
        <v>6</v>
      </c>
      <c r="C6" s="1" t="str">
        <f>'satuan dasar'!D8</f>
        <v>Dz</v>
      </c>
      <c r="D6" s="1" t="str">
        <f>'satuan dasar'!E8</f>
        <v>dozen</v>
      </c>
      <c r="E6" s="1">
        <f>'satuan dasar'!F8</f>
        <v>12</v>
      </c>
      <c r="F6" s="1" t="str">
        <f>'satuan dasar'!H8</f>
        <v>piece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F046-6D99-466E-BC2A-04BAED40B47F}">
  <dimension ref="B2:R121"/>
  <sheetViews>
    <sheetView zoomScale="40" zoomScaleNormal="40" workbookViewId="0">
      <selection activeCell="Q90" sqref="Q90"/>
    </sheetView>
  </sheetViews>
  <sheetFormatPr defaultColWidth="9.140625" defaultRowHeight="15" x14ac:dyDescent="0.25"/>
  <cols>
    <col min="1" max="1" width="9.140625" style="40"/>
    <col min="2" max="2" width="32.7109375" style="40" bestFit="1" customWidth="1"/>
    <col min="3" max="3" width="23.7109375" style="40" bestFit="1" customWidth="1"/>
    <col min="4" max="4" width="21.42578125" style="40" bestFit="1" customWidth="1"/>
    <col min="5" max="5" width="12.85546875" style="40" bestFit="1" customWidth="1"/>
    <col min="6" max="6" width="9.140625" style="40"/>
    <col min="7" max="7" width="32.7109375" style="40" bestFit="1" customWidth="1"/>
    <col min="8" max="8" width="23.7109375" style="40" bestFit="1" customWidth="1"/>
    <col min="9" max="9" width="21.42578125" style="40" bestFit="1" customWidth="1"/>
    <col min="10" max="10" width="9.140625" style="40"/>
    <col min="11" max="11" width="43.42578125" style="40" bestFit="1" customWidth="1"/>
    <col min="12" max="12" width="25.28515625" style="40" bestFit="1" customWidth="1"/>
    <col min="13" max="13" width="23.28515625" style="40" bestFit="1" customWidth="1"/>
    <col min="14" max="14" width="9.140625" style="40"/>
    <col min="15" max="15" width="40.42578125" style="40" bestFit="1" customWidth="1"/>
    <col min="16" max="16" width="25.42578125" style="40" bestFit="1" customWidth="1"/>
    <col min="17" max="17" width="22.7109375" style="40" bestFit="1" customWidth="1"/>
    <col min="18" max="16384" width="9.140625" style="40"/>
  </cols>
  <sheetData>
    <row r="2" spans="2:18" x14ac:dyDescent="0.25">
      <c r="C2" s="301" t="s">
        <v>593</v>
      </c>
      <c r="H2" s="301" t="s">
        <v>599</v>
      </c>
      <c r="L2" s="301" t="s">
        <v>1680</v>
      </c>
      <c r="P2" s="301" t="s">
        <v>1682</v>
      </c>
    </row>
    <row r="3" spans="2:18" x14ac:dyDescent="0.25">
      <c r="C3" s="302"/>
      <c r="H3" s="302"/>
      <c r="L3" s="302"/>
      <c r="P3" s="302"/>
    </row>
    <row r="5" spans="2:18" ht="18.75" x14ac:dyDescent="0.25">
      <c r="B5" s="299" t="s">
        <v>593</v>
      </c>
      <c r="C5" s="299"/>
      <c r="D5" s="299"/>
      <c r="G5" s="299" t="s">
        <v>599</v>
      </c>
      <c r="H5" s="299"/>
      <c r="I5" s="299"/>
      <c r="K5" s="299" t="s">
        <v>1680</v>
      </c>
      <c r="L5" s="299"/>
      <c r="M5" s="299"/>
      <c r="O5" s="300" t="s">
        <v>1682</v>
      </c>
      <c r="P5" s="300"/>
      <c r="Q5" s="300"/>
    </row>
    <row r="6" spans="2:18" x14ac:dyDescent="0.25">
      <c r="B6" s="243" t="s">
        <v>1674</v>
      </c>
      <c r="C6" s="243" t="s">
        <v>1675</v>
      </c>
      <c r="D6" s="243" t="s">
        <v>1676</v>
      </c>
      <c r="G6" s="243" t="s">
        <v>1674</v>
      </c>
      <c r="H6" s="243" t="s">
        <v>1675</v>
      </c>
      <c r="I6" s="243" t="s">
        <v>1676</v>
      </c>
      <c r="K6" s="243" t="s">
        <v>1674</v>
      </c>
      <c r="L6" s="243" t="s">
        <v>1675</v>
      </c>
      <c r="M6" s="243" t="s">
        <v>1676</v>
      </c>
      <c r="O6" s="243" t="s">
        <v>1674</v>
      </c>
      <c r="P6" s="243" t="s">
        <v>1675</v>
      </c>
      <c r="Q6" s="243" t="s">
        <v>1676</v>
      </c>
    </row>
    <row r="7" spans="2:18" x14ac:dyDescent="0.25">
      <c r="B7" s="40" t="s">
        <v>450</v>
      </c>
      <c r="C7" s="215"/>
      <c r="D7" s="40">
        <v>1</v>
      </c>
      <c r="G7" s="40" t="s">
        <v>48</v>
      </c>
      <c r="I7" s="40">
        <v>2</v>
      </c>
      <c r="K7" s="40" t="s">
        <v>52</v>
      </c>
      <c r="M7" s="40">
        <v>1</v>
      </c>
      <c r="O7" s="40" t="s">
        <v>77</v>
      </c>
      <c r="Q7" s="40">
        <v>4</v>
      </c>
    </row>
    <row r="8" spans="2:18" x14ac:dyDescent="0.25">
      <c r="B8" s="40" t="s">
        <v>617</v>
      </c>
      <c r="C8" s="215"/>
      <c r="D8" s="40">
        <v>15</v>
      </c>
      <c r="G8" s="40" t="s">
        <v>617</v>
      </c>
      <c r="I8" s="40">
        <v>18</v>
      </c>
      <c r="K8" s="40" t="s">
        <v>617</v>
      </c>
      <c r="M8" s="40">
        <v>25</v>
      </c>
      <c r="O8" s="40" t="s">
        <v>617</v>
      </c>
      <c r="Q8" s="40">
        <v>7</v>
      </c>
    </row>
    <row r="9" spans="2:18" x14ac:dyDescent="0.25">
      <c r="B9" s="40" t="s">
        <v>614</v>
      </c>
      <c r="C9" s="215"/>
      <c r="D9" s="249" t="s">
        <v>592</v>
      </c>
      <c r="G9" s="40" t="s">
        <v>614</v>
      </c>
      <c r="I9" s="244" t="s">
        <v>598</v>
      </c>
      <c r="K9" s="40" t="s">
        <v>614</v>
      </c>
      <c r="M9" s="40" t="s">
        <v>611</v>
      </c>
      <c r="O9" s="40" t="s">
        <v>614</v>
      </c>
      <c r="Q9" s="40" t="s">
        <v>576</v>
      </c>
    </row>
    <row r="10" spans="2:18" x14ac:dyDescent="0.25">
      <c r="B10" s="40" t="s">
        <v>642</v>
      </c>
      <c r="C10" s="215" t="s">
        <v>917</v>
      </c>
      <c r="D10" s="247" t="s">
        <v>1595</v>
      </c>
      <c r="G10" s="40" t="s">
        <v>49</v>
      </c>
      <c r="H10" s="40" t="s">
        <v>1444</v>
      </c>
      <c r="I10" s="247" t="s">
        <v>1596</v>
      </c>
      <c r="K10" s="40" t="s">
        <v>53</v>
      </c>
      <c r="L10" s="40" t="s">
        <v>1446</v>
      </c>
      <c r="M10" s="246" t="s">
        <v>1595</v>
      </c>
      <c r="O10" s="40" t="s">
        <v>84</v>
      </c>
      <c r="P10" s="40" t="s">
        <v>1449</v>
      </c>
      <c r="Q10" s="40" t="s">
        <v>1598</v>
      </c>
    </row>
    <row r="11" spans="2:18" x14ac:dyDescent="0.25">
      <c r="B11" s="40" t="s">
        <v>655</v>
      </c>
      <c r="C11" s="215"/>
      <c r="D11" s="246" t="s">
        <v>1677</v>
      </c>
      <c r="G11" s="40" t="s">
        <v>2</v>
      </c>
      <c r="H11" s="40" t="s">
        <v>1442</v>
      </c>
      <c r="I11" s="246">
        <v>3</v>
      </c>
      <c r="K11" s="40" t="s">
        <v>2</v>
      </c>
      <c r="L11" s="40" t="s">
        <v>1442</v>
      </c>
      <c r="M11" s="246">
        <v>3</v>
      </c>
      <c r="O11" s="40" t="s">
        <v>2</v>
      </c>
      <c r="P11" s="40" t="s">
        <v>1442</v>
      </c>
      <c r="Q11" s="215">
        <v>3</v>
      </c>
      <c r="R11" s="215"/>
    </row>
    <row r="12" spans="2:18" x14ac:dyDescent="0.25">
      <c r="B12" s="40" t="s">
        <v>394</v>
      </c>
      <c r="C12" s="298" t="s">
        <v>913</v>
      </c>
      <c r="D12" s="246">
        <v>3</v>
      </c>
      <c r="G12" s="40" t="s">
        <v>18</v>
      </c>
      <c r="I12" s="246" t="s">
        <v>220</v>
      </c>
      <c r="K12" s="40" t="s">
        <v>18</v>
      </c>
      <c r="M12" s="246" t="s">
        <v>220</v>
      </c>
      <c r="O12" s="40" t="s">
        <v>18</v>
      </c>
      <c r="Q12" s="215" t="s">
        <v>220</v>
      </c>
      <c r="R12" s="215"/>
    </row>
    <row r="13" spans="2:18" x14ac:dyDescent="0.25">
      <c r="B13" s="40" t="s">
        <v>18</v>
      </c>
      <c r="C13" s="298"/>
      <c r="D13" s="246" t="s">
        <v>220</v>
      </c>
      <c r="G13" s="40" t="s">
        <v>19</v>
      </c>
      <c r="H13" s="40" t="s">
        <v>1387</v>
      </c>
      <c r="I13" s="246">
        <v>8551434991</v>
      </c>
      <c r="K13" s="40" t="s">
        <v>19</v>
      </c>
      <c r="L13" s="40" t="s">
        <v>1387</v>
      </c>
      <c r="M13" s="246">
        <v>8551434991</v>
      </c>
      <c r="O13" s="40" t="s">
        <v>19</v>
      </c>
      <c r="P13" s="40" t="s">
        <v>1387</v>
      </c>
      <c r="Q13" s="215">
        <v>8551434991</v>
      </c>
      <c r="R13" s="215"/>
    </row>
    <row r="14" spans="2:18" x14ac:dyDescent="0.25">
      <c r="B14" s="40" t="s">
        <v>19</v>
      </c>
      <c r="C14" s="215" t="s">
        <v>914</v>
      </c>
      <c r="D14" s="246">
        <v>8551434991</v>
      </c>
      <c r="G14" s="40" t="s">
        <v>20</v>
      </c>
      <c r="H14" s="40" t="s">
        <v>980</v>
      </c>
      <c r="I14" s="246" t="s">
        <v>221</v>
      </c>
      <c r="K14" s="40" t="s">
        <v>20</v>
      </c>
      <c r="L14" s="40" t="s">
        <v>980</v>
      </c>
      <c r="M14" s="246" t="s">
        <v>221</v>
      </c>
      <c r="O14" s="40" t="s">
        <v>20</v>
      </c>
      <c r="P14" s="40" t="s">
        <v>980</v>
      </c>
      <c r="Q14" s="215" t="s">
        <v>221</v>
      </c>
      <c r="R14" s="215"/>
    </row>
    <row r="15" spans="2:18" x14ac:dyDescent="0.25">
      <c r="B15" s="40" t="s">
        <v>20</v>
      </c>
      <c r="C15" s="215" t="s">
        <v>20</v>
      </c>
      <c r="D15" s="246" t="s">
        <v>221</v>
      </c>
      <c r="G15" s="40" t="s">
        <v>16</v>
      </c>
      <c r="H15" s="40" t="s">
        <v>1403</v>
      </c>
      <c r="I15" s="246">
        <v>1</v>
      </c>
      <c r="K15" s="40" t="s">
        <v>48</v>
      </c>
      <c r="L15" s="40" t="s">
        <v>1444</v>
      </c>
      <c r="M15" s="246">
        <v>2</v>
      </c>
      <c r="O15" s="40" t="s">
        <v>48</v>
      </c>
      <c r="P15" s="40" t="s">
        <v>1447</v>
      </c>
      <c r="Q15" s="215">
        <v>0</v>
      </c>
      <c r="R15" s="215"/>
    </row>
    <row r="16" spans="2:18" x14ac:dyDescent="0.25">
      <c r="B16" s="40" t="s">
        <v>115</v>
      </c>
      <c r="C16" s="298" t="s">
        <v>915</v>
      </c>
      <c r="D16" s="246">
        <v>1</v>
      </c>
      <c r="G16" s="40" t="s">
        <v>17</v>
      </c>
      <c r="I16" s="247" t="s">
        <v>1595</v>
      </c>
      <c r="K16" s="40" t="s">
        <v>54</v>
      </c>
      <c r="M16" s="247" t="s">
        <v>1596</v>
      </c>
      <c r="O16" s="40" t="s">
        <v>49</v>
      </c>
      <c r="Q16" s="215">
        <v>0</v>
      </c>
      <c r="R16" s="215"/>
    </row>
    <row r="17" spans="2:18" x14ac:dyDescent="0.25">
      <c r="B17" s="40" t="s">
        <v>21</v>
      </c>
      <c r="C17" s="298"/>
      <c r="D17" s="246" t="s">
        <v>285</v>
      </c>
      <c r="G17" s="40" t="s">
        <v>655</v>
      </c>
      <c r="I17" s="246" t="s">
        <v>1677</v>
      </c>
      <c r="K17" s="40" t="s">
        <v>655</v>
      </c>
      <c r="M17" s="246" t="s">
        <v>1677</v>
      </c>
      <c r="O17" s="40" t="s">
        <v>52</v>
      </c>
      <c r="P17" s="40" t="s">
        <v>1448</v>
      </c>
      <c r="Q17" s="215">
        <v>1</v>
      </c>
      <c r="R17" s="215"/>
    </row>
    <row r="18" spans="2:18" x14ac:dyDescent="0.25">
      <c r="B18" s="40" t="s">
        <v>828</v>
      </c>
      <c r="C18" s="298"/>
      <c r="D18" s="248">
        <v>1</v>
      </c>
      <c r="G18" s="40" t="s">
        <v>115</v>
      </c>
      <c r="H18" s="40" t="s">
        <v>1145</v>
      </c>
      <c r="I18" s="246">
        <v>1</v>
      </c>
      <c r="K18" s="40" t="s">
        <v>115</v>
      </c>
      <c r="L18" s="40" t="s">
        <v>1145</v>
      </c>
      <c r="M18" s="246">
        <v>1</v>
      </c>
      <c r="O18" s="40" t="s">
        <v>53</v>
      </c>
      <c r="Q18" s="215" t="s">
        <v>1683</v>
      </c>
      <c r="R18" s="215"/>
    </row>
    <row r="19" spans="2:18" x14ac:dyDescent="0.25">
      <c r="B19" s="241" t="s">
        <v>643</v>
      </c>
      <c r="C19" s="242" t="s">
        <v>918</v>
      </c>
      <c r="D19" s="241">
        <v>43260</v>
      </c>
      <c r="G19" s="40" t="s">
        <v>21</v>
      </c>
      <c r="I19" s="246" t="s">
        <v>285</v>
      </c>
      <c r="K19" s="40" t="s">
        <v>21</v>
      </c>
      <c r="M19" s="246" t="s">
        <v>285</v>
      </c>
      <c r="O19" s="40" t="s">
        <v>655</v>
      </c>
      <c r="Q19" s="215" t="s">
        <v>1677</v>
      </c>
      <c r="R19" s="215"/>
    </row>
    <row r="20" spans="2:18" x14ac:dyDescent="0.25">
      <c r="B20" s="40" t="s">
        <v>22</v>
      </c>
      <c r="C20" s="298" t="s">
        <v>916</v>
      </c>
      <c r="D20" s="246">
        <v>0</v>
      </c>
      <c r="G20" s="40" t="s">
        <v>828</v>
      </c>
      <c r="I20" s="246">
        <v>1</v>
      </c>
      <c r="K20" s="40" t="s">
        <v>828</v>
      </c>
      <c r="M20" s="246">
        <v>1</v>
      </c>
      <c r="O20" s="40" t="s">
        <v>115</v>
      </c>
      <c r="P20" s="40" t="s">
        <v>1145</v>
      </c>
      <c r="Q20" s="215">
        <v>1</v>
      </c>
      <c r="R20" s="215"/>
    </row>
    <row r="21" spans="2:18" x14ac:dyDescent="0.25">
      <c r="B21" s="40" t="s">
        <v>23</v>
      </c>
      <c r="C21" s="298"/>
      <c r="D21" s="246">
        <v>0</v>
      </c>
      <c r="G21" s="40" t="s">
        <v>50</v>
      </c>
      <c r="H21" s="40" t="s">
        <v>1443</v>
      </c>
      <c r="I21" s="241">
        <v>43261</v>
      </c>
      <c r="K21" s="40" t="s">
        <v>55</v>
      </c>
      <c r="L21" s="40" t="s">
        <v>1424</v>
      </c>
      <c r="M21" s="241">
        <v>43262</v>
      </c>
      <c r="O21" s="40" t="s">
        <v>21</v>
      </c>
      <c r="Q21" s="215" t="s">
        <v>285</v>
      </c>
      <c r="R21" s="215"/>
    </row>
    <row r="22" spans="2:18" x14ac:dyDescent="0.25">
      <c r="B22" s="40" t="s">
        <v>24</v>
      </c>
      <c r="C22" s="298" t="s">
        <v>919</v>
      </c>
      <c r="D22" s="246">
        <v>1</v>
      </c>
      <c r="G22" s="40" t="s">
        <v>22</v>
      </c>
      <c r="H22" s="40" t="s">
        <v>916</v>
      </c>
      <c r="I22" s="246">
        <v>0</v>
      </c>
      <c r="K22" s="40" t="s">
        <v>22</v>
      </c>
      <c r="L22" s="40" t="s">
        <v>916</v>
      </c>
      <c r="M22" s="246">
        <v>0</v>
      </c>
      <c r="O22" s="40" t="s">
        <v>828</v>
      </c>
      <c r="Q22" s="215">
        <v>1</v>
      </c>
      <c r="R22" s="215"/>
    </row>
    <row r="23" spans="2:18" x14ac:dyDescent="0.25">
      <c r="B23" s="40" t="s">
        <v>467</v>
      </c>
      <c r="C23" s="298"/>
      <c r="D23" s="246" t="s">
        <v>370</v>
      </c>
      <c r="G23" s="40" t="s">
        <v>23</v>
      </c>
      <c r="I23" s="246">
        <v>0</v>
      </c>
      <c r="K23" s="40" t="s">
        <v>23</v>
      </c>
      <c r="M23" s="246">
        <v>0</v>
      </c>
      <c r="O23" s="40" t="s">
        <v>473</v>
      </c>
      <c r="P23" s="40" t="s">
        <v>1450</v>
      </c>
      <c r="Q23" s="242">
        <v>43263</v>
      </c>
      <c r="R23" s="215"/>
    </row>
    <row r="24" spans="2:18" x14ac:dyDescent="0.25">
      <c r="B24" s="40" t="s">
        <v>26</v>
      </c>
      <c r="C24" s="215" t="s">
        <v>920</v>
      </c>
      <c r="D24" s="246" t="s">
        <v>1654</v>
      </c>
      <c r="G24" s="40" t="s">
        <v>24</v>
      </c>
      <c r="H24" s="40" t="s">
        <v>919</v>
      </c>
      <c r="I24" s="246">
        <v>1</v>
      </c>
      <c r="K24" s="40" t="s">
        <v>24</v>
      </c>
      <c r="L24" s="40" t="s">
        <v>919</v>
      </c>
      <c r="M24" s="246">
        <v>1</v>
      </c>
      <c r="O24" s="40" t="s">
        <v>22</v>
      </c>
      <c r="P24" s="40" t="s">
        <v>916</v>
      </c>
      <c r="Q24" s="215">
        <v>0</v>
      </c>
      <c r="R24" s="215"/>
    </row>
    <row r="25" spans="2:18" x14ac:dyDescent="0.25">
      <c r="B25" s="40" t="s">
        <v>46</v>
      </c>
      <c r="C25" s="215" t="s">
        <v>1023</v>
      </c>
      <c r="D25" s="246">
        <v>0</v>
      </c>
      <c r="G25" s="40" t="s">
        <v>467</v>
      </c>
      <c r="I25" s="246" t="s">
        <v>370</v>
      </c>
      <c r="K25" s="40" t="s">
        <v>467</v>
      </c>
      <c r="M25" s="246" t="s">
        <v>370</v>
      </c>
      <c r="O25" s="40" t="s">
        <v>23</v>
      </c>
      <c r="Q25" s="215">
        <v>0</v>
      </c>
      <c r="R25" s="215"/>
    </row>
    <row r="26" spans="2:18" x14ac:dyDescent="0.25">
      <c r="B26" s="40" t="s">
        <v>47</v>
      </c>
      <c r="C26" s="215" t="s">
        <v>1021</v>
      </c>
      <c r="D26" s="246">
        <v>0</v>
      </c>
      <c r="G26" s="40" t="s">
        <v>26</v>
      </c>
      <c r="H26" s="40" t="s">
        <v>920</v>
      </c>
      <c r="I26" s="246" t="s">
        <v>1654</v>
      </c>
      <c r="K26" s="40" t="s">
        <v>26</v>
      </c>
      <c r="L26" s="40" t="s">
        <v>920</v>
      </c>
      <c r="M26" s="246" t="s">
        <v>1654</v>
      </c>
      <c r="O26" s="40" t="s">
        <v>24</v>
      </c>
      <c r="P26" s="40" t="s">
        <v>919</v>
      </c>
      <c r="Q26" s="215">
        <v>1</v>
      </c>
      <c r="R26" s="215"/>
    </row>
    <row r="27" spans="2:18" x14ac:dyDescent="0.25">
      <c r="B27" s="40" t="s">
        <v>33</v>
      </c>
      <c r="C27" s="215" t="s">
        <v>922</v>
      </c>
      <c r="D27" s="246">
        <v>0</v>
      </c>
      <c r="G27" s="40" t="s">
        <v>46</v>
      </c>
      <c r="H27" s="40" t="s">
        <v>1023</v>
      </c>
      <c r="I27" s="246">
        <v>0</v>
      </c>
      <c r="K27" s="40" t="s">
        <v>46</v>
      </c>
      <c r="L27" s="40" t="s">
        <v>1023</v>
      </c>
      <c r="M27" s="246">
        <v>0</v>
      </c>
      <c r="O27" s="40" t="s">
        <v>467</v>
      </c>
      <c r="Q27" s="215" t="s">
        <v>370</v>
      </c>
      <c r="R27" s="215"/>
    </row>
    <row r="28" spans="2:18" x14ac:dyDescent="0.25">
      <c r="B28" s="40" t="s">
        <v>32</v>
      </c>
      <c r="C28" s="215" t="s">
        <v>923</v>
      </c>
      <c r="D28" s="241">
        <v>43265</v>
      </c>
      <c r="G28" s="40" t="s">
        <v>47</v>
      </c>
      <c r="H28" s="40" t="s">
        <v>1021</v>
      </c>
      <c r="I28" s="246">
        <v>0</v>
      </c>
      <c r="K28" s="40" t="s">
        <v>47</v>
      </c>
      <c r="L28" s="40" t="s">
        <v>1021</v>
      </c>
      <c r="M28" s="246">
        <v>0</v>
      </c>
      <c r="O28" s="40" t="s">
        <v>26</v>
      </c>
      <c r="P28" s="40" t="s">
        <v>920</v>
      </c>
      <c r="Q28" s="215" t="s">
        <v>1654</v>
      </c>
      <c r="R28" s="215"/>
    </row>
    <row r="29" spans="2:18" x14ac:dyDescent="0.25">
      <c r="B29" s="40" t="s">
        <v>35</v>
      </c>
      <c r="C29" s="298" t="s">
        <v>924</v>
      </c>
      <c r="D29" s="40">
        <v>3</v>
      </c>
      <c r="G29" s="40" t="s">
        <v>33</v>
      </c>
      <c r="H29" s="40" t="s">
        <v>922</v>
      </c>
      <c r="I29" s="246">
        <v>0</v>
      </c>
      <c r="K29" s="40" t="s">
        <v>33</v>
      </c>
      <c r="L29" s="40" t="s">
        <v>922</v>
      </c>
      <c r="M29" s="246">
        <v>0</v>
      </c>
      <c r="O29" s="40" t="s">
        <v>46</v>
      </c>
      <c r="P29" s="40" t="s">
        <v>1023</v>
      </c>
      <c r="Q29" s="215">
        <v>0</v>
      </c>
      <c r="R29" s="215"/>
    </row>
    <row r="30" spans="2:18" x14ac:dyDescent="0.25">
      <c r="B30" s="40" t="s">
        <v>36</v>
      </c>
      <c r="C30" s="298"/>
      <c r="D30" s="40" t="s">
        <v>232</v>
      </c>
      <c r="G30" s="40" t="s">
        <v>51</v>
      </c>
      <c r="H30" s="40" t="s">
        <v>1409</v>
      </c>
      <c r="I30" s="241">
        <v>43262</v>
      </c>
      <c r="K30" s="40" t="s">
        <v>430</v>
      </c>
      <c r="L30" s="40" t="s">
        <v>1409</v>
      </c>
      <c r="M30" s="241">
        <v>43263</v>
      </c>
      <c r="O30" s="40" t="s">
        <v>47</v>
      </c>
      <c r="P30" s="40" t="s">
        <v>1021</v>
      </c>
      <c r="Q30" s="215">
        <v>0</v>
      </c>
      <c r="R30" s="215"/>
    </row>
    <row r="31" spans="2:18" x14ac:dyDescent="0.25">
      <c r="B31" s="40" t="s">
        <v>1469</v>
      </c>
      <c r="C31" s="215" t="s">
        <v>1464</v>
      </c>
      <c r="D31" s="40">
        <v>0</v>
      </c>
      <c r="G31" s="40" t="s">
        <v>35</v>
      </c>
      <c r="H31" s="40" t="s">
        <v>924</v>
      </c>
      <c r="I31" s="40">
        <v>5</v>
      </c>
      <c r="K31" s="40" t="s">
        <v>35</v>
      </c>
      <c r="L31" s="40" t="s">
        <v>924</v>
      </c>
      <c r="M31" s="40">
        <v>4</v>
      </c>
      <c r="O31" s="40" t="s">
        <v>33</v>
      </c>
      <c r="P31" s="40" t="s">
        <v>1473</v>
      </c>
      <c r="Q31" s="215">
        <v>0</v>
      </c>
      <c r="R31" s="215"/>
    </row>
    <row r="32" spans="2:18" x14ac:dyDescent="0.25">
      <c r="B32" s="40" t="s">
        <v>37</v>
      </c>
      <c r="C32" s="215" t="s">
        <v>1445</v>
      </c>
      <c r="D32" s="246">
        <v>0</v>
      </c>
      <c r="G32" s="40" t="s">
        <v>36</v>
      </c>
      <c r="I32" s="40" t="s">
        <v>228</v>
      </c>
      <c r="K32" s="40" t="s">
        <v>36</v>
      </c>
      <c r="M32" s="40" t="s">
        <v>225</v>
      </c>
      <c r="O32" s="40" t="s">
        <v>430</v>
      </c>
      <c r="P32" s="40" t="s">
        <v>1409</v>
      </c>
      <c r="Q32" s="242">
        <v>43263</v>
      </c>
      <c r="R32" s="215"/>
    </row>
    <row r="33" spans="2:18" x14ac:dyDescent="0.25">
      <c r="B33" s="40" t="s">
        <v>875</v>
      </c>
      <c r="C33" s="215" t="s">
        <v>1405</v>
      </c>
      <c r="D33" s="246">
        <v>0</v>
      </c>
      <c r="G33" s="40" t="s">
        <v>1469</v>
      </c>
      <c r="H33" s="40" t="s">
        <v>1464</v>
      </c>
      <c r="I33" s="40">
        <v>0</v>
      </c>
      <c r="K33" s="40" t="s">
        <v>1469</v>
      </c>
      <c r="L33" s="40" t="s">
        <v>1464</v>
      </c>
      <c r="M33" s="40">
        <v>0</v>
      </c>
      <c r="O33" s="40" t="s">
        <v>35</v>
      </c>
      <c r="P33" s="40" t="s">
        <v>924</v>
      </c>
      <c r="Q33" s="215">
        <v>6</v>
      </c>
      <c r="R33" s="215"/>
    </row>
    <row r="34" spans="2:18" x14ac:dyDescent="0.25">
      <c r="B34" s="40" t="s">
        <v>38</v>
      </c>
      <c r="C34" s="215" t="s">
        <v>1389</v>
      </c>
      <c r="D34" s="246">
        <v>0</v>
      </c>
      <c r="G34" s="40" t="s">
        <v>37</v>
      </c>
      <c r="H34" s="40" t="s">
        <v>1445</v>
      </c>
      <c r="I34" s="246">
        <v>0</v>
      </c>
      <c r="K34" s="40" t="s">
        <v>38</v>
      </c>
      <c r="L34" s="40" t="s">
        <v>1389</v>
      </c>
      <c r="M34" s="246">
        <v>0</v>
      </c>
      <c r="O34" s="40" t="s">
        <v>36</v>
      </c>
      <c r="Q34" s="215" t="s">
        <v>232</v>
      </c>
      <c r="R34" s="215"/>
    </row>
    <row r="35" spans="2:18" x14ac:dyDescent="0.25">
      <c r="B35" s="40" t="s">
        <v>39</v>
      </c>
      <c r="C35" s="215" t="s">
        <v>1391</v>
      </c>
      <c r="D35" s="246">
        <v>0</v>
      </c>
      <c r="G35" s="40" t="s">
        <v>875</v>
      </c>
      <c r="H35" s="40" t="s">
        <v>1405</v>
      </c>
      <c r="I35" s="246">
        <v>0</v>
      </c>
      <c r="K35" s="40" t="s">
        <v>39</v>
      </c>
      <c r="L35" s="40" t="s">
        <v>1391</v>
      </c>
      <c r="M35" s="246">
        <v>0</v>
      </c>
      <c r="O35" s="40" t="s">
        <v>1469</v>
      </c>
      <c r="P35" s="40" t="s">
        <v>1464</v>
      </c>
      <c r="Q35" s="215">
        <v>0</v>
      </c>
      <c r="R35" s="215"/>
    </row>
    <row r="36" spans="2:18" x14ac:dyDescent="0.25">
      <c r="B36" s="40" t="s">
        <v>876</v>
      </c>
      <c r="C36" s="215" t="s">
        <v>1390</v>
      </c>
      <c r="D36" s="246">
        <v>0</v>
      </c>
      <c r="G36" s="40" t="s">
        <v>38</v>
      </c>
      <c r="H36" s="40" t="s">
        <v>1389</v>
      </c>
      <c r="I36" s="246">
        <v>0</v>
      </c>
      <c r="K36" s="40" t="s">
        <v>876</v>
      </c>
      <c r="L36" s="40" t="s">
        <v>1390</v>
      </c>
      <c r="M36" s="246">
        <v>0</v>
      </c>
      <c r="O36" s="40" t="s">
        <v>37</v>
      </c>
      <c r="P36" s="40" t="s">
        <v>1445</v>
      </c>
      <c r="Q36" s="215">
        <v>0</v>
      </c>
      <c r="R36" s="215"/>
    </row>
    <row r="37" spans="2:18" x14ac:dyDescent="0.25">
      <c r="B37" s="40" t="s">
        <v>40</v>
      </c>
      <c r="C37" s="215" t="s">
        <v>1392</v>
      </c>
      <c r="D37" s="246">
        <v>0</v>
      </c>
      <c r="G37" s="40" t="s">
        <v>39</v>
      </c>
      <c r="H37" s="40" t="s">
        <v>1391</v>
      </c>
      <c r="I37" s="246">
        <v>0</v>
      </c>
      <c r="K37" s="40" t="s">
        <v>40</v>
      </c>
      <c r="L37" s="40" t="s">
        <v>1392</v>
      </c>
      <c r="M37" s="246">
        <v>0</v>
      </c>
      <c r="O37" s="40" t="s">
        <v>875</v>
      </c>
      <c r="P37" s="40" t="s">
        <v>1405</v>
      </c>
      <c r="Q37" s="215">
        <v>0</v>
      </c>
      <c r="R37" s="215"/>
    </row>
    <row r="38" spans="2:18" x14ac:dyDescent="0.25">
      <c r="B38" s="40" t="s">
        <v>27</v>
      </c>
      <c r="C38" s="215"/>
      <c r="D38" s="40">
        <v>9000000</v>
      </c>
      <c r="G38" s="40" t="s">
        <v>876</v>
      </c>
      <c r="H38" s="40" t="s">
        <v>1390</v>
      </c>
      <c r="I38" s="246">
        <v>0</v>
      </c>
      <c r="K38" s="40" t="s">
        <v>478</v>
      </c>
      <c r="M38" s="40">
        <v>3</v>
      </c>
      <c r="O38" s="40" t="s">
        <v>879</v>
      </c>
      <c r="P38" s="40" t="s">
        <v>1429</v>
      </c>
      <c r="Q38" s="215">
        <v>0</v>
      </c>
      <c r="R38" s="215"/>
    </row>
    <row r="39" spans="2:18" x14ac:dyDescent="0.25">
      <c r="B39" s="40" t="s">
        <v>28</v>
      </c>
      <c r="C39" s="215"/>
      <c r="D39" s="40">
        <v>900000</v>
      </c>
      <c r="G39" s="40" t="s">
        <v>40</v>
      </c>
      <c r="H39" s="40" t="s">
        <v>1392</v>
      </c>
      <c r="I39" s="246">
        <v>0</v>
      </c>
      <c r="K39" s="40" t="s">
        <v>57</v>
      </c>
      <c r="O39" s="40" t="s">
        <v>38</v>
      </c>
      <c r="P39" s="40" t="s">
        <v>1389</v>
      </c>
      <c r="Q39" s="215">
        <v>0</v>
      </c>
      <c r="R39" s="215"/>
    </row>
    <row r="40" spans="2:18" x14ac:dyDescent="0.25">
      <c r="B40" s="40" t="s">
        <v>29</v>
      </c>
      <c r="C40" s="215"/>
      <c r="D40" s="40">
        <v>0</v>
      </c>
      <c r="G40" s="40" t="s">
        <v>27</v>
      </c>
      <c r="I40" s="40">
        <v>9000000</v>
      </c>
      <c r="K40" s="40" t="s">
        <v>58</v>
      </c>
      <c r="M40" s="40">
        <v>9000000</v>
      </c>
      <c r="O40" s="40" t="s">
        <v>39</v>
      </c>
      <c r="P40" s="40" t="s">
        <v>1391</v>
      </c>
      <c r="Q40" s="215">
        <v>0</v>
      </c>
      <c r="R40" s="215"/>
    </row>
    <row r="41" spans="2:18" x14ac:dyDescent="0.25">
      <c r="B41" s="40" t="s">
        <v>30</v>
      </c>
      <c r="C41" s="215"/>
      <c r="D41" s="40">
        <v>0</v>
      </c>
      <c r="G41" s="40" t="s">
        <v>28</v>
      </c>
      <c r="I41" s="40">
        <v>900000</v>
      </c>
      <c r="K41" s="40" t="s">
        <v>480</v>
      </c>
      <c r="M41" s="40">
        <v>5</v>
      </c>
      <c r="O41" s="40" t="s">
        <v>876</v>
      </c>
      <c r="P41" s="40" t="s">
        <v>1390</v>
      </c>
      <c r="Q41" s="215">
        <v>0</v>
      </c>
      <c r="R41" s="215"/>
    </row>
    <row r="42" spans="2:18" x14ac:dyDescent="0.25">
      <c r="B42" s="40" t="s">
        <v>487</v>
      </c>
      <c r="C42" s="215"/>
      <c r="D42" s="40">
        <v>9000000</v>
      </c>
      <c r="G42" s="40" t="s">
        <v>487</v>
      </c>
      <c r="I42" s="40">
        <v>9000000</v>
      </c>
      <c r="K42" s="40" t="s">
        <v>59</v>
      </c>
      <c r="M42" s="40">
        <v>9000000</v>
      </c>
      <c r="O42" s="40" t="s">
        <v>40</v>
      </c>
      <c r="P42" s="40" t="s">
        <v>1392</v>
      </c>
      <c r="Q42" s="215">
        <v>0</v>
      </c>
      <c r="R42" s="215"/>
    </row>
    <row r="43" spans="2:18" x14ac:dyDescent="0.25">
      <c r="B43" s="40" t="s">
        <v>41</v>
      </c>
      <c r="C43" s="215" t="s">
        <v>1459</v>
      </c>
      <c r="D43" s="40">
        <v>900000</v>
      </c>
      <c r="G43" s="40" t="s">
        <v>41</v>
      </c>
      <c r="H43" s="40" t="s">
        <v>1459</v>
      </c>
      <c r="I43" s="40">
        <v>900000</v>
      </c>
      <c r="K43" s="40" t="s">
        <v>60</v>
      </c>
      <c r="O43" s="40" t="s">
        <v>476</v>
      </c>
      <c r="Q43" s="215">
        <v>1</v>
      </c>
      <c r="R43" s="215"/>
    </row>
    <row r="44" spans="2:18" x14ac:dyDescent="0.25">
      <c r="B44" s="40" t="s">
        <v>42</v>
      </c>
      <c r="C44" s="215" t="s">
        <v>1471</v>
      </c>
      <c r="D44" s="40">
        <v>9900000</v>
      </c>
      <c r="G44" s="40" t="s">
        <v>42</v>
      </c>
      <c r="H44" s="40" t="s">
        <v>1471</v>
      </c>
      <c r="I44" s="40">
        <v>9900000</v>
      </c>
      <c r="K44" s="40" t="s">
        <v>487</v>
      </c>
      <c r="M44" s="40">
        <v>9000000</v>
      </c>
      <c r="O44" s="40" t="s">
        <v>61</v>
      </c>
      <c r="Q44" s="215">
        <v>7296610.1694915248</v>
      </c>
      <c r="R44" s="215"/>
    </row>
    <row r="45" spans="2:18" x14ac:dyDescent="0.25">
      <c r="B45" s="40" t="s">
        <v>1466</v>
      </c>
      <c r="C45" s="215" t="s">
        <v>1477</v>
      </c>
      <c r="D45" s="40">
        <v>0</v>
      </c>
      <c r="G45" s="40" t="s">
        <v>1466</v>
      </c>
      <c r="H45" s="40" t="s">
        <v>1477</v>
      </c>
      <c r="I45" s="40">
        <v>0</v>
      </c>
      <c r="K45" s="40" t="s">
        <v>41</v>
      </c>
      <c r="L45" s="40" t="s">
        <v>1459</v>
      </c>
      <c r="M45" s="40">
        <v>900000</v>
      </c>
      <c r="O45" s="40" t="s">
        <v>62</v>
      </c>
      <c r="Q45" s="215"/>
      <c r="R45" s="215"/>
    </row>
    <row r="46" spans="2:18" x14ac:dyDescent="0.25">
      <c r="B46" s="40" t="s">
        <v>433</v>
      </c>
      <c r="C46" s="215" t="s">
        <v>1468</v>
      </c>
      <c r="D46" s="40">
        <v>0</v>
      </c>
      <c r="G46" s="40" t="s">
        <v>433</v>
      </c>
      <c r="H46" s="40" t="s">
        <v>1468</v>
      </c>
      <c r="I46" s="40">
        <v>0</v>
      </c>
      <c r="K46" s="40" t="s">
        <v>42</v>
      </c>
      <c r="L46" s="40" t="s">
        <v>1471</v>
      </c>
      <c r="M46" s="40">
        <v>9900000</v>
      </c>
      <c r="O46" s="40" t="s">
        <v>477</v>
      </c>
      <c r="Q46" s="40">
        <v>2</v>
      </c>
    </row>
    <row r="47" spans="2:18" x14ac:dyDescent="0.25">
      <c r="B47" s="40" t="s">
        <v>877</v>
      </c>
      <c r="C47" s="215" t="s">
        <v>1462</v>
      </c>
      <c r="D47" s="40">
        <v>0</v>
      </c>
      <c r="G47" s="40" t="s">
        <v>877</v>
      </c>
      <c r="H47" s="40" t="s">
        <v>1462</v>
      </c>
      <c r="I47" s="40">
        <v>0</v>
      </c>
      <c r="K47" s="40" t="s">
        <v>432</v>
      </c>
      <c r="L47" s="40" t="s">
        <v>1467</v>
      </c>
      <c r="M47" s="40">
        <v>0</v>
      </c>
      <c r="O47" s="40" t="s">
        <v>63</v>
      </c>
    </row>
    <row r="48" spans="2:18" x14ac:dyDescent="0.25">
      <c r="B48" s="244" t="s">
        <v>435</v>
      </c>
      <c r="C48" s="215" t="s">
        <v>1463</v>
      </c>
      <c r="D48" s="40">
        <v>0</v>
      </c>
      <c r="G48" s="40" t="s">
        <v>435</v>
      </c>
      <c r="H48" s="40" t="s">
        <v>1463</v>
      </c>
      <c r="I48" s="40">
        <v>0</v>
      </c>
      <c r="K48" s="40" t="s">
        <v>433</v>
      </c>
      <c r="L48" s="40" t="s">
        <v>1468</v>
      </c>
      <c r="M48" s="40">
        <v>0</v>
      </c>
      <c r="O48" s="40" t="s">
        <v>64</v>
      </c>
      <c r="Q48" s="40">
        <v>9000000</v>
      </c>
    </row>
    <row r="49" spans="2:17" x14ac:dyDescent="0.25">
      <c r="B49" s="245" t="s">
        <v>624</v>
      </c>
      <c r="C49" s="215"/>
      <c r="D49" s="51">
        <v>3</v>
      </c>
      <c r="G49" s="40" t="s">
        <v>624</v>
      </c>
      <c r="I49" s="40">
        <v>3</v>
      </c>
      <c r="K49" s="40" t="s">
        <v>877</v>
      </c>
      <c r="L49" s="40" t="s">
        <v>1462</v>
      </c>
      <c r="M49" s="40">
        <v>0</v>
      </c>
      <c r="O49" s="40" t="s">
        <v>478</v>
      </c>
    </row>
    <row r="50" spans="2:17" x14ac:dyDescent="0.25">
      <c r="B50" s="245" t="s">
        <v>1583</v>
      </c>
      <c r="C50" s="215"/>
      <c r="D50" s="51">
        <v>1</v>
      </c>
      <c r="G50" s="40" t="s">
        <v>1583</v>
      </c>
      <c r="I50" s="40">
        <v>1</v>
      </c>
      <c r="K50" s="40" t="s">
        <v>435</v>
      </c>
      <c r="L50" s="40" t="s">
        <v>1463</v>
      </c>
      <c r="M50" s="40">
        <v>0</v>
      </c>
      <c r="O50" s="40" t="s">
        <v>57</v>
      </c>
    </row>
    <row r="51" spans="2:17" x14ac:dyDescent="0.25">
      <c r="B51" s="51" t="s">
        <v>848</v>
      </c>
      <c r="C51" s="215"/>
      <c r="D51" s="51"/>
      <c r="G51" s="40" t="s">
        <v>848</v>
      </c>
      <c r="K51" s="40" t="s">
        <v>624</v>
      </c>
      <c r="M51" s="40">
        <v>2</v>
      </c>
      <c r="O51" s="40" t="s">
        <v>58</v>
      </c>
    </row>
    <row r="52" spans="2:17" x14ac:dyDescent="0.25">
      <c r="B52" s="40" t="s">
        <v>34</v>
      </c>
      <c r="C52" s="215" t="s">
        <v>921</v>
      </c>
      <c r="D52" s="40">
        <v>1</v>
      </c>
      <c r="G52" s="40" t="s">
        <v>34</v>
      </c>
      <c r="H52" s="40" t="s">
        <v>921</v>
      </c>
      <c r="I52" s="40">
        <v>1</v>
      </c>
      <c r="K52" s="40" t="s">
        <v>1129</v>
      </c>
      <c r="M52" s="40">
        <v>1</v>
      </c>
      <c r="O52" s="40" t="s">
        <v>107</v>
      </c>
      <c r="Q52" s="40">
        <v>5</v>
      </c>
    </row>
    <row r="53" spans="2:17" x14ac:dyDescent="0.25">
      <c r="K53" s="40" t="s">
        <v>848</v>
      </c>
      <c r="O53" s="40" t="s">
        <v>648</v>
      </c>
    </row>
    <row r="54" spans="2:17" x14ac:dyDescent="0.25">
      <c r="O54" s="40" t="s">
        <v>649</v>
      </c>
      <c r="Q54" s="40">
        <v>7296610.1694915248</v>
      </c>
    </row>
    <row r="55" spans="2:17" x14ac:dyDescent="0.25">
      <c r="O55" s="40" t="s">
        <v>474</v>
      </c>
    </row>
    <row r="56" spans="2:17" x14ac:dyDescent="0.25">
      <c r="O56" s="40" t="s">
        <v>65</v>
      </c>
    </row>
    <row r="57" spans="2:17" x14ac:dyDescent="0.25">
      <c r="O57" s="40" t="s">
        <v>66</v>
      </c>
    </row>
    <row r="58" spans="2:17" x14ac:dyDescent="0.25">
      <c r="O58" s="40" t="s">
        <v>475</v>
      </c>
      <c r="P58" s="40" t="s">
        <v>1476</v>
      </c>
      <c r="Q58" s="40">
        <v>39</v>
      </c>
    </row>
    <row r="59" spans="2:17" x14ac:dyDescent="0.25">
      <c r="O59" s="40" t="s">
        <v>67</v>
      </c>
    </row>
    <row r="60" spans="2:17" x14ac:dyDescent="0.25">
      <c r="O60" s="40" t="s">
        <v>68</v>
      </c>
      <c r="Q60" s="40">
        <v>300000</v>
      </c>
    </row>
    <row r="61" spans="2:17" x14ac:dyDescent="0.25">
      <c r="O61" s="40" t="s">
        <v>69</v>
      </c>
      <c r="Q61" s="40">
        <v>19</v>
      </c>
    </row>
    <row r="62" spans="2:17" x14ac:dyDescent="0.25">
      <c r="O62" s="40" t="s">
        <v>70</v>
      </c>
    </row>
    <row r="63" spans="2:17" x14ac:dyDescent="0.25">
      <c r="O63" s="40" t="s">
        <v>71</v>
      </c>
      <c r="Q63" s="40">
        <v>900000</v>
      </c>
    </row>
    <row r="64" spans="2:17" x14ac:dyDescent="0.25">
      <c r="O64" s="40" t="s">
        <v>72</v>
      </c>
    </row>
    <row r="65" spans="15:17" x14ac:dyDescent="0.25">
      <c r="O65" s="40" t="s">
        <v>73</v>
      </c>
    </row>
    <row r="66" spans="15:17" x14ac:dyDescent="0.25">
      <c r="O66" s="40" t="s">
        <v>74</v>
      </c>
    </row>
    <row r="67" spans="15:17" x14ac:dyDescent="0.25">
      <c r="O67" s="40" t="s">
        <v>834</v>
      </c>
    </row>
    <row r="68" spans="15:17" x14ac:dyDescent="0.25">
      <c r="O68" s="40" t="s">
        <v>835</v>
      </c>
    </row>
    <row r="69" spans="15:17" x14ac:dyDescent="0.25">
      <c r="O69" s="40" t="s">
        <v>836</v>
      </c>
    </row>
    <row r="70" spans="15:17" x14ac:dyDescent="0.25">
      <c r="O70" s="40" t="s">
        <v>479</v>
      </c>
      <c r="Q70" s="40">
        <v>8</v>
      </c>
    </row>
    <row r="71" spans="15:17" x14ac:dyDescent="0.25">
      <c r="O71" s="40" t="s">
        <v>75</v>
      </c>
      <c r="Q71" s="40">
        <v>10200000</v>
      </c>
    </row>
    <row r="72" spans="15:17" x14ac:dyDescent="0.25">
      <c r="O72" s="40" t="s">
        <v>76</v>
      </c>
    </row>
    <row r="73" spans="15:17" x14ac:dyDescent="0.25">
      <c r="O73" s="40" t="s">
        <v>487</v>
      </c>
      <c r="Q73" s="40">
        <v>9300000</v>
      </c>
    </row>
    <row r="74" spans="15:17" x14ac:dyDescent="0.25">
      <c r="O74" s="40" t="s">
        <v>41</v>
      </c>
      <c r="P74" s="40" t="s">
        <v>1459</v>
      </c>
      <c r="Q74" s="40">
        <v>900000</v>
      </c>
    </row>
    <row r="75" spans="15:17" x14ac:dyDescent="0.25">
      <c r="O75" s="40" t="s">
        <v>42</v>
      </c>
      <c r="P75" s="40" t="s">
        <v>1471</v>
      </c>
      <c r="Q75" s="40">
        <v>10200000</v>
      </c>
    </row>
    <row r="76" spans="15:17" x14ac:dyDescent="0.25">
      <c r="O76" s="40" t="s">
        <v>1470</v>
      </c>
      <c r="P76" s="40" t="s">
        <v>1451</v>
      </c>
      <c r="Q76" s="40">
        <v>0</v>
      </c>
    </row>
    <row r="77" spans="15:17" x14ac:dyDescent="0.25">
      <c r="O77" s="40" t="s">
        <v>850</v>
      </c>
      <c r="Q77" s="40">
        <v>0</v>
      </c>
    </row>
    <row r="78" spans="15:17" x14ac:dyDescent="0.25">
      <c r="O78" s="40" t="s">
        <v>1472</v>
      </c>
      <c r="P78" s="40" t="s">
        <v>1461</v>
      </c>
      <c r="Q78" s="40">
        <v>0</v>
      </c>
    </row>
    <row r="79" spans="15:17" x14ac:dyDescent="0.25">
      <c r="O79" s="40" t="s">
        <v>432</v>
      </c>
      <c r="P79" s="40" t="s">
        <v>1467</v>
      </c>
      <c r="Q79" s="40">
        <v>0</v>
      </c>
    </row>
    <row r="80" spans="15:17" x14ac:dyDescent="0.25">
      <c r="O80" s="40" t="s">
        <v>433</v>
      </c>
      <c r="P80" s="40" t="s">
        <v>1468</v>
      </c>
      <c r="Q80" s="40">
        <v>0</v>
      </c>
    </row>
    <row r="81" spans="2:17" x14ac:dyDescent="0.25">
      <c r="O81" s="40" t="s">
        <v>434</v>
      </c>
      <c r="P81" s="40" t="s">
        <v>1462</v>
      </c>
      <c r="Q81" s="40">
        <v>0</v>
      </c>
    </row>
    <row r="82" spans="2:17" x14ac:dyDescent="0.25">
      <c r="O82" s="40" t="s">
        <v>435</v>
      </c>
      <c r="P82" s="40" t="s">
        <v>1463</v>
      </c>
      <c r="Q82" s="40">
        <v>0</v>
      </c>
    </row>
    <row r="83" spans="2:17" x14ac:dyDescent="0.25">
      <c r="O83" s="40" t="s">
        <v>624</v>
      </c>
      <c r="Q83" s="40">
        <v>3</v>
      </c>
    </row>
    <row r="84" spans="2:17" x14ac:dyDescent="0.25">
      <c r="O84" s="40" t="s">
        <v>1129</v>
      </c>
      <c r="Q84" s="40">
        <v>1</v>
      </c>
    </row>
    <row r="85" spans="2:17" x14ac:dyDescent="0.25">
      <c r="O85" s="40" t="s">
        <v>848</v>
      </c>
    </row>
    <row r="87" spans="2:17" x14ac:dyDescent="0.25">
      <c r="B87" s="243" t="s">
        <v>1678</v>
      </c>
      <c r="C87" s="243"/>
      <c r="D87" s="243"/>
      <c r="G87" s="243" t="s">
        <v>1678</v>
      </c>
      <c r="H87" s="243"/>
      <c r="I87" s="243"/>
      <c r="K87" s="243" t="s">
        <v>1678</v>
      </c>
      <c r="L87" s="243"/>
      <c r="M87" s="243"/>
      <c r="O87" s="243" t="s">
        <v>1678</v>
      </c>
      <c r="P87" s="243"/>
      <c r="Q87" s="243"/>
    </row>
    <row r="88" spans="2:17" x14ac:dyDescent="0.25">
      <c r="B88" s="40" t="s">
        <v>515</v>
      </c>
      <c r="D88" s="40">
        <v>6</v>
      </c>
      <c r="G88" s="40" t="s">
        <v>515</v>
      </c>
      <c r="I88" s="40">
        <v>7</v>
      </c>
      <c r="K88" s="40" t="s">
        <v>515</v>
      </c>
      <c r="M88" s="40">
        <v>8</v>
      </c>
      <c r="O88" s="40" t="s">
        <v>515</v>
      </c>
      <c r="Q88" s="40">
        <v>10</v>
      </c>
    </row>
    <row r="89" spans="2:17" x14ac:dyDescent="0.25">
      <c r="B89" s="40" t="s">
        <v>1479</v>
      </c>
      <c r="D89" s="251" t="s">
        <v>1677</v>
      </c>
      <c r="G89" s="40" t="s">
        <v>1479</v>
      </c>
      <c r="I89" s="251" t="s">
        <v>1679</v>
      </c>
      <c r="K89" s="40" t="s">
        <v>1479</v>
      </c>
      <c r="M89" s="251" t="s">
        <v>1681</v>
      </c>
      <c r="O89" s="40" t="s">
        <v>1479</v>
      </c>
      <c r="Q89" s="251" t="s">
        <v>1684</v>
      </c>
    </row>
    <row r="90" spans="2:17" x14ac:dyDescent="0.25">
      <c r="B90" s="40" t="s">
        <v>655</v>
      </c>
      <c r="D90" s="250" t="s">
        <v>1677</v>
      </c>
      <c r="G90" s="40" t="s">
        <v>655</v>
      </c>
      <c r="I90" s="250" t="s">
        <v>1677</v>
      </c>
      <c r="K90" s="40" t="s">
        <v>655</v>
      </c>
      <c r="M90" s="250" t="s">
        <v>1677</v>
      </c>
      <c r="O90" s="40" t="s">
        <v>655</v>
      </c>
      <c r="Q90" s="250" t="s">
        <v>1677</v>
      </c>
    </row>
    <row r="91" spans="2:17" x14ac:dyDescent="0.25">
      <c r="B91" s="40" t="s">
        <v>481</v>
      </c>
      <c r="D91" s="241">
        <v>43260</v>
      </c>
      <c r="G91" s="40" t="s">
        <v>481</v>
      </c>
      <c r="I91" s="241">
        <v>43261</v>
      </c>
      <c r="K91" s="40" t="s">
        <v>481</v>
      </c>
      <c r="M91" s="241">
        <v>43262</v>
      </c>
      <c r="O91" s="40" t="s">
        <v>481</v>
      </c>
      <c r="Q91" s="241">
        <v>43263</v>
      </c>
    </row>
    <row r="92" spans="2:17" x14ac:dyDescent="0.25">
      <c r="B92" s="40" t="s">
        <v>24</v>
      </c>
      <c r="D92" s="40">
        <v>1</v>
      </c>
      <c r="G92" s="40" t="s">
        <v>24</v>
      </c>
      <c r="I92" s="215">
        <v>1</v>
      </c>
      <c r="K92" s="40" t="s">
        <v>24</v>
      </c>
      <c r="M92" s="40">
        <v>1</v>
      </c>
      <c r="O92" s="40" t="s">
        <v>24</v>
      </c>
      <c r="Q92" s="40">
        <v>1</v>
      </c>
    </row>
    <row r="93" spans="2:17" x14ac:dyDescent="0.25">
      <c r="B93" s="40" t="s">
        <v>501</v>
      </c>
      <c r="D93" s="40" t="s">
        <v>370</v>
      </c>
      <c r="G93" s="40" t="s">
        <v>501</v>
      </c>
      <c r="I93" s="215" t="s">
        <v>370</v>
      </c>
      <c r="K93" s="40" t="s">
        <v>501</v>
      </c>
      <c r="M93" s="40" t="s">
        <v>370</v>
      </c>
      <c r="O93" s="40" t="s">
        <v>501</v>
      </c>
      <c r="Q93" s="40" t="s">
        <v>370</v>
      </c>
    </row>
    <row r="94" spans="2:17" x14ac:dyDescent="0.25">
      <c r="B94" s="40" t="s">
        <v>78</v>
      </c>
      <c r="D94" s="250">
        <v>1</v>
      </c>
      <c r="G94" s="40" t="s">
        <v>78</v>
      </c>
      <c r="I94" s="250">
        <v>1</v>
      </c>
      <c r="K94" s="40" t="s">
        <v>78</v>
      </c>
      <c r="M94" s="250">
        <v>1</v>
      </c>
      <c r="O94" s="40" t="s">
        <v>78</v>
      </c>
      <c r="Q94" s="40">
        <v>1</v>
      </c>
    </row>
    <row r="95" spans="2:17" x14ac:dyDescent="0.25">
      <c r="B95" s="40" t="s">
        <v>87</v>
      </c>
      <c r="D95" s="250" t="s">
        <v>243</v>
      </c>
      <c r="G95" s="40" t="s">
        <v>87</v>
      </c>
      <c r="I95" s="250" t="s">
        <v>243</v>
      </c>
      <c r="K95" s="40" t="s">
        <v>87</v>
      </c>
      <c r="M95" s="250" t="s">
        <v>243</v>
      </c>
      <c r="O95" s="40" t="s">
        <v>87</v>
      </c>
      <c r="Q95" s="40" t="s">
        <v>243</v>
      </c>
    </row>
    <row r="96" spans="2:17" x14ac:dyDescent="0.25">
      <c r="B96" s="40" t="s">
        <v>88</v>
      </c>
      <c r="D96" s="250" t="s">
        <v>529</v>
      </c>
      <c r="G96" s="40" t="s">
        <v>88</v>
      </c>
      <c r="I96" s="250" t="s">
        <v>529</v>
      </c>
      <c r="K96" s="40" t="s">
        <v>88</v>
      </c>
      <c r="M96" s="250" t="s">
        <v>529</v>
      </c>
      <c r="O96" s="40" t="s">
        <v>88</v>
      </c>
      <c r="Q96" s="40" t="s">
        <v>529</v>
      </c>
    </row>
    <row r="97" spans="2:17" x14ac:dyDescent="0.25">
      <c r="B97" s="40" t="s">
        <v>471</v>
      </c>
      <c r="D97" s="250" t="s">
        <v>125</v>
      </c>
      <c r="G97" s="40" t="s">
        <v>471</v>
      </c>
      <c r="I97" s="250" t="s">
        <v>125</v>
      </c>
      <c r="K97" s="40" t="s">
        <v>471</v>
      </c>
      <c r="M97" s="250" t="s">
        <v>125</v>
      </c>
      <c r="O97" s="40" t="s">
        <v>471</v>
      </c>
      <c r="Q97" s="40" t="s">
        <v>125</v>
      </c>
    </row>
    <row r="98" spans="2:17" x14ac:dyDescent="0.25">
      <c r="B98" s="40" t="s">
        <v>507</v>
      </c>
      <c r="D98" s="250" t="s">
        <v>333</v>
      </c>
      <c r="G98" s="40" t="s">
        <v>507</v>
      </c>
      <c r="I98" s="250" t="s">
        <v>333</v>
      </c>
      <c r="K98" s="40" t="s">
        <v>507</v>
      </c>
      <c r="M98" s="250" t="s">
        <v>333</v>
      </c>
      <c r="O98" s="40" t="s">
        <v>507</v>
      </c>
      <c r="Q98" s="40" t="s">
        <v>333</v>
      </c>
    </row>
    <row r="99" spans="2:17" x14ac:dyDescent="0.25">
      <c r="B99" s="40" t="s">
        <v>80</v>
      </c>
      <c r="D99" s="215"/>
      <c r="G99" s="40" t="s">
        <v>80</v>
      </c>
      <c r="I99" s="215"/>
      <c r="K99" s="40" t="s">
        <v>80</v>
      </c>
      <c r="M99" s="215"/>
      <c r="O99" s="40" t="s">
        <v>80</v>
      </c>
    </row>
    <row r="100" spans="2:17" x14ac:dyDescent="0.25">
      <c r="B100" s="40" t="s">
        <v>81</v>
      </c>
      <c r="D100" s="250">
        <v>3000000</v>
      </c>
      <c r="G100" s="40" t="s">
        <v>81</v>
      </c>
      <c r="I100" s="250">
        <v>3000000</v>
      </c>
      <c r="K100" s="40" t="s">
        <v>81</v>
      </c>
      <c r="M100" s="250">
        <v>3000000</v>
      </c>
      <c r="O100" s="40" t="s">
        <v>81</v>
      </c>
      <c r="Q100" s="40">
        <v>3000000</v>
      </c>
    </row>
    <row r="101" spans="2:17" x14ac:dyDescent="0.25">
      <c r="B101" s="40" t="s">
        <v>472</v>
      </c>
      <c r="D101" s="40" t="s">
        <v>667</v>
      </c>
      <c r="G101" s="40" t="s">
        <v>472</v>
      </c>
      <c r="I101" s="40" t="s">
        <v>667</v>
      </c>
      <c r="K101" s="40" t="s">
        <v>472</v>
      </c>
      <c r="M101" s="254">
        <v>2432203.3898305083</v>
      </c>
      <c r="O101" s="40" t="s">
        <v>472</v>
      </c>
      <c r="Q101" s="40">
        <v>2432203.3898305083</v>
      </c>
    </row>
    <row r="102" spans="2:17" x14ac:dyDescent="0.25">
      <c r="B102" s="40" t="s">
        <v>463</v>
      </c>
      <c r="D102" s="250">
        <v>3</v>
      </c>
      <c r="G102" s="40" t="s">
        <v>463</v>
      </c>
      <c r="I102" s="250">
        <v>3</v>
      </c>
      <c r="K102" s="40" t="s">
        <v>463</v>
      </c>
      <c r="M102" s="250">
        <v>3</v>
      </c>
      <c r="O102" s="40" t="s">
        <v>463</v>
      </c>
      <c r="Q102" s="40">
        <v>3</v>
      </c>
    </row>
    <row r="103" spans="2:17" x14ac:dyDescent="0.25">
      <c r="B103" s="40" t="s">
        <v>1478</v>
      </c>
      <c r="G103" s="40" t="s">
        <v>1478</v>
      </c>
      <c r="K103" s="40" t="s">
        <v>1478</v>
      </c>
      <c r="O103" s="40" t="s">
        <v>1478</v>
      </c>
    </row>
    <row r="104" spans="2:17" x14ac:dyDescent="0.25">
      <c r="B104" s="40" t="s">
        <v>27</v>
      </c>
      <c r="D104" s="250">
        <v>9000000</v>
      </c>
      <c r="G104" s="40" t="s">
        <v>27</v>
      </c>
      <c r="I104" s="250">
        <v>9000000</v>
      </c>
      <c r="K104" s="40" t="s">
        <v>27</v>
      </c>
      <c r="M104" s="250">
        <v>9000000</v>
      </c>
      <c r="O104" s="40" t="s">
        <v>27</v>
      </c>
      <c r="Q104" s="40">
        <v>9000000</v>
      </c>
    </row>
    <row r="105" spans="2:17" x14ac:dyDescent="0.25">
      <c r="B105" s="40" t="s">
        <v>82</v>
      </c>
      <c r="D105" s="250">
        <v>1</v>
      </c>
      <c r="G105" s="40" t="s">
        <v>82</v>
      </c>
      <c r="I105" s="250">
        <v>1</v>
      </c>
      <c r="K105" s="40" t="s">
        <v>82</v>
      </c>
      <c r="M105" s="250">
        <v>1</v>
      </c>
      <c r="O105" s="40" t="s">
        <v>82</v>
      </c>
      <c r="Q105" s="40">
        <v>1</v>
      </c>
    </row>
    <row r="106" spans="2:17" x14ac:dyDescent="0.25">
      <c r="B106" s="40" t="s">
        <v>469</v>
      </c>
      <c r="D106" s="250" t="s">
        <v>249</v>
      </c>
      <c r="G106" s="40" t="s">
        <v>469</v>
      </c>
      <c r="I106" s="250" t="s">
        <v>249</v>
      </c>
      <c r="K106" s="40" t="s">
        <v>469</v>
      </c>
      <c r="M106" s="250" t="s">
        <v>249</v>
      </c>
      <c r="O106" s="40" t="s">
        <v>469</v>
      </c>
      <c r="Q106" s="40" t="s">
        <v>249</v>
      </c>
    </row>
    <row r="107" spans="2:17" x14ac:dyDescent="0.25">
      <c r="B107" s="40" t="s">
        <v>468</v>
      </c>
      <c r="D107" s="252">
        <v>0.1</v>
      </c>
      <c r="G107" s="40" t="s">
        <v>468</v>
      </c>
      <c r="I107" s="252">
        <v>0.1</v>
      </c>
      <c r="K107" s="40" t="s">
        <v>468</v>
      </c>
      <c r="M107" s="252">
        <v>0.1</v>
      </c>
      <c r="O107" s="40" t="s">
        <v>468</v>
      </c>
      <c r="Q107" s="253">
        <v>0.1</v>
      </c>
    </row>
    <row r="108" spans="2:17" x14ac:dyDescent="0.25">
      <c r="B108" s="40" t="s">
        <v>41</v>
      </c>
      <c r="D108" s="250">
        <v>900000</v>
      </c>
      <c r="G108" s="40" t="s">
        <v>41</v>
      </c>
      <c r="I108" s="250">
        <v>900000</v>
      </c>
      <c r="K108" s="40" t="s">
        <v>41</v>
      </c>
      <c r="M108" s="250">
        <v>900000</v>
      </c>
      <c r="O108" s="40" t="s">
        <v>41</v>
      </c>
      <c r="Q108" s="40">
        <v>900000</v>
      </c>
    </row>
    <row r="109" spans="2:17" x14ac:dyDescent="0.25">
      <c r="B109" s="40" t="s">
        <v>492</v>
      </c>
      <c r="D109" s="250">
        <v>19</v>
      </c>
      <c r="G109" s="40" t="s">
        <v>492</v>
      </c>
      <c r="I109" s="250">
        <v>19</v>
      </c>
      <c r="K109" s="40" t="s">
        <v>492</v>
      </c>
      <c r="M109" s="250">
        <v>19</v>
      </c>
      <c r="O109" s="40" t="s">
        <v>492</v>
      </c>
      <c r="Q109" s="40">
        <v>19</v>
      </c>
    </row>
    <row r="110" spans="2:17" x14ac:dyDescent="0.25">
      <c r="B110" s="40" t="s">
        <v>1547</v>
      </c>
      <c r="D110" s="250">
        <v>2</v>
      </c>
      <c r="G110" s="40" t="s">
        <v>1547</v>
      </c>
      <c r="I110" s="250">
        <v>2</v>
      </c>
      <c r="K110" s="40" t="s">
        <v>1547</v>
      </c>
      <c r="M110" s="250">
        <v>2</v>
      </c>
      <c r="O110" s="40" t="s">
        <v>1547</v>
      </c>
      <c r="Q110" s="40">
        <v>2</v>
      </c>
    </row>
    <row r="111" spans="2:17" x14ac:dyDescent="0.25">
      <c r="B111" s="40" t="s">
        <v>464</v>
      </c>
      <c r="D111" s="250" t="s">
        <v>139</v>
      </c>
      <c r="G111" s="40" t="s">
        <v>464</v>
      </c>
      <c r="I111" s="250" t="s">
        <v>139</v>
      </c>
      <c r="K111" s="40" t="s">
        <v>464</v>
      </c>
      <c r="M111" s="250" t="s">
        <v>139</v>
      </c>
      <c r="O111" s="40" t="s">
        <v>464</v>
      </c>
      <c r="Q111" s="40" t="s">
        <v>139</v>
      </c>
    </row>
    <row r="112" spans="2:17" x14ac:dyDescent="0.25">
      <c r="B112" s="40" t="s">
        <v>103</v>
      </c>
      <c r="D112" s="250">
        <v>1</v>
      </c>
      <c r="G112" s="40" t="s">
        <v>103</v>
      </c>
      <c r="I112" s="250">
        <v>1</v>
      </c>
      <c r="K112" s="40" t="s">
        <v>103</v>
      </c>
      <c r="M112" s="250">
        <v>1</v>
      </c>
      <c r="O112" s="40" t="s">
        <v>103</v>
      </c>
      <c r="Q112" s="40">
        <v>1</v>
      </c>
    </row>
    <row r="113" spans="2:17" x14ac:dyDescent="0.25">
      <c r="B113" s="40" t="s">
        <v>104</v>
      </c>
      <c r="D113" s="250">
        <v>2</v>
      </c>
      <c r="G113" s="40" t="s">
        <v>104</v>
      </c>
      <c r="I113" s="250">
        <v>2</v>
      </c>
      <c r="K113" s="40" t="s">
        <v>104</v>
      </c>
      <c r="M113" s="250">
        <v>2</v>
      </c>
      <c r="O113" s="40" t="s">
        <v>104</v>
      </c>
      <c r="Q113" s="40">
        <v>2</v>
      </c>
    </row>
    <row r="114" spans="2:17" x14ac:dyDescent="0.25">
      <c r="B114" s="40" t="s">
        <v>105</v>
      </c>
      <c r="D114" s="250">
        <v>3</v>
      </c>
      <c r="G114" s="40" t="s">
        <v>105</v>
      </c>
      <c r="I114" s="250">
        <v>3</v>
      </c>
      <c r="K114" s="40" t="s">
        <v>105</v>
      </c>
      <c r="M114" s="250">
        <v>3</v>
      </c>
      <c r="O114" s="40" t="s">
        <v>105</v>
      </c>
      <c r="Q114" s="40">
        <v>3</v>
      </c>
    </row>
    <row r="115" spans="2:17" x14ac:dyDescent="0.25">
      <c r="B115" s="40" t="s">
        <v>107</v>
      </c>
      <c r="D115" s="250">
        <v>5</v>
      </c>
      <c r="G115" s="40" t="s">
        <v>107</v>
      </c>
      <c r="I115" s="250">
        <v>5</v>
      </c>
      <c r="K115" s="40" t="s">
        <v>107</v>
      </c>
      <c r="M115" s="250">
        <v>5</v>
      </c>
      <c r="O115" s="40" t="s">
        <v>107</v>
      </c>
      <c r="Q115" s="40">
        <v>5</v>
      </c>
    </row>
    <row r="116" spans="2:17" x14ac:dyDescent="0.25">
      <c r="B116" s="40" t="s">
        <v>108</v>
      </c>
      <c r="D116" s="250">
        <v>2</v>
      </c>
      <c r="G116" s="40" t="s">
        <v>108</v>
      </c>
      <c r="I116" s="250">
        <v>2</v>
      </c>
      <c r="K116" s="40" t="s">
        <v>108</v>
      </c>
      <c r="M116" s="250">
        <v>2</v>
      </c>
      <c r="O116" s="40" t="s">
        <v>108</v>
      </c>
      <c r="Q116" s="40">
        <v>2</v>
      </c>
    </row>
    <row r="117" spans="2:17" x14ac:dyDescent="0.25">
      <c r="B117" s="40" t="s">
        <v>465</v>
      </c>
      <c r="D117" s="40">
        <v>0</v>
      </c>
      <c r="G117" s="40" t="s">
        <v>465</v>
      </c>
      <c r="I117" s="40">
        <v>0</v>
      </c>
      <c r="K117" s="40" t="s">
        <v>465</v>
      </c>
      <c r="M117" s="40">
        <v>0</v>
      </c>
      <c r="O117" s="40" t="s">
        <v>465</v>
      </c>
      <c r="Q117" s="40">
        <v>0</v>
      </c>
    </row>
    <row r="118" spans="2:17" x14ac:dyDescent="0.25">
      <c r="B118" s="40" t="s">
        <v>466</v>
      </c>
      <c r="D118" s="40">
        <v>0</v>
      </c>
      <c r="G118" s="40" t="s">
        <v>466</v>
      </c>
      <c r="I118" s="40">
        <v>0</v>
      </c>
      <c r="K118" s="40" t="s">
        <v>466</v>
      </c>
      <c r="M118" s="40">
        <v>0</v>
      </c>
      <c r="O118" s="40" t="s">
        <v>466</v>
      </c>
      <c r="Q118" s="40">
        <v>0</v>
      </c>
    </row>
    <row r="119" spans="2:17" x14ac:dyDescent="0.25">
      <c r="B119" s="40" t="s">
        <v>1372</v>
      </c>
      <c r="D119" s="40">
        <v>0</v>
      </c>
      <c r="G119" s="40" t="s">
        <v>1372</v>
      </c>
      <c r="I119" s="40">
        <v>0</v>
      </c>
      <c r="K119" s="40" t="s">
        <v>1372</v>
      </c>
      <c r="M119" s="40">
        <v>0</v>
      </c>
      <c r="O119" s="40" t="s">
        <v>1372</v>
      </c>
      <c r="Q119" s="40">
        <v>0</v>
      </c>
    </row>
    <row r="120" spans="2:17" x14ac:dyDescent="0.25">
      <c r="B120" s="40" t="s">
        <v>1374</v>
      </c>
      <c r="D120" s="40">
        <v>0</v>
      </c>
      <c r="G120" s="40" t="s">
        <v>1374</v>
      </c>
      <c r="I120" s="40">
        <v>0</v>
      </c>
      <c r="K120" s="40" t="s">
        <v>1374</v>
      </c>
      <c r="M120" s="40">
        <v>0</v>
      </c>
      <c r="O120" s="40" t="s">
        <v>1374</v>
      </c>
      <c r="Q120" s="40">
        <v>0</v>
      </c>
    </row>
    <row r="121" spans="2:17" x14ac:dyDescent="0.25">
      <c r="B121" s="40" t="s">
        <v>1376</v>
      </c>
      <c r="D121" s="40">
        <v>0</v>
      </c>
      <c r="G121" s="40" t="s">
        <v>1376</v>
      </c>
      <c r="I121" s="40">
        <v>0</v>
      </c>
      <c r="K121" s="40" t="s">
        <v>1376</v>
      </c>
      <c r="M121" s="40">
        <v>0</v>
      </c>
      <c r="O121" s="40" t="s">
        <v>1376</v>
      </c>
      <c r="Q121" s="40">
        <v>0</v>
      </c>
    </row>
  </sheetData>
  <mergeCells count="13">
    <mergeCell ref="K5:M5"/>
    <mergeCell ref="O5:Q5"/>
    <mergeCell ref="C2:C3"/>
    <mergeCell ref="H2:H3"/>
    <mergeCell ref="P2:P3"/>
    <mergeCell ref="L2:L3"/>
    <mergeCell ref="G5:I5"/>
    <mergeCell ref="C16:C18"/>
    <mergeCell ref="C20:C21"/>
    <mergeCell ref="C22:C23"/>
    <mergeCell ref="C29:C30"/>
    <mergeCell ref="B5:D5"/>
    <mergeCell ref="C12:C1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J24"/>
  <sheetViews>
    <sheetView zoomScale="130" zoomScaleNormal="130" workbookViewId="0">
      <selection activeCell="E16" sqref="E16"/>
    </sheetView>
  </sheetViews>
  <sheetFormatPr defaultColWidth="9.140625" defaultRowHeight="15" x14ac:dyDescent="0.25"/>
  <cols>
    <col min="1" max="1" width="15.42578125" style="1" bestFit="1" customWidth="1"/>
    <col min="2" max="2" width="19.28515625" style="1" bestFit="1" customWidth="1"/>
    <col min="3" max="3" width="19.28515625" style="1" customWidth="1"/>
    <col min="4" max="4" width="12.42578125" style="1" bestFit="1" customWidth="1"/>
    <col min="5" max="5" width="13.28515625" style="1" bestFit="1" customWidth="1"/>
    <col min="6" max="6" width="14.42578125" style="1" bestFit="1" customWidth="1"/>
    <col min="7" max="7" width="9.42578125" style="1" bestFit="1" customWidth="1"/>
    <col min="8" max="8" width="12.28515625" style="1" bestFit="1" customWidth="1"/>
    <col min="9" max="9" width="11.140625" style="1" bestFit="1" customWidth="1"/>
    <col min="10" max="16384" width="9.140625" style="1"/>
  </cols>
  <sheetData>
    <row r="1" spans="1:10" s="44" customFormat="1" x14ac:dyDescent="0.25">
      <c r="B1" s="44" t="s">
        <v>1141</v>
      </c>
      <c r="C1" s="44" t="s">
        <v>1345</v>
      </c>
      <c r="D1" s="44" t="s">
        <v>1142</v>
      </c>
      <c r="E1" s="44" t="s">
        <v>1143</v>
      </c>
      <c r="F1" s="44" t="s">
        <v>1139</v>
      </c>
      <c r="G1" s="297" t="s">
        <v>1140</v>
      </c>
      <c r="H1" s="297"/>
      <c r="I1" s="44" t="s">
        <v>920</v>
      </c>
    </row>
    <row r="2" spans="1:10" x14ac:dyDescent="0.25">
      <c r="A2" s="1" t="s">
        <v>94</v>
      </c>
      <c r="B2" s="1" t="s">
        <v>1137</v>
      </c>
      <c r="C2" s="1" t="s">
        <v>1344</v>
      </c>
      <c r="D2" s="1" t="s">
        <v>328</v>
      </c>
      <c r="E2" s="1" t="s">
        <v>329</v>
      </c>
      <c r="F2" s="1" t="s">
        <v>330</v>
      </c>
      <c r="G2" s="1" t="s">
        <v>1144</v>
      </c>
      <c r="H2" s="1" t="s">
        <v>331</v>
      </c>
      <c r="I2" s="1" t="s">
        <v>114</v>
      </c>
      <c r="J2" s="1" t="s">
        <v>625</v>
      </c>
    </row>
    <row r="3" spans="1:10" x14ac:dyDescent="0.25">
      <c r="A3" s="1">
        <v>1</v>
      </c>
      <c r="B3" s="1">
        <v>1</v>
      </c>
      <c r="C3" s="1">
        <v>0</v>
      </c>
      <c r="D3" s="1" t="s">
        <v>332</v>
      </c>
      <c r="E3" s="1" t="s">
        <v>333</v>
      </c>
    </row>
    <row r="4" spans="1:10" x14ac:dyDescent="0.25">
      <c r="A4" s="1">
        <v>2</v>
      </c>
      <c r="B4" s="1">
        <v>1</v>
      </c>
      <c r="C4" s="1">
        <v>0</v>
      </c>
      <c r="D4" s="1" t="s">
        <v>334</v>
      </c>
      <c r="E4" s="1" t="s">
        <v>335</v>
      </c>
    </row>
    <row r="5" spans="1:10" x14ac:dyDescent="0.25">
      <c r="A5" s="1">
        <v>3</v>
      </c>
      <c r="B5" s="1">
        <v>1</v>
      </c>
      <c r="C5" s="1">
        <v>0</v>
      </c>
      <c r="D5" s="1" t="s">
        <v>336</v>
      </c>
      <c r="E5" s="1" t="s">
        <v>246</v>
      </c>
    </row>
    <row r="6" spans="1:10" x14ac:dyDescent="0.25">
      <c r="A6" s="1">
        <v>4</v>
      </c>
      <c r="B6" s="1">
        <v>1</v>
      </c>
      <c r="C6" s="1">
        <v>0</v>
      </c>
      <c r="D6" s="1" t="s">
        <v>1138</v>
      </c>
      <c r="E6" s="1" t="s">
        <v>894</v>
      </c>
    </row>
    <row r="7" spans="1:10" x14ac:dyDescent="0.25">
      <c r="A7" s="1">
        <v>5</v>
      </c>
      <c r="B7" s="1">
        <v>0</v>
      </c>
      <c r="C7" s="1">
        <v>0</v>
      </c>
      <c r="D7" s="1" t="s">
        <v>892</v>
      </c>
      <c r="E7" s="1" t="s">
        <v>895</v>
      </c>
      <c r="F7" s="1">
        <v>1000</v>
      </c>
      <c r="G7" s="1">
        <f>A6</f>
        <v>4</v>
      </c>
      <c r="H7" s="1" t="str">
        <f>E6</f>
        <v>gram</v>
      </c>
    </row>
    <row r="8" spans="1:10" x14ac:dyDescent="0.25">
      <c r="A8" s="1">
        <v>6</v>
      </c>
      <c r="B8" s="1">
        <v>0</v>
      </c>
      <c r="C8" s="1">
        <v>0</v>
      </c>
      <c r="D8" s="1" t="s">
        <v>893</v>
      </c>
      <c r="E8" s="1" t="s">
        <v>896</v>
      </c>
      <c r="F8" s="1">
        <v>12</v>
      </c>
      <c r="G8" s="1">
        <f>A4</f>
        <v>2</v>
      </c>
      <c r="H8" s="1" t="str">
        <f>E4</f>
        <v>piece</v>
      </c>
    </row>
    <row r="9" spans="1:10" x14ac:dyDescent="0.25">
      <c r="A9" s="1">
        <v>7</v>
      </c>
      <c r="B9" s="1">
        <v>1</v>
      </c>
      <c r="C9" s="1">
        <v>1</v>
      </c>
      <c r="D9" s="1" t="s">
        <v>1383</v>
      </c>
      <c r="E9" s="1" t="s">
        <v>1384</v>
      </c>
    </row>
    <row r="13" spans="1:10" x14ac:dyDescent="0.25">
      <c r="A13" s="1" t="s">
        <v>1364</v>
      </c>
      <c r="B13" s="40" t="s">
        <v>1368</v>
      </c>
    </row>
    <row r="14" spans="1:10" x14ac:dyDescent="0.25">
      <c r="B14" s="40" t="s">
        <v>1369</v>
      </c>
    </row>
    <row r="15" spans="1:10" x14ac:dyDescent="0.25">
      <c r="B15" s="40" t="s">
        <v>1139</v>
      </c>
    </row>
    <row r="16" spans="1:10" x14ac:dyDescent="0.25">
      <c r="B16" s="40" t="s">
        <v>1140</v>
      </c>
    </row>
    <row r="17" spans="1:3" x14ac:dyDescent="0.25">
      <c r="B17" s="40"/>
    </row>
    <row r="18" spans="1:3" x14ac:dyDescent="0.25">
      <c r="A18" s="1" t="s">
        <v>932</v>
      </c>
      <c r="B18" s="40" t="s">
        <v>1370</v>
      </c>
    </row>
    <row r="19" spans="1:3" x14ac:dyDescent="0.25">
      <c r="B19" s="40"/>
    </row>
    <row r="20" spans="1:3" x14ac:dyDescent="0.25">
      <c r="B20" s="40"/>
    </row>
    <row r="21" spans="1:3" x14ac:dyDescent="0.25">
      <c r="B21" s="40"/>
    </row>
    <row r="22" spans="1:3" x14ac:dyDescent="0.25">
      <c r="B22" s="40"/>
    </row>
    <row r="23" spans="1:3" x14ac:dyDescent="0.25">
      <c r="A23" s="1" t="s">
        <v>1347</v>
      </c>
      <c r="B23" s="40" t="s">
        <v>1539</v>
      </c>
      <c r="C23" s="40" t="s">
        <v>1365</v>
      </c>
    </row>
    <row r="24" spans="1:3" x14ac:dyDescent="0.25">
      <c r="B24" s="40"/>
      <c r="C24" s="40" t="s">
        <v>1366</v>
      </c>
    </row>
  </sheetData>
  <mergeCells count="1">
    <mergeCell ref="G1:H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F28"/>
  <sheetViews>
    <sheetView workbookViewId="0">
      <selection activeCell="D8" sqref="D8"/>
    </sheetView>
  </sheetViews>
  <sheetFormatPr defaultColWidth="9.140625" defaultRowHeight="15" x14ac:dyDescent="0.25"/>
  <cols>
    <col min="1" max="1" width="25.140625" style="1" bestFit="1" customWidth="1"/>
    <col min="2" max="2" width="21.42578125" style="1" bestFit="1" customWidth="1"/>
    <col min="3" max="3" width="10.7109375" style="1" bestFit="1" customWidth="1"/>
    <col min="4" max="4" width="31.42578125" style="1" bestFit="1" customWidth="1"/>
    <col min="5" max="5" width="28.42578125" style="1" bestFit="1" customWidth="1"/>
    <col min="6" max="6" width="10.7109375" style="1" bestFit="1" customWidth="1"/>
    <col min="7" max="16384" width="9.140625" style="1"/>
  </cols>
  <sheetData>
    <row r="1" spans="1:6" x14ac:dyDescent="0.25">
      <c r="A1" s="1" t="s">
        <v>681</v>
      </c>
      <c r="B1" s="1" t="s">
        <v>541</v>
      </c>
      <c r="C1" s="1" t="s">
        <v>251</v>
      </c>
      <c r="D1" s="1" t="s">
        <v>542</v>
      </c>
      <c r="E1" s="1" t="s">
        <v>451</v>
      </c>
      <c r="F1" s="1" t="s">
        <v>21</v>
      </c>
    </row>
    <row r="2" spans="1:6" x14ac:dyDescent="0.25">
      <c r="A2" s="1">
        <v>1</v>
      </c>
      <c r="B2" s="1">
        <f>'rekening perkiraan'!A3</f>
        <v>1</v>
      </c>
      <c r="C2" s="1" t="str">
        <f>'rekening perkiraan'!E3</f>
        <v>10.11.12.1</v>
      </c>
      <c r="D2" s="1" t="str">
        <f>'rekening perkiraan'!B3</f>
        <v>biaya 1</v>
      </c>
      <c r="E2" s="1" t="str">
        <f>'rekening perkiraan'!D3</f>
        <v>biaya produksi</v>
      </c>
      <c r="F2" s="1" t="str">
        <f>'rekening perkiraan'!I3</f>
        <v>IDR</v>
      </c>
    </row>
    <row r="3" spans="1:6" x14ac:dyDescent="0.25">
      <c r="A3" s="1">
        <v>2</v>
      </c>
      <c r="B3" s="1">
        <f>'rekening perkiraan'!A4</f>
        <v>2</v>
      </c>
      <c r="C3" s="1" t="str">
        <f>'rekening perkiraan'!E4</f>
        <v>7.8.9.2</v>
      </c>
      <c r="D3" s="1" t="str">
        <f>'rekening perkiraan'!B4</f>
        <v>penjualan produk 1</v>
      </c>
      <c r="E3" s="1" t="str">
        <f>'rekening perkiraan'!D4</f>
        <v xml:space="preserve">pendapatan usaha </v>
      </c>
      <c r="F3" s="1" t="str">
        <f>'rekening perkiraan'!I4</f>
        <v>IDR</v>
      </c>
    </row>
    <row r="4" spans="1:6" x14ac:dyDescent="0.25">
      <c r="A4" s="1">
        <v>3</v>
      </c>
      <c r="B4" s="1">
        <f>'rekening perkiraan'!A5</f>
        <v>3</v>
      </c>
      <c r="C4" s="1" t="str">
        <f>'rekening perkiraan'!E5</f>
        <v>1.13.14.3</v>
      </c>
      <c r="D4" s="1" t="str">
        <f>'rekening perkiraan'!B5</f>
        <v>persediaan 1</v>
      </c>
      <c r="E4" s="1" t="str">
        <f>'rekening perkiraan'!D5</f>
        <v>persediaan</v>
      </c>
      <c r="F4" s="1" t="str">
        <f>'rekening perkiraan'!I5</f>
        <v>IDR</v>
      </c>
    </row>
    <row r="5" spans="1:6" x14ac:dyDescent="0.25">
      <c r="A5" s="1">
        <v>4</v>
      </c>
      <c r="B5" s="1">
        <f>'rekening perkiraan'!A6</f>
        <v>4</v>
      </c>
      <c r="C5" s="1" t="str">
        <f>'rekening perkiraan'!E6</f>
        <v>1.13.14.4</v>
      </c>
      <c r="D5" s="1" t="str">
        <f>'rekening perkiraan'!B6</f>
        <v>persediaan dalam perjalanan beli</v>
      </c>
      <c r="E5" s="1" t="str">
        <f>'rekening perkiraan'!D6</f>
        <v>persediaan</v>
      </c>
      <c r="F5" s="1" t="str">
        <f>'rekening perkiraan'!I6</f>
        <v>IDR</v>
      </c>
    </row>
    <row r="6" spans="1:6" x14ac:dyDescent="0.25">
      <c r="A6" s="1">
        <v>5</v>
      </c>
      <c r="B6" s="1">
        <f>'rekening perkiraan'!A7</f>
        <v>5</v>
      </c>
      <c r="C6" s="1" t="str">
        <f>'rekening perkiraan'!E7</f>
        <v>1.13.14.5</v>
      </c>
      <c r="D6" s="1" t="str">
        <f>'rekening perkiraan'!B7</f>
        <v>persediaan dalam perjalanan jual</v>
      </c>
      <c r="E6" s="1" t="str">
        <f>'rekening perkiraan'!D7</f>
        <v>persediaan</v>
      </c>
      <c r="F6" s="1" t="str">
        <f>'rekening perkiraan'!I7</f>
        <v>IDR</v>
      </c>
    </row>
    <row r="7" spans="1:6" x14ac:dyDescent="0.25">
      <c r="A7" s="1">
        <v>6</v>
      </c>
      <c r="B7" s="1">
        <f>'rekening perkiraan'!A8</f>
        <v>6</v>
      </c>
      <c r="C7" s="1" t="str">
        <f>'rekening perkiraan'!E8</f>
        <v>1.2.4.6</v>
      </c>
      <c r="D7" s="1" t="str">
        <f>'rekening perkiraan'!B8</f>
        <v>bank</v>
      </c>
      <c r="E7" s="1" t="str">
        <f>'rekening perkiraan'!D8</f>
        <v>bank</v>
      </c>
      <c r="F7" s="1" t="str">
        <f>'rekening perkiraan'!I8</f>
        <v>IDR</v>
      </c>
    </row>
    <row r="8" spans="1:6" x14ac:dyDescent="0.25">
      <c r="A8" s="1">
        <v>7</v>
      </c>
      <c r="B8" s="1" t="e">
        <f>'rekening perkiraan'!#REF!</f>
        <v>#REF!</v>
      </c>
      <c r="C8" s="1" t="e">
        <f>'rekening perkiraan'!#REF!</f>
        <v>#REF!</v>
      </c>
      <c r="D8" s="1" t="e">
        <f>'rekening perkiraan'!#REF!</f>
        <v>#REF!</v>
      </c>
      <c r="E8" s="1" t="e">
        <f>'rekening perkiraan'!#REF!</f>
        <v>#REF!</v>
      </c>
      <c r="F8" s="1" t="e">
        <f>'rekening perkiraan'!#REF!</f>
        <v>#REF!</v>
      </c>
    </row>
    <row r="9" spans="1:6" x14ac:dyDescent="0.25">
      <c r="A9" s="1">
        <v>8</v>
      </c>
      <c r="B9" s="1">
        <f>'rekening perkiraan'!A9</f>
        <v>7</v>
      </c>
      <c r="C9" s="1" t="str">
        <f>'rekening perkiraan'!E9</f>
        <v>1.2.5.7</v>
      </c>
      <c r="D9" s="1" t="str">
        <f>'rekening perkiraan'!B9</f>
        <v>piutang usaha</v>
      </c>
      <c r="E9" s="1" t="str">
        <f>'rekening perkiraan'!D9</f>
        <v>piutang dagang</v>
      </c>
      <c r="F9" s="1" t="str">
        <f>'rekening perkiraan'!I9</f>
        <v>IDR</v>
      </c>
    </row>
    <row r="10" spans="1:6" x14ac:dyDescent="0.25">
      <c r="A10" s="1">
        <v>9</v>
      </c>
      <c r="B10" s="1">
        <f>'rekening perkiraan'!A10</f>
        <v>8</v>
      </c>
      <c r="C10" s="1" t="str">
        <f>'rekening perkiraan'!E10</f>
        <v>15.16.17.8</v>
      </c>
      <c r="D10" s="1" t="str">
        <f>'rekening perkiraan'!B10</f>
        <v>hutang usaha</v>
      </c>
      <c r="E10" s="1" t="str">
        <f>'rekening perkiraan'!D10</f>
        <v>hutang lancar</v>
      </c>
      <c r="F10" s="1" t="str">
        <f>'rekening perkiraan'!I10</f>
        <v>IDR</v>
      </c>
    </row>
    <row r="11" spans="1:6" x14ac:dyDescent="0.25">
      <c r="A11" s="1">
        <v>10</v>
      </c>
      <c r="B11" s="1">
        <f>'rekening perkiraan'!A11</f>
        <v>9</v>
      </c>
      <c r="C11" s="1" t="str">
        <f>'rekening perkiraan'!E11</f>
        <v>1.2.3.9</v>
      </c>
      <c r="D11" s="1" t="str">
        <f>'rekening perkiraan'!B11</f>
        <v>kas</v>
      </c>
      <c r="E11" s="1" t="str">
        <f>'rekening perkiraan'!D11</f>
        <v>kas</v>
      </c>
      <c r="F11" s="1" t="str">
        <f>'rekening perkiraan'!I11</f>
        <v>IDR</v>
      </c>
    </row>
    <row r="12" spans="1:6" x14ac:dyDescent="0.25">
      <c r="A12" s="1">
        <v>11</v>
      </c>
      <c r="B12" s="1">
        <f>'rekening perkiraan'!A12</f>
        <v>10</v>
      </c>
      <c r="C12" s="1" t="str">
        <f>'rekening perkiraan'!E12</f>
        <v>1.2.5.10</v>
      </c>
      <c r="D12" s="1" t="str">
        <f>'rekening perkiraan'!B12</f>
        <v>uang muka pembelian</v>
      </c>
      <c r="E12" s="1" t="str">
        <f>'rekening perkiraan'!D12</f>
        <v>piutang dagang</v>
      </c>
      <c r="F12" s="1" t="str">
        <f>'rekening perkiraan'!I12</f>
        <v>IDR</v>
      </c>
    </row>
    <row r="13" spans="1:6" x14ac:dyDescent="0.25">
      <c r="A13" s="1">
        <v>12</v>
      </c>
      <c r="B13" s="1">
        <f>'rekening perkiraan'!A13</f>
        <v>11</v>
      </c>
      <c r="C13" s="1" t="str">
        <f>'rekening perkiraan'!E13</f>
        <v>15.16.17.11</v>
      </c>
      <c r="D13" s="1" t="str">
        <f>'rekening perkiraan'!B13</f>
        <v>uang muka penjualan</v>
      </c>
      <c r="E13" s="1" t="str">
        <f>'rekening perkiraan'!D13</f>
        <v>hutang lancar</v>
      </c>
      <c r="F13" s="1" t="str">
        <f>'rekening perkiraan'!I13</f>
        <v>IDR</v>
      </c>
    </row>
    <row r="14" spans="1:6" x14ac:dyDescent="0.25">
      <c r="A14" s="1">
        <v>13</v>
      </c>
      <c r="B14" s="1">
        <f>'rekening perkiraan'!A14</f>
        <v>12</v>
      </c>
      <c r="C14" s="1" t="str">
        <f>'rekening perkiraan'!E14</f>
        <v>1.2.5.12</v>
      </c>
      <c r="D14" s="1" t="str">
        <f>'rekening perkiraan'!B14</f>
        <v>piutang usaha (USD)</v>
      </c>
      <c r="E14" s="1" t="str">
        <f>'rekening perkiraan'!D14</f>
        <v>piutang dagang</v>
      </c>
      <c r="F14" s="1">
        <f>'rekening perkiraan'!I14</f>
        <v>0</v>
      </c>
    </row>
    <row r="15" spans="1:6" x14ac:dyDescent="0.25">
      <c r="A15" s="1">
        <v>14</v>
      </c>
      <c r="B15" s="1">
        <f>'rekening perkiraan'!A15</f>
        <v>13</v>
      </c>
      <c r="C15" s="1" t="str">
        <f>'rekening perkiraan'!E15</f>
        <v>15.16.17.13</v>
      </c>
      <c r="D15" s="1" t="str">
        <f>'rekening perkiraan'!B15</f>
        <v>hutang usaha (USD)</v>
      </c>
      <c r="E15" s="1" t="str">
        <f>'rekening perkiraan'!D15</f>
        <v>hutang lancar</v>
      </c>
      <c r="F15" s="1">
        <f>'rekening perkiraan'!I15</f>
        <v>0</v>
      </c>
    </row>
    <row r="16" spans="1:6" x14ac:dyDescent="0.25">
      <c r="A16" s="1">
        <v>15</v>
      </c>
      <c r="B16" s="1">
        <f>'rekening perkiraan'!A16</f>
        <v>14</v>
      </c>
      <c r="C16" s="1" t="str">
        <f>'rekening perkiraan'!E16</f>
        <v>1.2.4.14</v>
      </c>
      <c r="D16" s="1" t="str">
        <f>'rekening perkiraan'!B16</f>
        <v>bank (USD)</v>
      </c>
      <c r="E16" s="1" t="str">
        <f>'rekening perkiraan'!D16</f>
        <v>bank</v>
      </c>
      <c r="F16" s="1">
        <f>'rekening perkiraan'!I16</f>
        <v>0</v>
      </c>
    </row>
    <row r="17" spans="1:6" x14ac:dyDescent="0.25">
      <c r="A17" s="1">
        <v>16</v>
      </c>
      <c r="B17" s="1">
        <f>'rekening perkiraan'!A17</f>
        <v>15</v>
      </c>
      <c r="C17" s="1" t="str">
        <f>'rekening perkiraan'!E17</f>
        <v>1.2.3.15</v>
      </c>
      <c r="D17" s="1" t="str">
        <f>'rekening perkiraan'!B17</f>
        <v>kas (USD)</v>
      </c>
      <c r="E17" s="1" t="str">
        <f>'rekening perkiraan'!D17</f>
        <v>kas</v>
      </c>
      <c r="F17" s="1">
        <f>'rekening perkiraan'!I17</f>
        <v>0</v>
      </c>
    </row>
    <row r="18" spans="1:6" x14ac:dyDescent="0.25">
      <c r="A18" s="1">
        <v>17</v>
      </c>
      <c r="B18" s="1">
        <f>'rekening perkiraan'!A18</f>
        <v>16</v>
      </c>
      <c r="C18" s="1" t="str">
        <f>'rekening perkiraan'!E18</f>
        <v>1.2.5.16</v>
      </c>
      <c r="D18" s="1" t="str">
        <f>'rekening perkiraan'!B18</f>
        <v>uang muka pembelian (USD)</v>
      </c>
      <c r="E18" s="1" t="str">
        <f>'rekening perkiraan'!D18</f>
        <v>piutang dagang</v>
      </c>
      <c r="F18" s="1">
        <f>'rekening perkiraan'!I18</f>
        <v>0</v>
      </c>
    </row>
    <row r="19" spans="1:6" x14ac:dyDescent="0.25">
      <c r="A19" s="1">
        <v>18</v>
      </c>
      <c r="B19" s="1">
        <f>'rekening perkiraan'!A19</f>
        <v>17</v>
      </c>
      <c r="C19" s="1" t="str">
        <f>'rekening perkiraan'!E19</f>
        <v>15.16.17.17</v>
      </c>
      <c r="D19" s="1" t="str">
        <f>'rekening perkiraan'!B19</f>
        <v>uang muka penjualan (USD)</v>
      </c>
      <c r="E19" s="1" t="str">
        <f>'rekening perkiraan'!D19</f>
        <v>hutang lancar</v>
      </c>
      <c r="F19" s="1">
        <f>'rekening perkiraan'!I19</f>
        <v>0</v>
      </c>
    </row>
    <row r="20" spans="1:6" x14ac:dyDescent="0.25">
      <c r="A20" s="1">
        <v>19</v>
      </c>
      <c r="B20" s="1">
        <f>'rekening perkiraan'!A20</f>
        <v>18</v>
      </c>
      <c r="C20" s="1" t="str">
        <f>'rekening perkiraan'!E20</f>
        <v>1.18.19.18</v>
      </c>
      <c r="D20" s="1" t="str">
        <f>'rekening perkiraan'!B20</f>
        <v>pajak dibayar dimuka</v>
      </c>
      <c r="E20" s="1" t="str">
        <f>'rekening perkiraan'!D20</f>
        <v>biaya dibayar dimuka</v>
      </c>
      <c r="F20" s="1">
        <f>'rekening perkiraan'!I20</f>
        <v>0</v>
      </c>
    </row>
    <row r="21" spans="1:6" x14ac:dyDescent="0.25">
      <c r="A21" s="1">
        <v>20</v>
      </c>
      <c r="B21" s="1">
        <f>'rekening perkiraan'!A21</f>
        <v>19</v>
      </c>
      <c r="C21" s="1" t="str">
        <f>'rekening perkiraan'!E21</f>
        <v>15.16.17.19</v>
      </c>
      <c r="D21" s="1" t="str">
        <f>'rekening perkiraan'!B21</f>
        <v>hutang pajak penjualan</v>
      </c>
      <c r="E21" s="1" t="str">
        <f>'rekening perkiraan'!D21</f>
        <v>hutang lancar</v>
      </c>
      <c r="F21" s="1">
        <f>'rekening perkiraan'!I21</f>
        <v>0</v>
      </c>
    </row>
    <row r="22" spans="1:6" x14ac:dyDescent="0.25">
      <c r="A22" s="1">
        <v>21</v>
      </c>
      <c r="B22" s="1">
        <f>'rekening perkiraan'!A22</f>
        <v>20</v>
      </c>
      <c r="C22" s="1" t="str">
        <f>'rekening perkiraan'!E22</f>
        <v>15.16.17.20</v>
      </c>
      <c r="D22" s="1" t="str">
        <f>'rekening perkiraan'!B22</f>
        <v>hutang bunga</v>
      </c>
      <c r="E22" s="1" t="str">
        <f>'rekening perkiraan'!D22</f>
        <v>hutang lancar</v>
      </c>
      <c r="F22" s="1">
        <f>'rekening perkiraan'!I22</f>
        <v>0</v>
      </c>
    </row>
    <row r="23" spans="1:6" x14ac:dyDescent="0.25">
      <c r="A23" s="1">
        <v>22</v>
      </c>
      <c r="B23" s="1">
        <f>'rekening perkiraan'!A23</f>
        <v>21</v>
      </c>
      <c r="C23" s="1" t="str">
        <f>'rekening perkiraan'!E23</f>
        <v>15.16.17.21</v>
      </c>
      <c r="D23" s="1" t="str">
        <f>'rekening perkiraan'!B23</f>
        <v>kartu kredit</v>
      </c>
      <c r="E23" s="1" t="str">
        <f>'rekening perkiraan'!D23</f>
        <v>hutang lancar</v>
      </c>
      <c r="F23" s="1">
        <f>'rekening perkiraan'!I23</f>
        <v>0</v>
      </c>
    </row>
    <row r="24" spans="1:6" x14ac:dyDescent="0.25">
      <c r="A24" s="1">
        <v>23</v>
      </c>
      <c r="B24" s="1">
        <f>'rekening perkiraan'!A24</f>
        <v>22</v>
      </c>
      <c r="C24" s="1" t="str">
        <f>'rekening perkiraan'!E24</f>
        <v>15.16.17.22</v>
      </c>
      <c r="D24" s="1" t="str">
        <f>'rekening perkiraan'!B24</f>
        <v>hutang konsinyasi</v>
      </c>
      <c r="E24" s="1" t="str">
        <f>'rekening perkiraan'!D24</f>
        <v>hutang lancar</v>
      </c>
      <c r="F24" s="1">
        <f>'rekening perkiraan'!I24</f>
        <v>0</v>
      </c>
    </row>
    <row r="25" spans="1:6" x14ac:dyDescent="0.25">
      <c r="A25" s="1">
        <v>24</v>
      </c>
      <c r="B25" s="1">
        <f>'rekening perkiraan'!A25</f>
        <v>23</v>
      </c>
      <c r="C25" s="1" t="str">
        <f>'rekening perkiraan'!E25</f>
        <v>10.21.22.23</v>
      </c>
      <c r="D25" s="1" t="str">
        <f>'rekening perkiraan'!B25</f>
        <v>kerusakan dan kegagalan material</v>
      </c>
      <c r="E25" s="1" t="str">
        <f>'rekening perkiraan'!D25</f>
        <v>biaya lain</v>
      </c>
      <c r="F25" s="1">
        <f>'rekening perkiraan'!I25</f>
        <v>0</v>
      </c>
    </row>
    <row r="26" spans="1:6" x14ac:dyDescent="0.25">
      <c r="A26" s="1">
        <v>25</v>
      </c>
      <c r="B26" s="1">
        <f>'rekening perkiraan'!A26</f>
        <v>24</v>
      </c>
      <c r="C26" s="1" t="str">
        <f>'rekening perkiraan'!E26</f>
        <v>1.2.5.24</v>
      </c>
      <c r="D26" s="1" t="str">
        <f>'rekening perkiraan'!B26</f>
        <v>piutang giro</v>
      </c>
      <c r="E26" s="1" t="str">
        <f>'rekening perkiraan'!D26</f>
        <v>piutang dagang</v>
      </c>
      <c r="F26" s="1">
        <f>'rekening perkiraan'!I26</f>
        <v>0</v>
      </c>
    </row>
    <row r="27" spans="1:6" x14ac:dyDescent="0.25">
      <c r="A27" s="1">
        <v>26</v>
      </c>
      <c r="B27" s="1">
        <f>'rekening perkiraan'!A27</f>
        <v>25</v>
      </c>
      <c r="C27" s="1" t="str">
        <f>'rekening perkiraan'!E27</f>
        <v>15.16.17.25</v>
      </c>
      <c r="D27" s="1" t="str">
        <f>'rekening perkiraan'!B27</f>
        <v>hutang giro</v>
      </c>
      <c r="E27" s="1" t="str">
        <f>'rekening perkiraan'!D27</f>
        <v>hutang lancar</v>
      </c>
      <c r="F27" s="1">
        <f>'rekening perkiraan'!I27</f>
        <v>0</v>
      </c>
    </row>
    <row r="28" spans="1:6" x14ac:dyDescent="0.25">
      <c r="A28" s="1">
        <v>27</v>
      </c>
      <c r="B28" s="1">
        <f>'rekening perkiraan'!A28</f>
        <v>26</v>
      </c>
      <c r="C28" s="1" t="str">
        <f>'rekening perkiraan'!E28</f>
        <v>15.16.17.26</v>
      </c>
      <c r="D28" s="1" t="str">
        <f>'rekening perkiraan'!B28</f>
        <v>gaji</v>
      </c>
      <c r="E28" s="1" t="str">
        <f>'rekening perkiraan'!D28</f>
        <v>hutang lancar</v>
      </c>
      <c r="F28" s="1">
        <f>'rekening perkiraan'!I28</f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I76"/>
  <sheetViews>
    <sheetView topLeftCell="C1" zoomScale="145" zoomScaleNormal="145" workbookViewId="0">
      <selection activeCell="I3" sqref="I3"/>
    </sheetView>
  </sheetViews>
  <sheetFormatPr defaultColWidth="9.140625" defaultRowHeight="15" x14ac:dyDescent="0.25"/>
  <cols>
    <col min="1" max="1" width="7.7109375" style="1" bestFit="1" customWidth="1"/>
    <col min="2" max="2" width="31.28515625" style="1" bestFit="1" customWidth="1"/>
    <col min="3" max="3" width="24.42578125" style="1" bestFit="1" customWidth="1"/>
    <col min="4" max="4" width="11.28515625" style="1" bestFit="1" customWidth="1"/>
    <col min="5" max="5" width="14.140625" style="1" bestFit="1" customWidth="1"/>
    <col min="6" max="6" width="15.7109375" style="1" bestFit="1" customWidth="1"/>
    <col min="7" max="7" width="10.42578125" style="1" bestFit="1" customWidth="1"/>
    <col min="8" max="16384" width="9.140625" style="1"/>
  </cols>
  <sheetData>
    <row r="1" spans="1:9" x14ac:dyDescent="0.25">
      <c r="B1" s="1" t="s">
        <v>1079</v>
      </c>
      <c r="C1" s="39" t="s">
        <v>1078</v>
      </c>
      <c r="D1" s="39"/>
      <c r="E1" s="1" t="s">
        <v>1080</v>
      </c>
    </row>
    <row r="2" spans="1:9" x14ac:dyDescent="0.25">
      <c r="A2" s="1" t="s">
        <v>343</v>
      </c>
      <c r="B2" s="1" t="s">
        <v>344</v>
      </c>
      <c r="C2" s="1" t="s">
        <v>345</v>
      </c>
      <c r="D2" s="1" t="s">
        <v>346</v>
      </c>
      <c r="E2" s="1" t="s">
        <v>251</v>
      </c>
      <c r="F2" s="1" t="s">
        <v>657</v>
      </c>
      <c r="G2" s="1" t="s">
        <v>891</v>
      </c>
      <c r="H2" s="1" t="s">
        <v>1734</v>
      </c>
      <c r="I2" s="1" t="s">
        <v>905</v>
      </c>
    </row>
    <row r="3" spans="1:9" x14ac:dyDescent="0.25">
      <c r="A3" s="38">
        <v>1</v>
      </c>
      <c r="B3" s="38" t="s">
        <v>347</v>
      </c>
      <c r="C3" s="38"/>
      <c r="D3" s="38">
        <v>1</v>
      </c>
      <c r="E3" s="38">
        <v>1</v>
      </c>
      <c r="F3" s="1">
        <v>1</v>
      </c>
      <c r="H3" s="1">
        <v>1</v>
      </c>
    </row>
    <row r="4" spans="1:9" x14ac:dyDescent="0.25">
      <c r="A4" s="1">
        <v>2</v>
      </c>
      <c r="B4" s="1" t="s">
        <v>348</v>
      </c>
      <c r="C4" s="1">
        <f>A3</f>
        <v>1</v>
      </c>
      <c r="D4" s="1">
        <v>2</v>
      </c>
      <c r="E4" s="1" t="s">
        <v>522</v>
      </c>
    </row>
    <row r="5" spans="1:9" x14ac:dyDescent="0.25">
      <c r="A5" s="1">
        <v>3</v>
      </c>
      <c r="B5" s="1" t="s">
        <v>9</v>
      </c>
      <c r="C5" s="1">
        <f>A4</f>
        <v>2</v>
      </c>
      <c r="D5" s="1">
        <v>3</v>
      </c>
      <c r="E5" s="1" t="s">
        <v>349</v>
      </c>
    </row>
    <row r="6" spans="1:9" x14ac:dyDescent="0.25">
      <c r="A6" s="1">
        <v>4</v>
      </c>
      <c r="B6" s="1" t="s">
        <v>13</v>
      </c>
      <c r="C6" s="1">
        <f>A4</f>
        <v>2</v>
      </c>
      <c r="D6" s="1">
        <v>3</v>
      </c>
      <c r="E6" s="1" t="s">
        <v>350</v>
      </c>
    </row>
    <row r="7" spans="1:9" x14ac:dyDescent="0.25">
      <c r="A7" s="1">
        <v>5</v>
      </c>
      <c r="B7" s="1" t="s">
        <v>798</v>
      </c>
      <c r="C7" s="1">
        <f>A4</f>
        <v>2</v>
      </c>
      <c r="D7" s="1">
        <v>3</v>
      </c>
      <c r="E7" s="1" t="s">
        <v>351</v>
      </c>
    </row>
    <row r="8" spans="1:9" x14ac:dyDescent="0.25">
      <c r="A8" s="38">
        <v>7</v>
      </c>
      <c r="B8" s="38" t="s">
        <v>352</v>
      </c>
      <c r="C8" s="38"/>
      <c r="D8" s="38">
        <v>1</v>
      </c>
      <c r="E8" s="38">
        <v>7</v>
      </c>
      <c r="F8" s="1">
        <v>1</v>
      </c>
    </row>
    <row r="9" spans="1:9" x14ac:dyDescent="0.25">
      <c r="A9" s="1">
        <v>8</v>
      </c>
      <c r="B9" s="271" t="s">
        <v>353</v>
      </c>
      <c r="C9" s="1">
        <f>A8</f>
        <v>7</v>
      </c>
      <c r="D9" s="1">
        <v>2</v>
      </c>
      <c r="E9" s="1" t="s">
        <v>519</v>
      </c>
    </row>
    <row r="10" spans="1:9" x14ac:dyDescent="0.25">
      <c r="A10" s="1">
        <v>9</v>
      </c>
      <c r="B10" s="271" t="s">
        <v>6</v>
      </c>
      <c r="C10" s="1">
        <f>A9</f>
        <v>8</v>
      </c>
      <c r="D10" s="1">
        <v>3</v>
      </c>
      <c r="E10" s="1" t="s">
        <v>354</v>
      </c>
    </row>
    <row r="11" spans="1:9" x14ac:dyDescent="0.25">
      <c r="A11" s="38">
        <v>10</v>
      </c>
      <c r="B11" s="38" t="s">
        <v>355</v>
      </c>
      <c r="C11" s="38"/>
      <c r="D11" s="38">
        <v>1</v>
      </c>
      <c r="E11" s="38">
        <v>10</v>
      </c>
      <c r="F11" s="1">
        <v>1</v>
      </c>
    </row>
    <row r="12" spans="1:9" x14ac:dyDescent="0.25">
      <c r="A12" s="1">
        <v>11</v>
      </c>
      <c r="B12" s="1" t="s">
        <v>4</v>
      </c>
      <c r="C12" s="1">
        <f>A11</f>
        <v>10</v>
      </c>
      <c r="D12" s="1">
        <v>2</v>
      </c>
      <c r="E12" s="1" t="s">
        <v>520</v>
      </c>
    </row>
    <row r="13" spans="1:9" x14ac:dyDescent="0.25">
      <c r="A13" s="1">
        <v>12</v>
      </c>
      <c r="B13" s="1" t="s">
        <v>4</v>
      </c>
      <c r="C13" s="1">
        <f>A12</f>
        <v>11</v>
      </c>
      <c r="D13" s="1">
        <v>3</v>
      </c>
      <c r="E13" s="1" t="s">
        <v>356</v>
      </c>
    </row>
    <row r="14" spans="1:9" x14ac:dyDescent="0.25">
      <c r="A14" s="1">
        <v>13</v>
      </c>
      <c r="B14" s="1" t="s">
        <v>8</v>
      </c>
      <c r="C14" s="1">
        <f>A3</f>
        <v>1</v>
      </c>
      <c r="D14" s="1">
        <v>2</v>
      </c>
      <c r="E14" s="1" t="s">
        <v>521</v>
      </c>
    </row>
    <row r="15" spans="1:9" x14ac:dyDescent="0.25">
      <c r="A15" s="1">
        <v>14</v>
      </c>
      <c r="B15" s="1" t="s">
        <v>8</v>
      </c>
      <c r="C15" s="1">
        <f>A14</f>
        <v>13</v>
      </c>
      <c r="D15" s="1">
        <v>3</v>
      </c>
      <c r="E15" s="1" t="s">
        <v>357</v>
      </c>
    </row>
    <row r="16" spans="1:9" x14ac:dyDescent="0.25">
      <c r="A16" s="38">
        <v>15</v>
      </c>
      <c r="B16" s="38" t="s">
        <v>358</v>
      </c>
      <c r="C16" s="38"/>
      <c r="D16" s="38">
        <v>1</v>
      </c>
      <c r="E16" s="38">
        <v>15</v>
      </c>
      <c r="F16" s="1">
        <v>1</v>
      </c>
    </row>
    <row r="17" spans="1:6" x14ac:dyDescent="0.25">
      <c r="A17" s="1">
        <v>16</v>
      </c>
      <c r="B17" s="1" t="s">
        <v>11</v>
      </c>
      <c r="C17" s="1">
        <f>A16</f>
        <v>15</v>
      </c>
      <c r="D17" s="1">
        <v>2</v>
      </c>
      <c r="E17" s="1" t="s">
        <v>518</v>
      </c>
    </row>
    <row r="18" spans="1:6" x14ac:dyDescent="0.25">
      <c r="A18" s="1">
        <v>17</v>
      </c>
      <c r="B18" s="1" t="s">
        <v>11</v>
      </c>
      <c r="C18" s="1">
        <f>A17</f>
        <v>16</v>
      </c>
      <c r="D18" s="1">
        <v>3</v>
      </c>
      <c r="E18" s="1" t="s">
        <v>359</v>
      </c>
    </row>
    <row r="19" spans="1:6" x14ac:dyDescent="0.25">
      <c r="A19" s="1">
        <v>18</v>
      </c>
      <c r="B19" s="1" t="s">
        <v>360</v>
      </c>
      <c r="C19" s="1">
        <f>A3</f>
        <v>1</v>
      </c>
      <c r="D19" s="1">
        <v>2</v>
      </c>
      <c r="E19" s="1" t="s">
        <v>517</v>
      </c>
    </row>
    <row r="20" spans="1:6" x14ac:dyDescent="0.25">
      <c r="A20" s="1">
        <v>19</v>
      </c>
      <c r="B20" s="1" t="s">
        <v>360</v>
      </c>
      <c r="C20" s="1">
        <f>A19</f>
        <v>18</v>
      </c>
      <c r="D20" s="1">
        <v>3</v>
      </c>
      <c r="E20" s="1" t="s">
        <v>361</v>
      </c>
    </row>
    <row r="21" spans="1:6" x14ac:dyDescent="0.25">
      <c r="A21" s="1">
        <v>21</v>
      </c>
      <c r="B21" s="1" t="s">
        <v>516</v>
      </c>
      <c r="C21" s="1">
        <v>10</v>
      </c>
      <c r="D21" s="1">
        <v>2</v>
      </c>
      <c r="E21" s="1" t="s">
        <v>523</v>
      </c>
    </row>
    <row r="22" spans="1:6" x14ac:dyDescent="0.25">
      <c r="A22" s="1">
        <v>22</v>
      </c>
      <c r="B22" s="1" t="s">
        <v>516</v>
      </c>
      <c r="C22" s="1">
        <v>21</v>
      </c>
      <c r="D22" s="1">
        <v>3</v>
      </c>
      <c r="E22" s="1" t="s">
        <v>524</v>
      </c>
    </row>
    <row r="23" spans="1:6" x14ac:dyDescent="0.25">
      <c r="A23" s="1">
        <v>23</v>
      </c>
      <c r="B23" s="1" t="s">
        <v>722</v>
      </c>
      <c r="C23" s="1">
        <f>A3</f>
        <v>1</v>
      </c>
      <c r="D23" s="1">
        <v>2</v>
      </c>
      <c r="E23" s="1" t="s">
        <v>723</v>
      </c>
    </row>
    <row r="24" spans="1:6" x14ac:dyDescent="0.25">
      <c r="A24" s="1">
        <v>24</v>
      </c>
      <c r="B24" s="1" t="s">
        <v>722</v>
      </c>
      <c r="C24" s="1">
        <f>A23</f>
        <v>23</v>
      </c>
      <c r="D24" s="1">
        <v>3</v>
      </c>
      <c r="E24" s="1" t="s">
        <v>724</v>
      </c>
    </row>
    <row r="25" spans="1:6" x14ac:dyDescent="0.25">
      <c r="A25" s="1">
        <v>25</v>
      </c>
      <c r="B25" s="1" t="s">
        <v>799</v>
      </c>
      <c r="C25" s="1">
        <f>A3</f>
        <v>1</v>
      </c>
      <c r="D25" s="1">
        <v>2</v>
      </c>
      <c r="E25" s="1" t="s">
        <v>800</v>
      </c>
    </row>
    <row r="26" spans="1:6" x14ac:dyDescent="0.25">
      <c r="A26" s="1">
        <v>26</v>
      </c>
      <c r="B26" s="1" t="s">
        <v>799</v>
      </c>
      <c r="C26" s="1">
        <f>A25</f>
        <v>25</v>
      </c>
      <c r="D26" s="1">
        <v>3</v>
      </c>
      <c r="E26" s="1" t="s">
        <v>801</v>
      </c>
    </row>
    <row r="27" spans="1:6" x14ac:dyDescent="0.25">
      <c r="A27" s="1">
        <v>27</v>
      </c>
      <c r="B27" s="1" t="s">
        <v>802</v>
      </c>
      <c r="C27" s="1">
        <f>A3</f>
        <v>1</v>
      </c>
      <c r="D27" s="1">
        <v>2</v>
      </c>
      <c r="E27" s="1" t="s">
        <v>803</v>
      </c>
    </row>
    <row r="28" spans="1:6" x14ac:dyDescent="0.25">
      <c r="A28" s="1">
        <v>28</v>
      </c>
      <c r="B28" s="1" t="s">
        <v>802</v>
      </c>
      <c r="C28" s="1">
        <f>A27</f>
        <v>27</v>
      </c>
      <c r="D28" s="1">
        <v>3</v>
      </c>
      <c r="E28" s="1" t="s">
        <v>804</v>
      </c>
    </row>
    <row r="29" spans="1:6" x14ac:dyDescent="0.25">
      <c r="A29" s="1">
        <v>29</v>
      </c>
      <c r="B29" s="38" t="s">
        <v>725</v>
      </c>
      <c r="C29" s="38"/>
      <c r="D29" s="38">
        <v>1</v>
      </c>
      <c r="E29" s="38">
        <v>29</v>
      </c>
      <c r="F29" s="1">
        <v>1</v>
      </c>
    </row>
    <row r="30" spans="1:6" x14ac:dyDescent="0.25">
      <c r="A30" s="1">
        <v>30</v>
      </c>
      <c r="B30" s="1" t="s">
        <v>726</v>
      </c>
      <c r="C30" s="1">
        <f>A29</f>
        <v>29</v>
      </c>
      <c r="D30" s="1">
        <v>2</v>
      </c>
      <c r="E30" s="1" t="s">
        <v>1717</v>
      </c>
    </row>
    <row r="31" spans="1:6" x14ac:dyDescent="0.25">
      <c r="A31" s="1">
        <v>31</v>
      </c>
      <c r="B31" s="1" t="s">
        <v>726</v>
      </c>
      <c r="C31" s="1">
        <f>A30</f>
        <v>30</v>
      </c>
      <c r="D31" s="1">
        <v>3</v>
      </c>
      <c r="E31" s="1" t="s">
        <v>1718</v>
      </c>
    </row>
    <row r="32" spans="1:6" x14ac:dyDescent="0.25">
      <c r="A32" s="1">
        <v>32</v>
      </c>
      <c r="B32" s="38" t="s">
        <v>766</v>
      </c>
      <c r="C32" s="38"/>
      <c r="D32" s="38">
        <v>1</v>
      </c>
      <c r="E32" s="38">
        <v>32</v>
      </c>
      <c r="F32" s="1">
        <v>1</v>
      </c>
    </row>
    <row r="33" spans="1:6" x14ac:dyDescent="0.25">
      <c r="A33" s="1">
        <v>33</v>
      </c>
      <c r="B33" s="1" t="s">
        <v>767</v>
      </c>
      <c r="C33" s="1">
        <f>A32</f>
        <v>32</v>
      </c>
      <c r="D33" s="1">
        <v>2</v>
      </c>
      <c r="E33" s="1" t="s">
        <v>1713</v>
      </c>
    </row>
    <row r="34" spans="1:6" x14ac:dyDescent="0.25">
      <c r="A34" s="1">
        <v>34</v>
      </c>
      <c r="B34" s="1" t="s">
        <v>767</v>
      </c>
      <c r="C34" s="1">
        <f>A33</f>
        <v>33</v>
      </c>
      <c r="D34" s="1">
        <v>3</v>
      </c>
      <c r="E34" s="1" t="s">
        <v>1714</v>
      </c>
    </row>
    <row r="35" spans="1:6" x14ac:dyDescent="0.25">
      <c r="A35" s="1">
        <v>35</v>
      </c>
      <c r="B35" s="38" t="s">
        <v>768</v>
      </c>
      <c r="C35" s="38"/>
      <c r="D35" s="38">
        <v>1</v>
      </c>
      <c r="E35" s="38">
        <v>35</v>
      </c>
      <c r="F35" s="1">
        <v>1</v>
      </c>
    </row>
    <row r="36" spans="1:6" x14ac:dyDescent="0.25">
      <c r="A36" s="1">
        <v>36</v>
      </c>
      <c r="B36" s="1" t="s">
        <v>769</v>
      </c>
      <c r="C36" s="1">
        <f>A35</f>
        <v>35</v>
      </c>
      <c r="D36" s="1">
        <v>2</v>
      </c>
      <c r="E36" s="1" t="s">
        <v>1715</v>
      </c>
    </row>
    <row r="37" spans="1:6" x14ac:dyDescent="0.25">
      <c r="A37" s="1">
        <v>37</v>
      </c>
      <c r="B37" s="1" t="s">
        <v>769</v>
      </c>
      <c r="C37" s="1">
        <f>A36</f>
        <v>36</v>
      </c>
      <c r="D37" s="1">
        <v>3</v>
      </c>
      <c r="E37" s="1" t="s">
        <v>1716</v>
      </c>
    </row>
    <row r="38" spans="1:6" x14ac:dyDescent="0.25">
      <c r="A38" s="1">
        <v>38</v>
      </c>
      <c r="B38" s="42" t="s">
        <v>795</v>
      </c>
      <c r="C38" s="42"/>
      <c r="D38" s="42">
        <v>1</v>
      </c>
      <c r="E38" s="42">
        <v>38</v>
      </c>
      <c r="F38" s="1">
        <v>1</v>
      </c>
    </row>
    <row r="39" spans="1:6" x14ac:dyDescent="0.25">
      <c r="A39" s="1">
        <v>39</v>
      </c>
      <c r="B39" s="42" t="s">
        <v>796</v>
      </c>
      <c r="C39" s="42"/>
      <c r="D39" s="42">
        <v>1</v>
      </c>
      <c r="E39" s="42">
        <v>39</v>
      </c>
      <c r="F39" s="1">
        <v>1</v>
      </c>
    </row>
    <row r="40" spans="1:6" x14ac:dyDescent="0.25">
      <c r="A40" s="1">
        <v>40</v>
      </c>
      <c r="B40" s="1" t="s">
        <v>795</v>
      </c>
      <c r="C40" s="1">
        <f>A38</f>
        <v>38</v>
      </c>
      <c r="D40" s="1">
        <v>2</v>
      </c>
      <c r="E40" s="1" t="s">
        <v>1719</v>
      </c>
    </row>
    <row r="41" spans="1:6" x14ac:dyDescent="0.25">
      <c r="A41" s="1">
        <v>41</v>
      </c>
      <c r="B41" s="1" t="s">
        <v>795</v>
      </c>
      <c r="C41" s="1">
        <f>A40</f>
        <v>40</v>
      </c>
      <c r="D41" s="1">
        <v>3</v>
      </c>
      <c r="E41" s="1" t="s">
        <v>1720</v>
      </c>
    </row>
    <row r="42" spans="1:6" x14ac:dyDescent="0.25">
      <c r="A42" s="1">
        <v>42</v>
      </c>
      <c r="B42" s="1" t="s">
        <v>797</v>
      </c>
      <c r="C42" s="1">
        <f>A38</f>
        <v>38</v>
      </c>
      <c r="D42" s="1">
        <v>2</v>
      </c>
      <c r="E42" s="1" t="s">
        <v>1721</v>
      </c>
    </row>
    <row r="43" spans="1:6" x14ac:dyDescent="0.25">
      <c r="A43" s="1">
        <v>43</v>
      </c>
      <c r="B43" s="1" t="s">
        <v>797</v>
      </c>
      <c r="C43" s="1">
        <f>A42</f>
        <v>42</v>
      </c>
      <c r="D43" s="1">
        <v>3</v>
      </c>
      <c r="E43" s="1" t="s">
        <v>1722</v>
      </c>
    </row>
    <row r="44" spans="1:6" x14ac:dyDescent="0.25">
      <c r="A44" s="1">
        <v>44</v>
      </c>
      <c r="B44" s="1" t="s">
        <v>805</v>
      </c>
      <c r="C44" s="1">
        <f>A16</f>
        <v>15</v>
      </c>
      <c r="D44" s="1">
        <v>2</v>
      </c>
      <c r="E44" s="1" t="s">
        <v>806</v>
      </c>
    </row>
    <row r="45" spans="1:6" x14ac:dyDescent="0.25">
      <c r="A45" s="1">
        <v>45</v>
      </c>
      <c r="B45" s="1" t="s">
        <v>805</v>
      </c>
      <c r="C45" s="1">
        <f>A44</f>
        <v>44</v>
      </c>
      <c r="D45" s="1">
        <v>3</v>
      </c>
      <c r="E45" s="1" t="s">
        <v>808</v>
      </c>
    </row>
    <row r="46" spans="1:6" x14ac:dyDescent="0.25">
      <c r="A46" s="1">
        <v>46</v>
      </c>
      <c r="B46" s="1" t="s">
        <v>809</v>
      </c>
      <c r="C46" s="1">
        <f>A16</f>
        <v>15</v>
      </c>
      <c r="D46" s="1">
        <v>2</v>
      </c>
      <c r="E46" s="1" t="s">
        <v>807</v>
      </c>
    </row>
    <row r="47" spans="1:6" x14ac:dyDescent="0.25">
      <c r="A47" s="1">
        <v>47</v>
      </c>
      <c r="B47" s="1" t="s">
        <v>809</v>
      </c>
      <c r="C47" s="1">
        <f>A46</f>
        <v>46</v>
      </c>
      <c r="D47" s="1">
        <v>3</v>
      </c>
      <c r="E47" s="1" t="s">
        <v>810</v>
      </c>
    </row>
    <row r="48" spans="1:6" x14ac:dyDescent="0.25">
      <c r="A48" s="1">
        <v>48</v>
      </c>
      <c r="B48" s="1" t="s">
        <v>795</v>
      </c>
      <c r="C48" s="1">
        <f>A38</f>
        <v>38</v>
      </c>
      <c r="D48" s="1">
        <v>2</v>
      </c>
      <c r="E48" s="1" t="s">
        <v>811</v>
      </c>
    </row>
    <row r="49" spans="1:5" x14ac:dyDescent="0.25">
      <c r="A49" s="1">
        <v>49</v>
      </c>
      <c r="B49" s="1" t="s">
        <v>795</v>
      </c>
      <c r="C49" s="1">
        <f>A48</f>
        <v>48</v>
      </c>
      <c r="D49" s="1">
        <v>3</v>
      </c>
      <c r="E49" s="1" t="s">
        <v>812</v>
      </c>
    </row>
    <row r="50" spans="1:5" x14ac:dyDescent="0.25">
      <c r="A50" s="1">
        <v>50</v>
      </c>
      <c r="B50" s="1" t="s">
        <v>797</v>
      </c>
      <c r="C50" s="1">
        <f>A38</f>
        <v>38</v>
      </c>
      <c r="D50" s="1">
        <v>2</v>
      </c>
      <c r="E50" s="1" t="s">
        <v>813</v>
      </c>
    </row>
    <row r="51" spans="1:5" x14ac:dyDescent="0.25">
      <c r="A51" s="1">
        <v>51</v>
      </c>
      <c r="B51" s="1" t="s">
        <v>797</v>
      </c>
      <c r="C51" s="1">
        <f>A50</f>
        <v>50</v>
      </c>
      <c r="D51" s="1">
        <v>3</v>
      </c>
      <c r="E51" s="1" t="s">
        <v>814</v>
      </c>
    </row>
    <row r="52" spans="1:5" x14ac:dyDescent="0.25">
      <c r="A52" s="1">
        <v>52</v>
      </c>
      <c r="B52" s="1" t="s">
        <v>1712</v>
      </c>
      <c r="C52" s="1">
        <f>A8</f>
        <v>7</v>
      </c>
      <c r="D52" s="1">
        <v>2</v>
      </c>
      <c r="E52" s="1" t="s">
        <v>815</v>
      </c>
    </row>
    <row r="53" spans="1:5" x14ac:dyDescent="0.25">
      <c r="A53" s="1">
        <v>53</v>
      </c>
      <c r="B53" s="1" t="s">
        <v>1712</v>
      </c>
      <c r="C53" s="1">
        <f>A52</f>
        <v>52</v>
      </c>
      <c r="D53" s="1">
        <v>3</v>
      </c>
      <c r="E53" s="1" t="s">
        <v>816</v>
      </c>
    </row>
    <row r="54" spans="1:5" x14ac:dyDescent="0.25">
      <c r="A54" s="1">
        <v>54</v>
      </c>
      <c r="B54" s="1" t="s">
        <v>516</v>
      </c>
      <c r="C54" s="1">
        <f>A11</f>
        <v>10</v>
      </c>
      <c r="D54" s="1">
        <v>2</v>
      </c>
      <c r="E54" s="1" t="s">
        <v>817</v>
      </c>
    </row>
    <row r="55" spans="1:5" x14ac:dyDescent="0.25">
      <c r="A55" s="1">
        <v>55</v>
      </c>
      <c r="B55" s="1" t="s">
        <v>516</v>
      </c>
      <c r="C55" s="1">
        <f>A54</f>
        <v>54</v>
      </c>
      <c r="D55" s="1">
        <v>3</v>
      </c>
      <c r="E55" s="1" t="s">
        <v>818</v>
      </c>
    </row>
    <row r="56" spans="1:5" x14ac:dyDescent="0.25">
      <c r="A56" s="1">
        <v>56</v>
      </c>
      <c r="B56" s="1" t="s">
        <v>819</v>
      </c>
      <c r="C56" s="1">
        <f>A29</f>
        <v>29</v>
      </c>
      <c r="D56" s="1">
        <v>2</v>
      </c>
      <c r="E56" s="1" t="s">
        <v>820</v>
      </c>
    </row>
    <row r="57" spans="1:5" x14ac:dyDescent="0.25">
      <c r="A57" s="1">
        <v>57</v>
      </c>
      <c r="B57" s="1" t="s">
        <v>819</v>
      </c>
      <c r="C57" s="1">
        <f>A56</f>
        <v>56</v>
      </c>
      <c r="D57" s="1">
        <v>3</v>
      </c>
      <c r="E57" s="1" t="s">
        <v>821</v>
      </c>
    </row>
    <row r="58" spans="1:5" x14ac:dyDescent="0.25">
      <c r="A58" s="1">
        <v>58</v>
      </c>
      <c r="B58" s="1" t="s">
        <v>822</v>
      </c>
      <c r="C58" s="1">
        <f>A3</f>
        <v>1</v>
      </c>
      <c r="D58" s="1">
        <v>2</v>
      </c>
      <c r="E58" s="1" t="s">
        <v>823</v>
      </c>
    </row>
    <row r="59" spans="1:5" x14ac:dyDescent="0.25">
      <c r="A59" s="1">
        <v>59</v>
      </c>
      <c r="B59" s="1" t="s">
        <v>822</v>
      </c>
      <c r="C59" s="1">
        <f>A58</f>
        <v>58</v>
      </c>
      <c r="D59" s="1">
        <v>3</v>
      </c>
      <c r="E59" s="1" t="s">
        <v>824</v>
      </c>
    </row>
    <row r="60" spans="1:5" x14ac:dyDescent="0.25">
      <c r="A60" s="1">
        <v>60</v>
      </c>
    </row>
    <row r="61" spans="1:5" x14ac:dyDescent="0.25">
      <c r="A61" s="1">
        <v>61</v>
      </c>
    </row>
    <row r="62" spans="1:5" x14ac:dyDescent="0.25">
      <c r="A62" s="1">
        <v>62</v>
      </c>
    </row>
    <row r="63" spans="1:5" x14ac:dyDescent="0.25">
      <c r="A63" s="1">
        <v>63</v>
      </c>
    </row>
    <row r="66" spans="1:3" x14ac:dyDescent="0.25">
      <c r="A66" s="39"/>
      <c r="B66" s="39"/>
    </row>
    <row r="67" spans="1:3" x14ac:dyDescent="0.25">
      <c r="B67" s="39" t="s">
        <v>927</v>
      </c>
      <c r="C67" s="39" t="s">
        <v>1081</v>
      </c>
    </row>
    <row r="68" spans="1:3" x14ac:dyDescent="0.25">
      <c r="B68" s="39"/>
      <c r="C68" s="39" t="s">
        <v>1080</v>
      </c>
    </row>
    <row r="69" spans="1:3" x14ac:dyDescent="0.25">
      <c r="B69" s="39"/>
      <c r="C69" s="39"/>
    </row>
    <row r="70" spans="1:3" x14ac:dyDescent="0.25">
      <c r="B70" s="39"/>
      <c r="C70" s="39"/>
    </row>
    <row r="71" spans="1:3" x14ac:dyDescent="0.25">
      <c r="B71" s="39" t="s">
        <v>932</v>
      </c>
      <c r="C71" s="39" t="s">
        <v>1084</v>
      </c>
    </row>
    <row r="72" spans="1:3" x14ac:dyDescent="0.25">
      <c r="B72" s="39"/>
      <c r="C72" s="39"/>
    </row>
    <row r="73" spans="1:3" x14ac:dyDescent="0.25">
      <c r="B73" s="39"/>
      <c r="C73" s="39"/>
    </row>
    <row r="74" spans="1:3" x14ac:dyDescent="0.25">
      <c r="B74" s="39"/>
      <c r="C74" s="39"/>
    </row>
    <row r="75" spans="1:3" x14ac:dyDescent="0.25">
      <c r="B75" s="39"/>
      <c r="C75" s="39"/>
    </row>
    <row r="76" spans="1:3" x14ac:dyDescent="0.25">
      <c r="B76" s="39"/>
      <c r="C76" s="39"/>
    </row>
  </sheetData>
  <autoFilter ref="A2:G2" xr:uid="{1CDA00A7-E439-45B0-8C9A-1AE16F6CC654}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>
    <tabColor rgb="FF00B050"/>
  </sheetPr>
  <dimension ref="A1:B4"/>
  <sheetViews>
    <sheetView zoomScale="85" zoomScaleNormal="85" workbookViewId="0">
      <selection activeCell="A2" sqref="A2"/>
    </sheetView>
  </sheetViews>
  <sheetFormatPr defaultColWidth="9" defaultRowHeight="15" x14ac:dyDescent="0.25"/>
  <cols>
    <col min="1" max="1" width="21.42578125" style="1" bestFit="1" customWidth="1"/>
    <col min="2" max="2" width="17.7109375" style="1" bestFit="1" customWidth="1"/>
    <col min="3" max="16384" width="9" style="1"/>
  </cols>
  <sheetData>
    <row r="1" spans="1:2" x14ac:dyDescent="0.25">
      <c r="A1" s="1" t="s">
        <v>901</v>
      </c>
      <c r="B1" s="1" t="s">
        <v>902</v>
      </c>
    </row>
    <row r="2" spans="1:2" x14ac:dyDescent="0.25">
      <c r="A2" s="1">
        <v>0</v>
      </c>
      <c r="B2" s="1" t="s">
        <v>903</v>
      </c>
    </row>
    <row r="3" spans="1:2" x14ac:dyDescent="0.25">
      <c r="A3" s="1">
        <v>1</v>
      </c>
      <c r="B3" s="1" t="s">
        <v>904</v>
      </c>
    </row>
    <row r="4" spans="1:2" x14ac:dyDescent="0.25">
      <c r="A4" s="1">
        <v>2</v>
      </c>
      <c r="B4" s="1" t="s">
        <v>905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F3"/>
  <sheetViews>
    <sheetView workbookViewId="0">
      <selection activeCell="C1" sqref="C1"/>
    </sheetView>
  </sheetViews>
  <sheetFormatPr defaultColWidth="9.140625" defaultRowHeight="15" x14ac:dyDescent="0.25"/>
  <cols>
    <col min="1" max="1" width="12.42578125" style="1" bestFit="1" customWidth="1"/>
    <col min="2" max="2" width="8.85546875" style="1" bestFit="1" customWidth="1"/>
    <col min="3" max="3" width="20.42578125" style="1" bestFit="1" customWidth="1"/>
    <col min="4" max="4" width="33.42578125" style="1" bestFit="1" customWidth="1"/>
    <col min="5" max="5" width="14" style="1" bestFit="1" customWidth="1"/>
    <col min="6" max="6" width="13.85546875" style="1" bestFit="1" customWidth="1"/>
    <col min="7" max="16384" width="9.140625" style="1"/>
  </cols>
  <sheetData>
    <row r="1" spans="1:6" x14ac:dyDescent="0.25">
      <c r="A1" s="1" t="s">
        <v>682</v>
      </c>
      <c r="B1" s="1" t="s">
        <v>24</v>
      </c>
      <c r="C1" s="1" t="s">
        <v>25</v>
      </c>
      <c r="D1" s="1" t="s">
        <v>364</v>
      </c>
      <c r="E1" s="1" t="s">
        <v>365</v>
      </c>
      <c r="F1" s="1" t="s">
        <v>368</v>
      </c>
    </row>
    <row r="2" spans="1:6" x14ac:dyDescent="0.25">
      <c r="A2" s="1">
        <v>1</v>
      </c>
      <c r="B2" s="1">
        <f>lokasi!A3</f>
        <v>1</v>
      </c>
      <c r="C2" s="1" t="str">
        <f>lokasi!B3</f>
        <v>cempaka putih</v>
      </c>
      <c r="D2" s="1" t="str">
        <f>lokasi!G3</f>
        <v>komplek cempaka putih indah no 38</v>
      </c>
      <c r="E2" s="1" t="str">
        <f>lokasi!H3</f>
        <v>jakarta pusat</v>
      </c>
      <c r="F2" s="1" t="e">
        <f>lokasi!#REF!</f>
        <v>#REF!</v>
      </c>
    </row>
    <row r="3" spans="1:6" x14ac:dyDescent="0.25">
      <c r="A3" s="1">
        <v>2</v>
      </c>
      <c r="B3" s="1">
        <f>lokasi!A4</f>
        <v>2</v>
      </c>
      <c r="C3" s="1" t="str">
        <f>lokasi!B4</f>
        <v>komplek timah</v>
      </c>
      <c r="D3" s="1" t="str">
        <f>lokasi!G4</f>
        <v>komplek ex timah no. 14</v>
      </c>
      <c r="E3" s="1" t="str">
        <f>lokasi!H4</f>
        <v>jakarta selatan</v>
      </c>
      <c r="F3" s="1" t="e">
        <f>lokasi!#REF!</f>
        <v>#REF!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M25"/>
  <sheetViews>
    <sheetView zoomScale="145" zoomScaleNormal="145" workbookViewId="0">
      <selection activeCell="A3" sqref="A3"/>
    </sheetView>
  </sheetViews>
  <sheetFormatPr defaultColWidth="9.140625" defaultRowHeight="15" x14ac:dyDescent="0.25"/>
  <cols>
    <col min="1" max="1" width="19.7109375" style="1" customWidth="1"/>
    <col min="2" max="2" width="20.42578125" style="1" bestFit="1" customWidth="1"/>
    <col min="3" max="3" width="15.42578125" style="1" bestFit="1" customWidth="1"/>
    <col min="4" max="4" width="29.42578125" style="1" bestFit="1" customWidth="1"/>
    <col min="5" max="5" width="9.7109375" style="1" bestFit="1" customWidth="1"/>
    <col min="6" max="6" width="12.85546875" style="1" bestFit="1" customWidth="1"/>
    <col min="7" max="7" width="33.42578125" style="1" bestFit="1" customWidth="1"/>
    <col min="8" max="8" width="14" style="1" bestFit="1" customWidth="1"/>
    <col min="9" max="9" width="14.85546875" style="1" bestFit="1" customWidth="1"/>
    <col min="10" max="10" width="16.7109375" style="1" bestFit="1" customWidth="1"/>
    <col min="11" max="11" width="20" style="1" bestFit="1" customWidth="1"/>
    <col min="12" max="12" width="16.85546875" style="1" bestFit="1" customWidth="1"/>
    <col min="13" max="13" width="19.85546875" style="1" bestFit="1" customWidth="1"/>
    <col min="14" max="16384" width="9.140625" style="1"/>
  </cols>
  <sheetData>
    <row r="1" spans="1:13" x14ac:dyDescent="0.25">
      <c r="A1" s="1" t="s">
        <v>1348</v>
      </c>
      <c r="B1" s="1" t="s">
        <v>1331</v>
      </c>
      <c r="C1" s="1" t="s">
        <v>1332</v>
      </c>
      <c r="D1" s="1" t="s">
        <v>20</v>
      </c>
      <c r="E1" s="291" t="s">
        <v>1340</v>
      </c>
      <c r="F1" s="291"/>
      <c r="G1" s="1" t="s">
        <v>1333</v>
      </c>
      <c r="H1" s="1" t="s">
        <v>1335</v>
      </c>
      <c r="I1" s="1" t="s">
        <v>1336</v>
      </c>
      <c r="J1" s="1" t="s">
        <v>1337</v>
      </c>
      <c r="K1" s="1" t="s">
        <v>1338</v>
      </c>
      <c r="L1" s="1" t="s">
        <v>1278</v>
      </c>
      <c r="M1" s="1" t="s">
        <v>1343</v>
      </c>
    </row>
    <row r="2" spans="1:13" x14ac:dyDescent="0.25">
      <c r="A2" s="1" t="s">
        <v>24</v>
      </c>
      <c r="B2" s="1" t="s">
        <v>25</v>
      </c>
      <c r="C2" s="1" t="s">
        <v>362</v>
      </c>
      <c r="D2" s="1" t="s">
        <v>363</v>
      </c>
      <c r="E2" s="1" t="s">
        <v>1066</v>
      </c>
      <c r="F2" s="1" t="s">
        <v>1334</v>
      </c>
      <c r="G2" s="1" t="s">
        <v>364</v>
      </c>
      <c r="H2" s="1" t="s">
        <v>365</v>
      </c>
      <c r="I2" s="1" t="s">
        <v>367</v>
      </c>
      <c r="J2" s="1" t="s">
        <v>366</v>
      </c>
      <c r="K2" s="1" t="s">
        <v>369</v>
      </c>
      <c r="L2" s="1" t="s">
        <v>1341</v>
      </c>
      <c r="M2" s="1" t="s">
        <v>1342</v>
      </c>
    </row>
    <row r="3" spans="1:13" ht="17.25" x14ac:dyDescent="0.25">
      <c r="A3" s="1">
        <v>1</v>
      </c>
      <c r="B3" s="1" t="s">
        <v>370</v>
      </c>
      <c r="C3" s="1">
        <v>214245265</v>
      </c>
      <c r="D3" s="4" t="s">
        <v>371</v>
      </c>
      <c r="E3" s="4"/>
      <c r="F3" s="4"/>
      <c r="G3" s="1" t="s">
        <v>372</v>
      </c>
      <c r="H3" s="1" t="s">
        <v>373</v>
      </c>
      <c r="I3" s="1" t="s">
        <v>374</v>
      </c>
      <c r="J3" s="1">
        <v>10520</v>
      </c>
      <c r="K3" s="1" t="s">
        <v>1339</v>
      </c>
    </row>
    <row r="4" spans="1:13" ht="17.25" x14ac:dyDescent="0.25">
      <c r="A4" s="1">
        <v>2</v>
      </c>
      <c r="B4" s="1" t="s">
        <v>375</v>
      </c>
      <c r="C4" s="1">
        <v>2183795108</v>
      </c>
      <c r="D4" s="4" t="s">
        <v>376</v>
      </c>
      <c r="E4" s="4"/>
      <c r="F4" s="4"/>
      <c r="G4" s="1" t="s">
        <v>377</v>
      </c>
      <c r="H4" s="1" t="s">
        <v>213</v>
      </c>
      <c r="I4" s="1" t="s">
        <v>374</v>
      </c>
      <c r="J4" s="1">
        <v>12820</v>
      </c>
    </row>
    <row r="18" spans="1:2" x14ac:dyDescent="0.25">
      <c r="A18" s="40" t="s">
        <v>1346</v>
      </c>
      <c r="B18" s="40" t="s">
        <v>669</v>
      </c>
    </row>
    <row r="19" spans="1:2" x14ac:dyDescent="0.25">
      <c r="A19" s="40"/>
      <c r="B19" s="40"/>
    </row>
    <row r="20" spans="1:2" x14ac:dyDescent="0.25">
      <c r="A20" s="40" t="s">
        <v>932</v>
      </c>
      <c r="B20" s="40"/>
    </row>
    <row r="21" spans="1:2" x14ac:dyDescent="0.25">
      <c r="A21" s="40"/>
      <c r="B21" s="40"/>
    </row>
    <row r="22" spans="1:2" x14ac:dyDescent="0.25">
      <c r="A22" s="40" t="s">
        <v>1347</v>
      </c>
      <c r="B22" s="40"/>
    </row>
    <row r="23" spans="1:2" x14ac:dyDescent="0.25">
      <c r="A23" s="40"/>
      <c r="B23" s="40"/>
    </row>
    <row r="24" spans="1:2" x14ac:dyDescent="0.25">
      <c r="A24" s="40"/>
      <c r="B24" s="40"/>
    </row>
    <row r="25" spans="1:2" x14ac:dyDescent="0.25">
      <c r="A25" s="40"/>
      <c r="B25" s="40"/>
    </row>
  </sheetData>
  <mergeCells count="1">
    <mergeCell ref="E1:F1"/>
  </mergeCells>
  <hyperlinks>
    <hyperlink ref="D3" r:id="rId1" xr:uid="{00000000-0004-0000-B400-000000000000}"/>
    <hyperlink ref="D4" r:id="rId2" xr:uid="{00000000-0004-0000-B400-000001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W34"/>
  <sheetViews>
    <sheetView topLeftCell="A7" zoomScale="85" zoomScaleNormal="85" workbookViewId="0">
      <selection activeCell="C24" sqref="C24"/>
    </sheetView>
  </sheetViews>
  <sheetFormatPr defaultColWidth="9.140625" defaultRowHeight="15" x14ac:dyDescent="0.25"/>
  <cols>
    <col min="1" max="1" width="70.140625" style="148" bestFit="1" customWidth="1"/>
    <col min="2" max="2" width="20" style="148" bestFit="1" customWidth="1"/>
    <col min="3" max="3" width="15.85546875" style="168" bestFit="1" customWidth="1"/>
    <col min="4" max="4" width="22.85546875" style="168" bestFit="1" customWidth="1"/>
    <col min="5" max="5" width="9.42578125" style="148" bestFit="1" customWidth="1"/>
    <col min="6" max="6" width="15.28515625" style="148" bestFit="1" customWidth="1"/>
    <col min="7" max="7" width="15.7109375" style="148" bestFit="1" customWidth="1"/>
    <col min="8" max="8" width="10.7109375" style="148" bestFit="1" customWidth="1"/>
    <col min="9" max="9" width="20.28515625" style="148" bestFit="1" customWidth="1"/>
    <col min="10" max="10" width="22.42578125" style="148" bestFit="1" customWidth="1"/>
    <col min="11" max="11" width="14.42578125" style="148" bestFit="1" customWidth="1"/>
    <col min="12" max="12" width="7.42578125" style="148" bestFit="1" customWidth="1"/>
    <col min="13" max="14" width="7.140625" style="148" bestFit="1" customWidth="1"/>
    <col min="15" max="15" width="11.42578125" style="148" bestFit="1" customWidth="1"/>
    <col min="16" max="16" width="13.85546875" style="167" bestFit="1" customWidth="1"/>
    <col min="17" max="17" width="13.85546875" style="148" bestFit="1" customWidth="1"/>
    <col min="18" max="18" width="13.85546875" style="167" bestFit="1" customWidth="1"/>
    <col min="19" max="19" width="15.85546875" style="148" bestFit="1" customWidth="1"/>
    <col min="20" max="20" width="15" style="167" bestFit="1" customWidth="1"/>
    <col min="21" max="21" width="9.28515625" style="148" bestFit="1" customWidth="1"/>
    <col min="22" max="22" width="6.42578125" style="148" bestFit="1" customWidth="1"/>
    <col min="23" max="23" width="18.7109375" style="213" bestFit="1" customWidth="1"/>
    <col min="24" max="16384" width="9.140625" style="148"/>
  </cols>
  <sheetData>
    <row r="1" spans="1:23" x14ac:dyDescent="0.25">
      <c r="A1" s="148" t="s">
        <v>504</v>
      </c>
      <c r="B1" s="148" t="s">
        <v>1685</v>
      </c>
      <c r="C1" s="168" t="s">
        <v>1194</v>
      </c>
      <c r="D1" s="168" t="s">
        <v>1195</v>
      </c>
      <c r="E1" s="148" t="s">
        <v>24</v>
      </c>
      <c r="F1" s="148" t="s">
        <v>501</v>
      </c>
      <c r="G1" s="148" t="s">
        <v>26</v>
      </c>
      <c r="H1" s="148" t="s">
        <v>78</v>
      </c>
      <c r="I1" s="148" t="s">
        <v>88</v>
      </c>
      <c r="J1" s="148" t="s">
        <v>471</v>
      </c>
      <c r="K1" s="148" t="s">
        <v>507</v>
      </c>
      <c r="L1" s="148" t="s">
        <v>510</v>
      </c>
      <c r="M1" s="148" t="s">
        <v>511</v>
      </c>
      <c r="N1" s="148" t="s">
        <v>512</v>
      </c>
      <c r="O1" s="148" t="s">
        <v>1549</v>
      </c>
      <c r="P1" s="167" t="s">
        <v>420</v>
      </c>
      <c r="Q1" s="148" t="s">
        <v>472</v>
      </c>
      <c r="R1" s="167" t="s">
        <v>81</v>
      </c>
      <c r="S1" s="148" t="s">
        <v>1577</v>
      </c>
      <c r="T1" s="167" t="s">
        <v>1578</v>
      </c>
      <c r="U1" s="148" t="s">
        <v>82</v>
      </c>
      <c r="V1" s="148" t="s">
        <v>469</v>
      </c>
      <c r="W1" s="213" t="s">
        <v>536</v>
      </c>
    </row>
    <row r="2" spans="1:23" x14ac:dyDescent="0.25">
      <c r="A2" s="148">
        <v>1</v>
      </c>
      <c r="B2" s="148" t="str">
        <f>'order produk beli'!B5</f>
        <v>26.1</v>
      </c>
      <c r="C2" s="168">
        <f>'order produk beli'!D5</f>
        <v>43255</v>
      </c>
      <c r="E2" s="148">
        <f>'order produk beli'!E5</f>
        <v>1</v>
      </c>
      <c r="F2" s="148" t="str">
        <f>lokasi!B3</f>
        <v>cempaka putih</v>
      </c>
      <c r="H2" s="148">
        <f>'order produk beli'!G5</f>
        <v>1</v>
      </c>
      <c r="I2" s="148" t="str">
        <f>produk!F3</f>
        <v>sin-iphone6-16Gb</v>
      </c>
      <c r="J2" s="148" t="str">
        <f>produk!I3</f>
        <v>iphone6-16gb-putih</v>
      </c>
      <c r="K2" s="148" t="str">
        <f>produk!S3</f>
        <v>unit</v>
      </c>
      <c r="L2" s="148">
        <f>'order produk beli'!N5</f>
        <v>25</v>
      </c>
      <c r="O2" s="148">
        <f t="shared" ref="O2:O10" si="0">L2-M2-N2</f>
        <v>25</v>
      </c>
      <c r="P2" s="167">
        <f>'order produk beli'!M5</f>
        <v>2000000</v>
      </c>
      <c r="S2" s="167">
        <f>L2*P2</f>
        <v>50000000</v>
      </c>
      <c r="T2" s="167">
        <f>N2*R2</f>
        <v>0</v>
      </c>
      <c r="U2" s="148">
        <f>'order produk beli'!Q5</f>
        <v>1</v>
      </c>
      <c r="V2" s="148" t="str">
        <f>produk!AP3</f>
        <v>PPn</v>
      </c>
      <c r="W2" s="213">
        <f>produk!AQ3</f>
        <v>0.1</v>
      </c>
    </row>
    <row r="3" spans="1:23" x14ac:dyDescent="0.25">
      <c r="A3" s="148">
        <v>2</v>
      </c>
      <c r="B3" s="148" t="str">
        <f>'order produk beli'!B7</f>
        <v>26.2</v>
      </c>
      <c r="C3" s="168">
        <f>'order produk beli'!D7</f>
        <v>43256</v>
      </c>
      <c r="E3" s="148">
        <f>'order produk beli'!E7</f>
        <v>1</v>
      </c>
      <c r="F3" s="148" t="str">
        <f>lokasi!B3</f>
        <v>cempaka putih</v>
      </c>
      <c r="H3" s="148">
        <f>'order produk beli'!G7</f>
        <v>3</v>
      </c>
      <c r="I3" s="148" t="str">
        <f>produk!F5</f>
        <v>sin-csg-iphone</v>
      </c>
      <c r="J3" s="148" t="str">
        <f>produk!I5</f>
        <v>hardcase-iphone6</v>
      </c>
      <c r="K3" s="148" t="str">
        <f>produk!S5</f>
        <v>piece</v>
      </c>
      <c r="L3" s="148">
        <f>'order produk beli'!N7</f>
        <v>50</v>
      </c>
      <c r="O3" s="148">
        <f t="shared" si="0"/>
        <v>50</v>
      </c>
      <c r="P3" s="167">
        <f>'order produk beli'!M7</f>
        <v>60000</v>
      </c>
      <c r="S3" s="167">
        <f>L3*P3</f>
        <v>3000000</v>
      </c>
      <c r="T3" s="167">
        <f>N3*R3</f>
        <v>0</v>
      </c>
      <c r="U3" s="148">
        <f>'order produk beli'!Q7</f>
        <v>1</v>
      </c>
      <c r="V3" s="148" t="str">
        <f>produk!AP5</f>
        <v>PPn</v>
      </c>
      <c r="W3" s="213">
        <f>produk!AQ5</f>
        <v>0.1</v>
      </c>
    </row>
    <row r="4" spans="1:23" x14ac:dyDescent="0.25">
      <c r="A4" s="148">
        <v>3</v>
      </c>
      <c r="B4" s="148" t="str">
        <f>'order produk beli'!B9</f>
        <v>8.2</v>
      </c>
      <c r="C4" s="168">
        <f>'order produk beli'!D9</f>
        <v>43257</v>
      </c>
      <c r="E4" s="148">
        <f>'order produk beli'!E9</f>
        <v>2</v>
      </c>
      <c r="F4" s="148" t="str">
        <f>lokasi!B4</f>
        <v>komplek timah</v>
      </c>
      <c r="H4" s="148">
        <f>'order produk beli'!G9</f>
        <v>3</v>
      </c>
      <c r="I4" s="148" t="str">
        <f>produk!F5</f>
        <v>sin-csg-iphone</v>
      </c>
      <c r="J4" s="148" t="str">
        <f>produk!I5</f>
        <v>hardcase-iphone6</v>
      </c>
      <c r="K4" s="148" t="str">
        <f>produk!S5</f>
        <v>piece</v>
      </c>
      <c r="L4" s="148">
        <f>'order produk beli'!N9</f>
        <v>100</v>
      </c>
      <c r="O4" s="148">
        <f t="shared" si="0"/>
        <v>100</v>
      </c>
      <c r="P4" s="167">
        <f>'order produk beli'!M9</f>
        <v>50000</v>
      </c>
      <c r="S4" s="167">
        <f t="shared" ref="S4:S5" si="1">L4*P4</f>
        <v>5000000</v>
      </c>
      <c r="T4" s="167">
        <f t="shared" ref="T4:T14" si="2">N4*R4</f>
        <v>0</v>
      </c>
      <c r="U4" s="148">
        <f>'order produk beli'!Q9</f>
        <v>1</v>
      </c>
      <c r="V4" s="148" t="str">
        <f>produk!AP5</f>
        <v>PPn</v>
      </c>
      <c r="W4" s="213">
        <f>produk!AQ5</f>
        <v>0.1</v>
      </c>
    </row>
    <row r="5" spans="1:23" x14ac:dyDescent="0.25">
      <c r="A5" s="148">
        <v>4</v>
      </c>
      <c r="B5" s="148" t="str">
        <f>'order produk beli'!B10</f>
        <v>8.3</v>
      </c>
      <c r="C5" s="168">
        <f>'order produk beli'!D10</f>
        <v>43257</v>
      </c>
      <c r="E5" s="148">
        <f>'order produk beli'!E10</f>
        <v>1</v>
      </c>
      <c r="F5" s="148" t="str">
        <f>lokasi!B3</f>
        <v>cempaka putih</v>
      </c>
      <c r="H5" s="148">
        <f>'order produk beli'!G10</f>
        <v>1</v>
      </c>
      <c r="I5" s="148" t="str">
        <f>produk!F3</f>
        <v>sin-iphone6-16Gb</v>
      </c>
      <c r="J5" s="148" t="str">
        <f>produk!I3</f>
        <v>iphone6-16gb-putih</v>
      </c>
      <c r="K5" s="148" t="str">
        <f>produk!S3</f>
        <v>unit</v>
      </c>
      <c r="L5" s="148">
        <f>'order produk beli'!N10</f>
        <v>25</v>
      </c>
      <c r="O5" s="148">
        <f t="shared" si="0"/>
        <v>25</v>
      </c>
      <c r="P5" s="167">
        <f>'order produk beli'!M10</f>
        <v>2500000</v>
      </c>
      <c r="S5" s="167">
        <f t="shared" si="1"/>
        <v>62500000</v>
      </c>
      <c r="T5" s="167">
        <f t="shared" si="2"/>
        <v>0</v>
      </c>
      <c r="U5" s="148">
        <f>'order produk beli'!Q10</f>
        <v>1</v>
      </c>
      <c r="V5" s="148" t="str">
        <f>produk!AP3</f>
        <v>PPn</v>
      </c>
      <c r="W5" s="213">
        <f>produk!AQ3</f>
        <v>0.1</v>
      </c>
    </row>
    <row r="6" spans="1:23" x14ac:dyDescent="0.25">
      <c r="A6" s="148">
        <v>5</v>
      </c>
      <c r="B6" s="148" t="str">
        <f>'order produk jual'!B2</f>
        <v>7.1</v>
      </c>
      <c r="C6" s="168">
        <f>C4</f>
        <v>43257</v>
      </c>
      <c r="D6" s="168">
        <f>'order produk jual'!D2</f>
        <v>43259</v>
      </c>
      <c r="E6" s="148">
        <f>'order produk jual'!E2</f>
        <v>2</v>
      </c>
      <c r="F6" s="148" t="str">
        <f>lokasi!B4</f>
        <v>komplek timah</v>
      </c>
      <c r="H6" s="148">
        <f>'order produk jual'!G2</f>
        <v>3</v>
      </c>
      <c r="I6" s="148" t="str">
        <f>produk!F5</f>
        <v>sin-csg-iphone</v>
      </c>
      <c r="J6" s="148" t="str">
        <f>produk!I5</f>
        <v>hardcase-iphone6</v>
      </c>
      <c r="K6" s="148" t="str">
        <f>produk!S5</f>
        <v>piece</v>
      </c>
      <c r="L6" s="148">
        <f>L4</f>
        <v>100</v>
      </c>
      <c r="N6" s="148">
        <v>5</v>
      </c>
      <c r="O6" s="148">
        <f>L6-M6-N6</f>
        <v>95</v>
      </c>
      <c r="P6" s="167">
        <f>P4</f>
        <v>50000</v>
      </c>
      <c r="Q6" s="167">
        <f>SUM(O4*P4)/O4</f>
        <v>50000</v>
      </c>
      <c r="R6" s="167">
        <f>'order produk jual'!M4</f>
        <v>3000000</v>
      </c>
      <c r="S6" s="167">
        <f>N6*P6</f>
        <v>250000</v>
      </c>
      <c r="T6" s="167">
        <f>N6*R6</f>
        <v>15000000</v>
      </c>
      <c r="U6" s="148">
        <f>'order produk jual'!R2</f>
        <v>1</v>
      </c>
      <c r="V6" s="148" t="str">
        <f>produk!AP5</f>
        <v>PPn</v>
      </c>
      <c r="W6" s="213">
        <f>produk!AQ5</f>
        <v>0.1</v>
      </c>
    </row>
    <row r="7" spans="1:23" x14ac:dyDescent="0.25">
      <c r="A7" s="148">
        <v>6</v>
      </c>
      <c r="B7" s="148" t="str">
        <f>'order produk jual'!B3</f>
        <v>7.2</v>
      </c>
      <c r="C7" s="168">
        <f>C2</f>
        <v>43255</v>
      </c>
      <c r="D7" s="168">
        <f>'order produk jual'!D3</f>
        <v>43258</v>
      </c>
      <c r="E7" s="148">
        <f>'order produk jual'!E3</f>
        <v>1</v>
      </c>
      <c r="F7" s="148" t="str">
        <f>lokasi!B3</f>
        <v>cempaka putih</v>
      </c>
      <c r="H7" s="148">
        <f>'order produk jual'!G3</f>
        <v>1</v>
      </c>
      <c r="I7" s="148" t="str">
        <f>produk!F3</f>
        <v>sin-iphone6-16Gb</v>
      </c>
      <c r="J7" s="148" t="str">
        <f>produk!I3</f>
        <v>iphone6-16gb-putih</v>
      </c>
      <c r="K7" s="148" t="str">
        <f>produk!S3</f>
        <v>unit</v>
      </c>
      <c r="L7" s="148">
        <f>L2</f>
        <v>25</v>
      </c>
      <c r="N7" s="148">
        <v>25</v>
      </c>
      <c r="O7" s="148">
        <f t="shared" si="0"/>
        <v>0</v>
      </c>
      <c r="P7" s="167">
        <f>P2</f>
        <v>2000000</v>
      </c>
      <c r="Q7" s="167">
        <f>SUM(O2*P2)/O2</f>
        <v>2000000</v>
      </c>
      <c r="R7" s="167">
        <f>'order produk jual'!M3</f>
        <v>3000000</v>
      </c>
      <c r="S7" s="167">
        <f>N7*P7</f>
        <v>50000000</v>
      </c>
      <c r="T7" s="167">
        <f t="shared" si="2"/>
        <v>75000000</v>
      </c>
      <c r="U7" s="148">
        <f>'order produk jual'!R3</f>
        <v>1</v>
      </c>
      <c r="V7" s="148" t="str">
        <f>produk!AP3</f>
        <v>PPn</v>
      </c>
      <c r="W7" s="213">
        <f>produk!AQ3</f>
        <v>0.1</v>
      </c>
    </row>
    <row r="8" spans="1:23" x14ac:dyDescent="0.25">
      <c r="A8" s="148">
        <v>7</v>
      </c>
      <c r="B8" s="148" t="str">
        <f>'order produk jual'!B3</f>
        <v>7.2</v>
      </c>
      <c r="C8" s="168">
        <f>C4</f>
        <v>43257</v>
      </c>
      <c r="D8" s="168">
        <f>'order produk jual'!D3</f>
        <v>43258</v>
      </c>
      <c r="E8" s="148">
        <f>'order produk jual'!E3</f>
        <v>1</v>
      </c>
      <c r="F8" s="148" t="str">
        <f>lokasi!B3</f>
        <v>cempaka putih</v>
      </c>
      <c r="H8" s="148">
        <f>'order produk jual'!G3</f>
        <v>1</v>
      </c>
      <c r="I8" s="148" t="str">
        <f>produk!F3</f>
        <v>sin-iphone6-16Gb</v>
      </c>
      <c r="J8" s="148" t="str">
        <f>produk!I3</f>
        <v>iphone6-16gb-putih</v>
      </c>
      <c r="K8" s="148" t="str">
        <f>produk!S3</f>
        <v>unit</v>
      </c>
      <c r="L8" s="148">
        <f>L5</f>
        <v>25</v>
      </c>
      <c r="N8" s="148">
        <v>5</v>
      </c>
      <c r="O8" s="148">
        <f t="shared" si="0"/>
        <v>20</v>
      </c>
      <c r="P8" s="167">
        <f>P5</f>
        <v>2500000</v>
      </c>
      <c r="Q8" s="167">
        <f>SUM(O5*P5)/(O5)</f>
        <v>2500000</v>
      </c>
      <c r="R8" s="167">
        <f>'order produk jual'!M3</f>
        <v>3000000</v>
      </c>
      <c r="S8" s="167">
        <f>N8*P8</f>
        <v>12500000</v>
      </c>
      <c r="T8" s="167">
        <f t="shared" si="2"/>
        <v>15000000</v>
      </c>
      <c r="U8" s="148">
        <f>'order produk jual'!R3</f>
        <v>1</v>
      </c>
      <c r="V8" s="148" t="str">
        <f>produk!AP3</f>
        <v>PPn</v>
      </c>
      <c r="W8" s="213">
        <f>produk!AQ3</f>
        <v>0.1</v>
      </c>
    </row>
    <row r="9" spans="1:23" x14ac:dyDescent="0.25">
      <c r="A9" s="148">
        <v>8</v>
      </c>
      <c r="B9" s="148" t="str">
        <f>'order produk beli'!B11</f>
        <v>8.4</v>
      </c>
      <c r="C9" s="168">
        <f>'order produk beli'!D11</f>
        <v>43258</v>
      </c>
      <c r="D9" s="148"/>
      <c r="E9" s="148">
        <f>'order produk beli'!E11</f>
        <v>1</v>
      </c>
      <c r="F9" s="148" t="str">
        <f>lokasi!B3</f>
        <v>cempaka putih</v>
      </c>
      <c r="H9" s="148">
        <f>'order produk beli'!G11</f>
        <v>1</v>
      </c>
      <c r="I9" s="148" t="str">
        <f>produk!F3</f>
        <v>sin-iphone6-16Gb</v>
      </c>
      <c r="J9" s="148" t="str">
        <f>produk!I3</f>
        <v>iphone6-16gb-putih</v>
      </c>
      <c r="K9" s="148" t="str">
        <f>produk!S3</f>
        <v>unit</v>
      </c>
      <c r="L9" s="148">
        <f>'order produk beli'!N11</f>
        <v>50</v>
      </c>
      <c r="O9" s="148">
        <f t="shared" si="0"/>
        <v>50</v>
      </c>
      <c r="P9" s="167">
        <f>'order produk beli'!M11</f>
        <v>2400000</v>
      </c>
      <c r="S9" s="167">
        <f>L9*P9</f>
        <v>120000000</v>
      </c>
      <c r="T9" s="167">
        <f t="shared" si="2"/>
        <v>0</v>
      </c>
      <c r="U9" s="148">
        <f>'order produk beli'!Q11</f>
        <v>1</v>
      </c>
      <c r="V9" s="148" t="str">
        <f>produk!AP3</f>
        <v>PPn</v>
      </c>
      <c r="W9" s="213">
        <f>produk!AQ3</f>
        <v>0.1</v>
      </c>
    </row>
    <row r="10" spans="1:23" x14ac:dyDescent="0.25">
      <c r="A10" s="148">
        <v>9</v>
      </c>
      <c r="B10" s="148" t="str">
        <f>'order produk beli'!B15</f>
        <v>21.1</v>
      </c>
      <c r="C10" s="168">
        <f>C9</f>
        <v>43258</v>
      </c>
      <c r="D10" s="168">
        <f>'order produk beli'!D15</f>
        <v>43260</v>
      </c>
      <c r="E10" s="148">
        <f>E9</f>
        <v>1</v>
      </c>
      <c r="F10" s="148" t="str">
        <f>lokasi!B3</f>
        <v>cempaka putih</v>
      </c>
      <c r="H10" s="148">
        <f>H9</f>
        <v>1</v>
      </c>
      <c r="I10" s="148" t="str">
        <f>produk!F3</f>
        <v>sin-iphone6-16Gb</v>
      </c>
      <c r="J10" s="148" t="str">
        <f>produk!I3</f>
        <v>iphone6-16gb-putih</v>
      </c>
      <c r="K10" s="148" t="str">
        <f>produk!S3</f>
        <v>unit</v>
      </c>
      <c r="L10" s="148">
        <f>O9</f>
        <v>50</v>
      </c>
      <c r="M10" s="148">
        <f>'order produk beli'!N15</f>
        <v>10</v>
      </c>
      <c r="O10" s="148">
        <f t="shared" si="0"/>
        <v>40</v>
      </c>
      <c r="P10" s="167">
        <f>P9</f>
        <v>2400000</v>
      </c>
      <c r="S10" s="167">
        <f>M10*P10</f>
        <v>24000000</v>
      </c>
      <c r="T10" s="167">
        <f t="shared" si="2"/>
        <v>0</v>
      </c>
      <c r="U10" s="148">
        <f>U9</f>
        <v>1</v>
      </c>
      <c r="V10" s="148" t="str">
        <f>produk!AP3</f>
        <v>PPn</v>
      </c>
      <c r="W10" s="213">
        <f>produk!AQ3</f>
        <v>0.1</v>
      </c>
    </row>
    <row r="11" spans="1:23" x14ac:dyDescent="0.25">
      <c r="A11" s="148">
        <v>10</v>
      </c>
      <c r="B11" s="148" t="str">
        <f>'order produk jual'!B5</f>
        <v>7.3</v>
      </c>
      <c r="C11" s="168">
        <f>C8</f>
        <v>43257</v>
      </c>
      <c r="D11" s="168">
        <f>'order produk jual'!D5</f>
        <v>43259</v>
      </c>
      <c r="E11" s="148">
        <f>'order produk jual'!E5</f>
        <v>1</v>
      </c>
      <c r="F11" s="168" t="str">
        <f>lokasi!B3</f>
        <v>cempaka putih</v>
      </c>
      <c r="H11" s="148">
        <f>'order produk jual'!G5</f>
        <v>1</v>
      </c>
      <c r="I11" s="148" t="str">
        <f>produk!F3</f>
        <v>sin-iphone6-16Gb</v>
      </c>
      <c r="J11" s="148" t="str">
        <f>produk!I3</f>
        <v>iphone6-16gb-putih</v>
      </c>
      <c r="K11" s="148" t="str">
        <f>produk!S3</f>
        <v>unit</v>
      </c>
      <c r="L11" s="148">
        <f>O8</f>
        <v>20</v>
      </c>
      <c r="N11" s="148">
        <f>'order produk jual'!O5</f>
        <v>2</v>
      </c>
      <c r="O11" s="148">
        <f t="shared" ref="O11:O14" si="3">L11-M11-N11</f>
        <v>18</v>
      </c>
      <c r="P11" s="167">
        <f>P8</f>
        <v>2500000</v>
      </c>
      <c r="Q11" s="167">
        <f>SUM(('order inventori'!O8*'order inventori'!P8)+('order inventori'!O10*'order inventori'!P10))/('order inventori'!O8+'order inventori'!O10)</f>
        <v>2433333.3333333335</v>
      </c>
      <c r="R11" s="167">
        <f>'order produk jual'!M5</f>
        <v>3000000</v>
      </c>
      <c r="S11" s="167">
        <f>N11*P11</f>
        <v>5000000</v>
      </c>
      <c r="T11" s="167">
        <f t="shared" si="2"/>
        <v>6000000</v>
      </c>
      <c r="U11" s="148">
        <f>'order produk jual'!R5</f>
        <v>1</v>
      </c>
      <c r="V11" s="148" t="str">
        <f>produk!AP3</f>
        <v>PPn</v>
      </c>
      <c r="W11" s="213">
        <f>produk!AQ3</f>
        <v>0.1</v>
      </c>
    </row>
    <row r="12" spans="1:23" x14ac:dyDescent="0.25">
      <c r="A12" s="148">
        <v>11</v>
      </c>
      <c r="B12" s="148" t="str">
        <f>'order produk jual'!B6</f>
        <v>22.1</v>
      </c>
      <c r="C12" s="168">
        <f>'order produk jual'!D6</f>
        <v>43261</v>
      </c>
      <c r="E12" s="148">
        <f>'order produk jual'!E6</f>
        <v>1</v>
      </c>
      <c r="F12" s="148" t="str">
        <f>'order produk jual'!F6</f>
        <v>cempaka putih</v>
      </c>
      <c r="H12" s="148">
        <f>'order produk jual'!G6</f>
        <v>1</v>
      </c>
      <c r="I12" s="148" t="str">
        <f>'order produk jual'!I6</f>
        <v>sin-iphone6-16Gb</v>
      </c>
      <c r="J12" s="148" t="str">
        <f>'order produk jual'!J6</f>
        <v>iphone6-16gb-putih</v>
      </c>
      <c r="K12" s="148" t="str">
        <f>'order produk jual'!K6</f>
        <v>unit</v>
      </c>
      <c r="L12" s="148">
        <v>1</v>
      </c>
      <c r="O12" s="148">
        <f>L12-M12-N12</f>
        <v>1</v>
      </c>
      <c r="P12" s="167">
        <f>P11</f>
        <v>2500000</v>
      </c>
      <c r="Q12" s="167"/>
      <c r="R12" s="167">
        <f>'order produk jual'!Q6</f>
        <v>3000000</v>
      </c>
      <c r="S12" s="167">
        <f>L12*P12</f>
        <v>2500000</v>
      </c>
      <c r="T12" s="167">
        <f>L12*R12</f>
        <v>3000000</v>
      </c>
      <c r="U12" s="148">
        <f>'order produk jual'!R6</f>
        <v>1</v>
      </c>
      <c r="V12" s="148" t="str">
        <f>'order produk jual'!S6</f>
        <v>PPn</v>
      </c>
      <c r="W12" s="213">
        <f>'order produk jual'!T6</f>
        <v>0.1</v>
      </c>
    </row>
    <row r="13" spans="1:23" x14ac:dyDescent="0.25">
      <c r="A13" s="148">
        <v>12</v>
      </c>
      <c r="B13" s="148" t="str">
        <f>'order produk jual'!B9</f>
        <v>25.1</v>
      </c>
      <c r="C13" s="168">
        <f>'order produk jual'!D9</f>
        <v>43262</v>
      </c>
      <c r="E13" s="148">
        <f>'order produk jual'!E9</f>
        <v>1</v>
      </c>
      <c r="F13" s="148" t="str">
        <f>'order produk jual'!F9</f>
        <v>cempaka putih</v>
      </c>
      <c r="H13" s="148">
        <f>'order produk jual'!G9</f>
        <v>1</v>
      </c>
      <c r="I13" s="148" t="str">
        <f>'order produk jual'!I9</f>
        <v>sin-iphone6-16Gb</v>
      </c>
      <c r="J13" s="148" t="str">
        <f>'order produk jual'!J9</f>
        <v>iphone6-16gb-putih</v>
      </c>
      <c r="K13" s="148" t="str">
        <f>'order produk jual'!K9</f>
        <v>unit</v>
      </c>
      <c r="L13" s="148">
        <f>O11</f>
        <v>18</v>
      </c>
      <c r="N13" s="148">
        <f>'order produk jual'!O9</f>
        <v>3</v>
      </c>
      <c r="O13" s="148">
        <f t="shared" si="3"/>
        <v>15</v>
      </c>
      <c r="P13" s="167">
        <f>P11</f>
        <v>2500000</v>
      </c>
      <c r="Q13" s="167">
        <f>SUM(('order inventori'!O11*'order inventori'!P11)+('order inventori'!O10*'order inventori'!P10)+('order inventori'!O12*'order inventori'!P12))/('order inventori'!O11+'order inventori'!O10+'order inventori'!O12)</f>
        <v>2432203.3898305083</v>
      </c>
      <c r="R13" s="167">
        <f>'order produk jual'!M9</f>
        <v>3000000</v>
      </c>
      <c r="S13" s="167">
        <f>N13*P13</f>
        <v>7500000</v>
      </c>
      <c r="T13" s="167">
        <f t="shared" si="2"/>
        <v>9000000</v>
      </c>
      <c r="U13" s="148">
        <f>'order produk jual'!R9</f>
        <v>1</v>
      </c>
      <c r="V13" s="214" t="str">
        <f>'order produk jual'!S9</f>
        <v>PPn</v>
      </c>
      <c r="W13" s="213">
        <f>'order produk jual'!T9</f>
        <v>0.1</v>
      </c>
    </row>
    <row r="14" spans="1:23" x14ac:dyDescent="0.25">
      <c r="A14" s="148">
        <v>13</v>
      </c>
      <c r="B14" s="148" t="str">
        <f>'order produk jual'!B10</f>
        <v>25.2</v>
      </c>
      <c r="C14" s="168">
        <f>'order produk jual'!D10</f>
        <v>43262</v>
      </c>
      <c r="E14" s="148">
        <f>'order produk jual'!E10</f>
        <v>1</v>
      </c>
      <c r="F14" s="148" t="str">
        <f>'order produk jual'!F10</f>
        <v>cempaka putih</v>
      </c>
      <c r="H14" s="148">
        <f>'order produk jual'!G10</f>
        <v>1</v>
      </c>
      <c r="I14" s="148" t="str">
        <f>'order produk jual'!I10</f>
        <v>sin-iphone6-16Gb</v>
      </c>
      <c r="J14" s="148" t="str">
        <f>'order produk jual'!J10</f>
        <v>iphone6-16gb-putih</v>
      </c>
      <c r="K14" s="148" t="str">
        <f>'order produk jual'!K10</f>
        <v>unit</v>
      </c>
      <c r="L14" s="148">
        <f>O13</f>
        <v>15</v>
      </c>
      <c r="N14" s="148">
        <f>'order produk jual'!O10</f>
        <v>5</v>
      </c>
      <c r="O14" s="148">
        <f t="shared" si="3"/>
        <v>10</v>
      </c>
      <c r="P14" s="167">
        <f>P12</f>
        <v>2500000</v>
      </c>
      <c r="Q14" s="167">
        <f>SUM(('order inventori'!O13*'order inventori'!P13)+('order inventori'!O10*'order inventori'!P10)+('order inventori'!O12*'order inventori'!P12))/('order inventori'!O13+'order inventori'!O10+'order inventori'!O12)</f>
        <v>2428571.4285714286</v>
      </c>
      <c r="R14" s="167">
        <f>'order produk jual'!M10</f>
        <v>3000000</v>
      </c>
      <c r="S14" s="167">
        <f>N14*P14</f>
        <v>12500000</v>
      </c>
      <c r="T14" s="226">
        <f t="shared" si="2"/>
        <v>15000000</v>
      </c>
      <c r="U14" s="148">
        <f>'order produk jual'!R10</f>
        <v>1</v>
      </c>
      <c r="V14" s="214" t="str">
        <f>'order produk jual'!S10</f>
        <v>PPn</v>
      </c>
      <c r="W14" s="213">
        <f>'order produk jual'!T10</f>
        <v>0.1</v>
      </c>
    </row>
    <row r="15" spans="1:23" x14ac:dyDescent="0.25">
      <c r="A15" s="148">
        <v>14</v>
      </c>
      <c r="B15" s="148" t="str">
        <f>'order produk beli'!B14</f>
        <v>8.7</v>
      </c>
      <c r="C15" s="168">
        <f>'order produk beli'!D14</f>
        <v>43260</v>
      </c>
      <c r="D15" s="148"/>
      <c r="E15" s="148">
        <f>'order produk beli'!E14</f>
        <v>2</v>
      </c>
      <c r="F15" s="148" t="str">
        <f>lokasi!B4</f>
        <v>komplek timah</v>
      </c>
      <c r="H15" s="148">
        <f>'order produk beli'!G14</f>
        <v>3</v>
      </c>
      <c r="I15" s="148" t="str">
        <f>produk!F5</f>
        <v>sin-csg-iphone</v>
      </c>
      <c r="J15" s="148" t="str">
        <f>produk!I5</f>
        <v>hardcase-iphone6</v>
      </c>
      <c r="K15" s="148" t="str">
        <f>produk!S5</f>
        <v>piece</v>
      </c>
      <c r="L15" s="148">
        <f>'order produk beli'!N14</f>
        <v>10</v>
      </c>
      <c r="O15" s="148">
        <f t="shared" ref="O15:O21" si="4">L15-M15-N15</f>
        <v>10</v>
      </c>
      <c r="P15" s="167">
        <f>'order produk beli'!M14</f>
        <v>55000</v>
      </c>
      <c r="S15" s="167">
        <f>L15*P15</f>
        <v>550000</v>
      </c>
      <c r="T15" s="167">
        <f>N15*R15</f>
        <v>0</v>
      </c>
      <c r="U15" s="148">
        <f>'order produk beli'!Q14</f>
        <v>1</v>
      </c>
      <c r="V15" s="148" t="str">
        <f>produk!AP5</f>
        <v>PPn</v>
      </c>
      <c r="W15" s="213">
        <f>produk!AQ5</f>
        <v>0.1</v>
      </c>
    </row>
    <row r="16" spans="1:23" x14ac:dyDescent="0.25">
      <c r="A16" s="148">
        <v>15</v>
      </c>
      <c r="B16" s="148" t="str">
        <f>'order produk jual'!B13</f>
        <v>7.6</v>
      </c>
      <c r="C16" s="168">
        <f>'order produk jual'!D13</f>
        <v>43264</v>
      </c>
      <c r="E16" s="148">
        <f>'order produk jual'!E13</f>
        <v>1</v>
      </c>
      <c r="F16" s="148" t="str">
        <f>'order produk jual'!F13</f>
        <v>cempaka putih</v>
      </c>
      <c r="H16" s="148">
        <f>'order produk jual'!G13</f>
        <v>1</v>
      </c>
      <c r="I16" s="148" t="str">
        <f>'order produk jual'!I13</f>
        <v>sin-iphone6-16Gb</v>
      </c>
      <c r="J16" s="148" t="str">
        <f>'order produk jual'!J13</f>
        <v>iphone6-16gb-putih</v>
      </c>
      <c r="K16" s="148" t="str">
        <f>'order produk jual'!K13</f>
        <v>unit</v>
      </c>
      <c r="L16" s="148">
        <f>O14</f>
        <v>10</v>
      </c>
      <c r="N16" s="148">
        <f>'order produk jual'!O13</f>
        <v>2</v>
      </c>
      <c r="O16" s="148">
        <f t="shared" si="4"/>
        <v>8</v>
      </c>
      <c r="P16" s="226">
        <f>P14/Invoice!Q8</f>
        <v>178.57142857142858</v>
      </c>
      <c r="Q16" s="226">
        <f>SUM((('order inventori'!O13*'order inventori'!P13)+('order inventori'!O10*'order inventori'!P10)+('order inventori'!O12*'order inventori'!P12))/('order inventori'!O13+'order inventori'!O10+'order inventori'!O12))/Invoice!Q8</f>
        <v>173.46938775510205</v>
      </c>
      <c r="R16" s="226">
        <f>'order produk jual'!M13</f>
        <v>214.28571428571428</v>
      </c>
      <c r="S16" s="226">
        <f>N16*P16</f>
        <v>357.14285714285717</v>
      </c>
      <c r="T16" s="226">
        <f>N16*R16</f>
        <v>428.57142857142856</v>
      </c>
      <c r="U16" s="148">
        <f>'order produk jual'!R13</f>
        <v>1</v>
      </c>
      <c r="V16" s="214" t="str">
        <f>'order produk jual'!S13</f>
        <v>PPn</v>
      </c>
      <c r="W16" s="213">
        <f>'order produk jual'!T13</f>
        <v>0.1</v>
      </c>
    </row>
    <row r="17" spans="1:23" x14ac:dyDescent="0.25">
      <c r="A17" s="148">
        <v>16</v>
      </c>
      <c r="B17" s="148" t="str">
        <f>'penerimaan barang konsinyasi'!C3</f>
        <v>19.1</v>
      </c>
      <c r="C17" s="168">
        <f>'penerimaan barang konsinyasi'!W3</f>
        <v>43256</v>
      </c>
      <c r="E17" s="148">
        <f>'penerimaan barang konsinyasi'!Q3</f>
        <v>1</v>
      </c>
      <c r="F17" s="148" t="str">
        <f>lokasi!B3</f>
        <v>cempaka putih</v>
      </c>
      <c r="H17" s="148">
        <f>produk!A7</f>
        <v>5</v>
      </c>
      <c r="I17" s="148" t="str">
        <f>produk!F7</f>
        <v>sin-iphone4S-16Gb</v>
      </c>
      <c r="J17" s="148" t="str">
        <f>produk!I7</f>
        <v>iphone4S-16gb-hitam</v>
      </c>
      <c r="K17" s="148" t="str">
        <f>produk!S7</f>
        <v>unit</v>
      </c>
      <c r="L17" s="148">
        <v>100</v>
      </c>
      <c r="O17" s="148">
        <f t="shared" si="4"/>
        <v>100</v>
      </c>
      <c r="P17" s="167">
        <v>1000000</v>
      </c>
      <c r="S17" s="167">
        <f>L17*P17</f>
        <v>100000000</v>
      </c>
      <c r="U17" s="148">
        <f>produk!AO7</f>
        <v>1</v>
      </c>
      <c r="V17" s="148" t="str">
        <f>produk!AP7</f>
        <v>PPn</v>
      </c>
      <c r="W17" s="213">
        <f>produk!AQ7</f>
        <v>0.1</v>
      </c>
    </row>
    <row r="18" spans="1:23" x14ac:dyDescent="0.25">
      <c r="A18" s="148">
        <v>17</v>
      </c>
      <c r="B18" s="148" t="str">
        <f>'retur barang konsinyasi'!C3</f>
        <v>20.1</v>
      </c>
      <c r="D18" s="168">
        <f>'retur barang konsinyasi'!W3</f>
        <v>43257</v>
      </c>
      <c r="E18" s="148">
        <f>'retur barang konsinyasi'!Q3</f>
        <v>1</v>
      </c>
      <c r="F18" s="148" t="str">
        <f>lokasi!B3</f>
        <v>cempaka putih</v>
      </c>
      <c r="H18" s="148">
        <f>H17</f>
        <v>5</v>
      </c>
      <c r="I18" s="148" t="str">
        <f t="shared" ref="I18:K18" si="5">I17</f>
        <v>sin-iphone4S-16Gb</v>
      </c>
      <c r="J18" s="148" t="str">
        <f t="shared" si="5"/>
        <v>iphone4S-16gb-hitam</v>
      </c>
      <c r="K18" s="148" t="str">
        <f t="shared" si="5"/>
        <v>unit</v>
      </c>
      <c r="L18" s="148">
        <f>O17</f>
        <v>100</v>
      </c>
      <c r="M18" s="148">
        <v>50</v>
      </c>
      <c r="O18" s="148">
        <f t="shared" si="4"/>
        <v>50</v>
      </c>
      <c r="P18" s="167">
        <f>P17</f>
        <v>1000000</v>
      </c>
      <c r="U18" s="148">
        <f>U17</f>
        <v>1</v>
      </c>
      <c r="V18" s="148" t="str">
        <f t="shared" ref="V18:W18" si="6">V17</f>
        <v>PPn</v>
      </c>
      <c r="W18" s="213">
        <f t="shared" si="6"/>
        <v>0.1</v>
      </c>
    </row>
    <row r="19" spans="1:23" x14ac:dyDescent="0.25">
      <c r="A19" s="148">
        <v>18</v>
      </c>
      <c r="B19" s="148" t="str">
        <f>'pem-peny &amp; transfer barang'!D4</f>
        <v>9.2</v>
      </c>
      <c r="D19" s="168">
        <f>'pem-peny &amp; transfer barang'!H4</f>
        <v>43271</v>
      </c>
      <c r="E19" s="148">
        <f>'pem-peny &amp; transfer barang'!O4</f>
        <v>2</v>
      </c>
      <c r="F19" s="148" t="str">
        <f>lokasi!B4</f>
        <v>komplek timah</v>
      </c>
      <c r="G19" s="148" t="str">
        <f>'pem-peny &amp; transfer barang'!I4</f>
        <v>transfer barang</v>
      </c>
      <c r="H19" s="148">
        <f>produk!A5</f>
        <v>3</v>
      </c>
      <c r="I19" s="148" t="str">
        <f>produk!F5</f>
        <v>sin-csg-iphone</v>
      </c>
      <c r="J19" s="148" t="str">
        <f>produk!I5</f>
        <v>hardcase-iphone6</v>
      </c>
      <c r="K19" s="148" t="str">
        <f>produk!S5</f>
        <v>piece</v>
      </c>
      <c r="L19" s="148">
        <f>O6</f>
        <v>95</v>
      </c>
      <c r="M19" s="148">
        <v>45</v>
      </c>
      <c r="O19" s="148">
        <f t="shared" si="4"/>
        <v>50</v>
      </c>
      <c r="P19" s="167">
        <f>P6</f>
        <v>50000</v>
      </c>
      <c r="S19" s="167">
        <f>M19*P19</f>
        <v>2250000</v>
      </c>
      <c r="U19" s="148">
        <f>produk!AO5</f>
        <v>1</v>
      </c>
      <c r="V19" s="148" t="str">
        <f>produk!AP5</f>
        <v>PPn</v>
      </c>
      <c r="W19" s="213">
        <f>produk!AQ5</f>
        <v>0.1</v>
      </c>
    </row>
    <row r="20" spans="1:23" x14ac:dyDescent="0.25">
      <c r="A20" s="148">
        <v>19</v>
      </c>
      <c r="B20" s="148" t="str">
        <f>'pem-peny &amp; transfer barang'!D4</f>
        <v>9.2</v>
      </c>
      <c r="C20" s="168">
        <f>'pem-peny &amp; transfer barang'!H4</f>
        <v>43271</v>
      </c>
      <c r="E20" s="148">
        <f>'pem-peny &amp; transfer barang'!T4</f>
        <v>1</v>
      </c>
      <c r="F20" s="148" t="str">
        <f>lokasi!B3</f>
        <v>cempaka putih</v>
      </c>
      <c r="G20" s="148" t="str">
        <f>'pem-peny &amp; transfer barang'!I4</f>
        <v>transfer barang</v>
      </c>
      <c r="H20" s="148">
        <f>produk!A5</f>
        <v>3</v>
      </c>
      <c r="I20" s="148" t="str">
        <f>produk!F5</f>
        <v>sin-csg-iphone</v>
      </c>
      <c r="J20" s="148" t="str">
        <f>produk!I5</f>
        <v>hardcase-iphone6</v>
      </c>
      <c r="K20" s="148" t="str">
        <f>produk!S5</f>
        <v>piece</v>
      </c>
      <c r="L20" s="148">
        <f>M19</f>
        <v>45</v>
      </c>
      <c r="O20" s="148">
        <f t="shared" si="4"/>
        <v>45</v>
      </c>
      <c r="P20" s="167">
        <f>P6</f>
        <v>50000</v>
      </c>
      <c r="S20" s="167">
        <f>L20*P20</f>
        <v>2250000</v>
      </c>
      <c r="U20" s="148">
        <f>produk!AO5</f>
        <v>1</v>
      </c>
      <c r="V20" s="148" t="str">
        <f>produk!AP5</f>
        <v>PPn</v>
      </c>
      <c r="W20" s="213">
        <f>produk!AQ5</f>
        <v>0.1</v>
      </c>
    </row>
    <row r="21" spans="1:23" x14ac:dyDescent="0.25">
      <c r="A21" s="148">
        <v>20</v>
      </c>
      <c r="B21" s="148" t="str">
        <f>'pem-peny &amp; transfer barang'!D3</f>
        <v>9.1</v>
      </c>
      <c r="D21" s="168">
        <f>'pem-peny &amp; transfer barang'!H3</f>
        <v>43368</v>
      </c>
      <c r="E21" s="148">
        <f>'pem-peny &amp; transfer barang'!O3</f>
        <v>1</v>
      </c>
      <c r="F21" s="148" t="str">
        <f>lokasi!B3</f>
        <v>cempaka putih</v>
      </c>
      <c r="G21" s="148" t="str">
        <f>'pem-peny &amp; transfer barang'!I3</f>
        <v>barang rusak</v>
      </c>
      <c r="H21" s="148">
        <f>produk!A5</f>
        <v>3</v>
      </c>
      <c r="I21" s="148" t="str">
        <f>produk!F5</f>
        <v>sin-csg-iphone</v>
      </c>
      <c r="J21" s="148" t="str">
        <f>produk!I5</f>
        <v>hardcase-iphone6</v>
      </c>
      <c r="K21" s="148" t="str">
        <f>produk!S5</f>
        <v>piece</v>
      </c>
      <c r="L21" s="148">
        <f>O20</f>
        <v>45</v>
      </c>
      <c r="M21" s="148">
        <v>3</v>
      </c>
      <c r="O21" s="148">
        <f t="shared" si="4"/>
        <v>42</v>
      </c>
      <c r="P21" s="167">
        <f>P20</f>
        <v>50000</v>
      </c>
      <c r="S21" s="167">
        <f>M21*P21</f>
        <v>150000</v>
      </c>
      <c r="U21" s="148">
        <f>produk!AO5</f>
        <v>1</v>
      </c>
      <c r="V21" s="148" t="str">
        <f>produk!AP5</f>
        <v>PPn</v>
      </c>
      <c r="W21" s="213">
        <f>produk!AQ5</f>
        <v>0.1</v>
      </c>
    </row>
    <row r="22" spans="1:23" x14ac:dyDescent="0.25">
      <c r="B22" s="148" t="str">
        <f>'order production input'!B2</f>
        <v>28.1</v>
      </c>
      <c r="D22" s="148" t="str">
        <f>'order production input'!C2</f>
        <v>21/01/19</v>
      </c>
      <c r="E22" s="148">
        <f>'order production input'!D2</f>
        <v>1</v>
      </c>
      <c r="F22" s="168" t="str">
        <f>lokasi!B3</f>
        <v>cempaka putih</v>
      </c>
      <c r="H22" s="148">
        <f>'order production input'!F2</f>
        <v>1</v>
      </c>
      <c r="M22" s="148">
        <f>'order production input'!L2</f>
        <v>3</v>
      </c>
    </row>
    <row r="23" spans="1:23" x14ac:dyDescent="0.25">
      <c r="B23" s="148" t="str">
        <f>'order production input'!B3</f>
        <v>28.1</v>
      </c>
      <c r="D23" s="148" t="str">
        <f>'order production input'!C3</f>
        <v>21/01/19</v>
      </c>
      <c r="E23" s="148">
        <f>'order production input'!D3</f>
        <v>1</v>
      </c>
      <c r="F23" s="168" t="str">
        <f>lokasi!B3</f>
        <v>cempaka putih</v>
      </c>
      <c r="H23" s="148">
        <f>'order production input'!F3</f>
        <v>6</v>
      </c>
      <c r="M23" s="148">
        <f>'order production input'!L3</f>
        <v>3</v>
      </c>
    </row>
    <row r="24" spans="1:23" x14ac:dyDescent="0.25">
      <c r="B24" s="148" t="str">
        <f>'order finished produk'!B2</f>
        <v>28.1</v>
      </c>
      <c r="C24" s="168" t="str">
        <f>'order finished produk'!C2</f>
        <v>21/01/19</v>
      </c>
      <c r="E24" s="148">
        <f>'order finished produk'!D2</f>
        <v>1</v>
      </c>
      <c r="F24" s="168" t="str">
        <f>lokasi!B3</f>
        <v>cempaka putih</v>
      </c>
      <c r="H24" s="148">
        <f>'order finished produk'!F2</f>
        <v>9</v>
      </c>
      <c r="I24" s="148" t="str">
        <f>produk!F10</f>
        <v>iphone11s</v>
      </c>
      <c r="J24" s="148" t="str">
        <f>produk!I10</f>
        <v>iphone11s</v>
      </c>
      <c r="L24" s="148">
        <f>'order finished produk'!K2</f>
        <v>2</v>
      </c>
      <c r="P24" s="167">
        <f>'order finished produk'!L2</f>
        <v>14300000</v>
      </c>
      <c r="S24" s="167">
        <f>L24*P24</f>
        <v>28600000</v>
      </c>
      <c r="U24" s="148">
        <f>produk!AO10</f>
        <v>1</v>
      </c>
      <c r="V24" s="148" t="str">
        <f>produk!AP10</f>
        <v>PPn</v>
      </c>
      <c r="W24" s="213">
        <f>produk!AQ10</f>
        <v>0.1</v>
      </c>
    </row>
    <row r="25" spans="1:23" x14ac:dyDescent="0.25">
      <c r="F25" s="168"/>
    </row>
    <row r="26" spans="1:23" x14ac:dyDescent="0.25">
      <c r="F26" s="168"/>
    </row>
    <row r="27" spans="1:23" x14ac:dyDescent="0.25">
      <c r="F27" s="168"/>
    </row>
    <row r="28" spans="1:23" x14ac:dyDescent="0.25">
      <c r="F28" s="168"/>
    </row>
    <row r="29" spans="1:23" x14ac:dyDescent="0.25">
      <c r="F29" s="168"/>
    </row>
    <row r="30" spans="1:23" x14ac:dyDescent="0.25">
      <c r="F30" s="168"/>
    </row>
    <row r="32" spans="1:23" x14ac:dyDescent="0.25">
      <c r="A32" s="215" t="s">
        <v>1246</v>
      </c>
    </row>
    <row r="33" spans="1:1" x14ac:dyDescent="0.25">
      <c r="A33" s="215" t="s">
        <v>1247</v>
      </c>
    </row>
    <row r="34" spans="1:1" x14ac:dyDescent="0.25">
      <c r="A34" s="215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>
    <tabColor rgb="FF00B050"/>
  </sheetPr>
  <dimension ref="A1:P3"/>
  <sheetViews>
    <sheetView zoomScaleNormal="100" workbookViewId="0">
      <selection activeCell="D2" sqref="D2"/>
    </sheetView>
  </sheetViews>
  <sheetFormatPr defaultColWidth="9.140625" defaultRowHeight="15" x14ac:dyDescent="0.25"/>
  <cols>
    <col min="1" max="1" width="19.42578125" style="1" bestFit="1" customWidth="1"/>
    <col min="2" max="2" width="13.42578125" style="1" bestFit="1" customWidth="1"/>
    <col min="3" max="3" width="8.7109375" style="1" bestFit="1" customWidth="1"/>
    <col min="4" max="4" width="8.85546875" style="1" bestFit="1" customWidth="1"/>
    <col min="5" max="5" width="12" style="1" bestFit="1" customWidth="1"/>
    <col min="6" max="6" width="10" style="1" bestFit="1" customWidth="1"/>
    <col min="7" max="7" width="4.42578125" style="1" bestFit="1" customWidth="1"/>
    <col min="8" max="8" width="20" style="1" bestFit="1" customWidth="1"/>
    <col min="9" max="9" width="15.42578125" style="1" bestFit="1" customWidth="1"/>
    <col min="10" max="10" width="12.42578125" style="1" bestFit="1" customWidth="1"/>
    <col min="11" max="11" width="12.28515625" style="1" bestFit="1" customWidth="1"/>
    <col min="12" max="12" width="14.42578125" style="1" bestFit="1" customWidth="1"/>
    <col min="13" max="13" width="18.42578125" style="1" bestFit="1" customWidth="1"/>
    <col min="14" max="14" width="19.140625" style="1" bestFit="1" customWidth="1"/>
    <col min="15" max="15" width="9.85546875" style="1" bestFit="1" customWidth="1"/>
    <col min="16" max="16" width="14.85546875" style="1" bestFit="1" customWidth="1"/>
    <col min="17" max="16384" width="9.140625" style="1"/>
  </cols>
  <sheetData>
    <row r="1" spans="1:16" x14ac:dyDescent="0.25">
      <c r="A1" s="1" t="s">
        <v>1315</v>
      </c>
      <c r="B1" s="1" t="s">
        <v>1685</v>
      </c>
      <c r="C1" s="13" t="s">
        <v>481</v>
      </c>
      <c r="D1" s="1" t="s">
        <v>24</v>
      </c>
      <c r="E1" s="1" t="s">
        <v>501</v>
      </c>
      <c r="F1" s="1" t="s">
        <v>78</v>
      </c>
      <c r="G1" s="1" t="s">
        <v>88</v>
      </c>
      <c r="H1" s="1" t="s">
        <v>471</v>
      </c>
      <c r="I1" s="1" t="s">
        <v>94</v>
      </c>
      <c r="J1" s="1" t="s">
        <v>507</v>
      </c>
      <c r="K1" s="1" t="s">
        <v>472</v>
      </c>
      <c r="L1" s="1" t="s">
        <v>463</v>
      </c>
      <c r="M1" s="1" t="s">
        <v>27</v>
      </c>
      <c r="N1" s="1" t="s">
        <v>105</v>
      </c>
      <c r="O1" s="1" t="s">
        <v>46</v>
      </c>
      <c r="P1" s="1" t="s">
        <v>47</v>
      </c>
    </row>
    <row r="2" spans="1:16" x14ac:dyDescent="0.25">
      <c r="A2" s="1">
        <v>1</v>
      </c>
      <c r="B2" s="1" t="str">
        <f>production!R2</f>
        <v>28.1</v>
      </c>
      <c r="C2" s="1" t="str">
        <f>production!D2</f>
        <v>21/01/19</v>
      </c>
      <c r="D2" s="1">
        <f>production!E2</f>
        <v>1</v>
      </c>
      <c r="F2" s="1">
        <f>produk!A3</f>
        <v>1</v>
      </c>
      <c r="H2" s="1" t="str">
        <f>produk!I3</f>
        <v>iphone6-16gb-putih</v>
      </c>
      <c r="I2" s="1">
        <f>produk!R3</f>
        <v>1</v>
      </c>
      <c r="K2" s="1">
        <v>3200000</v>
      </c>
      <c r="L2" s="1">
        <v>3</v>
      </c>
      <c r="M2" s="1">
        <f>K2*L2</f>
        <v>9600000</v>
      </c>
      <c r="N2" s="1">
        <f>produk!AH3</f>
        <v>3</v>
      </c>
    </row>
    <row r="3" spans="1:16" x14ac:dyDescent="0.25">
      <c r="A3" s="1">
        <v>2</v>
      </c>
      <c r="B3" s="1" t="str">
        <f>production!R2</f>
        <v>28.1</v>
      </c>
      <c r="C3" s="1" t="str">
        <f>production!D2</f>
        <v>21/01/19</v>
      </c>
      <c r="D3" s="1">
        <f>production!E2</f>
        <v>1</v>
      </c>
      <c r="F3" s="1">
        <f>produk!A8</f>
        <v>6</v>
      </c>
      <c r="H3" s="1" t="str">
        <f>produk!I8</f>
        <v>iphone5S-32gb-GOLD</v>
      </c>
      <c r="I3" s="1">
        <f>produk!R8</f>
        <v>1</v>
      </c>
      <c r="K3" s="1">
        <v>1500000</v>
      </c>
      <c r="L3" s="1">
        <v>3</v>
      </c>
      <c r="M3" s="1">
        <f>K3*L3</f>
        <v>4500000</v>
      </c>
      <c r="N3" s="1">
        <f>produk!AH8</f>
        <v>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>
    <tabColor rgb="FF00B050"/>
  </sheetPr>
  <dimension ref="A1:M2"/>
  <sheetViews>
    <sheetView zoomScaleNormal="100" workbookViewId="0">
      <selection activeCell="L2" sqref="L2"/>
    </sheetView>
  </sheetViews>
  <sheetFormatPr defaultColWidth="9.140625" defaultRowHeight="15" x14ac:dyDescent="0.25"/>
  <cols>
    <col min="1" max="1" width="21.140625" style="1" bestFit="1" customWidth="1"/>
    <col min="2" max="2" width="13.42578125" style="1" bestFit="1" customWidth="1"/>
    <col min="3" max="3" width="8.7109375" style="1" bestFit="1" customWidth="1"/>
    <col min="4" max="4" width="8.85546875" style="1" bestFit="1" customWidth="1"/>
    <col min="5" max="5" width="12" style="1" bestFit="1" customWidth="1"/>
    <col min="6" max="6" width="13.42578125" style="1" bestFit="1" customWidth="1"/>
    <col min="7" max="7" width="14.7109375" style="1" bestFit="1" customWidth="1"/>
    <col min="8" max="8" width="14.42578125" style="1" bestFit="1" customWidth="1"/>
    <col min="9" max="9" width="13.85546875" style="1" bestFit="1" customWidth="1"/>
    <col min="10" max="10" width="12.42578125" style="1" bestFit="1" customWidth="1"/>
    <col min="11" max="11" width="12.7109375" style="1" bestFit="1" customWidth="1"/>
    <col min="12" max="12" width="9.85546875" style="1" bestFit="1" customWidth="1"/>
    <col min="13" max="13" width="14.85546875" style="1" bestFit="1" customWidth="1"/>
    <col min="14" max="16384" width="9.140625" style="1"/>
  </cols>
  <sheetData>
    <row r="1" spans="1:13" x14ac:dyDescent="0.25">
      <c r="A1" s="1" t="s">
        <v>1320</v>
      </c>
      <c r="B1" s="1" t="s">
        <v>1685</v>
      </c>
      <c r="C1" s="13" t="s">
        <v>481</v>
      </c>
      <c r="D1" s="1" t="s">
        <v>24</v>
      </c>
      <c r="E1" s="1" t="s">
        <v>501</v>
      </c>
      <c r="F1" s="1" t="s">
        <v>150</v>
      </c>
      <c r="G1" s="1" t="s">
        <v>151</v>
      </c>
      <c r="H1" s="1" t="s">
        <v>1321</v>
      </c>
      <c r="I1" s="1" t="s">
        <v>152</v>
      </c>
      <c r="J1" s="1" t="s">
        <v>31</v>
      </c>
      <c r="K1" s="1" t="s">
        <v>153</v>
      </c>
      <c r="L1" s="1" t="s">
        <v>46</v>
      </c>
      <c r="M1" s="1" t="s">
        <v>47</v>
      </c>
    </row>
    <row r="2" spans="1:13" x14ac:dyDescent="0.25">
      <c r="A2" s="1">
        <v>1</v>
      </c>
      <c r="B2" s="1" t="str">
        <f>production!R2</f>
        <v>28.1</v>
      </c>
      <c r="C2" s="1" t="str">
        <f>production!D2</f>
        <v>21/01/19</v>
      </c>
      <c r="D2" s="1">
        <f>production!E2</f>
        <v>1</v>
      </c>
      <c r="F2" s="1" t="s">
        <v>1322</v>
      </c>
      <c r="G2" s="1">
        <v>1</v>
      </c>
      <c r="H2" s="1" t="s">
        <v>1323</v>
      </c>
      <c r="I2" s="1">
        <v>200000</v>
      </c>
      <c r="J2" s="1">
        <f>G2*I2</f>
        <v>200000</v>
      </c>
      <c r="K2" s="1">
        <f>'rekening perkiraan'!A28</f>
        <v>26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>
    <tabColor rgb="FF00B050"/>
  </sheetPr>
  <dimension ref="A1:O2"/>
  <sheetViews>
    <sheetView topLeftCell="B1" zoomScaleNormal="100" workbookViewId="0">
      <selection activeCell="O4" sqref="O4"/>
    </sheetView>
  </sheetViews>
  <sheetFormatPr defaultColWidth="9.140625" defaultRowHeight="15" x14ac:dyDescent="0.25"/>
  <cols>
    <col min="1" max="1" width="22.28515625" style="1" bestFit="1" customWidth="1"/>
    <col min="2" max="2" width="13.42578125" style="1" bestFit="1" customWidth="1"/>
    <col min="3" max="4" width="8.85546875" style="1" bestFit="1" customWidth="1"/>
    <col min="5" max="5" width="12" style="1" bestFit="1" customWidth="1"/>
    <col min="6" max="6" width="10" style="1" bestFit="1" customWidth="1"/>
    <col min="7" max="7" width="9.42578125" style="1" bestFit="1" customWidth="1"/>
    <col min="8" max="8" width="13.28515625" style="1" bestFit="1" customWidth="1"/>
    <col min="9" max="9" width="15.42578125" style="1" bestFit="1" customWidth="1"/>
    <col min="10" max="10" width="12.42578125" style="1" bestFit="1" customWidth="1"/>
    <col min="11" max="11" width="14.42578125" style="1" bestFit="1" customWidth="1"/>
    <col min="12" max="12" width="10.85546875" style="1" bestFit="1" customWidth="1"/>
    <col min="13" max="13" width="19.140625" style="1" bestFit="1" customWidth="1"/>
    <col min="14" max="14" width="9.85546875" style="1" bestFit="1" customWidth="1"/>
    <col min="15" max="15" width="14.85546875" style="1" bestFit="1" customWidth="1"/>
    <col min="16" max="16" width="14.42578125" style="1" bestFit="1" customWidth="1"/>
    <col min="17" max="17" width="18.42578125" style="1" bestFit="1" customWidth="1"/>
    <col min="18" max="18" width="16" style="1" bestFit="1" customWidth="1"/>
    <col min="19" max="19" width="12.28515625" style="1" bestFit="1" customWidth="1"/>
    <col min="20" max="20" width="17.85546875" style="1" bestFit="1" customWidth="1"/>
    <col min="21" max="21" width="15.28515625" style="1" bestFit="1" customWidth="1"/>
    <col min="22" max="22" width="16.28515625" style="1" bestFit="1" customWidth="1"/>
    <col min="23" max="23" width="21.140625" style="1" bestFit="1" customWidth="1"/>
    <col min="24" max="24" width="20.85546875" style="1" bestFit="1" customWidth="1"/>
    <col min="25" max="25" width="17.42578125" style="1" bestFit="1" customWidth="1"/>
    <col min="26" max="26" width="22.42578125" style="1" bestFit="1" customWidth="1"/>
    <col min="27" max="16384" width="9.140625" style="1"/>
  </cols>
  <sheetData>
    <row r="1" spans="1:15" x14ac:dyDescent="0.25">
      <c r="A1" s="1" t="s">
        <v>1328</v>
      </c>
      <c r="B1" s="1" t="s">
        <v>1685</v>
      </c>
      <c r="C1" s="13" t="s">
        <v>481</v>
      </c>
      <c r="D1" s="1" t="s">
        <v>24</v>
      </c>
      <c r="E1" s="1" t="s">
        <v>501</v>
      </c>
      <c r="F1" s="1" t="s">
        <v>78</v>
      </c>
      <c r="G1" s="1" t="s">
        <v>88</v>
      </c>
      <c r="H1" s="1" t="s">
        <v>471</v>
      </c>
      <c r="I1" s="1" t="s">
        <v>94</v>
      </c>
      <c r="J1" s="1" t="s">
        <v>507</v>
      </c>
      <c r="K1" s="1" t="s">
        <v>463</v>
      </c>
      <c r="L1" s="1" t="s">
        <v>1330</v>
      </c>
      <c r="M1" s="1" t="s">
        <v>105</v>
      </c>
      <c r="N1" s="1" t="s">
        <v>46</v>
      </c>
      <c r="O1" s="1" t="s">
        <v>47</v>
      </c>
    </row>
    <row r="2" spans="1:15" x14ac:dyDescent="0.25">
      <c r="A2" s="1">
        <v>1</v>
      </c>
      <c r="B2" s="1" t="str">
        <f>production!R2</f>
        <v>28.1</v>
      </c>
      <c r="C2" s="1" t="str">
        <f>production!D2</f>
        <v>21/01/19</v>
      </c>
      <c r="D2" s="1">
        <f>production!E2</f>
        <v>1</v>
      </c>
      <c r="F2" s="1">
        <f>produk!A10</f>
        <v>9</v>
      </c>
      <c r="G2" s="1" t="s">
        <v>1329</v>
      </c>
      <c r="H2" s="1" t="str">
        <f>produk!I10</f>
        <v>iphone11s</v>
      </c>
      <c r="I2" s="1" t="s">
        <v>1329</v>
      </c>
      <c r="K2" s="1">
        <v>2</v>
      </c>
      <c r="L2" s="1">
        <v>14300000</v>
      </c>
      <c r="M2" s="1">
        <f>produk!AH3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AU7"/>
  <sheetViews>
    <sheetView topLeftCell="E1" zoomScaleNormal="100" workbookViewId="0">
      <selection activeCell="K4" sqref="K4"/>
    </sheetView>
  </sheetViews>
  <sheetFormatPr defaultColWidth="9.140625" defaultRowHeight="15" x14ac:dyDescent="0.25"/>
  <cols>
    <col min="1" max="1" width="18.7109375" style="1" bestFit="1" customWidth="1"/>
    <col min="2" max="2" width="17.28515625" style="1" bestFit="1" customWidth="1"/>
    <col min="3" max="3" width="18.7109375" style="256" customWidth="1"/>
    <col min="4" max="4" width="17.28515625" style="1" customWidth="1"/>
    <col min="5" max="5" width="19.28515625" style="1" bestFit="1" customWidth="1"/>
    <col min="6" max="6" width="12.85546875" style="1" bestFit="1" customWidth="1"/>
    <col min="7" max="7" width="16.140625" style="1" bestFit="1" customWidth="1"/>
    <col min="8" max="8" width="13.42578125" style="1" bestFit="1" customWidth="1"/>
    <col min="9" max="9" width="20.85546875" style="1" bestFit="1" customWidth="1"/>
    <col min="10" max="10" width="13.7109375" style="1" bestFit="1" customWidth="1"/>
    <col min="11" max="11" width="14.28515625" style="1" bestFit="1" customWidth="1"/>
    <col min="12" max="12" width="18.85546875" style="1" bestFit="1" customWidth="1"/>
    <col min="13" max="13" width="13.42578125" style="1" bestFit="1" customWidth="1"/>
    <col min="14" max="14" width="10.7109375" style="1" bestFit="1" customWidth="1"/>
    <col min="15" max="15" width="10.28515625" style="1" bestFit="1" customWidth="1"/>
    <col min="16" max="16" width="23.42578125" style="1" bestFit="1" customWidth="1"/>
    <col min="17" max="17" width="25" style="1" bestFit="1" customWidth="1"/>
    <col min="18" max="18" width="22.28515625" style="1" bestFit="1" customWidth="1"/>
    <col min="19" max="19" width="8.85546875" style="1" bestFit="1" customWidth="1"/>
    <col min="20" max="20" width="14.140625" style="1" bestFit="1" customWidth="1"/>
    <col min="21" max="21" width="11.7109375" style="1" bestFit="1" customWidth="1"/>
    <col min="22" max="22" width="9.85546875" style="1" bestFit="1" customWidth="1"/>
    <col min="23" max="23" width="14.85546875" style="1" bestFit="1" customWidth="1"/>
    <col min="24" max="24" width="22.28515625" style="1" bestFit="1" customWidth="1"/>
    <col min="25" max="25" width="19.85546875" style="1" bestFit="1" customWidth="1"/>
    <col min="26" max="26" width="10.7109375" style="1" bestFit="1" customWidth="1"/>
    <col min="27" max="27" width="16.42578125" style="1" bestFit="1" customWidth="1"/>
    <col min="28" max="28" width="19" style="1" bestFit="1" customWidth="1"/>
    <col min="29" max="29" width="32.7109375" style="1" bestFit="1" customWidth="1"/>
    <col min="30" max="30" width="28" style="1" bestFit="1" customWidth="1"/>
    <col min="31" max="31" width="18.42578125" style="1" bestFit="1" customWidth="1"/>
    <col min="32" max="32" width="19.28515625" style="1" bestFit="1" customWidth="1"/>
    <col min="33" max="33" width="17.28515625" style="1" bestFit="1" customWidth="1"/>
    <col min="34" max="34" width="16.42578125" style="1" bestFit="1" customWidth="1"/>
    <col min="35" max="36" width="18.42578125" style="41" bestFit="1" customWidth="1"/>
    <col min="37" max="37" width="19.85546875" style="1" bestFit="1" customWidth="1"/>
    <col min="38" max="38" width="10.85546875" style="1" bestFit="1" customWidth="1"/>
    <col min="39" max="39" width="18.7109375" style="1" bestFit="1" customWidth="1"/>
    <col min="40" max="40" width="19.28515625" style="1" bestFit="1" customWidth="1"/>
    <col min="41" max="41" width="18.42578125" style="1" bestFit="1" customWidth="1"/>
    <col min="42" max="42" width="13.140625" style="1" bestFit="1" customWidth="1"/>
    <col min="43" max="43" width="9.42578125" style="1" bestFit="1" customWidth="1"/>
    <col min="44" max="44" width="10.28515625" style="1" bestFit="1" customWidth="1"/>
    <col min="45" max="45" width="19.42578125" style="1" bestFit="1" customWidth="1"/>
    <col min="46" max="46" width="18.140625" style="1" bestFit="1" customWidth="1"/>
    <col min="47" max="47" width="16.42578125" style="1" bestFit="1" customWidth="1"/>
    <col min="48" max="16384" width="9.140625" style="1"/>
  </cols>
  <sheetData>
    <row r="1" spans="1:47" s="44" customFormat="1" ht="15" customHeight="1" x14ac:dyDescent="0.25">
      <c r="C1" s="255"/>
      <c r="E1" s="44" t="s">
        <v>1444</v>
      </c>
      <c r="F1" s="297" t="s">
        <v>1442</v>
      </c>
      <c r="G1" s="297"/>
      <c r="H1" s="44" t="s">
        <v>1387</v>
      </c>
      <c r="I1" s="135" t="s">
        <v>980</v>
      </c>
      <c r="J1" s="303" t="s">
        <v>1403</v>
      </c>
      <c r="K1" s="303"/>
      <c r="L1" s="137"/>
      <c r="M1" s="297" t="s">
        <v>1145</v>
      </c>
      <c r="N1" s="297"/>
      <c r="O1" s="297"/>
      <c r="P1" s="44" t="s">
        <v>1443</v>
      </c>
      <c r="Q1" s="297" t="s">
        <v>916</v>
      </c>
      <c r="R1" s="297"/>
      <c r="S1" s="297" t="s">
        <v>919</v>
      </c>
      <c r="T1" s="297"/>
      <c r="U1" s="44" t="s">
        <v>920</v>
      </c>
      <c r="V1" s="44" t="s">
        <v>1023</v>
      </c>
      <c r="W1" s="44" t="s">
        <v>1021</v>
      </c>
      <c r="X1" s="44" t="s">
        <v>922</v>
      </c>
      <c r="Y1" s="44" t="s">
        <v>1409</v>
      </c>
      <c r="Z1" s="297" t="s">
        <v>924</v>
      </c>
      <c r="AA1" s="297"/>
      <c r="AB1" s="44" t="s">
        <v>1464</v>
      </c>
      <c r="AC1" s="44" t="s">
        <v>1445</v>
      </c>
      <c r="AD1" s="44" t="s">
        <v>1405</v>
      </c>
      <c r="AE1" s="44" t="s">
        <v>1389</v>
      </c>
      <c r="AF1" s="44" t="s">
        <v>1391</v>
      </c>
      <c r="AG1" s="44" t="s">
        <v>1390</v>
      </c>
      <c r="AH1" s="44" t="s">
        <v>1392</v>
      </c>
      <c r="AI1" s="79"/>
      <c r="AJ1" s="79"/>
      <c r="AL1" s="44" t="s">
        <v>1459</v>
      </c>
      <c r="AM1" s="44" t="s">
        <v>1471</v>
      </c>
      <c r="AN1" s="44" t="s">
        <v>1477</v>
      </c>
      <c r="AO1" s="44" t="s">
        <v>1468</v>
      </c>
      <c r="AP1" s="44" t="s">
        <v>1462</v>
      </c>
      <c r="AQ1" s="44" t="s">
        <v>1463</v>
      </c>
      <c r="AU1" s="44" t="s">
        <v>921</v>
      </c>
    </row>
    <row r="2" spans="1:47" x14ac:dyDescent="0.25">
      <c r="A2" s="1" t="s">
        <v>48</v>
      </c>
      <c r="B2" s="1" t="s">
        <v>617</v>
      </c>
      <c r="C2" s="256" t="s">
        <v>1685</v>
      </c>
      <c r="D2" s="1" t="s">
        <v>614</v>
      </c>
      <c r="E2" s="1" t="s">
        <v>49</v>
      </c>
      <c r="F2" s="1" t="s">
        <v>2</v>
      </c>
      <c r="G2" s="1" t="s">
        <v>18</v>
      </c>
      <c r="H2" s="1" t="s">
        <v>19</v>
      </c>
      <c r="I2" s="136" t="s">
        <v>20</v>
      </c>
      <c r="J2" s="136" t="s">
        <v>16</v>
      </c>
      <c r="K2" s="136" t="s">
        <v>17</v>
      </c>
      <c r="L2" s="136" t="s">
        <v>655</v>
      </c>
      <c r="M2" s="1" t="s">
        <v>115</v>
      </c>
      <c r="N2" s="1" t="s">
        <v>21</v>
      </c>
      <c r="O2" s="1" t="s">
        <v>828</v>
      </c>
      <c r="P2" s="1" t="s">
        <v>50</v>
      </c>
      <c r="Q2" s="1" t="s">
        <v>22</v>
      </c>
      <c r="R2" s="1" t="s">
        <v>23</v>
      </c>
      <c r="S2" s="1" t="s">
        <v>24</v>
      </c>
      <c r="T2" s="1" t="s">
        <v>467</v>
      </c>
      <c r="U2" s="1" t="s">
        <v>26</v>
      </c>
      <c r="V2" s="1" t="s">
        <v>46</v>
      </c>
      <c r="W2" s="1" t="s">
        <v>47</v>
      </c>
      <c r="X2" s="1" t="s">
        <v>33</v>
      </c>
      <c r="Y2" s="1" t="s">
        <v>51</v>
      </c>
      <c r="Z2" s="1" t="s">
        <v>35</v>
      </c>
      <c r="AA2" s="1" t="s">
        <v>36</v>
      </c>
      <c r="AB2" s="1" t="s">
        <v>1469</v>
      </c>
      <c r="AC2" s="1" t="s">
        <v>37</v>
      </c>
      <c r="AD2" s="1" t="s">
        <v>875</v>
      </c>
      <c r="AE2" s="1" t="s">
        <v>38</v>
      </c>
      <c r="AF2" s="1" t="s">
        <v>39</v>
      </c>
      <c r="AG2" s="1" t="s">
        <v>876</v>
      </c>
      <c r="AH2" s="1" t="s">
        <v>40</v>
      </c>
      <c r="AI2" s="41" t="s">
        <v>27</v>
      </c>
      <c r="AJ2" s="41" t="s">
        <v>28</v>
      </c>
      <c r="AK2" s="1" t="s">
        <v>487</v>
      </c>
      <c r="AL2" s="1" t="s">
        <v>41</v>
      </c>
      <c r="AM2" s="1" t="s">
        <v>42</v>
      </c>
      <c r="AN2" s="1" t="s">
        <v>1466</v>
      </c>
      <c r="AO2" s="1" t="s">
        <v>433</v>
      </c>
      <c r="AP2" s="1" t="s">
        <v>877</v>
      </c>
      <c r="AQ2" s="136" t="s">
        <v>435</v>
      </c>
      <c r="AR2" s="138" t="s">
        <v>624</v>
      </c>
      <c r="AS2" s="138" t="s">
        <v>1583</v>
      </c>
      <c r="AT2" s="18" t="s">
        <v>848</v>
      </c>
      <c r="AU2" s="1" t="s">
        <v>34</v>
      </c>
    </row>
    <row r="3" spans="1:47" x14ac:dyDescent="0.25">
      <c r="A3" s="1">
        <v>1</v>
      </c>
      <c r="B3" s="1">
        <f>'kode transaksi'!A19</f>
        <v>18</v>
      </c>
      <c r="C3" s="256" t="str">
        <f>CONCATENATE(B3,".",A3)</f>
        <v>18.1</v>
      </c>
      <c r="D3" s="1" t="str">
        <f>'kode transaksi'!B19</f>
        <v>SO</v>
      </c>
      <c r="E3" s="1" t="s">
        <v>1595</v>
      </c>
      <c r="F3" s="1">
        <f>kontak!A3</f>
        <v>1</v>
      </c>
      <c r="G3" s="1" t="str">
        <f>kontak!G3</f>
        <v>dimas dhaniarso</v>
      </c>
      <c r="H3" s="1">
        <f>kontak!K3</f>
        <v>81273845323</v>
      </c>
      <c r="I3" s="136" t="str">
        <f>kontak!O3</f>
        <v>dhadan33@gmail.com</v>
      </c>
      <c r="J3" s="136">
        <v>0</v>
      </c>
      <c r="K3" s="136">
        <v>0</v>
      </c>
      <c r="L3" s="136" t="str">
        <f>CONCATENATE(B3,".",A3)</f>
        <v>18.1</v>
      </c>
      <c r="M3" s="1">
        <f>'data mata uang'!A3</f>
        <v>1</v>
      </c>
      <c r="N3" s="1" t="str">
        <f>'data mata uang'!D3</f>
        <v>IDR</v>
      </c>
      <c r="O3" s="1">
        <f>'data mata uang'!G3</f>
        <v>1</v>
      </c>
      <c r="P3" s="6">
        <v>43258</v>
      </c>
      <c r="Q3" s="1">
        <v>0</v>
      </c>
      <c r="R3" s="1">
        <v>0</v>
      </c>
      <c r="S3" s="1">
        <f>lokasi!A3</f>
        <v>1</v>
      </c>
      <c r="T3" s="1" t="str">
        <f>lokasi!B3</f>
        <v>cempaka putih</v>
      </c>
      <c r="U3" s="1" t="s">
        <v>1570</v>
      </c>
      <c r="V3" s="1">
        <v>0</v>
      </c>
      <c r="W3" s="1">
        <v>0</v>
      </c>
      <c r="X3" s="1">
        <v>0</v>
      </c>
      <c r="Y3" s="6">
        <v>43260</v>
      </c>
      <c r="Z3" s="1">
        <f>kontak!A7</f>
        <v>5</v>
      </c>
      <c r="AA3" s="1" t="str">
        <f>kontak!G7</f>
        <v>gisela tria canitha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41">
        <f>SUM('order produk jual'!Q4)</f>
        <v>6000000</v>
      </c>
      <c r="AJ3" s="41">
        <f>SUM('order produk jual'!U4)</f>
        <v>600000</v>
      </c>
      <c r="AK3" s="1">
        <f>SUM('order produk jual'!Q4)</f>
        <v>6000000</v>
      </c>
      <c r="AL3" s="1">
        <f>SUM('order produk jual'!U4)</f>
        <v>600000</v>
      </c>
      <c r="AM3" s="1">
        <f>SUM('order produk jual'!Q4+'order produk jual'!U4)</f>
        <v>6600000</v>
      </c>
      <c r="AN3" s="1">
        <v>0</v>
      </c>
      <c r="AO3" s="1">
        <v>0</v>
      </c>
      <c r="AP3" s="1">
        <v>0</v>
      </c>
      <c r="AQ3" s="136">
        <v>0</v>
      </c>
      <c r="AR3" s="136">
        <f>'user id'!A3</f>
        <v>2</v>
      </c>
      <c r="AS3" s="136">
        <f>'periode akuntansi'!A2</f>
        <v>1</v>
      </c>
      <c r="AU3" s="1">
        <v>0</v>
      </c>
    </row>
    <row r="4" spans="1:47" x14ac:dyDescent="0.25">
      <c r="A4" s="1">
        <v>2</v>
      </c>
      <c r="B4" s="206">
        <f>'kode transaksi'!A19</f>
        <v>18</v>
      </c>
      <c r="C4" s="256" t="str">
        <f>CONCATENATE(B4,".",A4)</f>
        <v>18.2</v>
      </c>
      <c r="D4" s="206" t="str">
        <f>'kode transaksi'!B19</f>
        <v>SO</v>
      </c>
      <c r="E4" s="206" t="s">
        <v>1596</v>
      </c>
      <c r="F4" s="1">
        <f>'Sales Quotation'!G3</f>
        <v>3</v>
      </c>
      <c r="G4" s="206" t="str">
        <f>kontak!G5</f>
        <v>rahmat handono</v>
      </c>
      <c r="H4" s="206">
        <f>kontak!K5</f>
        <v>8551434991</v>
      </c>
      <c r="I4" s="136" t="str">
        <f>kontak!O5</f>
        <v>rahmat.ph@gmail.com</v>
      </c>
      <c r="J4" s="136">
        <f>'Sales Quotation'!A3</f>
        <v>1</v>
      </c>
      <c r="K4" s="136" t="str">
        <f>'Sales Quotation'!E3</f>
        <v>.000001</v>
      </c>
      <c r="L4" s="136" t="str">
        <f>'Sales Quotation'!F3</f>
        <v>15.1</v>
      </c>
      <c r="M4" s="1">
        <f>'Sales Quotation'!K3</f>
        <v>1</v>
      </c>
      <c r="N4" s="206" t="str">
        <f>'data mata uang'!D3</f>
        <v>IDR</v>
      </c>
      <c r="O4" s="206">
        <f>'data mata uang'!G3</f>
        <v>1</v>
      </c>
      <c r="P4" s="6">
        <v>43261</v>
      </c>
      <c r="Q4" s="1">
        <v>0</v>
      </c>
      <c r="R4" s="206">
        <v>0</v>
      </c>
      <c r="S4" s="1">
        <f>'Sales Quotation'!Q3</f>
        <v>1</v>
      </c>
      <c r="T4" s="206" t="str">
        <f>lokasi!B3</f>
        <v>cempaka putih</v>
      </c>
      <c r="U4" s="206" t="str">
        <f>'Sales Quotation'!S3</f>
        <v>sales berurut</v>
      </c>
      <c r="V4" s="206">
        <f>'Sales Quotation'!T3</f>
        <v>0</v>
      </c>
      <c r="W4" s="206">
        <f>'Sales Quotation'!U3</f>
        <v>0</v>
      </c>
      <c r="X4" s="206">
        <f>'Sales Quotation'!V3</f>
        <v>0</v>
      </c>
      <c r="Y4" s="6">
        <v>43262</v>
      </c>
      <c r="Z4" s="206">
        <f>kontak!A7</f>
        <v>5</v>
      </c>
      <c r="AA4" s="206" t="str">
        <f>kontak!G7</f>
        <v>gisela tria canitha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41">
        <f>SUM('order produk jual'!Q8)</f>
        <v>9000000</v>
      </c>
      <c r="AJ4" s="41">
        <f>SUM('order produk jual'!U8)</f>
        <v>900000</v>
      </c>
      <c r="AK4" s="206">
        <f>SUM('order produk jual'!Q8)</f>
        <v>9000000</v>
      </c>
      <c r="AL4" s="206">
        <f>SUM('order produk jual'!U8)</f>
        <v>900000</v>
      </c>
      <c r="AM4" s="206">
        <f>SUM('order produk jual'!Q8+'order produk jual'!U8)</f>
        <v>9900000</v>
      </c>
      <c r="AN4" s="1">
        <v>0</v>
      </c>
      <c r="AO4" s="1">
        <v>0</v>
      </c>
      <c r="AP4" s="1">
        <v>0</v>
      </c>
      <c r="AQ4" s="1">
        <v>0</v>
      </c>
      <c r="AR4" s="136">
        <f>'user id'!A4</f>
        <v>3</v>
      </c>
      <c r="AS4" s="206">
        <f>'periode akuntansi'!A2</f>
        <v>1</v>
      </c>
      <c r="AU4" s="1">
        <v>1</v>
      </c>
    </row>
    <row r="5" spans="1:47" x14ac:dyDescent="0.25">
      <c r="J5" s="136"/>
      <c r="K5" s="136"/>
      <c r="L5" s="136"/>
      <c r="AK5" s="206"/>
      <c r="AL5" s="206"/>
      <c r="AM5" s="206"/>
    </row>
    <row r="6" spans="1:47" x14ac:dyDescent="0.25">
      <c r="I6" s="136"/>
      <c r="J6" s="136"/>
      <c r="K6" s="136"/>
      <c r="L6" s="136"/>
    </row>
    <row r="7" spans="1:47" x14ac:dyDescent="0.25">
      <c r="I7" s="136"/>
      <c r="J7" s="136"/>
      <c r="K7" s="136"/>
      <c r="L7" s="136"/>
    </row>
  </sheetData>
  <mergeCells count="6">
    <mergeCell ref="Z1:AA1"/>
    <mergeCell ref="F1:G1"/>
    <mergeCell ref="M1:O1"/>
    <mergeCell ref="Q1:R1"/>
    <mergeCell ref="S1:T1"/>
    <mergeCell ref="J1:K1"/>
  </mergeCell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7"/>
  <sheetViews>
    <sheetView zoomScale="115" zoomScaleNormal="115" workbookViewId="0">
      <selection activeCell="A4" sqref="A4"/>
    </sheetView>
  </sheetViews>
  <sheetFormatPr defaultColWidth="9.140625" defaultRowHeight="15" x14ac:dyDescent="0.25"/>
  <cols>
    <col min="1" max="1" width="22.140625" style="1" bestFit="1" customWidth="1"/>
    <col min="2" max="2" width="9.7109375" style="1" bestFit="1" customWidth="1"/>
    <col min="3" max="16384" width="9.140625" style="1"/>
  </cols>
  <sheetData>
    <row r="1" spans="1:2" x14ac:dyDescent="0.25">
      <c r="A1" s="1" t="s">
        <v>867</v>
      </c>
      <c r="B1" s="1" t="s">
        <v>868</v>
      </c>
    </row>
    <row r="2" spans="1:2" x14ac:dyDescent="0.25">
      <c r="A2" s="1">
        <v>1</v>
      </c>
      <c r="B2" s="1" t="s">
        <v>857</v>
      </c>
    </row>
    <row r="3" spans="1:2" x14ac:dyDescent="0.25">
      <c r="A3" s="1">
        <v>2</v>
      </c>
      <c r="B3" s="1" t="s">
        <v>857</v>
      </c>
    </row>
    <row r="4" spans="1:2" x14ac:dyDescent="0.25">
      <c r="A4" s="1">
        <v>3</v>
      </c>
      <c r="B4" s="1" t="s">
        <v>858</v>
      </c>
    </row>
    <row r="5" spans="1:2" x14ac:dyDescent="0.25">
      <c r="A5" s="1">
        <v>4</v>
      </c>
      <c r="B5" s="1" t="s">
        <v>858</v>
      </c>
    </row>
    <row r="6" spans="1:2" x14ac:dyDescent="0.25">
      <c r="A6" s="1">
        <v>5</v>
      </c>
      <c r="B6" s="1" t="s">
        <v>859</v>
      </c>
    </row>
    <row r="7" spans="1:2" x14ac:dyDescent="0.25">
      <c r="A7" s="1">
        <v>6</v>
      </c>
      <c r="B7" s="1" t="s">
        <v>859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Q12"/>
  <sheetViews>
    <sheetView topLeftCell="F1" zoomScale="85" zoomScaleNormal="85" workbookViewId="0">
      <selection activeCell="R15" sqref="R15"/>
    </sheetView>
  </sheetViews>
  <sheetFormatPr defaultColWidth="9.140625" defaultRowHeight="15" x14ac:dyDescent="0.25"/>
  <cols>
    <col min="1" max="1" width="12.28515625" style="1" bestFit="1" customWidth="1"/>
    <col min="2" max="2" width="14.42578125" style="232" bestFit="1" customWidth="1"/>
    <col min="3" max="3" width="10.85546875" style="13" bestFit="1" customWidth="1"/>
    <col min="4" max="4" width="12.42578125" style="239" bestFit="1" customWidth="1"/>
    <col min="5" max="5" width="20.140625" style="1" bestFit="1" customWidth="1"/>
    <col min="6" max="6" width="19.85546875" style="262" bestFit="1" customWidth="1"/>
    <col min="7" max="7" width="10.28515625" style="1" bestFit="1" customWidth="1"/>
    <col min="8" max="8" width="50" style="1" bestFit="1" customWidth="1"/>
    <col min="9" max="9" width="13.140625" style="1" bestFit="1" customWidth="1"/>
    <col min="10" max="10" width="10.85546875" style="1" bestFit="1" customWidth="1"/>
    <col min="11" max="11" width="9.7109375" style="1" bestFit="1" customWidth="1"/>
    <col min="12" max="12" width="10" style="1" bestFit="1" customWidth="1"/>
    <col min="13" max="13" width="15.42578125" style="1" bestFit="1" customWidth="1"/>
    <col min="14" max="14" width="9" style="208" bestFit="1" customWidth="1"/>
    <col min="15" max="15" width="18" style="208" bestFit="1" customWidth="1"/>
    <col min="16" max="16" width="12.42578125" style="41" bestFit="1" customWidth="1"/>
    <col min="17" max="17" width="6.85546875" style="1" bestFit="1" customWidth="1"/>
    <col min="18" max="16384" width="9.140625" style="1"/>
  </cols>
  <sheetData>
    <row r="1" spans="1:17" x14ac:dyDescent="0.25">
      <c r="A1" s="1" t="s">
        <v>865</v>
      </c>
      <c r="B1" s="232" t="s">
        <v>1669</v>
      </c>
      <c r="C1" s="13" t="s">
        <v>481</v>
      </c>
      <c r="D1" s="18" t="s">
        <v>1685</v>
      </c>
      <c r="E1" s="18" t="s">
        <v>655</v>
      </c>
      <c r="F1" s="18" t="s">
        <v>1692</v>
      </c>
      <c r="G1" s="18" t="s">
        <v>394</v>
      </c>
      <c r="H1" s="1" t="s">
        <v>26</v>
      </c>
      <c r="I1" s="18" t="s">
        <v>1</v>
      </c>
      <c r="J1" s="18" t="s">
        <v>624</v>
      </c>
      <c r="K1" s="18" t="s">
        <v>24</v>
      </c>
      <c r="L1" s="18" t="s">
        <v>46</v>
      </c>
      <c r="M1" s="18" t="s">
        <v>47</v>
      </c>
      <c r="N1" s="231" t="s">
        <v>1371</v>
      </c>
      <c r="O1" s="231" t="s">
        <v>1693</v>
      </c>
      <c r="P1" s="46" t="s">
        <v>866</v>
      </c>
      <c r="Q1" s="1" t="s">
        <v>878</v>
      </c>
    </row>
    <row r="2" spans="1:17" x14ac:dyDescent="0.25">
      <c r="A2" s="1">
        <v>1</v>
      </c>
      <c r="B2" s="232">
        <v>0</v>
      </c>
      <c r="C2" s="13">
        <f>'modul hutang&amp;piutang'!T61</f>
        <v>43295</v>
      </c>
      <c r="D2" s="239" t="str">
        <f>'modul hutang&amp;piutang'!C61</f>
        <v>30.1</v>
      </c>
      <c r="E2" s="239" t="str">
        <f>'modul hutang&amp;piutang'!E61</f>
        <v>7.7</v>
      </c>
      <c r="G2" s="1">
        <f>Invoice!F9</f>
        <v>1</v>
      </c>
      <c r="H2" s="1" t="str">
        <f>CONCATENATE(Invoice!W9,", ",Invoice!G9,", ",Invoice!V9)</f>
        <v>term pembayaran, dimas dhaniarso, cempaka putih</v>
      </c>
      <c r="I2" s="1">
        <f>Invoice!AB9</f>
        <v>6</v>
      </c>
      <c r="J2" s="224">
        <f>Invoice!BZ9</f>
        <v>3</v>
      </c>
      <c r="K2" s="224">
        <f>Invoice!U9</f>
        <v>1</v>
      </c>
      <c r="L2" s="224">
        <f>Invoice!X9</f>
        <v>0</v>
      </c>
      <c r="M2" s="224">
        <f>Invoice!Y9</f>
        <v>0</v>
      </c>
      <c r="N2" s="208" t="s">
        <v>1661</v>
      </c>
      <c r="P2" s="41">
        <f>Invoice!BW9</f>
        <v>3042285.7142857146</v>
      </c>
    </row>
    <row r="3" spans="1:17" x14ac:dyDescent="0.25">
      <c r="A3" s="1">
        <v>2</v>
      </c>
      <c r="B3" s="232">
        <v>0</v>
      </c>
      <c r="C3" s="13">
        <f>'modul hutang&amp;piutang'!T62</f>
        <v>43325</v>
      </c>
      <c r="D3" s="239" t="str">
        <f>'modul hutang&amp;piutang'!C62</f>
        <v>30.2</v>
      </c>
      <c r="E3" s="239" t="str">
        <f>'modul hutang&amp;piutang'!E62</f>
        <v>7.7</v>
      </c>
      <c r="G3" s="1">
        <f>Invoice!F9</f>
        <v>1</v>
      </c>
      <c r="H3" s="1" t="str">
        <f>CONCATENATE(Invoice!W9,", ",Invoice!G9,", ",Invoice!V9)</f>
        <v>term pembayaran, dimas dhaniarso, cempaka putih</v>
      </c>
      <c r="I3" s="1">
        <f>Invoice!AB9</f>
        <v>6</v>
      </c>
      <c r="J3" s="1">
        <f>Invoice!BZ9</f>
        <v>3</v>
      </c>
      <c r="K3" s="1">
        <f>Invoice!U9</f>
        <v>1</v>
      </c>
      <c r="L3" s="1">
        <f>Invoice!X9</f>
        <v>0</v>
      </c>
      <c r="M3" s="1">
        <f>Invoice!Y9</f>
        <v>0</v>
      </c>
      <c r="N3" s="208" t="s">
        <v>1661</v>
      </c>
      <c r="P3" s="41">
        <f>Invoice!BW9</f>
        <v>3042285.7142857146</v>
      </c>
    </row>
    <row r="4" spans="1:17" x14ac:dyDescent="0.25">
      <c r="A4" s="1">
        <v>3</v>
      </c>
      <c r="B4" s="232">
        <v>0</v>
      </c>
      <c r="C4" s="13">
        <f>Invoice!AK10</f>
        <v>43268</v>
      </c>
      <c r="D4" s="256" t="str">
        <f>Invoice!C10</f>
        <v>7.8</v>
      </c>
      <c r="E4" s="224" t="str">
        <f>Invoice!N10</f>
        <v>7.8</v>
      </c>
      <c r="G4" s="224">
        <f>Invoice!F10</f>
        <v>1</v>
      </c>
      <c r="H4" s="224" t="str">
        <f>CONCATENATE(Invoice!W10,", ",Invoice!G10,", ",Invoice!V10)</f>
        <v>Annual, dimas dhaniarso, cempaka putih</v>
      </c>
      <c r="I4" s="224">
        <f>Invoice!AB10</f>
        <v>5</v>
      </c>
      <c r="J4" s="224">
        <f>Invoice!BZ10</f>
        <v>2</v>
      </c>
      <c r="K4" s="224">
        <f>Invoice!U10</f>
        <v>1</v>
      </c>
      <c r="L4" s="224">
        <f>Invoice!X10</f>
        <v>0</v>
      </c>
      <c r="M4" s="224">
        <f>Invoice!Y10</f>
        <v>0</v>
      </c>
      <c r="P4" s="41">
        <f>Invoice!BN10</f>
        <v>3300000</v>
      </c>
    </row>
    <row r="5" spans="1:17" x14ac:dyDescent="0.25">
      <c r="A5" s="1">
        <v>4</v>
      </c>
      <c r="B5" s="232">
        <v>0</v>
      </c>
      <c r="C5" s="13">
        <f>7+C4</f>
        <v>43275</v>
      </c>
      <c r="D5" s="256" t="str">
        <f>Invoice!C10</f>
        <v>7.8</v>
      </c>
      <c r="E5" s="1" t="str">
        <f>Invoice!N10</f>
        <v>7.8</v>
      </c>
      <c r="G5" s="1">
        <f>Invoice!F10</f>
        <v>1</v>
      </c>
      <c r="H5" s="1" t="str">
        <f>CONCATENATE(Invoice!W10,", ",Invoice!G10,", ",Invoice!V10)</f>
        <v>Annual, dimas dhaniarso, cempaka putih</v>
      </c>
      <c r="I5" s="1">
        <f>Invoice!AB10</f>
        <v>5</v>
      </c>
      <c r="J5" s="1">
        <f>Invoice!BZ10</f>
        <v>2</v>
      </c>
      <c r="K5" s="1">
        <f>Invoice!U10</f>
        <v>1</v>
      </c>
      <c r="L5" s="1">
        <f>Invoice!X10</f>
        <v>0</v>
      </c>
      <c r="M5" s="1">
        <f>Invoice!Y10</f>
        <v>0</v>
      </c>
      <c r="P5" s="41">
        <f>Invoice!BN10</f>
        <v>3300000</v>
      </c>
    </row>
    <row r="6" spans="1:17" x14ac:dyDescent="0.25">
      <c r="A6" s="1">
        <v>5</v>
      </c>
      <c r="B6" s="232">
        <v>0</v>
      </c>
      <c r="C6" s="13">
        <f>7+C5</f>
        <v>43282</v>
      </c>
      <c r="D6" s="256" t="str">
        <f>Invoice!C10</f>
        <v>7.8</v>
      </c>
      <c r="E6" s="1" t="str">
        <f>Invoice!N10</f>
        <v>7.8</v>
      </c>
      <c r="G6" s="1">
        <f>Invoice!F10</f>
        <v>1</v>
      </c>
      <c r="H6" s="1" t="str">
        <f>CONCATENATE(Invoice!W10,", ",Invoice!G10,", ",Invoice!V10)</f>
        <v>Annual, dimas dhaniarso, cempaka putih</v>
      </c>
      <c r="I6" s="1">
        <f>Invoice!AB10</f>
        <v>5</v>
      </c>
      <c r="J6" s="1">
        <f>Invoice!BZ10</f>
        <v>2</v>
      </c>
      <c r="K6" s="1">
        <f>Invoice!U10</f>
        <v>1</v>
      </c>
      <c r="L6" s="1">
        <f>Invoice!X10</f>
        <v>0</v>
      </c>
      <c r="M6" s="1">
        <f>Invoice!Y10</f>
        <v>0</v>
      </c>
      <c r="P6" s="41">
        <f>Invoice!BN10</f>
        <v>3300000</v>
      </c>
    </row>
    <row r="7" spans="1:17" s="224" customFormat="1" x14ac:dyDescent="0.25">
      <c r="B7" s="232"/>
      <c r="C7" s="13"/>
      <c r="D7" s="239"/>
      <c r="F7" s="262"/>
      <c r="N7" s="208"/>
      <c r="O7" s="208"/>
      <c r="P7" s="41"/>
    </row>
    <row r="8" spans="1:17" x14ac:dyDescent="0.25">
      <c r="A8" s="1">
        <v>8</v>
      </c>
      <c r="B8" s="232">
        <v>1</v>
      </c>
      <c r="C8" s="13">
        <f>'order jasa jual'!Y2</f>
        <v>43269</v>
      </c>
      <c r="D8" s="256" t="str">
        <f>Invoice!C12</f>
        <v>7.10</v>
      </c>
      <c r="E8" s="224" t="str">
        <f>Invoice!N12</f>
        <v>7.10</v>
      </c>
      <c r="G8" s="1">
        <f>Invoice!F12</f>
        <v>3</v>
      </c>
      <c r="H8" s="224" t="str">
        <f>CONCATENATE(Invoice!W12,", ",Invoice!G12,", ",Invoice!V12)</f>
        <v>sewa mobil, rahmat handono, cempaka putih</v>
      </c>
      <c r="I8" s="224">
        <f>Invoice!AB12</f>
        <v>4</v>
      </c>
      <c r="J8" s="224">
        <f>Invoice!BZ12</f>
        <v>0</v>
      </c>
      <c r="K8" s="224">
        <f>Invoice!U12</f>
        <v>1</v>
      </c>
      <c r="L8" s="224">
        <f>Invoice!X12</f>
        <v>0</v>
      </c>
      <c r="M8" s="224">
        <f>Invoice!Y12</f>
        <v>0</v>
      </c>
      <c r="N8" s="208">
        <f>'order jasa jual'!W2</f>
        <v>4</v>
      </c>
      <c r="P8" s="41">
        <f>SUM('order jasa jual'!N2+'order jasa jual'!R2)</f>
        <v>357000</v>
      </c>
    </row>
    <row r="11" spans="1:17" x14ac:dyDescent="0.25">
      <c r="C11" s="13">
        <f>'Received Goods'!AQ10</f>
        <v>43264</v>
      </c>
      <c r="D11" s="256" t="str">
        <f>'Received Goods'!C10</f>
        <v>8.10</v>
      </c>
      <c r="E11" s="1" t="str">
        <f>'Received Goods'!N10</f>
        <v>8.10</v>
      </c>
      <c r="G11" s="1">
        <f>'Received Goods'!F10</f>
        <v>8</v>
      </c>
      <c r="H11" s="1" t="str">
        <f>CONCATENATE('Received Goods'!W9,", ",'Received Goods'!G9,", ",'Received Goods'!V9)</f>
        <v>term pembayaran, supriatna, cempaka putih</v>
      </c>
      <c r="I11" s="1">
        <f>'Received Goods'!AB10</f>
        <v>6</v>
      </c>
      <c r="J11" s="1">
        <f>'Received Goods'!CA10</f>
        <v>2</v>
      </c>
      <c r="K11" s="1">
        <f>'Received Goods'!U10</f>
        <v>1</v>
      </c>
      <c r="L11" s="1">
        <f>'Received Goods'!X10</f>
        <v>0</v>
      </c>
      <c r="M11" s="224">
        <f>'Received Goods'!Y10</f>
        <v>0</v>
      </c>
      <c r="P11" s="41">
        <f>'Received Goods'!BO10</f>
        <v>25850000</v>
      </c>
    </row>
    <row r="12" spans="1:17" x14ac:dyDescent="0.25">
      <c r="C12" s="13">
        <f>7+C11</f>
        <v>43271</v>
      </c>
      <c r="D12" s="256" t="str">
        <f>'Received Goods'!C10</f>
        <v>8.10</v>
      </c>
      <c r="E12" s="1" t="str">
        <f>'Received Goods'!N10</f>
        <v>8.10</v>
      </c>
      <c r="G12" s="1">
        <f>'Received Goods'!F10</f>
        <v>8</v>
      </c>
      <c r="H12" s="1" t="str">
        <f>CONCATENATE('Received Goods'!W9,", ",'Received Goods'!G9,", ",'Received Goods'!V9)</f>
        <v>term pembayaran, supriatna, cempaka putih</v>
      </c>
      <c r="I12" s="1">
        <f>'Received Goods'!AB10</f>
        <v>6</v>
      </c>
      <c r="J12" s="1">
        <f>'Received Goods'!CA10</f>
        <v>2</v>
      </c>
      <c r="K12" s="1">
        <f>'Received Goods'!U10</f>
        <v>1</v>
      </c>
      <c r="L12" s="1">
        <f>'Received Goods'!X10</f>
        <v>0</v>
      </c>
      <c r="M12" s="1">
        <f>'Received Goods'!Y10</f>
        <v>0</v>
      </c>
      <c r="P12" s="41">
        <f>'Received Goods'!BO10</f>
        <v>25850000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D4"/>
  <sheetViews>
    <sheetView workbookViewId="0">
      <selection activeCell="D1" sqref="D1"/>
    </sheetView>
  </sheetViews>
  <sheetFormatPr defaultColWidth="9.140625" defaultRowHeight="15" x14ac:dyDescent="0.25"/>
  <cols>
    <col min="1" max="1" width="18.7109375" style="1" bestFit="1" customWidth="1"/>
    <col min="2" max="2" width="14.85546875" style="1" bestFit="1" customWidth="1"/>
    <col min="3" max="3" width="18.42578125" style="1" bestFit="1" customWidth="1"/>
    <col min="4" max="4" width="31.7109375" style="1" bestFit="1" customWidth="1"/>
    <col min="5" max="16384" width="9.140625" style="1"/>
  </cols>
  <sheetData>
    <row r="1" spans="1:4" x14ac:dyDescent="0.25">
      <c r="A1" s="1" t="s">
        <v>683</v>
      </c>
      <c r="B1" s="1" t="s">
        <v>47</v>
      </c>
      <c r="C1" s="1" t="s">
        <v>392</v>
      </c>
      <c r="D1" s="1" t="s">
        <v>395</v>
      </c>
    </row>
    <row r="2" spans="1:4" x14ac:dyDescent="0.25">
      <c r="A2" s="1">
        <v>1</v>
      </c>
      <c r="B2" s="1">
        <f>'data departemen'!A2</f>
        <v>1</v>
      </c>
      <c r="C2" s="1" t="str">
        <f>'data departemen'!C2</f>
        <v>kantor pusat</v>
      </c>
      <c r="D2" s="1" t="str">
        <f>'data departemen'!G2</f>
        <v>dea fitri maharani</v>
      </c>
    </row>
    <row r="3" spans="1:4" x14ac:dyDescent="0.25">
      <c r="A3" s="1">
        <v>2</v>
      </c>
      <c r="B3" s="1">
        <f>'data departemen'!A3</f>
        <v>2</v>
      </c>
      <c r="C3" s="1" t="str">
        <f>'data departemen'!C3</f>
        <v>service departemen</v>
      </c>
      <c r="D3" s="1" t="str">
        <f>'data departemen'!G3</f>
        <v>gisela tria canitha</v>
      </c>
    </row>
    <row r="4" spans="1:4" x14ac:dyDescent="0.25">
      <c r="A4" s="1">
        <v>3</v>
      </c>
      <c r="B4" s="1">
        <f>'data departemen'!A4</f>
        <v>3</v>
      </c>
      <c r="C4" s="1" t="str">
        <f>'data departemen'!C4</f>
        <v>jual beli departemen</v>
      </c>
      <c r="D4" s="1" t="str">
        <f>'data departemen'!G4</f>
        <v>yusril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4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14.85546875" style="1" bestFit="1" customWidth="1"/>
    <col min="2" max="2" width="17.7109375" style="1" bestFit="1" customWidth="1"/>
    <col min="3" max="3" width="19.85546875" style="1" bestFit="1" customWidth="1"/>
    <col min="4" max="4" width="19.140625" style="1" bestFit="1" customWidth="1"/>
    <col min="5" max="5" width="21.42578125" style="1" bestFit="1" customWidth="1"/>
    <col min="6" max="6" width="9.7109375" style="1" bestFit="1" customWidth="1"/>
    <col min="7" max="7" width="31.7109375" style="1" bestFit="1" customWidth="1"/>
    <col min="8" max="8" width="9" style="1" bestFit="1" customWidth="1"/>
    <col min="9" max="9" width="17.42578125" style="1" bestFit="1" customWidth="1"/>
    <col min="10" max="16384" width="9.140625" style="1"/>
  </cols>
  <sheetData>
    <row r="1" spans="1:9" x14ac:dyDescent="0.25">
      <c r="A1" s="1" t="s">
        <v>47</v>
      </c>
      <c r="B1" s="1" t="s">
        <v>908</v>
      </c>
      <c r="C1" s="1" t="s">
        <v>392</v>
      </c>
      <c r="D1" s="1" t="s">
        <v>1522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1475</v>
      </c>
    </row>
    <row r="2" spans="1:9" x14ac:dyDescent="0.25">
      <c r="A2" s="1">
        <v>1</v>
      </c>
      <c r="B2" s="1" t="s">
        <v>909</v>
      </c>
      <c r="C2" s="1" t="s">
        <v>397</v>
      </c>
      <c r="F2" s="1">
        <f>kontak!A6</f>
        <v>4</v>
      </c>
      <c r="G2" s="1" t="str">
        <f>kontak!G6</f>
        <v>dea fitri maharani</v>
      </c>
    </row>
    <row r="3" spans="1:9" x14ac:dyDescent="0.25">
      <c r="A3" s="1">
        <v>2</v>
      </c>
      <c r="B3" s="1" t="s">
        <v>910</v>
      </c>
      <c r="C3" s="1" t="s">
        <v>398</v>
      </c>
      <c r="D3" s="1">
        <f>A2</f>
        <v>1</v>
      </c>
      <c r="E3" s="1" t="str">
        <f>C2</f>
        <v>kantor pusat</v>
      </c>
      <c r="F3" s="1">
        <f>kontak!A7</f>
        <v>5</v>
      </c>
      <c r="G3" s="1" t="str">
        <f>kontak!G7</f>
        <v>gisela tria canitha</v>
      </c>
    </row>
    <row r="4" spans="1:9" x14ac:dyDescent="0.25">
      <c r="A4" s="1">
        <v>3</v>
      </c>
      <c r="B4" s="1" t="s">
        <v>911</v>
      </c>
      <c r="C4" s="1" t="s">
        <v>399</v>
      </c>
      <c r="D4" s="1">
        <f>A2</f>
        <v>1</v>
      </c>
      <c r="E4" s="1" t="str">
        <f>C2</f>
        <v>kantor pusat</v>
      </c>
      <c r="F4" s="1">
        <f>kontak!A8</f>
        <v>6</v>
      </c>
      <c r="G4" s="1" t="str">
        <f>kontak!G8</f>
        <v>yusril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P26"/>
  <sheetViews>
    <sheetView zoomScale="145" zoomScaleNormal="145" workbookViewId="0">
      <selection activeCell="E3" sqref="E3"/>
    </sheetView>
  </sheetViews>
  <sheetFormatPr defaultColWidth="9.140625" defaultRowHeight="15" x14ac:dyDescent="0.25"/>
  <cols>
    <col min="1" max="1" width="16" style="1" bestFit="1" customWidth="1"/>
    <col min="2" max="2" width="14.28515625" style="1" bestFit="1" customWidth="1"/>
    <col min="3" max="3" width="13.42578125" style="1" bestFit="1" customWidth="1"/>
    <col min="4" max="4" width="20.140625" style="1" bestFit="1" customWidth="1"/>
    <col min="5" max="5" width="17" style="1" bestFit="1" customWidth="1"/>
    <col min="6" max="6" width="14.140625" style="1" bestFit="1" customWidth="1"/>
    <col min="7" max="7" width="10.85546875" style="1" bestFit="1" customWidth="1"/>
    <col min="8" max="8" width="14.42578125" style="1" bestFit="1" customWidth="1"/>
    <col min="9" max="9" width="11.42578125" style="1" bestFit="1" customWidth="1"/>
    <col min="10" max="10" width="13.42578125" style="1" bestFit="1" customWidth="1"/>
    <col min="11" max="11" width="15" style="1" bestFit="1" customWidth="1"/>
    <col min="12" max="12" width="17.28515625" style="1" bestFit="1" customWidth="1"/>
    <col min="13" max="13" width="9.7109375" style="1" bestFit="1" customWidth="1"/>
    <col min="14" max="14" width="6.85546875" style="1" bestFit="1" customWidth="1"/>
    <col min="15" max="15" width="12.140625" style="1" bestFit="1" customWidth="1"/>
    <col min="16" max="16" width="18" style="1" bestFit="1" customWidth="1"/>
    <col min="17" max="16384" width="9.140625" style="1"/>
  </cols>
  <sheetData>
    <row r="1" spans="1:16" x14ac:dyDescent="0.25">
      <c r="B1" s="1" t="s">
        <v>1093</v>
      </c>
      <c r="C1" s="1" t="s">
        <v>1094</v>
      </c>
      <c r="D1" s="291" t="s">
        <v>1095</v>
      </c>
      <c r="E1" s="291"/>
      <c r="F1" s="291" t="s">
        <v>389</v>
      </c>
      <c r="G1" s="291"/>
      <c r="H1" s="291" t="s">
        <v>915</v>
      </c>
      <c r="I1" s="291"/>
      <c r="J1" s="1" t="s">
        <v>1096</v>
      </c>
      <c r="K1" s="1" t="s">
        <v>1099</v>
      </c>
      <c r="L1" s="1" t="s">
        <v>1100</v>
      </c>
      <c r="M1" s="291" t="s">
        <v>390</v>
      </c>
      <c r="N1" s="291"/>
      <c r="O1" s="1" t="s">
        <v>1101</v>
      </c>
      <c r="P1" s="1" t="s">
        <v>1474</v>
      </c>
    </row>
    <row r="2" spans="1:16" x14ac:dyDescent="0.25">
      <c r="A2" s="1" t="s">
        <v>1530</v>
      </c>
      <c r="B2" s="1" t="s">
        <v>1092</v>
      </c>
      <c r="C2" s="1" t="s">
        <v>388</v>
      </c>
      <c r="D2" s="1" t="s">
        <v>1533</v>
      </c>
      <c r="E2" s="1" t="s">
        <v>1531</v>
      </c>
      <c r="F2" s="1" t="s">
        <v>1532</v>
      </c>
      <c r="G2" s="1" t="s">
        <v>1534</v>
      </c>
      <c r="H2" s="1" t="s">
        <v>115</v>
      </c>
      <c r="I2" s="1" t="s">
        <v>21</v>
      </c>
      <c r="J2" s="1" t="s">
        <v>1535</v>
      </c>
      <c r="K2" s="1" t="s">
        <v>1097</v>
      </c>
      <c r="L2" s="1" t="s">
        <v>1098</v>
      </c>
      <c r="M2" s="1" t="s">
        <v>1102</v>
      </c>
      <c r="N2" s="1" t="s">
        <v>390</v>
      </c>
      <c r="O2" s="1" t="s">
        <v>391</v>
      </c>
      <c r="P2" s="1" t="s">
        <v>1475</v>
      </c>
    </row>
    <row r="8" spans="1:16" x14ac:dyDescent="0.25">
      <c r="A8" s="40"/>
      <c r="B8" s="40"/>
    </row>
    <row r="9" spans="1:16" x14ac:dyDescent="0.25">
      <c r="A9" s="40" t="s">
        <v>927</v>
      </c>
      <c r="B9" s="39" t="s">
        <v>1094</v>
      </c>
    </row>
    <row r="10" spans="1:16" x14ac:dyDescent="0.25">
      <c r="A10" s="40"/>
      <c r="B10" s="40" t="s">
        <v>1095</v>
      </c>
    </row>
    <row r="11" spans="1:16" x14ac:dyDescent="0.25">
      <c r="A11" s="40"/>
      <c r="B11" s="39" t="s">
        <v>389</v>
      </c>
    </row>
    <row r="12" spans="1:16" x14ac:dyDescent="0.25">
      <c r="A12" s="40"/>
      <c r="B12" s="39" t="s">
        <v>915</v>
      </c>
    </row>
    <row r="13" spans="1:16" x14ac:dyDescent="0.25">
      <c r="A13" s="40"/>
      <c r="B13" s="40" t="s">
        <v>1099</v>
      </c>
    </row>
    <row r="14" spans="1:16" x14ac:dyDescent="0.25">
      <c r="A14" s="40"/>
      <c r="B14" s="40" t="s">
        <v>1103</v>
      </c>
    </row>
    <row r="15" spans="1:16" x14ac:dyDescent="0.25">
      <c r="A15" s="40"/>
      <c r="B15" s="40"/>
    </row>
    <row r="16" spans="1:16" x14ac:dyDescent="0.25">
      <c r="A16" s="40"/>
      <c r="B16" s="40"/>
    </row>
    <row r="19" spans="1:2" x14ac:dyDescent="0.25">
      <c r="B19" s="39"/>
    </row>
    <row r="20" spans="1:2" x14ac:dyDescent="0.25">
      <c r="B20" s="39"/>
    </row>
    <row r="21" spans="1:2" x14ac:dyDescent="0.25">
      <c r="A21" s="1" t="s">
        <v>932</v>
      </c>
      <c r="B21" s="39" t="s">
        <v>1104</v>
      </c>
    </row>
    <row r="22" spans="1:2" x14ac:dyDescent="0.25">
      <c r="B22" s="39"/>
    </row>
    <row r="23" spans="1:2" x14ac:dyDescent="0.25">
      <c r="B23" s="39"/>
    </row>
    <row r="24" spans="1:2" x14ac:dyDescent="0.25">
      <c r="B24" s="39"/>
    </row>
    <row r="25" spans="1:2" x14ac:dyDescent="0.25">
      <c r="A25" s="1" t="s">
        <v>936</v>
      </c>
      <c r="B25" s="39"/>
    </row>
    <row r="26" spans="1:2" x14ac:dyDescent="0.25">
      <c r="A26" s="40"/>
      <c r="B26" s="40"/>
    </row>
  </sheetData>
  <mergeCells count="4">
    <mergeCell ref="H1:I1"/>
    <mergeCell ref="D1:E1"/>
    <mergeCell ref="F1:G1"/>
    <mergeCell ref="M1:N1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B4"/>
  <sheetViews>
    <sheetView workbookViewId="0">
      <selection activeCell="B1" sqref="B1"/>
    </sheetView>
  </sheetViews>
  <sheetFormatPr defaultColWidth="9.140625" defaultRowHeight="15" x14ac:dyDescent="0.25"/>
  <cols>
    <col min="1" max="1" width="16.28515625" style="1" bestFit="1" customWidth="1"/>
    <col min="2" max="2" width="13.42578125" style="1" bestFit="1" customWidth="1"/>
    <col min="3" max="16384" width="9.140625" style="1"/>
  </cols>
  <sheetData>
    <row r="1" spans="1:2" x14ac:dyDescent="0.25">
      <c r="A1" s="1" t="s">
        <v>1090</v>
      </c>
      <c r="B1" s="1" t="s">
        <v>1091</v>
      </c>
    </row>
    <row r="2" spans="1:2" x14ac:dyDescent="0.25">
      <c r="A2" s="1">
        <v>1</v>
      </c>
      <c r="B2" s="1" t="s">
        <v>1087</v>
      </c>
    </row>
    <row r="3" spans="1:2" x14ac:dyDescent="0.25">
      <c r="A3" s="1">
        <v>2</v>
      </c>
      <c r="B3" s="1" t="s">
        <v>1088</v>
      </c>
    </row>
    <row r="4" spans="1:2" x14ac:dyDescent="0.25">
      <c r="A4" s="1">
        <v>3</v>
      </c>
      <c r="B4" s="1" t="s">
        <v>1089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I7"/>
  <sheetViews>
    <sheetView workbookViewId="0">
      <selection activeCell="M18" sqref="M18"/>
    </sheetView>
  </sheetViews>
  <sheetFormatPr defaultColWidth="9.140625" defaultRowHeight="15" x14ac:dyDescent="0.25"/>
  <cols>
    <col min="1" max="1" width="23" style="1" bestFit="1" customWidth="1"/>
    <col min="2" max="2" width="14.140625" style="1" bestFit="1" customWidth="1"/>
    <col min="3" max="3" width="17.42578125" style="1" bestFit="1" customWidth="1"/>
    <col min="4" max="4" width="27.42578125" style="1" bestFit="1" customWidth="1"/>
    <col min="5" max="5" width="15.140625" style="1" bestFit="1" customWidth="1"/>
    <col min="6" max="6" width="5.7109375" style="1" bestFit="1" customWidth="1"/>
    <col min="7" max="8" width="16.7109375" style="1" bestFit="1" customWidth="1"/>
    <col min="9" max="9" width="11" style="1" bestFit="1" customWidth="1"/>
    <col min="10" max="16384" width="9.140625" style="1"/>
  </cols>
  <sheetData>
    <row r="1" spans="1:9" x14ac:dyDescent="0.25">
      <c r="A1" s="1" t="s">
        <v>757</v>
      </c>
      <c r="B1" s="1" t="s">
        <v>684</v>
      </c>
      <c r="C1" s="1" t="s">
        <v>685</v>
      </c>
      <c r="D1" s="1" t="s">
        <v>758</v>
      </c>
      <c r="E1" s="1" t="s">
        <v>759</v>
      </c>
      <c r="F1" s="1" t="s">
        <v>738</v>
      </c>
      <c r="G1" s="1" t="s">
        <v>691</v>
      </c>
      <c r="H1" s="1" t="s">
        <v>760</v>
      </c>
      <c r="I1" s="1" t="s">
        <v>693</v>
      </c>
    </row>
    <row r="2" spans="1:9" x14ac:dyDescent="0.25">
      <c r="A2" s="1">
        <v>1</v>
      </c>
      <c r="B2" s="1">
        <f>'data harta tetap'!A3</f>
        <v>1</v>
      </c>
      <c r="C2" s="1" t="str">
        <f>'data harta tetap'!G3</f>
        <v>TIMAH building</v>
      </c>
      <c r="D2" s="1" t="str">
        <f>'data harta tetap'!I3</f>
        <v>bangunan</v>
      </c>
      <c r="E2" s="1">
        <f>'data harta tetap'!P3</f>
        <v>5000000000</v>
      </c>
      <c r="F2" s="1">
        <f>'data harta tetap'!R3</f>
        <v>10</v>
      </c>
      <c r="G2" s="1">
        <f>'data harta tetap'!AD3</f>
        <v>333333333.33333331</v>
      </c>
      <c r="H2" s="1">
        <f>'data harta tetap'!AH3</f>
        <v>33333333.333333332</v>
      </c>
      <c r="I2" s="1">
        <f>'data harta tetap'!AG3</f>
        <v>4600000000</v>
      </c>
    </row>
    <row r="3" spans="1:9" x14ac:dyDescent="0.25">
      <c r="A3" s="1">
        <v>2</v>
      </c>
      <c r="B3" s="1">
        <f>'data harta tetap'!A4</f>
        <v>2</v>
      </c>
      <c r="C3" s="1" t="str">
        <f>'data harta tetap'!G4</f>
        <v>AVANZA</v>
      </c>
      <c r="D3" s="1" t="str">
        <f>'data harta tetap'!I4</f>
        <v>mobil 5thn</v>
      </c>
      <c r="E3" s="1">
        <f>'data harta tetap'!P4</f>
        <v>150000000</v>
      </c>
      <c r="F3" s="1">
        <f>'data harta tetap'!R4</f>
        <v>5</v>
      </c>
      <c r="G3" s="1">
        <f>'data harta tetap'!AD4</f>
        <v>25000000</v>
      </c>
      <c r="H3" s="1">
        <f>'data harta tetap'!AH4</f>
        <v>2500000</v>
      </c>
      <c r="I3" s="1">
        <f>'data harta tetap'!AG4</f>
        <v>125000000</v>
      </c>
    </row>
    <row r="4" spans="1:9" x14ac:dyDescent="0.25">
      <c r="A4" s="1">
        <v>3</v>
      </c>
      <c r="B4" s="1">
        <f>'data harta tetap'!A5</f>
        <v>3</v>
      </c>
      <c r="C4" s="1" t="str">
        <f>'data harta tetap'!G5</f>
        <v>ibis</v>
      </c>
      <c r="D4" s="1" t="str">
        <f>'data harta tetap'!I5</f>
        <v>hotel</v>
      </c>
      <c r="E4" s="1">
        <f>'data harta tetap'!P5</f>
        <v>3000000000</v>
      </c>
      <c r="F4" s="1">
        <f>'data harta tetap'!R5</f>
        <v>10</v>
      </c>
      <c r="G4" s="1">
        <f>'data harta tetap'!AD5</f>
        <v>225000000</v>
      </c>
      <c r="H4" s="1">
        <f>'data harta tetap'!AH5</f>
        <v>25000000</v>
      </c>
      <c r="I4" s="1">
        <f>'data harta tetap'!AG5</f>
        <v>2775000000</v>
      </c>
    </row>
    <row r="5" spans="1:9" x14ac:dyDescent="0.25">
      <c r="A5" s="1">
        <v>4</v>
      </c>
      <c r="B5" s="1">
        <f>'data harta tetap'!A6</f>
        <v>4</v>
      </c>
      <c r="C5" s="1" t="str">
        <f>'data harta tetap'!G6</f>
        <v>toyota agya</v>
      </c>
      <c r="D5" s="1" t="str">
        <f>'data harta tetap'!I6</f>
        <v>mobil 4thn</v>
      </c>
      <c r="E5" s="1">
        <f>'data harta tetap'!P6</f>
        <v>85000000</v>
      </c>
      <c r="F5" s="1">
        <f>'data harta tetap'!R6</f>
        <v>4</v>
      </c>
      <c r="G5" s="1">
        <f>'data harta tetap'!AD6</f>
        <v>15000000</v>
      </c>
      <c r="H5" s="1">
        <f>'data harta tetap'!AH6</f>
        <v>1666666.6666666667</v>
      </c>
      <c r="I5" s="1">
        <f>'data harta tetap'!AG6</f>
        <v>70000000</v>
      </c>
    </row>
    <row r="6" spans="1:9" x14ac:dyDescent="0.25">
      <c r="A6" s="1">
        <v>5</v>
      </c>
      <c r="B6" s="1">
        <f>'data harta tetap'!A7</f>
        <v>5</v>
      </c>
      <c r="C6" s="1" t="str">
        <f>'data harta tetap'!G7</f>
        <v>suzuki alya</v>
      </c>
      <c r="D6" s="1" t="str">
        <f>'data harta tetap'!I7</f>
        <v>mobil 5thn</v>
      </c>
      <c r="E6" s="1">
        <f>'data harta tetap'!P7</f>
        <v>120000000</v>
      </c>
      <c r="F6" s="1">
        <f>'data harta tetap'!R7</f>
        <v>5</v>
      </c>
      <c r="G6" s="1">
        <f>'data harta tetap'!AD7</f>
        <v>16000000</v>
      </c>
      <c r="H6" s="1">
        <f>'data harta tetap'!AH7</f>
        <v>2000000</v>
      </c>
      <c r="I6" s="1">
        <f>'data harta tetap'!AG7</f>
        <v>104000000</v>
      </c>
    </row>
    <row r="7" spans="1:9" x14ac:dyDescent="0.25">
      <c r="A7" s="1">
        <v>6</v>
      </c>
      <c r="B7" s="1">
        <f>'data harta tetap'!A8</f>
        <v>6</v>
      </c>
      <c r="C7" s="1" t="str">
        <f>'data harta tetap'!G8</f>
        <v>isuzu panther</v>
      </c>
      <c r="D7" s="1" t="str">
        <f>'data harta tetap'!I8</f>
        <v>mobil 5thn</v>
      </c>
      <c r="E7" s="1">
        <f>'data harta tetap'!P8</f>
        <v>120000000</v>
      </c>
      <c r="F7" s="1">
        <f>'data harta tetap'!R8</f>
        <v>5</v>
      </c>
      <c r="G7" s="1">
        <f>'data harta tetap'!AD8</f>
        <v>18000000</v>
      </c>
      <c r="H7" s="1">
        <f>'data harta tetap'!AH8</f>
        <v>2000000</v>
      </c>
      <c r="I7" s="1">
        <f>'data harta tetap'!AG8</f>
        <v>102000000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AQ36"/>
  <sheetViews>
    <sheetView zoomScale="115" zoomScaleNormal="115" workbookViewId="0">
      <selection activeCell="B3" sqref="B3"/>
    </sheetView>
  </sheetViews>
  <sheetFormatPr defaultColWidth="9.140625" defaultRowHeight="15" x14ac:dyDescent="0.25"/>
  <cols>
    <col min="1" max="1" width="15.28515625" style="1" bestFit="1" customWidth="1"/>
    <col min="2" max="2" width="17.28515625" style="267" bestFit="1" customWidth="1"/>
    <col min="3" max="3" width="11.42578125" style="267" bestFit="1" customWidth="1"/>
    <col min="4" max="4" width="14.42578125" style="267" bestFit="1" customWidth="1"/>
    <col min="5" max="5" width="12.140625" style="267" bestFit="1" customWidth="1"/>
    <col min="6" max="6" width="37.42578125" style="1" bestFit="1" customWidth="1"/>
    <col min="7" max="7" width="46.42578125" style="1" bestFit="1" customWidth="1"/>
    <col min="8" max="8" width="24.28515625" style="1" bestFit="1" customWidth="1"/>
    <col min="9" max="9" width="27.42578125" style="1" bestFit="1" customWidth="1"/>
    <col min="10" max="10" width="15" style="1" bestFit="1" customWidth="1"/>
    <col min="11" max="11" width="15.85546875" style="267" bestFit="1" customWidth="1"/>
    <col min="12" max="12" width="18.28515625" style="1" bestFit="1" customWidth="1"/>
    <col min="13" max="13" width="11" style="1" bestFit="1" customWidth="1"/>
    <col min="14" max="14" width="15.85546875" style="1" bestFit="1" customWidth="1"/>
    <col min="15" max="15" width="15.7109375" style="1" bestFit="1" customWidth="1"/>
    <col min="16" max="17" width="12.28515625" style="1" bestFit="1" customWidth="1"/>
    <col min="18" max="18" width="15.42578125" style="1" bestFit="1" customWidth="1"/>
    <col min="19" max="19" width="8.85546875" style="1" bestFit="1" customWidth="1"/>
    <col min="20" max="20" width="14.42578125" style="1" bestFit="1" customWidth="1"/>
    <col min="21" max="21" width="12.42578125" style="1" bestFit="1" customWidth="1"/>
    <col min="22" max="23" width="9.7109375" style="1" bestFit="1" customWidth="1"/>
    <col min="24" max="24" width="9.28515625" style="1" bestFit="1" customWidth="1"/>
    <col min="25" max="25" width="8" style="1" bestFit="1" customWidth="1"/>
    <col min="26" max="26" width="13.42578125" style="1" bestFit="1" customWidth="1"/>
    <col min="27" max="27" width="14.85546875" style="1" bestFit="1" customWidth="1"/>
    <col min="28" max="28" width="17.28515625" style="1" bestFit="1" customWidth="1"/>
    <col min="29" max="29" width="24.85546875" style="1" bestFit="1" customWidth="1"/>
    <col min="30" max="30" width="16.7109375" style="1" bestFit="1" customWidth="1"/>
    <col min="31" max="31" width="20.28515625" style="1" bestFit="1" customWidth="1"/>
    <col min="32" max="32" width="16.85546875" style="1" bestFit="1" customWidth="1"/>
    <col min="33" max="33" width="20.140625" style="47" bestFit="1" customWidth="1"/>
    <col min="34" max="34" width="17.28515625" style="47" bestFit="1" customWidth="1"/>
    <col min="35" max="35" width="39.42578125" style="47" bestFit="1" customWidth="1"/>
    <col min="36" max="36" width="13.7109375" style="1" bestFit="1" customWidth="1"/>
    <col min="37" max="37" width="14.42578125" style="1" bestFit="1" customWidth="1"/>
    <col min="38" max="38" width="28.7109375" style="1" bestFit="1" customWidth="1"/>
    <col min="39" max="39" width="14.42578125" style="1" bestFit="1" customWidth="1"/>
    <col min="40" max="40" width="18.42578125" style="1" bestFit="1" customWidth="1"/>
    <col min="41" max="41" width="14.42578125" style="1" bestFit="1" customWidth="1"/>
    <col min="42" max="42" width="14.42578125" style="1" customWidth="1"/>
    <col min="43" max="43" width="14" style="1" bestFit="1" customWidth="1"/>
    <col min="44" max="16384" width="9.140625" style="1"/>
  </cols>
  <sheetData>
    <row r="1" spans="1:43" s="44" customFormat="1" x14ac:dyDescent="0.25">
      <c r="B1" s="265"/>
      <c r="C1" s="265"/>
      <c r="D1" s="265"/>
      <c r="E1" s="265"/>
      <c r="F1" s="44" t="s">
        <v>1239</v>
      </c>
      <c r="G1" s="44" t="s">
        <v>1235</v>
      </c>
      <c r="H1" s="297" t="s">
        <v>1130</v>
      </c>
      <c r="I1" s="297"/>
      <c r="J1" s="44" t="s">
        <v>1236</v>
      </c>
      <c r="K1" s="265" t="s">
        <v>1700</v>
      </c>
      <c r="P1" s="44" t="s">
        <v>1237</v>
      </c>
      <c r="Q1" s="44" t="s">
        <v>1238</v>
      </c>
      <c r="R1" s="44" t="s">
        <v>1196</v>
      </c>
      <c r="S1" s="297" t="s">
        <v>926</v>
      </c>
      <c r="T1" s="297"/>
      <c r="U1" s="297" t="s">
        <v>1275</v>
      </c>
      <c r="V1" s="297"/>
      <c r="W1" s="297" t="s">
        <v>238</v>
      </c>
      <c r="X1" s="297"/>
      <c r="Y1" s="297" t="s">
        <v>1276</v>
      </c>
      <c r="Z1" s="297"/>
      <c r="AA1" s="44" t="s">
        <v>1240</v>
      </c>
      <c r="AB1" s="44" t="s">
        <v>1304</v>
      </c>
      <c r="AC1" s="44" t="s">
        <v>1242</v>
      </c>
      <c r="AD1" s="44" t="s">
        <v>1244</v>
      </c>
      <c r="AF1" s="44" t="s">
        <v>1110</v>
      </c>
      <c r="AG1" s="57" t="s">
        <v>1241</v>
      </c>
      <c r="AH1" s="57" t="s">
        <v>1245</v>
      </c>
      <c r="AI1" s="57" t="s">
        <v>1378</v>
      </c>
      <c r="AQ1" s="44" t="s">
        <v>1243</v>
      </c>
    </row>
    <row r="2" spans="1:43" x14ac:dyDescent="0.25">
      <c r="A2" s="1" t="s">
        <v>684</v>
      </c>
      <c r="B2" s="267" t="s">
        <v>617</v>
      </c>
      <c r="C2" s="267" t="s">
        <v>1685</v>
      </c>
      <c r="D2" s="267" t="s">
        <v>614</v>
      </c>
      <c r="E2" s="267" t="s">
        <v>1702</v>
      </c>
      <c r="F2" s="1" t="s">
        <v>740</v>
      </c>
      <c r="G2" s="1" t="s">
        <v>685</v>
      </c>
      <c r="H2" s="1" t="s">
        <v>697</v>
      </c>
      <c r="I2" s="1" t="s">
        <v>758</v>
      </c>
      <c r="J2" s="1" t="s">
        <v>686</v>
      </c>
      <c r="K2" s="267" t="s">
        <v>1701</v>
      </c>
      <c r="L2" s="1" t="s">
        <v>1260</v>
      </c>
      <c r="M2" s="1" t="s">
        <v>1282</v>
      </c>
      <c r="N2" s="1" t="s">
        <v>1283</v>
      </c>
      <c r="O2" s="1" t="s">
        <v>1284</v>
      </c>
      <c r="P2" s="1" t="s">
        <v>420</v>
      </c>
      <c r="Q2" s="1" t="s">
        <v>687</v>
      </c>
      <c r="R2" s="1" t="s">
        <v>688</v>
      </c>
      <c r="S2" s="1" t="s">
        <v>24</v>
      </c>
      <c r="T2" s="1" t="s">
        <v>689</v>
      </c>
      <c r="U2" s="1" t="s">
        <v>1272</v>
      </c>
      <c r="V2" s="1" t="s">
        <v>1273</v>
      </c>
      <c r="W2" s="1" t="s">
        <v>394</v>
      </c>
      <c r="X2" s="1" t="s">
        <v>238</v>
      </c>
      <c r="Y2" s="1" t="s">
        <v>1274</v>
      </c>
      <c r="Z2" s="1" t="s">
        <v>788</v>
      </c>
      <c r="AA2" s="1" t="s">
        <v>47</v>
      </c>
      <c r="AC2" s="1" t="s">
        <v>739</v>
      </c>
      <c r="AD2" s="1" t="s">
        <v>691</v>
      </c>
      <c r="AE2" s="1" t="s">
        <v>752</v>
      </c>
      <c r="AF2" s="1" t="s">
        <v>692</v>
      </c>
      <c r="AG2" s="47" t="s">
        <v>693</v>
      </c>
      <c r="AH2" s="47" t="s">
        <v>694</v>
      </c>
      <c r="AI2" s="47" t="s">
        <v>1377</v>
      </c>
      <c r="AJ2" s="1" t="s">
        <v>695</v>
      </c>
      <c r="AK2" s="1" t="s">
        <v>794</v>
      </c>
      <c r="AL2" s="1" t="s">
        <v>732</v>
      </c>
      <c r="AM2" s="1" t="s">
        <v>794</v>
      </c>
      <c r="AN2" s="1" t="s">
        <v>696</v>
      </c>
      <c r="AO2" s="1" t="s">
        <v>794</v>
      </c>
      <c r="AP2" s="1" t="s">
        <v>1129</v>
      </c>
      <c r="AQ2" s="1" t="s">
        <v>907</v>
      </c>
    </row>
    <row r="3" spans="1:43" x14ac:dyDescent="0.25">
      <c r="A3" s="1">
        <v>1</v>
      </c>
      <c r="B3" s="267">
        <f>'kode transaksi'!A2</f>
        <v>1</v>
      </c>
      <c r="C3" s="267" t="str">
        <f>CONCATENATE(B3,".",A3)</f>
        <v>1.1</v>
      </c>
      <c r="D3" s="267" t="str">
        <f>'kode transaksi'!B2</f>
        <v>GJ</v>
      </c>
      <c r="E3" s="267" t="s">
        <v>1595</v>
      </c>
      <c r="F3" s="1">
        <v>25000001</v>
      </c>
      <c r="G3" s="1" t="s">
        <v>733</v>
      </c>
      <c r="H3" s="1">
        <f>'kelompok harta tetap'!A4</f>
        <v>2</v>
      </c>
      <c r="I3" s="1" t="str">
        <f>'kelompok harta tetap'!B4</f>
        <v>bangunan</v>
      </c>
      <c r="J3" s="56">
        <v>43101</v>
      </c>
      <c r="K3" s="269">
        <v>43403</v>
      </c>
      <c r="L3" s="56">
        <f ca="1">NOW()</f>
        <v>43853.516564583333</v>
      </c>
      <c r="M3" s="54">
        <f t="shared" ref="M3:M8" ca="1" si="0">(L3-J3)</f>
        <v>752.51656458333309</v>
      </c>
      <c r="N3" s="53">
        <f ca="1">ROUNDUP(M3/365,0)</f>
        <v>3</v>
      </c>
      <c r="O3" s="53">
        <f ca="1">ROUNDUP(M3/30,0)</f>
        <v>26</v>
      </c>
      <c r="P3" s="1">
        <v>5000000000</v>
      </c>
      <c r="Q3" s="1">
        <v>1000000000</v>
      </c>
      <c r="R3" s="1">
        <f>'kelompok harta tetap'!G4</f>
        <v>10</v>
      </c>
      <c r="S3" s="1">
        <f>lokasi!A4</f>
        <v>2</v>
      </c>
      <c r="T3" s="1" t="str">
        <f>lokasi!B4</f>
        <v>komplek timah</v>
      </c>
      <c r="U3" s="1">
        <f>diperoleh!A4</f>
        <v>3</v>
      </c>
      <c r="V3" s="267" t="str">
        <f>diperoleh!B4</f>
        <v>kas</v>
      </c>
      <c r="W3" s="1" t="s">
        <v>667</v>
      </c>
      <c r="X3" s="1" t="s">
        <v>667</v>
      </c>
      <c r="Y3" s="267">
        <f>'rekening perkiraan'!A11</f>
        <v>9</v>
      </c>
      <c r="Z3" s="267" t="str">
        <f>'rekening perkiraan'!B11</f>
        <v>kas</v>
      </c>
      <c r="AB3" s="56" t="s">
        <v>1305</v>
      </c>
      <c r="AC3" s="1">
        <v>0</v>
      </c>
      <c r="AD3" s="1">
        <f>SUM(order_closing!J2:J11)</f>
        <v>333333333.33333331</v>
      </c>
      <c r="AE3" s="1">
        <f>(P3-Q3)*'tabel penyusutan'!H3</f>
        <v>400000000</v>
      </c>
      <c r="AF3" s="1" t="s">
        <v>1271</v>
      </c>
      <c r="AG3" s="47">
        <f t="shared" ref="AG3:AG8" si="1">P3-AE3</f>
        <v>4600000000</v>
      </c>
      <c r="AH3" s="47">
        <f>(P3-Q3)*('tabel penyusutan'!H3)/12</f>
        <v>33333333.333333332</v>
      </c>
      <c r="AI3" s="1">
        <v>0</v>
      </c>
      <c r="AJ3" s="1">
        <f>'kelompok harta tetap'!I4</f>
        <v>30</v>
      </c>
      <c r="AK3" s="1" t="str">
        <f>'kelompok harta tetap'!J4</f>
        <v>1.23.24.30</v>
      </c>
      <c r="AL3" s="1">
        <f>'kelompok harta tetap'!K4</f>
        <v>31</v>
      </c>
      <c r="AM3" s="1" t="str">
        <f>'kelompok harta tetap'!L4</f>
        <v>1.23.24.31</v>
      </c>
      <c r="AN3" s="1">
        <f>'kelompok harta tetap'!M4</f>
        <v>32</v>
      </c>
      <c r="AO3" s="1" t="str">
        <f>'kelompok harta tetap'!N4</f>
        <v>29.30.31.32</v>
      </c>
      <c r="AP3" s="1">
        <f>'periode akuntansi'!A2</f>
        <v>1</v>
      </c>
    </row>
    <row r="4" spans="1:43" x14ac:dyDescent="0.25">
      <c r="A4" s="1">
        <v>2</v>
      </c>
      <c r="B4" s="267">
        <f>'kode transaksi'!A2</f>
        <v>1</v>
      </c>
      <c r="C4" s="267" t="str">
        <f t="shared" ref="C4:C8" si="2">CONCATENATE(B4,".",A4)</f>
        <v>1.2</v>
      </c>
      <c r="D4" s="267" t="str">
        <f>'kode transaksi'!B2</f>
        <v>GJ</v>
      </c>
      <c r="E4" s="267" t="s">
        <v>1596</v>
      </c>
      <c r="F4" s="1">
        <v>25000002</v>
      </c>
      <c r="G4" s="1" t="s">
        <v>734</v>
      </c>
      <c r="H4" s="1">
        <f>'kelompok harta tetap'!A7</f>
        <v>5</v>
      </c>
      <c r="I4" s="1" t="str">
        <f>'kelompok harta tetap'!B7</f>
        <v>mobil 5thn</v>
      </c>
      <c r="J4" s="56">
        <v>43160</v>
      </c>
      <c r="K4" s="269">
        <v>43403</v>
      </c>
      <c r="L4" s="56">
        <f t="shared" ref="L4:L7" ca="1" si="3">NOW()</f>
        <v>43853.516564583333</v>
      </c>
      <c r="M4" s="54">
        <f t="shared" ca="1" si="0"/>
        <v>693.51656458333309</v>
      </c>
      <c r="N4" s="53">
        <f t="shared" ref="N4:N8" ca="1" si="4">ROUNDUP(M4/365,0)</f>
        <v>2</v>
      </c>
      <c r="O4" s="53">
        <f t="shared" ref="O4:O8" ca="1" si="5">ROUNDUP(M4/30,0)</f>
        <v>24</v>
      </c>
      <c r="P4" s="1">
        <v>150000000</v>
      </c>
      <c r="R4" s="1">
        <f>'kelompok harta tetap'!G7</f>
        <v>5</v>
      </c>
      <c r="S4" s="1">
        <f>lokasi!A4</f>
        <v>2</v>
      </c>
      <c r="T4" s="1" t="str">
        <f>lokasi!B4</f>
        <v>komplek timah</v>
      </c>
      <c r="U4" s="1">
        <f>diperoleh!A2</f>
        <v>1</v>
      </c>
      <c r="V4" s="1" t="str">
        <f>diperoleh!B2</f>
        <v>None</v>
      </c>
      <c r="W4" s="1" t="s">
        <v>667</v>
      </c>
      <c r="X4" s="1" t="s">
        <v>667</v>
      </c>
      <c r="Y4" s="1" t="s">
        <v>667</v>
      </c>
      <c r="Z4" s="1" t="s">
        <v>667</v>
      </c>
      <c r="AB4" s="56"/>
      <c r="AC4" s="1">
        <v>0</v>
      </c>
      <c r="AD4" s="1">
        <f t="shared" ref="AD4:AD8" si="6">AE4</f>
        <v>25000000</v>
      </c>
      <c r="AE4" s="1">
        <f>AH4*10</f>
        <v>25000000</v>
      </c>
      <c r="AG4" s="47">
        <f t="shared" si="1"/>
        <v>125000000</v>
      </c>
      <c r="AH4" s="47">
        <f t="shared" ref="AH4:AH8" si="7">(P4-Q4)/(R4*12)</f>
        <v>2500000</v>
      </c>
      <c r="AI4" s="1">
        <v>0</v>
      </c>
      <c r="AJ4" s="1">
        <f>'kelompok harta tetap'!I7</f>
        <v>27</v>
      </c>
      <c r="AK4" s="1" t="str">
        <f>'kelompok harta tetap'!J7</f>
        <v>1.23.24.27</v>
      </c>
      <c r="AL4" s="1">
        <f>'kelompok harta tetap'!K7</f>
        <v>28</v>
      </c>
      <c r="AM4" s="1" t="str">
        <f>'kelompok harta tetap'!L7</f>
        <v>1.23.24.28</v>
      </c>
      <c r="AN4" s="1">
        <f>'kelompok harta tetap'!M7</f>
        <v>29</v>
      </c>
      <c r="AO4" s="1" t="str">
        <f>'kelompok harta tetap'!N7</f>
        <v>29.30.31.29</v>
      </c>
      <c r="AP4" s="1">
        <f>'periode akuntansi'!A2</f>
        <v>1</v>
      </c>
    </row>
    <row r="5" spans="1:43" x14ac:dyDescent="0.25">
      <c r="A5" s="1">
        <v>3</v>
      </c>
      <c r="B5" s="267">
        <f>'kode transaksi'!A2</f>
        <v>1</v>
      </c>
      <c r="C5" s="267" t="str">
        <f t="shared" si="2"/>
        <v>1.3</v>
      </c>
      <c r="D5" s="267" t="str">
        <f>'kode transaksi'!B2</f>
        <v>GJ</v>
      </c>
      <c r="E5" s="267" t="s">
        <v>1597</v>
      </c>
      <c r="F5" s="1">
        <v>25000003</v>
      </c>
      <c r="G5" s="1" t="s">
        <v>753</v>
      </c>
      <c r="H5" s="1">
        <f>'kelompok harta tetap'!A6</f>
        <v>4</v>
      </c>
      <c r="I5" s="1" t="str">
        <f>'kelompok harta tetap'!B6</f>
        <v>hotel</v>
      </c>
      <c r="J5" s="56">
        <v>43176</v>
      </c>
      <c r="K5" s="269">
        <v>43403</v>
      </c>
      <c r="L5" s="56">
        <f t="shared" ca="1" si="3"/>
        <v>43853.516564583333</v>
      </c>
      <c r="M5" s="54">
        <f t="shared" ca="1" si="0"/>
        <v>677.51656458333309</v>
      </c>
      <c r="N5" s="53">
        <f t="shared" ca="1" si="4"/>
        <v>2</v>
      </c>
      <c r="O5" s="53">
        <f t="shared" ca="1" si="5"/>
        <v>23</v>
      </c>
      <c r="P5" s="1">
        <v>3000000000</v>
      </c>
      <c r="R5" s="1">
        <f>'kelompok harta tetap'!G6</f>
        <v>10</v>
      </c>
      <c r="S5" s="1">
        <f>lokasi!A3</f>
        <v>1</v>
      </c>
      <c r="T5" s="1" t="str">
        <f>lokasi!B3</f>
        <v>cempaka putih</v>
      </c>
      <c r="U5" s="1">
        <f>diperoleh!A4</f>
        <v>3</v>
      </c>
      <c r="V5" s="1" t="str">
        <f>diperoleh!B4</f>
        <v>kas</v>
      </c>
      <c r="W5" s="1" t="s">
        <v>667</v>
      </c>
      <c r="X5" s="1" t="s">
        <v>667</v>
      </c>
      <c r="Y5" s="1">
        <f>'rekening perkiraan'!A11</f>
        <v>9</v>
      </c>
      <c r="Z5" s="1" t="str">
        <f>'rekening perkiraan'!B11</f>
        <v>kas</v>
      </c>
      <c r="AB5" s="56"/>
      <c r="AC5" s="1">
        <v>0</v>
      </c>
      <c r="AD5" s="1">
        <f t="shared" si="6"/>
        <v>225000000</v>
      </c>
      <c r="AE5" s="1">
        <f>AH5*9</f>
        <v>225000000</v>
      </c>
      <c r="AG5" s="47">
        <f t="shared" si="1"/>
        <v>2775000000</v>
      </c>
      <c r="AH5" s="47">
        <f t="shared" si="7"/>
        <v>25000000</v>
      </c>
      <c r="AI5" s="1">
        <v>0</v>
      </c>
      <c r="AJ5" s="1">
        <f>'kelompok harta tetap'!I6</f>
        <v>30</v>
      </c>
      <c r="AK5" s="1" t="str">
        <f>'kelompok harta tetap'!J6</f>
        <v>1.23.24.30</v>
      </c>
      <c r="AL5" s="1">
        <f>'kelompok harta tetap'!K6</f>
        <v>31</v>
      </c>
      <c r="AM5" s="1" t="str">
        <f>'kelompok harta tetap'!L6</f>
        <v>1.23.24.31</v>
      </c>
      <c r="AN5" s="1">
        <f>'kelompok harta tetap'!M6</f>
        <v>32</v>
      </c>
      <c r="AO5" s="1" t="str">
        <f>'kelompok harta tetap'!N6</f>
        <v>29.30.31.32</v>
      </c>
      <c r="AP5" s="1">
        <f>'periode akuntansi'!A2</f>
        <v>1</v>
      </c>
    </row>
    <row r="6" spans="1:43" x14ac:dyDescent="0.25">
      <c r="A6" s="1">
        <v>4</v>
      </c>
      <c r="B6" s="267">
        <f>'kode transaksi'!A2</f>
        <v>1</v>
      </c>
      <c r="C6" s="267" t="str">
        <f t="shared" si="2"/>
        <v>1.4</v>
      </c>
      <c r="D6" s="267" t="str">
        <f>'kode transaksi'!B2</f>
        <v>GJ</v>
      </c>
      <c r="E6" s="267" t="s">
        <v>1598</v>
      </c>
      <c r="F6" s="1">
        <v>25000004</v>
      </c>
      <c r="G6" s="1" t="s">
        <v>754</v>
      </c>
      <c r="H6" s="1">
        <f>'kelompok harta tetap'!A8</f>
        <v>6</v>
      </c>
      <c r="I6" s="1" t="str">
        <f>'kelompok harta tetap'!B8</f>
        <v>mobil 4thn</v>
      </c>
      <c r="J6" s="56">
        <v>43191</v>
      </c>
      <c r="K6" s="269">
        <v>43403</v>
      </c>
      <c r="L6" s="56">
        <f t="shared" ca="1" si="3"/>
        <v>43853.516564583333</v>
      </c>
      <c r="M6" s="54">
        <f t="shared" ca="1" si="0"/>
        <v>662.51656458333309</v>
      </c>
      <c r="N6" s="53">
        <f t="shared" ca="1" si="4"/>
        <v>2</v>
      </c>
      <c r="O6" s="53">
        <f t="shared" ca="1" si="5"/>
        <v>23</v>
      </c>
      <c r="P6" s="1">
        <v>85000000</v>
      </c>
      <c r="Q6" s="1">
        <v>5000000</v>
      </c>
      <c r="R6" s="1">
        <f>'kelompok harta tetap'!G8</f>
        <v>4</v>
      </c>
      <c r="S6" s="1">
        <f>lokasi!A3</f>
        <v>1</v>
      </c>
      <c r="T6" s="1" t="str">
        <f>lokasi!B3</f>
        <v>cempaka putih</v>
      </c>
      <c r="U6" s="1">
        <f>diperoleh!A4</f>
        <v>3</v>
      </c>
      <c r="V6" s="1" t="str">
        <f>diperoleh!B4</f>
        <v>kas</v>
      </c>
      <c r="W6" s="1" t="s">
        <v>667</v>
      </c>
      <c r="X6" s="1" t="s">
        <v>667</v>
      </c>
      <c r="Y6" s="1">
        <f>'rekening perkiraan'!A11</f>
        <v>9</v>
      </c>
      <c r="Z6" s="1" t="str">
        <f>'rekening perkiraan'!B11</f>
        <v>kas</v>
      </c>
      <c r="AB6" s="56"/>
      <c r="AC6" s="1">
        <v>0</v>
      </c>
      <c r="AD6" s="1">
        <f t="shared" si="6"/>
        <v>15000000</v>
      </c>
      <c r="AE6" s="1">
        <f>AH6*9</f>
        <v>15000000</v>
      </c>
      <c r="AG6" s="47">
        <f t="shared" si="1"/>
        <v>70000000</v>
      </c>
      <c r="AH6" s="47">
        <f t="shared" si="7"/>
        <v>1666666.6666666667</v>
      </c>
      <c r="AI6" s="1">
        <v>1</v>
      </c>
      <c r="AJ6" s="1">
        <f>'kelompok harta tetap'!I8</f>
        <v>27</v>
      </c>
      <c r="AK6" s="1" t="str">
        <f>'kelompok harta tetap'!J8</f>
        <v>1.23.24.27</v>
      </c>
      <c r="AL6" s="1">
        <f>'kelompok harta tetap'!K8</f>
        <v>28</v>
      </c>
      <c r="AM6" s="1" t="str">
        <f>'kelompok harta tetap'!L8</f>
        <v>1.23.24.28</v>
      </c>
      <c r="AN6" s="1">
        <f>'kelompok harta tetap'!M8</f>
        <v>29</v>
      </c>
      <c r="AO6" s="1" t="str">
        <f>'kelompok harta tetap'!N8</f>
        <v>29.30.31.29</v>
      </c>
      <c r="AP6" s="1">
        <f>'periode akuntansi'!A2</f>
        <v>1</v>
      </c>
    </row>
    <row r="7" spans="1:43" x14ac:dyDescent="0.25">
      <c r="A7" s="1">
        <v>5</v>
      </c>
      <c r="B7" s="267">
        <f>'kode transaksi'!A2</f>
        <v>1</v>
      </c>
      <c r="C7" s="267" t="str">
        <f t="shared" si="2"/>
        <v>1.5</v>
      </c>
      <c r="D7" s="267" t="str">
        <f>'kode transaksi'!B2</f>
        <v>GJ</v>
      </c>
      <c r="E7" s="267" t="s">
        <v>1599</v>
      </c>
      <c r="F7" s="1">
        <v>25000005</v>
      </c>
      <c r="G7" s="1" t="s">
        <v>755</v>
      </c>
      <c r="H7" s="1">
        <f>'kelompok harta tetap'!A7</f>
        <v>5</v>
      </c>
      <c r="I7" s="1" t="str">
        <f>'kelompok harta tetap'!B7</f>
        <v>mobil 5thn</v>
      </c>
      <c r="J7" s="56">
        <v>43206</v>
      </c>
      <c r="K7" s="269">
        <v>43403</v>
      </c>
      <c r="L7" s="56">
        <f t="shared" ca="1" si="3"/>
        <v>43853.516564583333</v>
      </c>
      <c r="M7" s="54">
        <f t="shared" ca="1" si="0"/>
        <v>647.51656458333309</v>
      </c>
      <c r="N7" s="53">
        <f t="shared" ca="1" si="4"/>
        <v>2</v>
      </c>
      <c r="O7" s="53">
        <f t="shared" ca="1" si="5"/>
        <v>22</v>
      </c>
      <c r="P7" s="1">
        <v>120000000</v>
      </c>
      <c r="R7" s="1">
        <f>'kelompok harta tetap'!G7</f>
        <v>5</v>
      </c>
      <c r="S7" s="1">
        <f>lokasi!A4</f>
        <v>2</v>
      </c>
      <c r="T7" s="1" t="str">
        <f>lokasi!B4</f>
        <v>komplek timah</v>
      </c>
      <c r="U7" s="1">
        <f>diperoleh!A5</f>
        <v>4</v>
      </c>
      <c r="V7" s="1" t="str">
        <f>diperoleh!B5</f>
        <v>hutang</v>
      </c>
      <c r="W7" s="1">
        <f>kontak!A11</f>
        <v>9</v>
      </c>
      <c r="X7" s="1" t="str">
        <f>kontak!G11</f>
        <v>supriatna</v>
      </c>
      <c r="Y7" s="1" t="s">
        <v>1280</v>
      </c>
      <c r="Z7" s="1" t="s">
        <v>1281</v>
      </c>
      <c r="AB7" s="56"/>
      <c r="AC7" s="1">
        <v>0</v>
      </c>
      <c r="AD7" s="1">
        <f t="shared" si="6"/>
        <v>16000000</v>
      </c>
      <c r="AE7" s="1">
        <f>AH7*8</f>
        <v>16000000</v>
      </c>
      <c r="AG7" s="47">
        <f t="shared" si="1"/>
        <v>104000000</v>
      </c>
      <c r="AH7" s="47">
        <f t="shared" si="7"/>
        <v>2000000</v>
      </c>
      <c r="AI7" s="1">
        <v>0</v>
      </c>
      <c r="AJ7" s="1">
        <f>'kelompok harta tetap'!I7</f>
        <v>27</v>
      </c>
      <c r="AK7" s="1" t="str">
        <f>'kelompok harta tetap'!J7</f>
        <v>1.23.24.27</v>
      </c>
      <c r="AL7" s="1">
        <f>'kelompok harta tetap'!K7</f>
        <v>28</v>
      </c>
      <c r="AM7" s="1" t="str">
        <f>'kelompok harta tetap'!L7</f>
        <v>1.23.24.28</v>
      </c>
      <c r="AN7" s="1">
        <f>'kelompok harta tetap'!M7</f>
        <v>29</v>
      </c>
      <c r="AO7" s="1" t="str">
        <f>'kelompok harta tetap'!N7</f>
        <v>29.30.31.29</v>
      </c>
      <c r="AP7" s="1">
        <f>'periode akuntansi'!A2</f>
        <v>1</v>
      </c>
    </row>
    <row r="8" spans="1:43" x14ac:dyDescent="0.25">
      <c r="A8" s="1">
        <v>6</v>
      </c>
      <c r="B8" s="267">
        <f>'kode transaksi'!A2</f>
        <v>1</v>
      </c>
      <c r="C8" s="267" t="str">
        <f t="shared" si="2"/>
        <v>1.6</v>
      </c>
      <c r="D8" s="267" t="str">
        <f>'kode transaksi'!B2</f>
        <v>GJ</v>
      </c>
      <c r="E8" s="267" t="s">
        <v>1631</v>
      </c>
      <c r="F8" s="1">
        <v>25000006</v>
      </c>
      <c r="G8" s="1" t="s">
        <v>756</v>
      </c>
      <c r="H8" s="1">
        <f>'kelompok harta tetap'!A7</f>
        <v>5</v>
      </c>
      <c r="I8" s="1" t="str">
        <f>'kelompok harta tetap'!B7</f>
        <v>mobil 5thn</v>
      </c>
      <c r="J8" s="56">
        <v>43206</v>
      </c>
      <c r="K8" s="269">
        <v>43403</v>
      </c>
      <c r="L8" s="56">
        <f ca="1">NOW()</f>
        <v>43853.516564583333</v>
      </c>
      <c r="M8" s="54">
        <f t="shared" ca="1" si="0"/>
        <v>647.51656458333309</v>
      </c>
      <c r="N8" s="53">
        <f t="shared" ca="1" si="4"/>
        <v>2</v>
      </c>
      <c r="O8" s="53">
        <f t="shared" ca="1" si="5"/>
        <v>22</v>
      </c>
      <c r="P8" s="1">
        <v>120000000</v>
      </c>
      <c r="R8" s="1">
        <f>'kelompok harta tetap'!G7</f>
        <v>5</v>
      </c>
      <c r="S8" s="1">
        <f>lokasi!A4</f>
        <v>2</v>
      </c>
      <c r="T8" s="1" t="str">
        <f>lokasi!B4</f>
        <v>komplek timah</v>
      </c>
      <c r="U8" s="1">
        <f>diperoleh!A5</f>
        <v>4</v>
      </c>
      <c r="V8" s="1" t="str">
        <f>diperoleh!B5</f>
        <v>hutang</v>
      </c>
      <c r="W8" s="1">
        <f>kontak!A11</f>
        <v>9</v>
      </c>
      <c r="X8" s="1" t="str">
        <f>kontak!G11</f>
        <v>supriatna</v>
      </c>
      <c r="Y8" s="1" t="s">
        <v>1280</v>
      </c>
      <c r="Z8" s="1" t="s">
        <v>1281</v>
      </c>
      <c r="AB8" s="56"/>
      <c r="AC8" s="1">
        <v>0</v>
      </c>
      <c r="AD8" s="1">
        <f t="shared" si="6"/>
        <v>18000000</v>
      </c>
      <c r="AE8" s="1">
        <f>AH8*9</f>
        <v>18000000</v>
      </c>
      <c r="AG8" s="47">
        <f t="shared" si="1"/>
        <v>102000000</v>
      </c>
      <c r="AH8" s="47">
        <f t="shared" si="7"/>
        <v>2000000</v>
      </c>
      <c r="AI8" s="1">
        <v>0</v>
      </c>
      <c r="AJ8" s="1">
        <f>'kelompok harta tetap'!I7</f>
        <v>27</v>
      </c>
      <c r="AK8" s="1" t="str">
        <f>'kelompok harta tetap'!J7</f>
        <v>1.23.24.27</v>
      </c>
      <c r="AL8" s="1">
        <f>'kelompok harta tetap'!K7</f>
        <v>28</v>
      </c>
      <c r="AM8" s="1" t="str">
        <f>'kelompok harta tetap'!L7</f>
        <v>1.23.24.28</v>
      </c>
      <c r="AN8" s="1">
        <f>'kelompok harta tetap'!M7</f>
        <v>29</v>
      </c>
      <c r="AO8" s="1" t="str">
        <f>'kelompok harta tetap'!N7</f>
        <v>29.30.31.29</v>
      </c>
      <c r="AP8" s="1">
        <f>'periode akuntansi'!A2</f>
        <v>1</v>
      </c>
    </row>
    <row r="9" spans="1:43" x14ac:dyDescent="0.25">
      <c r="J9" s="6"/>
      <c r="K9" s="6"/>
      <c r="L9" s="52"/>
      <c r="M9" s="52"/>
      <c r="N9" s="52"/>
      <c r="O9" s="52"/>
      <c r="P9" s="6"/>
      <c r="AB9" s="6"/>
    </row>
    <row r="11" spans="1:43" x14ac:dyDescent="0.25">
      <c r="A11" s="40" t="s">
        <v>1178</v>
      </c>
      <c r="B11" s="266"/>
      <c r="C11" s="266"/>
      <c r="D11" s="266"/>
      <c r="E11" s="266"/>
      <c r="F11" s="40" t="s">
        <v>1235</v>
      </c>
    </row>
    <row r="12" spans="1:43" x14ac:dyDescent="0.25">
      <c r="A12" s="40"/>
      <c r="B12" s="266"/>
      <c r="C12" s="266"/>
      <c r="D12" s="266"/>
      <c r="E12" s="266"/>
      <c r="F12" s="40" t="s">
        <v>1130</v>
      </c>
    </row>
    <row r="13" spans="1:43" x14ac:dyDescent="0.25">
      <c r="A13" s="40"/>
      <c r="B13" s="266"/>
      <c r="C13" s="266"/>
      <c r="D13" s="266"/>
      <c r="E13" s="266"/>
      <c r="F13" s="40" t="s">
        <v>1299</v>
      </c>
    </row>
    <row r="14" spans="1:43" x14ac:dyDescent="0.25">
      <c r="A14" s="40"/>
      <c r="B14" s="266"/>
      <c r="C14" s="266"/>
      <c r="D14" s="266"/>
      <c r="E14" s="266"/>
      <c r="F14" s="40" t="s">
        <v>1237</v>
      </c>
    </row>
    <row r="15" spans="1:43" x14ac:dyDescent="0.25">
      <c r="A15" s="40"/>
      <c r="B15" s="266"/>
      <c r="C15" s="266"/>
      <c r="D15" s="266"/>
      <c r="E15" s="266"/>
      <c r="F15" s="40" t="s">
        <v>1275</v>
      </c>
      <c r="G15" s="40" t="s">
        <v>1307</v>
      </c>
    </row>
    <row r="16" spans="1:43" x14ac:dyDescent="0.25">
      <c r="A16" s="40"/>
      <c r="B16" s="266"/>
      <c r="C16" s="266"/>
      <c r="D16" s="266"/>
      <c r="E16" s="266"/>
      <c r="F16" s="40" t="s">
        <v>238</v>
      </c>
      <c r="G16" s="40" t="s">
        <v>1308</v>
      </c>
    </row>
    <row r="17" spans="1:7" x14ac:dyDescent="0.25">
      <c r="A17" s="40"/>
      <c r="B17" s="266"/>
      <c r="C17" s="266"/>
      <c r="D17" s="266"/>
      <c r="E17" s="266"/>
      <c r="F17" s="40" t="s">
        <v>1276</v>
      </c>
      <c r="G17" s="40" t="s">
        <v>1309</v>
      </c>
    </row>
    <row r="18" spans="1:7" x14ac:dyDescent="0.25">
      <c r="A18" s="40"/>
      <c r="B18" s="266"/>
      <c r="C18" s="266"/>
      <c r="D18" s="266"/>
      <c r="E18" s="266"/>
      <c r="F18" s="40"/>
    </row>
    <row r="19" spans="1:7" x14ac:dyDescent="0.25">
      <c r="A19" s="40" t="s">
        <v>932</v>
      </c>
      <c r="B19" s="266"/>
      <c r="C19" s="266"/>
      <c r="D19" s="266"/>
      <c r="E19" s="266"/>
      <c r="F19" s="40" t="s">
        <v>1310</v>
      </c>
    </row>
    <row r="20" spans="1:7" x14ac:dyDescent="0.25">
      <c r="A20" s="40"/>
      <c r="B20" s="266"/>
      <c r="C20" s="266"/>
      <c r="D20" s="266"/>
      <c r="E20" s="266"/>
      <c r="F20" s="40" t="s">
        <v>1300</v>
      </c>
    </row>
    <row r="21" spans="1:7" x14ac:dyDescent="0.25">
      <c r="A21" s="40"/>
      <c r="B21" s="266"/>
      <c r="C21" s="266"/>
      <c r="D21" s="266"/>
      <c r="E21" s="266"/>
      <c r="F21" s="40" t="s">
        <v>1302</v>
      </c>
    </row>
    <row r="22" spans="1:7" x14ac:dyDescent="0.25">
      <c r="A22" s="40"/>
      <c r="B22" s="266"/>
      <c r="C22" s="266"/>
      <c r="D22" s="266"/>
      <c r="E22" s="266"/>
      <c r="F22" s="40" t="s">
        <v>1301</v>
      </c>
    </row>
    <row r="23" spans="1:7" x14ac:dyDescent="0.25">
      <c r="A23" s="40"/>
      <c r="B23" s="266"/>
      <c r="C23" s="266"/>
      <c r="D23" s="266"/>
      <c r="E23" s="266"/>
      <c r="F23" s="40"/>
    </row>
    <row r="24" spans="1:7" x14ac:dyDescent="0.25">
      <c r="A24" s="40"/>
      <c r="B24" s="266"/>
      <c r="C24" s="266"/>
      <c r="D24" s="266"/>
      <c r="E24" s="266"/>
      <c r="F24" s="40"/>
    </row>
    <row r="25" spans="1:7" x14ac:dyDescent="0.25">
      <c r="A25" s="40"/>
      <c r="B25" s="266"/>
      <c r="C25" s="266"/>
      <c r="D25" s="266"/>
      <c r="E25" s="266"/>
      <c r="F25" s="40"/>
    </row>
    <row r="26" spans="1:7" x14ac:dyDescent="0.25">
      <c r="A26" s="40"/>
      <c r="B26" s="266"/>
      <c r="C26" s="266"/>
      <c r="D26" s="266"/>
      <c r="E26" s="266"/>
      <c r="F26" s="40"/>
    </row>
    <row r="27" spans="1:7" x14ac:dyDescent="0.25">
      <c r="A27" s="40"/>
      <c r="B27" s="266"/>
      <c r="C27" s="266"/>
      <c r="D27" s="266"/>
      <c r="E27" s="266"/>
      <c r="F27" s="40"/>
    </row>
    <row r="28" spans="1:7" x14ac:dyDescent="0.25">
      <c r="A28" s="40"/>
      <c r="B28" s="266"/>
      <c r="C28" s="266"/>
      <c r="D28" s="266"/>
      <c r="E28" s="266"/>
      <c r="F28" s="40"/>
    </row>
    <row r="29" spans="1:7" x14ac:dyDescent="0.25">
      <c r="A29" s="40"/>
      <c r="B29" s="266"/>
      <c r="C29" s="266"/>
      <c r="D29" s="266"/>
      <c r="E29" s="266"/>
      <c r="F29" s="40"/>
    </row>
    <row r="30" spans="1:7" x14ac:dyDescent="0.25">
      <c r="A30" s="40"/>
      <c r="B30" s="266"/>
      <c r="C30" s="266"/>
      <c r="D30" s="266"/>
      <c r="E30" s="266"/>
      <c r="F30" s="40"/>
    </row>
    <row r="31" spans="1:7" x14ac:dyDescent="0.25">
      <c r="A31" s="40"/>
      <c r="B31" s="266"/>
      <c r="C31" s="266"/>
      <c r="D31" s="266"/>
      <c r="E31" s="266"/>
      <c r="F31" s="40"/>
    </row>
    <row r="32" spans="1:7" x14ac:dyDescent="0.25">
      <c r="A32" s="40"/>
      <c r="B32" s="266"/>
      <c r="C32" s="266"/>
      <c r="D32" s="266"/>
      <c r="E32" s="266"/>
      <c r="F32" s="40"/>
    </row>
    <row r="33" spans="1:6" x14ac:dyDescent="0.25">
      <c r="A33" s="40"/>
      <c r="B33" s="266"/>
      <c r="C33" s="266"/>
      <c r="D33" s="266"/>
      <c r="E33" s="266"/>
      <c r="F33" s="40"/>
    </row>
    <row r="34" spans="1:6" x14ac:dyDescent="0.25">
      <c r="A34" s="40"/>
      <c r="B34" s="266"/>
      <c r="C34" s="266"/>
      <c r="D34" s="266"/>
      <c r="E34" s="266"/>
      <c r="F34" s="40"/>
    </row>
    <row r="35" spans="1:6" x14ac:dyDescent="0.25">
      <c r="A35" s="40"/>
      <c r="B35" s="266"/>
      <c r="C35" s="266"/>
      <c r="D35" s="266"/>
      <c r="E35" s="266"/>
      <c r="F35" s="40"/>
    </row>
    <row r="36" spans="1:6" x14ac:dyDescent="0.25">
      <c r="A36" s="40"/>
      <c r="B36" s="266"/>
      <c r="C36" s="266"/>
      <c r="D36" s="266"/>
      <c r="E36" s="266"/>
      <c r="F36" s="40"/>
    </row>
  </sheetData>
  <mergeCells count="5">
    <mergeCell ref="H1:I1"/>
    <mergeCell ref="Y1:Z1"/>
    <mergeCell ref="W1:X1"/>
    <mergeCell ref="U1:V1"/>
    <mergeCell ref="S1:T1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>
    <tabColor rgb="FF00B050"/>
  </sheetPr>
  <dimension ref="A1:F6"/>
  <sheetViews>
    <sheetView zoomScale="235" zoomScaleNormal="235" workbookViewId="0">
      <selection activeCell="C7" sqref="C7"/>
    </sheetView>
  </sheetViews>
  <sheetFormatPr defaultColWidth="9.140625" defaultRowHeight="15" x14ac:dyDescent="0.25"/>
  <cols>
    <col min="1" max="1" width="12.42578125" style="1" bestFit="1" customWidth="1"/>
    <col min="2" max="2" width="9.7109375" style="1" bestFit="1" customWidth="1"/>
    <col min="3" max="3" width="7.42578125" style="1" bestFit="1" customWidth="1"/>
    <col min="4" max="4" width="11" style="1" bestFit="1" customWidth="1"/>
    <col min="5" max="16384" width="9.140625" style="1"/>
  </cols>
  <sheetData>
    <row r="1" spans="1:6" x14ac:dyDescent="0.25">
      <c r="A1" s="268" t="s">
        <v>1272</v>
      </c>
      <c r="B1" s="268" t="s">
        <v>1273</v>
      </c>
      <c r="C1" s="268" t="s">
        <v>878</v>
      </c>
      <c r="D1" s="268" t="s">
        <v>26</v>
      </c>
    </row>
    <row r="2" spans="1:6" s="267" customFormat="1" x14ac:dyDescent="0.25">
      <c r="A2" s="268">
        <v>1</v>
      </c>
      <c r="B2" s="268" t="s">
        <v>1699</v>
      </c>
      <c r="C2" s="268" t="s">
        <v>1278</v>
      </c>
      <c r="D2" s="268"/>
    </row>
    <row r="3" spans="1:6" x14ac:dyDescent="0.25">
      <c r="A3" s="268">
        <v>2</v>
      </c>
      <c r="B3" s="268" t="s">
        <v>795</v>
      </c>
      <c r="C3" s="268" t="s">
        <v>1279</v>
      </c>
      <c r="D3" s="268"/>
    </row>
    <row r="4" spans="1:6" x14ac:dyDescent="0.25">
      <c r="A4" s="268">
        <v>3</v>
      </c>
      <c r="B4" s="268" t="s">
        <v>9</v>
      </c>
      <c r="C4" s="268" t="s">
        <v>1279</v>
      </c>
      <c r="D4" s="268"/>
    </row>
    <row r="5" spans="1:6" x14ac:dyDescent="0.25">
      <c r="A5" s="268">
        <v>4</v>
      </c>
      <c r="B5" s="268" t="s">
        <v>1277</v>
      </c>
      <c r="C5" s="268" t="s">
        <v>1279</v>
      </c>
      <c r="D5" s="268"/>
    </row>
    <row r="6" spans="1:6" x14ac:dyDescent="0.25">
      <c r="F6" s="1" t="s">
        <v>1698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V6"/>
  <sheetViews>
    <sheetView zoomScale="130" zoomScaleNormal="130" workbookViewId="0">
      <selection activeCell="A10" sqref="A10"/>
    </sheetView>
  </sheetViews>
  <sheetFormatPr defaultColWidth="9.140625" defaultRowHeight="15" x14ac:dyDescent="0.25"/>
  <cols>
    <col min="1" max="1" width="6.42578125" style="1" bestFit="1" customWidth="1"/>
    <col min="2" max="2" width="17.28515625" style="1" bestFit="1" customWidth="1"/>
    <col min="3" max="3" width="11.42578125" style="256" bestFit="1" customWidth="1"/>
    <col min="4" max="4" width="14.42578125" style="1" bestFit="1" customWidth="1"/>
    <col min="5" max="5" width="17.85546875" style="1" bestFit="1" customWidth="1"/>
    <col min="6" max="6" width="12.85546875" style="1" bestFit="1" customWidth="1"/>
    <col min="7" max="7" width="16.140625" style="1" bestFit="1" customWidth="1"/>
    <col min="8" max="8" width="13.42578125" style="1" bestFit="1" customWidth="1"/>
    <col min="9" max="9" width="25.42578125" style="1" bestFit="1" customWidth="1"/>
    <col min="10" max="10" width="18.7109375" style="1" bestFit="1" customWidth="1"/>
    <col min="11" max="11" width="23" style="1" bestFit="1" customWidth="1"/>
    <col min="12" max="12" width="18.85546875" style="1" bestFit="1" customWidth="1"/>
    <col min="13" max="13" width="13.42578125" style="1" bestFit="1" customWidth="1"/>
    <col min="14" max="14" width="10.7109375" style="1" bestFit="1" customWidth="1"/>
    <col min="15" max="15" width="10.28515625" style="1" bestFit="1" customWidth="1"/>
    <col min="16" max="16" width="18.85546875" style="1" bestFit="1" customWidth="1"/>
    <col min="17" max="17" width="25" style="1" bestFit="1" customWidth="1"/>
    <col min="18" max="18" width="22.28515625" style="1" bestFit="1" customWidth="1"/>
    <col min="19" max="19" width="8.85546875" style="1" bestFit="1" customWidth="1"/>
    <col min="20" max="20" width="14.140625" style="1" bestFit="1" customWidth="1"/>
    <col min="21" max="21" width="12.42578125" style="1" bestFit="1" customWidth="1"/>
    <col min="22" max="22" width="9.85546875" style="1" bestFit="1" customWidth="1"/>
    <col min="23" max="23" width="14.85546875" style="1" bestFit="1" customWidth="1"/>
    <col min="24" max="24" width="22.28515625" style="1" bestFit="1" customWidth="1"/>
    <col min="25" max="25" width="18.85546875" style="1" bestFit="1" customWidth="1"/>
    <col min="26" max="26" width="10.7109375" style="1" bestFit="1" customWidth="1"/>
    <col min="27" max="27" width="16.85546875" style="1" bestFit="1" customWidth="1"/>
    <col min="28" max="28" width="19" style="1" bestFit="1" customWidth="1"/>
    <col min="29" max="29" width="18.42578125" style="1" bestFit="1" customWidth="1"/>
    <col min="30" max="30" width="19.28515625" style="1" bestFit="1" customWidth="1"/>
    <col min="31" max="31" width="17.28515625" style="1" bestFit="1" customWidth="1"/>
    <col min="32" max="32" width="16.42578125" style="1" bestFit="1" customWidth="1"/>
    <col min="33" max="33" width="26.7109375" style="1" bestFit="1" customWidth="1"/>
    <col min="34" max="34" width="35.140625" style="1" bestFit="1" customWidth="1"/>
    <col min="35" max="35" width="35.7109375" style="1" bestFit="1" customWidth="1"/>
    <col min="36" max="36" width="31.42578125" style="1" bestFit="1" customWidth="1"/>
    <col min="37" max="37" width="39.85546875" style="1" bestFit="1" customWidth="1"/>
    <col min="38" max="38" width="40.42578125" style="1" bestFit="1" customWidth="1"/>
    <col min="39" max="39" width="19.85546875" style="1" bestFit="1" customWidth="1"/>
    <col min="40" max="40" width="10.85546875" style="1" bestFit="1" customWidth="1"/>
    <col min="41" max="41" width="18.7109375" style="1" bestFit="1" customWidth="1"/>
    <col min="42" max="42" width="19.140625" style="1" bestFit="1" customWidth="1"/>
    <col min="43" max="43" width="18.42578125" style="1" bestFit="1" customWidth="1"/>
    <col min="44" max="44" width="13.140625" style="1" bestFit="1" customWidth="1"/>
    <col min="45" max="45" width="9.42578125" style="1" bestFit="1" customWidth="1"/>
    <col min="46" max="46" width="10.28515625" style="1" bestFit="1" customWidth="1"/>
    <col min="47" max="47" width="20.42578125" style="1" bestFit="1" customWidth="1"/>
    <col min="48" max="48" width="18.140625" style="1" bestFit="1" customWidth="1"/>
    <col min="49" max="16384" width="9.140625" style="1"/>
  </cols>
  <sheetData>
    <row r="1" spans="1:48" s="44" customFormat="1" x14ac:dyDescent="0.25">
      <c r="C1" s="255"/>
      <c r="E1" s="44" t="s">
        <v>1446</v>
      </c>
      <c r="F1" s="297" t="s">
        <v>1442</v>
      </c>
      <c r="G1" s="297"/>
      <c r="H1" s="44" t="s">
        <v>1387</v>
      </c>
      <c r="I1" s="135" t="s">
        <v>980</v>
      </c>
      <c r="J1" s="303" t="s">
        <v>1444</v>
      </c>
      <c r="K1" s="303"/>
      <c r="L1" s="303"/>
      <c r="M1" s="297" t="s">
        <v>1145</v>
      </c>
      <c r="N1" s="297"/>
      <c r="O1" s="297"/>
      <c r="P1" s="44" t="s">
        <v>1424</v>
      </c>
      <c r="Q1" s="297" t="s">
        <v>916</v>
      </c>
      <c r="R1" s="297"/>
      <c r="S1" s="297" t="s">
        <v>919</v>
      </c>
      <c r="T1" s="297"/>
      <c r="U1" s="44" t="s">
        <v>920</v>
      </c>
      <c r="V1" s="44" t="s">
        <v>1023</v>
      </c>
      <c r="W1" s="44" t="s">
        <v>1021</v>
      </c>
      <c r="X1" s="44" t="s">
        <v>922</v>
      </c>
      <c r="Y1" s="44" t="s">
        <v>1409</v>
      </c>
      <c r="Z1" s="297" t="s">
        <v>924</v>
      </c>
      <c r="AA1" s="297"/>
      <c r="AB1" s="44" t="s">
        <v>1464</v>
      </c>
      <c r="AC1" s="44" t="s">
        <v>1389</v>
      </c>
      <c r="AD1" s="44" t="s">
        <v>1391</v>
      </c>
      <c r="AE1" s="44" t="s">
        <v>1390</v>
      </c>
      <c r="AF1" s="44" t="s">
        <v>1392</v>
      </c>
      <c r="AN1" s="44" t="s">
        <v>1459</v>
      </c>
      <c r="AO1" s="44" t="s">
        <v>1471</v>
      </c>
      <c r="AP1" s="44" t="s">
        <v>1467</v>
      </c>
      <c r="AQ1" s="44" t="s">
        <v>1468</v>
      </c>
      <c r="AR1" s="44" t="s">
        <v>1462</v>
      </c>
      <c r="AS1" s="44" t="s">
        <v>1463</v>
      </c>
    </row>
    <row r="2" spans="1:48" x14ac:dyDescent="0.25">
      <c r="A2" s="1" t="s">
        <v>52</v>
      </c>
      <c r="B2" s="1" t="s">
        <v>617</v>
      </c>
      <c r="C2" s="256" t="s">
        <v>1685</v>
      </c>
      <c r="D2" s="1" t="s">
        <v>614</v>
      </c>
      <c r="E2" s="1" t="s">
        <v>53</v>
      </c>
      <c r="F2" s="1" t="s">
        <v>2</v>
      </c>
      <c r="G2" s="1" t="s">
        <v>18</v>
      </c>
      <c r="H2" s="1" t="s">
        <v>19</v>
      </c>
      <c r="I2" s="136" t="s">
        <v>20</v>
      </c>
      <c r="J2" s="136" t="s">
        <v>48</v>
      </c>
      <c r="K2" s="136" t="s">
        <v>54</v>
      </c>
      <c r="L2" s="136" t="s">
        <v>655</v>
      </c>
      <c r="M2" s="1" t="s">
        <v>115</v>
      </c>
      <c r="N2" s="1" t="s">
        <v>21</v>
      </c>
      <c r="O2" s="1" t="s">
        <v>828</v>
      </c>
      <c r="P2" s="1" t="s">
        <v>55</v>
      </c>
      <c r="Q2" s="1" t="s">
        <v>22</v>
      </c>
      <c r="R2" s="1" t="s">
        <v>23</v>
      </c>
      <c r="S2" s="1" t="s">
        <v>24</v>
      </c>
      <c r="T2" s="1" t="s">
        <v>467</v>
      </c>
      <c r="U2" s="1" t="s">
        <v>26</v>
      </c>
      <c r="V2" s="1" t="s">
        <v>46</v>
      </c>
      <c r="W2" s="1" t="s">
        <v>47</v>
      </c>
      <c r="X2" s="1" t="s">
        <v>33</v>
      </c>
      <c r="Y2" s="1" t="s">
        <v>430</v>
      </c>
      <c r="Z2" s="1" t="s">
        <v>35</v>
      </c>
      <c r="AA2" s="1" t="s">
        <v>36</v>
      </c>
      <c r="AB2" s="1" t="s">
        <v>1469</v>
      </c>
      <c r="AC2" s="1" t="s">
        <v>38</v>
      </c>
      <c r="AD2" s="1" t="s">
        <v>39</v>
      </c>
      <c r="AE2" s="1" t="s">
        <v>876</v>
      </c>
      <c r="AF2" s="1" t="s">
        <v>40</v>
      </c>
      <c r="AG2" s="9" t="s">
        <v>478</v>
      </c>
      <c r="AH2" s="1" t="s">
        <v>57</v>
      </c>
      <c r="AI2" s="1" t="s">
        <v>58</v>
      </c>
      <c r="AJ2" s="9" t="s">
        <v>480</v>
      </c>
      <c r="AK2" s="1" t="s">
        <v>59</v>
      </c>
      <c r="AL2" s="1" t="s">
        <v>60</v>
      </c>
      <c r="AM2" s="1" t="s">
        <v>487</v>
      </c>
      <c r="AN2" s="1" t="s">
        <v>41</v>
      </c>
      <c r="AO2" s="1" t="s">
        <v>42</v>
      </c>
      <c r="AP2" s="1" t="s">
        <v>432</v>
      </c>
      <c r="AQ2" s="1" t="s">
        <v>433</v>
      </c>
      <c r="AR2" s="1" t="s">
        <v>877</v>
      </c>
      <c r="AS2" s="1" t="s">
        <v>435</v>
      </c>
      <c r="AT2" s="1" t="s">
        <v>624</v>
      </c>
      <c r="AU2" s="1" t="s">
        <v>1129</v>
      </c>
      <c r="AV2" s="1" t="s">
        <v>848</v>
      </c>
    </row>
    <row r="3" spans="1:48" x14ac:dyDescent="0.25">
      <c r="A3" s="1">
        <v>1</v>
      </c>
      <c r="B3" s="1">
        <f>'kode transaksi'!A26</f>
        <v>25</v>
      </c>
      <c r="C3" s="256" t="str">
        <f>CONCATENATE(B3,".",A3)</f>
        <v>25.1</v>
      </c>
      <c r="D3" s="206" t="str">
        <f>'kode transaksi'!B26</f>
        <v>DO</v>
      </c>
      <c r="E3" s="1" t="s">
        <v>1595</v>
      </c>
      <c r="F3" s="1">
        <f>'Sales Order'!F4</f>
        <v>3</v>
      </c>
      <c r="G3" s="206" t="str">
        <f>kontak!G5</f>
        <v>rahmat handono</v>
      </c>
      <c r="H3" s="206">
        <f>kontak!K5</f>
        <v>8551434991</v>
      </c>
      <c r="I3" s="206" t="str">
        <f>kontak!O5</f>
        <v>rahmat.ph@gmail.com</v>
      </c>
      <c r="J3" s="136">
        <f>'Sales Order'!A4</f>
        <v>2</v>
      </c>
      <c r="K3" s="136" t="str">
        <f>'Sales Order'!E4</f>
        <v>.000002</v>
      </c>
      <c r="L3" s="136" t="str">
        <f>'Sales Order'!L4</f>
        <v>15.1</v>
      </c>
      <c r="M3" s="136">
        <f>'Sales Order'!M4</f>
        <v>1</v>
      </c>
      <c r="N3" s="136" t="str">
        <f>'data mata uang'!D3</f>
        <v>IDR</v>
      </c>
      <c r="O3" s="136">
        <f>'data mata uang'!G3</f>
        <v>1</v>
      </c>
      <c r="P3" s="209">
        <v>43262</v>
      </c>
      <c r="Q3" s="136">
        <v>0</v>
      </c>
      <c r="R3" s="136">
        <v>0</v>
      </c>
      <c r="S3" s="136">
        <f>'Sales Order'!S4</f>
        <v>1</v>
      </c>
      <c r="T3" s="136" t="str">
        <f>lokasi!B3</f>
        <v>cempaka putih</v>
      </c>
      <c r="U3" s="136" t="str">
        <f>'Sales Order'!U4</f>
        <v>sales berurut</v>
      </c>
      <c r="V3" s="1">
        <v>0</v>
      </c>
      <c r="W3" s="1">
        <v>0</v>
      </c>
      <c r="X3" s="1">
        <v>0</v>
      </c>
      <c r="Y3" s="6">
        <v>43263</v>
      </c>
      <c r="Z3" s="206">
        <f>kontak!A6</f>
        <v>4</v>
      </c>
      <c r="AA3" s="206" t="str">
        <f>kontak!G6</f>
        <v>dea fitri maharani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'order produk jual'!AA9</f>
        <v>3</v>
      </c>
      <c r="AI3" s="1">
        <f>SUM('order produk jual'!Q9)</f>
        <v>9000000</v>
      </c>
      <c r="AJ3" s="1">
        <f>'order produk jual'!AB9</f>
        <v>5</v>
      </c>
      <c r="AK3" s="206">
        <f>SUM('order produk jual'!Q9)</f>
        <v>9000000</v>
      </c>
      <c r="AM3" s="206">
        <f>'order produk jual'!Q9</f>
        <v>9000000</v>
      </c>
      <c r="AN3" s="1">
        <f>SUM('order produk jual'!U9)</f>
        <v>900000</v>
      </c>
      <c r="AO3" s="206">
        <f>SUM('order produk jual'!Q9+'order produk jual'!U9)</f>
        <v>9900000</v>
      </c>
      <c r="AP3" s="1">
        <v>0</v>
      </c>
      <c r="AQ3" s="1">
        <v>0</v>
      </c>
      <c r="AR3" s="1">
        <v>0</v>
      </c>
      <c r="AS3" s="1">
        <v>0</v>
      </c>
      <c r="AT3" s="206">
        <f>'user id'!A3</f>
        <v>2</v>
      </c>
      <c r="AU3" s="206">
        <f>'periode akuntansi'!A2</f>
        <v>1</v>
      </c>
    </row>
    <row r="4" spans="1:48" x14ac:dyDescent="0.25">
      <c r="A4" s="1">
        <v>2</v>
      </c>
      <c r="B4" s="211">
        <f>'kode transaksi'!A26</f>
        <v>25</v>
      </c>
      <c r="C4" s="256" t="str">
        <f>CONCATENATE(B4,".",A4)</f>
        <v>25.2</v>
      </c>
      <c r="D4" s="211" t="str">
        <f>'kode transaksi'!B26</f>
        <v>DO</v>
      </c>
      <c r="E4" s="211" t="s">
        <v>1596</v>
      </c>
      <c r="F4" s="211">
        <f>kontak!A4</f>
        <v>2</v>
      </c>
      <c r="G4" s="211" t="str">
        <f>kontak!G4</f>
        <v>yuli hendarto</v>
      </c>
      <c r="H4" s="211">
        <f>kontak!K4</f>
        <v>8551003553</v>
      </c>
      <c r="I4" s="211" t="str">
        <f>kontak!O4</f>
        <v>yuli_hendarto@yahoo.com</v>
      </c>
      <c r="J4" s="136">
        <v>0</v>
      </c>
      <c r="K4" s="136">
        <v>0</v>
      </c>
      <c r="L4" s="136" t="str">
        <f>CONCATENATE(B4,".",A4)</f>
        <v>25.2</v>
      </c>
      <c r="M4" s="211">
        <f>'data mata uang'!A3</f>
        <v>1</v>
      </c>
      <c r="N4" s="211" t="str">
        <f>'data mata uang'!D3</f>
        <v>IDR</v>
      </c>
      <c r="O4" s="211">
        <f>'data mata uang'!G3</f>
        <v>1</v>
      </c>
      <c r="P4" s="6">
        <v>43262</v>
      </c>
      <c r="Q4" s="1">
        <v>0</v>
      </c>
      <c r="R4" s="1">
        <v>0</v>
      </c>
      <c r="S4" s="136">
        <f>lokasi!A3</f>
        <v>1</v>
      </c>
      <c r="T4" s="136" t="str">
        <f>lokasi!B3</f>
        <v>cempaka putih</v>
      </c>
      <c r="U4" s="1" t="s">
        <v>1657</v>
      </c>
      <c r="V4" s="1">
        <v>0</v>
      </c>
      <c r="W4" s="1">
        <v>0</v>
      </c>
      <c r="X4" s="1">
        <v>0</v>
      </c>
      <c r="Y4" s="6">
        <v>43262</v>
      </c>
      <c r="Z4" s="211">
        <f>kontak!A7</f>
        <v>5</v>
      </c>
      <c r="AA4" s="211" t="str">
        <f>kontak!G7</f>
        <v>gisela tria canitha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211">
        <f>'order produk jual'!AA10</f>
        <v>3</v>
      </c>
      <c r="AI4" s="211">
        <f>SUM('order produk jual'!Q10)</f>
        <v>15000000</v>
      </c>
      <c r="AJ4" s="211">
        <f>'order produk jual'!AB10</f>
        <v>5</v>
      </c>
      <c r="AK4" s="211">
        <f>SUM('order produk jual'!Q10)</f>
        <v>15000000</v>
      </c>
      <c r="AM4" s="211">
        <f>'order produk jual'!Q10</f>
        <v>15000000</v>
      </c>
      <c r="AN4" s="211">
        <f>SUM('order produk jual'!U10)</f>
        <v>1500000</v>
      </c>
      <c r="AO4" s="211">
        <f>SUM('order produk jual'!Q10+'order produk jual'!U10)</f>
        <v>16500000</v>
      </c>
      <c r="AP4" s="1">
        <v>0</v>
      </c>
      <c r="AQ4" s="1">
        <v>0</v>
      </c>
      <c r="AR4" s="1">
        <v>0</v>
      </c>
      <c r="AS4" s="1">
        <v>0</v>
      </c>
      <c r="AT4" s="211">
        <f>'user id'!A3</f>
        <v>2</v>
      </c>
      <c r="AU4" s="211">
        <f>'periode akuntansi'!A2</f>
        <v>1</v>
      </c>
    </row>
    <row r="5" spans="1:48" x14ac:dyDescent="0.25">
      <c r="I5" s="136"/>
      <c r="J5" s="136"/>
      <c r="K5" s="136"/>
      <c r="L5" s="136"/>
      <c r="AK5" s="211"/>
    </row>
    <row r="6" spans="1:48" x14ac:dyDescent="0.25">
      <c r="I6" s="136"/>
      <c r="J6" s="136"/>
      <c r="K6" s="136"/>
      <c r="L6" s="136"/>
    </row>
  </sheetData>
  <mergeCells count="6">
    <mergeCell ref="F1:G1"/>
    <mergeCell ref="M1:O1"/>
    <mergeCell ref="Q1:R1"/>
    <mergeCell ref="S1:T1"/>
    <mergeCell ref="Z1:AA1"/>
    <mergeCell ref="J1:L1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>
    <tabColor rgb="FF00B050"/>
  </sheetPr>
  <dimension ref="A1:O22"/>
  <sheetViews>
    <sheetView zoomScale="115" zoomScaleNormal="115" workbookViewId="0">
      <selection activeCell="A7" sqref="A7"/>
    </sheetView>
  </sheetViews>
  <sheetFormatPr defaultColWidth="9.140625" defaultRowHeight="15" x14ac:dyDescent="0.25"/>
  <cols>
    <col min="1" max="1" width="24.28515625" style="1" bestFit="1" customWidth="1"/>
    <col min="2" max="2" width="27.42578125" style="1" bestFit="1" customWidth="1"/>
    <col min="3" max="3" width="31.85546875" style="1" bestFit="1" customWidth="1"/>
    <col min="4" max="4" width="27.140625" style="1" bestFit="1" customWidth="1"/>
    <col min="5" max="5" width="20" style="1" bestFit="1" customWidth="1"/>
    <col min="6" max="6" width="24.42578125" style="1" bestFit="1" customWidth="1"/>
    <col min="7" max="7" width="15.42578125" style="1" bestFit="1" customWidth="1"/>
    <col min="8" max="8" width="11" style="1" bestFit="1" customWidth="1"/>
    <col min="9" max="9" width="13.7109375" style="1" bestFit="1" customWidth="1"/>
    <col min="10" max="10" width="14.42578125" style="1" bestFit="1" customWidth="1"/>
    <col min="11" max="11" width="28.7109375" style="1" bestFit="1" customWidth="1"/>
    <col min="12" max="12" width="14.42578125" style="1" bestFit="1" customWidth="1"/>
    <col min="13" max="13" width="18.42578125" style="1" bestFit="1" customWidth="1"/>
    <col min="14" max="14" width="14.42578125" style="1" bestFit="1" customWidth="1"/>
    <col min="15" max="16384" width="9.140625" style="1"/>
  </cols>
  <sheetData>
    <row r="1" spans="1:15" s="44" customFormat="1" x14ac:dyDescent="0.25">
      <c r="B1" s="44" t="s">
        <v>1130</v>
      </c>
      <c r="C1" s="44" t="s">
        <v>1231</v>
      </c>
      <c r="E1" s="297" t="s">
        <v>1230</v>
      </c>
      <c r="F1" s="297"/>
      <c r="G1" s="44" t="s">
        <v>1196</v>
      </c>
      <c r="H1" s="44" t="s">
        <v>1229</v>
      </c>
      <c r="I1" s="297" t="s">
        <v>1232</v>
      </c>
      <c r="J1" s="297"/>
      <c r="K1" s="297" t="s">
        <v>1234</v>
      </c>
      <c r="L1" s="297"/>
      <c r="M1" s="297" t="s">
        <v>1233</v>
      </c>
      <c r="N1" s="297"/>
    </row>
    <row r="2" spans="1:15" x14ac:dyDescent="0.25">
      <c r="A2" s="1" t="s">
        <v>697</v>
      </c>
      <c r="B2" s="1" t="s">
        <v>758</v>
      </c>
      <c r="C2" s="1" t="s">
        <v>735</v>
      </c>
      <c r="D2" s="1" t="s">
        <v>737</v>
      </c>
      <c r="E2" s="1" t="s">
        <v>698</v>
      </c>
      <c r="F2" s="1" t="s">
        <v>720</v>
      </c>
      <c r="G2" s="1" t="s">
        <v>688</v>
      </c>
      <c r="H2" s="1" t="s">
        <v>26</v>
      </c>
      <c r="I2" s="1" t="s">
        <v>695</v>
      </c>
      <c r="J2" s="1" t="s">
        <v>794</v>
      </c>
      <c r="K2" s="1" t="s">
        <v>732</v>
      </c>
      <c r="L2" s="1" t="s">
        <v>794</v>
      </c>
      <c r="M2" s="1" t="s">
        <v>696</v>
      </c>
      <c r="N2" s="1" t="s">
        <v>794</v>
      </c>
      <c r="O2" s="1" t="s">
        <v>625</v>
      </c>
    </row>
    <row r="3" spans="1:15" x14ac:dyDescent="0.25">
      <c r="A3" s="1">
        <v>1</v>
      </c>
      <c r="B3" s="1" t="s">
        <v>721</v>
      </c>
      <c r="D3" s="1">
        <v>1</v>
      </c>
      <c r="E3" s="1">
        <f>'tabel penyusutan'!A4</f>
        <v>2</v>
      </c>
      <c r="F3" s="1" t="str">
        <f>'tabel penyusutan'!C4</f>
        <v>LINIER</v>
      </c>
      <c r="G3" s="1">
        <f>'tabel penyusutan'!D4</f>
        <v>5</v>
      </c>
      <c r="I3" s="1">
        <f>'rekening perkiraan'!A29</f>
        <v>27</v>
      </c>
      <c r="J3" s="1" t="str">
        <f>'rekening perkiraan'!E29</f>
        <v>1.23.24.27</v>
      </c>
      <c r="K3" s="1">
        <f>'rekening perkiraan'!A30</f>
        <v>28</v>
      </c>
      <c r="L3" s="1" t="str">
        <f>'rekening perkiraan'!E30</f>
        <v>1.23.24.28</v>
      </c>
      <c r="M3" s="1">
        <f>'rekening perkiraan'!A31</f>
        <v>29</v>
      </c>
      <c r="N3" s="1" t="str">
        <f>'rekening perkiraan'!E31</f>
        <v>29.30.31.29</v>
      </c>
    </row>
    <row r="4" spans="1:15" x14ac:dyDescent="0.25">
      <c r="A4" s="1">
        <v>2</v>
      </c>
      <c r="B4" s="1" t="s">
        <v>729</v>
      </c>
      <c r="D4" s="1">
        <v>2</v>
      </c>
      <c r="E4" s="1">
        <f>'tabel penyusutan'!A3</f>
        <v>1</v>
      </c>
      <c r="F4" s="1" t="str">
        <f>'tabel penyusutan'!C3</f>
        <v>MARCS</v>
      </c>
      <c r="G4" s="1">
        <f>'tabel penyusutan'!D3</f>
        <v>10</v>
      </c>
      <c r="I4" s="1">
        <f>'rekening perkiraan'!A32</f>
        <v>30</v>
      </c>
      <c r="J4" s="1" t="str">
        <f>'rekening perkiraan'!E32</f>
        <v>1.23.24.30</v>
      </c>
      <c r="K4" s="1">
        <f>'rekening perkiraan'!A33</f>
        <v>31</v>
      </c>
      <c r="L4" s="1" t="str">
        <f>'rekening perkiraan'!E33</f>
        <v>1.23.24.31</v>
      </c>
      <c r="M4" s="1">
        <f>'rekening perkiraan'!A34</f>
        <v>32</v>
      </c>
      <c r="N4" s="1" t="str">
        <f>'rekening perkiraan'!E34</f>
        <v>29.30.31.32</v>
      </c>
    </row>
    <row r="5" spans="1:15" x14ac:dyDescent="0.25">
      <c r="A5" s="1">
        <v>3</v>
      </c>
      <c r="B5" s="1" t="s">
        <v>741</v>
      </c>
      <c r="D5" s="1" t="str">
        <f>CONCATENATE(A3,".",A5)</f>
        <v>1.3</v>
      </c>
      <c r="E5" s="1">
        <f>'tabel penyusutan'!A4</f>
        <v>2</v>
      </c>
      <c r="F5" s="1" t="str">
        <f>'tabel penyusutan'!C4</f>
        <v>LINIER</v>
      </c>
      <c r="G5" s="1">
        <f>'tabel penyusutan'!D4</f>
        <v>5</v>
      </c>
      <c r="I5" s="1">
        <f>'rekening perkiraan'!A29</f>
        <v>27</v>
      </c>
      <c r="J5" s="1" t="str">
        <f>'rekening perkiraan'!E29</f>
        <v>1.23.24.27</v>
      </c>
      <c r="K5" s="1">
        <f>'rekening perkiraan'!A30</f>
        <v>28</v>
      </c>
      <c r="L5" s="1" t="str">
        <f>'rekening perkiraan'!E30</f>
        <v>1.23.24.28</v>
      </c>
      <c r="M5" s="1">
        <f>'rekening perkiraan'!A31</f>
        <v>29</v>
      </c>
      <c r="N5" s="1" t="str">
        <f>'rekening perkiraan'!E31</f>
        <v>29.30.31.29</v>
      </c>
    </row>
    <row r="6" spans="1:15" x14ac:dyDescent="0.25">
      <c r="A6" s="1">
        <v>4</v>
      </c>
      <c r="B6" s="1" t="s">
        <v>736</v>
      </c>
      <c r="C6" s="1">
        <f>A4</f>
        <v>2</v>
      </c>
      <c r="D6" s="1" t="str">
        <f>CONCATENATE(A4,".",A6)</f>
        <v>2.4</v>
      </c>
      <c r="E6" s="1">
        <f>'tabel penyusutan'!A3</f>
        <v>1</v>
      </c>
      <c r="F6" s="1" t="str">
        <f>'tabel penyusutan'!C3</f>
        <v>MARCS</v>
      </c>
      <c r="G6" s="1">
        <f>'tabel penyusutan'!D3</f>
        <v>10</v>
      </c>
      <c r="I6" s="1">
        <f>'rekening perkiraan'!A32</f>
        <v>30</v>
      </c>
      <c r="J6" s="1" t="str">
        <f>'rekening perkiraan'!E32</f>
        <v>1.23.24.30</v>
      </c>
      <c r="K6" s="1">
        <f>'rekening perkiraan'!A33</f>
        <v>31</v>
      </c>
      <c r="L6" s="1" t="str">
        <f>'rekening perkiraan'!E33</f>
        <v>1.23.24.31</v>
      </c>
      <c r="M6" s="1">
        <f>'rekening perkiraan'!A34</f>
        <v>32</v>
      </c>
      <c r="N6" s="1" t="str">
        <f>'rekening perkiraan'!E34</f>
        <v>29.30.31.32</v>
      </c>
    </row>
    <row r="7" spans="1:15" x14ac:dyDescent="0.25">
      <c r="A7" s="1">
        <v>5</v>
      </c>
      <c r="B7" s="1" t="s">
        <v>792</v>
      </c>
      <c r="C7" s="1">
        <f>A3</f>
        <v>1</v>
      </c>
      <c r="D7" s="1" t="str">
        <f>CONCATENATE(A3,".",A5,".",A7)</f>
        <v>1.3.5</v>
      </c>
      <c r="E7" s="1">
        <f>'tabel penyusutan'!A4</f>
        <v>2</v>
      </c>
      <c r="F7" s="1" t="str">
        <f>'tabel penyusutan'!C4</f>
        <v>LINIER</v>
      </c>
      <c r="G7" s="1">
        <f>'tabel penyusutan'!D4</f>
        <v>5</v>
      </c>
      <c r="I7" s="1">
        <f>'rekening perkiraan'!A29</f>
        <v>27</v>
      </c>
      <c r="J7" s="1" t="str">
        <f>'rekening perkiraan'!E29</f>
        <v>1.23.24.27</v>
      </c>
      <c r="K7" s="1">
        <f>'rekening perkiraan'!A30</f>
        <v>28</v>
      </c>
      <c r="L7" s="1" t="str">
        <f>'rekening perkiraan'!E30</f>
        <v>1.23.24.28</v>
      </c>
      <c r="M7" s="1">
        <f>'rekening perkiraan'!A31</f>
        <v>29</v>
      </c>
      <c r="N7" s="1" t="str">
        <f>'rekening perkiraan'!E31</f>
        <v>29.30.31.29</v>
      </c>
    </row>
    <row r="8" spans="1:15" x14ac:dyDescent="0.25">
      <c r="A8" s="1">
        <v>6</v>
      </c>
      <c r="B8" s="1" t="s">
        <v>793</v>
      </c>
      <c r="C8" s="1">
        <f>A3</f>
        <v>1</v>
      </c>
      <c r="D8" s="1" t="str">
        <f>CONCATENATE(A3,".",A5,".",A8)</f>
        <v>1.3.6</v>
      </c>
      <c r="E8" s="1">
        <f>'tabel penyusutan'!A5</f>
        <v>3</v>
      </c>
      <c r="F8" s="1" t="str">
        <f>'tabel penyusutan'!C5</f>
        <v>straighline method</v>
      </c>
      <c r="G8" s="1">
        <f>'tabel penyusutan'!D5</f>
        <v>4</v>
      </c>
      <c r="I8" s="1">
        <f>'rekening perkiraan'!A29</f>
        <v>27</v>
      </c>
      <c r="J8" s="1" t="str">
        <f>'rekening perkiraan'!E29</f>
        <v>1.23.24.27</v>
      </c>
      <c r="K8" s="1">
        <f>'rekening perkiraan'!A30</f>
        <v>28</v>
      </c>
      <c r="L8" s="1" t="str">
        <f>'rekening perkiraan'!E30</f>
        <v>1.23.24.28</v>
      </c>
      <c r="M8" s="1">
        <f>'rekening perkiraan'!A31</f>
        <v>29</v>
      </c>
      <c r="N8" s="1" t="str">
        <f>'rekening perkiraan'!E31</f>
        <v>29.30.31.29</v>
      </c>
    </row>
    <row r="14" spans="1:15" x14ac:dyDescent="0.25">
      <c r="A14" s="1" t="s">
        <v>1178</v>
      </c>
      <c r="B14" s="1" t="s">
        <v>1130</v>
      </c>
    </row>
    <row r="15" spans="1:15" x14ac:dyDescent="0.25">
      <c r="B15" s="1" t="s">
        <v>1230</v>
      </c>
    </row>
    <row r="16" spans="1:15" x14ac:dyDescent="0.25">
      <c r="B16" s="1" t="s">
        <v>1232</v>
      </c>
      <c r="C16" s="1" t="s">
        <v>1306</v>
      </c>
    </row>
    <row r="17" spans="1:3" x14ac:dyDescent="0.25">
      <c r="B17" s="1" t="s">
        <v>1234</v>
      </c>
      <c r="C17" s="1" t="s">
        <v>1306</v>
      </c>
    </row>
    <row r="18" spans="1:3" x14ac:dyDescent="0.25">
      <c r="B18" s="1" t="s">
        <v>1298</v>
      </c>
      <c r="C18" s="1" t="s">
        <v>1306</v>
      </c>
    </row>
    <row r="20" spans="1:3" x14ac:dyDescent="0.25">
      <c r="A20" s="1" t="s">
        <v>932</v>
      </c>
      <c r="B20" s="1" t="s">
        <v>1196</v>
      </c>
    </row>
    <row r="22" spans="1:3" x14ac:dyDescent="0.25">
      <c r="A22" s="1" t="s">
        <v>1183</v>
      </c>
      <c r="B22" s="1" t="s">
        <v>667</v>
      </c>
    </row>
  </sheetData>
  <mergeCells count="4">
    <mergeCell ref="E1:F1"/>
    <mergeCell ref="I1:J1"/>
    <mergeCell ref="K1:L1"/>
    <mergeCell ref="M1:N1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>
    <tabColor rgb="FF00B050"/>
  </sheetPr>
  <dimension ref="A1:AJ20"/>
  <sheetViews>
    <sheetView zoomScale="115" zoomScaleNormal="115" workbookViewId="0">
      <selection activeCell="H3" sqref="H3"/>
    </sheetView>
  </sheetViews>
  <sheetFormatPr defaultColWidth="9.140625" defaultRowHeight="15" x14ac:dyDescent="0.25"/>
  <cols>
    <col min="1" max="1" width="20" style="1" bestFit="1" customWidth="1"/>
    <col min="2" max="2" width="20" style="1" customWidth="1"/>
    <col min="3" max="3" width="17.42578125" style="1" bestFit="1" customWidth="1"/>
    <col min="4" max="4" width="5.7109375" style="1" bestFit="1" customWidth="1"/>
    <col min="5" max="5" width="12" style="1" bestFit="1" customWidth="1"/>
    <col min="6" max="6" width="10.140625" style="1" bestFit="1" customWidth="1"/>
    <col min="7" max="15" width="9.140625" style="1" bestFit="1" customWidth="1"/>
    <col min="16" max="16" width="9.28515625" style="1" bestFit="1" customWidth="1"/>
    <col min="17" max="27" width="9.140625" style="1"/>
    <col min="28" max="28" width="9.42578125" style="1" bestFit="1" customWidth="1"/>
    <col min="29" max="29" width="9.28515625" style="1" bestFit="1" customWidth="1"/>
    <col min="30" max="32" width="9.140625" style="1"/>
    <col min="33" max="34" width="9.140625" style="1" customWidth="1"/>
    <col min="35" max="16384" width="9.140625" style="1"/>
  </cols>
  <sheetData>
    <row r="1" spans="1:36" s="44" customFormat="1" x14ac:dyDescent="0.25">
      <c r="B1" s="297" t="s">
        <v>1252</v>
      </c>
      <c r="C1" s="297"/>
      <c r="D1" s="44" t="s">
        <v>1196</v>
      </c>
      <c r="E1" s="44" t="s">
        <v>1197</v>
      </c>
      <c r="F1" s="44" t="s">
        <v>1198</v>
      </c>
      <c r="G1" s="44" t="s">
        <v>1199</v>
      </c>
      <c r="H1" s="44" t="s">
        <v>1200</v>
      </c>
      <c r="I1" s="44" t="s">
        <v>1201</v>
      </c>
      <c r="J1" s="44" t="s">
        <v>1202</v>
      </c>
      <c r="K1" s="44" t="s">
        <v>1203</v>
      </c>
      <c r="L1" s="44" t="s">
        <v>1204</v>
      </c>
      <c r="M1" s="44" t="s">
        <v>1205</v>
      </c>
      <c r="N1" s="44" t="s">
        <v>1206</v>
      </c>
      <c r="O1" s="44" t="s">
        <v>1207</v>
      </c>
      <c r="P1" s="44" t="s">
        <v>1208</v>
      </c>
      <c r="Q1" s="44" t="s">
        <v>1209</v>
      </c>
      <c r="R1" s="44" t="s">
        <v>1210</v>
      </c>
      <c r="S1" s="44" t="s">
        <v>1211</v>
      </c>
      <c r="T1" s="44" t="s">
        <v>1212</v>
      </c>
      <c r="U1" s="44" t="s">
        <v>1213</v>
      </c>
      <c r="V1" s="44" t="s">
        <v>1214</v>
      </c>
      <c r="W1" s="44" t="s">
        <v>1215</v>
      </c>
      <c r="X1" s="44" t="s">
        <v>1216</v>
      </c>
      <c r="Y1" s="44" t="s">
        <v>1217</v>
      </c>
      <c r="Z1" s="44" t="s">
        <v>1218</v>
      </c>
      <c r="AA1" s="44" t="s">
        <v>1219</v>
      </c>
      <c r="AB1" s="44" t="s">
        <v>1220</v>
      </c>
      <c r="AC1" s="44" t="s">
        <v>1221</v>
      </c>
      <c r="AD1" s="44" t="s">
        <v>1222</v>
      </c>
      <c r="AE1" s="44" t="s">
        <v>1223</v>
      </c>
      <c r="AF1" s="44" t="s">
        <v>1224</v>
      </c>
      <c r="AG1" s="44" t="s">
        <v>1225</v>
      </c>
      <c r="AH1" s="44" t="s">
        <v>1226</v>
      </c>
      <c r="AI1" s="44" t="s">
        <v>1227</v>
      </c>
      <c r="AJ1" s="44" t="s">
        <v>1228</v>
      </c>
    </row>
    <row r="2" spans="1:36" x14ac:dyDescent="0.25">
      <c r="A2" s="1" t="s">
        <v>698</v>
      </c>
      <c r="B2" s="1" t="s">
        <v>1250</v>
      </c>
      <c r="C2" s="1" t="s">
        <v>720</v>
      </c>
      <c r="D2" s="1" t="s">
        <v>738</v>
      </c>
      <c r="E2" s="1" t="s">
        <v>1249</v>
      </c>
      <c r="F2" s="1" t="s">
        <v>699</v>
      </c>
      <c r="G2" s="1" t="s">
        <v>700</v>
      </c>
      <c r="H2" s="1" t="s">
        <v>701</v>
      </c>
      <c r="I2" s="1" t="s">
        <v>702</v>
      </c>
      <c r="J2" s="1" t="s">
        <v>703</v>
      </c>
      <c r="K2" s="1" t="s">
        <v>704</v>
      </c>
      <c r="L2" s="1" t="s">
        <v>705</v>
      </c>
      <c r="M2" s="1" t="s">
        <v>706</v>
      </c>
      <c r="N2" s="1" t="s">
        <v>707</v>
      </c>
      <c r="O2" s="1" t="s">
        <v>708</v>
      </c>
      <c r="P2" s="1" t="s">
        <v>709</v>
      </c>
      <c r="Q2" s="1" t="s">
        <v>710</v>
      </c>
      <c r="R2" s="1" t="s">
        <v>711</v>
      </c>
      <c r="S2" s="1" t="s">
        <v>712</v>
      </c>
      <c r="T2" s="1" t="s">
        <v>713</v>
      </c>
      <c r="U2" s="1" t="s">
        <v>714</v>
      </c>
      <c r="V2" s="1" t="s">
        <v>715</v>
      </c>
      <c r="W2" s="1" t="s">
        <v>716</v>
      </c>
      <c r="X2" s="1" t="s">
        <v>717</v>
      </c>
      <c r="Y2" s="1" t="s">
        <v>718</v>
      </c>
      <c r="Z2" s="1" t="s">
        <v>719</v>
      </c>
      <c r="AA2" s="1" t="s">
        <v>742</v>
      </c>
      <c r="AB2" s="1" t="s">
        <v>743</v>
      </c>
      <c r="AC2" s="1" t="s">
        <v>744</v>
      </c>
      <c r="AD2" s="1" t="s">
        <v>745</v>
      </c>
      <c r="AE2" s="1" t="s">
        <v>746</v>
      </c>
      <c r="AF2" s="1" t="s">
        <v>747</v>
      </c>
      <c r="AG2" s="1" t="s">
        <v>748</v>
      </c>
      <c r="AH2" s="1" t="s">
        <v>749</v>
      </c>
      <c r="AI2" s="1" t="s">
        <v>750</v>
      </c>
      <c r="AJ2" s="1" t="s">
        <v>751</v>
      </c>
    </row>
    <row r="3" spans="1:36" x14ac:dyDescent="0.25">
      <c r="A3" s="1">
        <v>1</v>
      </c>
      <c r="B3" s="1">
        <f>'nama penyusutan'!A2</f>
        <v>1</v>
      </c>
      <c r="C3" s="1" t="str">
        <f>'nama penyusutan'!B2</f>
        <v>MARCS</v>
      </c>
      <c r="D3" s="1">
        <v>10</v>
      </c>
      <c r="E3" s="1">
        <v>0</v>
      </c>
      <c r="F3" s="55">
        <f>SUM(G3:AJ3)</f>
        <v>0.99999999999999989</v>
      </c>
      <c r="G3" s="55">
        <v>0.1</v>
      </c>
      <c r="H3" s="55">
        <v>0.1</v>
      </c>
      <c r="I3" s="55">
        <v>0.1</v>
      </c>
      <c r="J3" s="55">
        <v>0.1</v>
      </c>
      <c r="K3" s="55">
        <v>0.1</v>
      </c>
      <c r="L3" s="55">
        <v>0.1</v>
      </c>
      <c r="M3" s="55">
        <v>0.1</v>
      </c>
      <c r="N3" s="55">
        <v>0.1</v>
      </c>
      <c r="O3" s="55">
        <v>0.1</v>
      </c>
      <c r="P3" s="55">
        <v>0.1</v>
      </c>
    </row>
    <row r="4" spans="1:36" x14ac:dyDescent="0.25">
      <c r="A4" s="1">
        <v>2</v>
      </c>
      <c r="B4" s="1">
        <f>'nama penyusutan'!A3</f>
        <v>2</v>
      </c>
      <c r="C4" s="1" t="str">
        <f>'nama penyusutan'!B3</f>
        <v>LINIER</v>
      </c>
      <c r="D4" s="1">
        <v>5</v>
      </c>
      <c r="E4" s="1">
        <v>0</v>
      </c>
      <c r="F4" s="55">
        <f t="shared" ref="F4:F5" si="0">SUM(G4:AJ4)</f>
        <v>1</v>
      </c>
      <c r="G4" s="55">
        <v>0.2</v>
      </c>
      <c r="H4" s="55">
        <v>0.2</v>
      </c>
      <c r="I4" s="55">
        <v>0.2</v>
      </c>
      <c r="J4" s="55">
        <v>0.2</v>
      </c>
      <c r="K4" s="55">
        <v>0.2</v>
      </c>
    </row>
    <row r="5" spans="1:36" x14ac:dyDescent="0.25">
      <c r="A5" s="1">
        <v>3</v>
      </c>
      <c r="B5" s="1">
        <f>'nama penyusutan'!A4</f>
        <v>3</v>
      </c>
      <c r="C5" s="1" t="str">
        <f>'nama penyusutan'!B4</f>
        <v>straighline method</v>
      </c>
      <c r="D5" s="1">
        <v>4</v>
      </c>
      <c r="E5" s="1">
        <v>0</v>
      </c>
      <c r="F5" s="55">
        <f t="shared" si="0"/>
        <v>1</v>
      </c>
      <c r="G5" s="55">
        <v>0.25</v>
      </c>
      <c r="H5" s="55">
        <v>0.25</v>
      </c>
      <c r="I5" s="55">
        <v>0.25</v>
      </c>
      <c r="J5" s="55">
        <v>0.25</v>
      </c>
      <c r="K5" s="55"/>
    </row>
    <row r="7" spans="1:36" x14ac:dyDescent="0.25">
      <c r="A7" s="40"/>
      <c r="B7" s="40"/>
    </row>
    <row r="10" spans="1:36" x14ac:dyDescent="0.25">
      <c r="A10" s="40" t="s">
        <v>1178</v>
      </c>
      <c r="B10" s="40" t="s">
        <v>1252</v>
      </c>
      <c r="C10" s="1" t="s">
        <v>1303</v>
      </c>
    </row>
    <row r="11" spans="1:36" x14ac:dyDescent="0.25">
      <c r="A11" s="40"/>
      <c r="B11" s="40" t="s">
        <v>1196</v>
      </c>
    </row>
    <row r="12" spans="1:36" x14ac:dyDescent="0.25">
      <c r="A12" s="40"/>
      <c r="B12" s="40" t="s">
        <v>1296</v>
      </c>
    </row>
    <row r="13" spans="1:36" x14ac:dyDescent="0.25">
      <c r="A13" s="40"/>
      <c r="B13" s="40"/>
    </row>
    <row r="14" spans="1:36" x14ac:dyDescent="0.25">
      <c r="A14" s="40" t="s">
        <v>932</v>
      </c>
      <c r="B14" s="40" t="s">
        <v>1297</v>
      </c>
    </row>
    <row r="15" spans="1:36" x14ac:dyDescent="0.25">
      <c r="A15" s="40"/>
      <c r="B15" s="40"/>
    </row>
    <row r="16" spans="1:36" x14ac:dyDescent="0.25">
      <c r="A16" s="40" t="s">
        <v>1183</v>
      </c>
      <c r="B16" s="40" t="s">
        <v>1197</v>
      </c>
      <c r="C16" s="40" t="s">
        <v>1255</v>
      </c>
    </row>
    <row r="17" spans="1:3" x14ac:dyDescent="0.25">
      <c r="A17" s="40"/>
      <c r="B17" s="40"/>
      <c r="C17" s="40"/>
    </row>
    <row r="18" spans="1:3" x14ac:dyDescent="0.25">
      <c r="A18" s="40"/>
      <c r="B18" s="40"/>
    </row>
    <row r="19" spans="1:3" x14ac:dyDescent="0.25">
      <c r="A19" s="40"/>
      <c r="B19" s="40"/>
    </row>
    <row r="20" spans="1:3" x14ac:dyDescent="0.25">
      <c r="A20" s="40"/>
      <c r="B20" s="40"/>
    </row>
  </sheetData>
  <mergeCells count="1">
    <mergeCell ref="B1:C1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>
    <tabColor rgb="FF00B050"/>
  </sheetPr>
  <dimension ref="A1:C4"/>
  <sheetViews>
    <sheetView zoomScale="145" zoomScaleNormal="145" workbookViewId="0">
      <selection activeCell="B4" sqref="B4"/>
    </sheetView>
  </sheetViews>
  <sheetFormatPr defaultColWidth="9.140625" defaultRowHeight="15" x14ac:dyDescent="0.25"/>
  <cols>
    <col min="1" max="1" width="20.28515625" style="1" bestFit="1" customWidth="1"/>
    <col min="2" max="2" width="18.140625" style="1" bestFit="1" customWidth="1"/>
    <col min="3" max="3" width="6.42578125" style="1" bestFit="1" customWidth="1"/>
    <col min="4" max="16384" width="9.140625" style="1"/>
  </cols>
  <sheetData>
    <row r="1" spans="1:3" x14ac:dyDescent="0.25">
      <c r="A1" s="1" t="s">
        <v>1250</v>
      </c>
      <c r="B1" s="1" t="s">
        <v>720</v>
      </c>
      <c r="C1" s="1" t="s">
        <v>1251</v>
      </c>
    </row>
    <row r="2" spans="1:3" x14ac:dyDescent="0.25">
      <c r="A2" s="1">
        <v>1</v>
      </c>
      <c r="B2" s="1" t="s">
        <v>1248</v>
      </c>
      <c r="C2" s="1" t="s">
        <v>1256</v>
      </c>
    </row>
    <row r="3" spans="1:3" x14ac:dyDescent="0.25">
      <c r="A3" s="1">
        <v>2</v>
      </c>
      <c r="B3" s="1" t="s">
        <v>1253</v>
      </c>
      <c r="C3" s="1" t="s">
        <v>1256</v>
      </c>
    </row>
    <row r="4" spans="1:3" x14ac:dyDescent="0.25">
      <c r="A4" s="1">
        <v>3</v>
      </c>
      <c r="B4" s="1" t="s">
        <v>1254</v>
      </c>
      <c r="C4" s="1" t="s">
        <v>1256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H12"/>
  <sheetViews>
    <sheetView zoomScale="85" zoomScaleNormal="85" workbookViewId="0">
      <selection activeCell="H2" sqref="H2"/>
    </sheetView>
  </sheetViews>
  <sheetFormatPr defaultColWidth="9.140625" defaultRowHeight="15" x14ac:dyDescent="0.25"/>
  <cols>
    <col min="1" max="1" width="10.42578125" style="1" bestFit="1" customWidth="1"/>
    <col min="2" max="2" width="12.42578125" style="1" bestFit="1" customWidth="1"/>
    <col min="3" max="3" width="10.42578125" style="1" customWidth="1"/>
    <col min="4" max="4" width="29.85546875" style="1" bestFit="1" customWidth="1"/>
    <col min="5" max="5" width="12.42578125" style="1" bestFit="1" customWidth="1"/>
    <col min="6" max="6" width="15" style="1" customWidth="1"/>
    <col min="7" max="7" width="20.140625" style="1" customWidth="1"/>
    <col min="8" max="8" width="22" style="1" customWidth="1"/>
    <col min="9" max="16384" width="9.140625" style="1"/>
  </cols>
  <sheetData>
    <row r="1" spans="1:8" x14ac:dyDescent="0.25">
      <c r="A1" s="1" t="s">
        <v>1257</v>
      </c>
      <c r="B1" s="1" t="s">
        <v>1581</v>
      </c>
      <c r="C1" s="1" t="s">
        <v>1268</v>
      </c>
      <c r="D1" s="1" t="s">
        <v>1258</v>
      </c>
      <c r="E1" s="1" t="s">
        <v>26</v>
      </c>
      <c r="F1" s="1" t="s">
        <v>1259</v>
      </c>
      <c r="G1" s="1" t="s">
        <v>655</v>
      </c>
      <c r="H1" s="1" t="s">
        <v>1129</v>
      </c>
    </row>
    <row r="2" spans="1:8" x14ac:dyDescent="0.25">
      <c r="A2" s="1">
        <v>1</v>
      </c>
      <c r="B2" s="1">
        <v>0</v>
      </c>
      <c r="C2" s="1">
        <v>54000001</v>
      </c>
      <c r="D2" s="6">
        <v>43404</v>
      </c>
      <c r="E2" s="1" t="s">
        <v>1584</v>
      </c>
      <c r="F2" s="1">
        <f>'kode transaksi'!A28</f>
        <v>27</v>
      </c>
      <c r="G2" s="1" t="str">
        <f>CONCATENATE(closing!F2,".",closing!A2)</f>
        <v>27.1</v>
      </c>
      <c r="H2" s="1">
        <f>'periode akuntansi'!A2</f>
        <v>1</v>
      </c>
    </row>
    <row r="12" spans="1:8" x14ac:dyDescent="0.25">
      <c r="A12" s="40" t="s">
        <v>1585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T35"/>
  <sheetViews>
    <sheetView topLeftCell="F1" zoomScaleNormal="100" workbookViewId="0">
      <pane ySplit="1" topLeftCell="A2" activePane="bottomLeft" state="frozen"/>
      <selection pane="bottomLeft" activeCell="J2" sqref="J2"/>
    </sheetView>
  </sheetViews>
  <sheetFormatPr defaultColWidth="9.140625" defaultRowHeight="15" x14ac:dyDescent="0.25"/>
  <cols>
    <col min="1" max="1" width="21" style="1" bestFit="1" customWidth="1"/>
    <col min="2" max="2" width="10.42578125" style="1" bestFit="1" customWidth="1"/>
    <col min="3" max="3" width="11" style="1" bestFit="1" customWidth="1"/>
    <col min="4" max="4" width="29.85546875" style="1" bestFit="1" customWidth="1"/>
    <col min="5" max="5" width="12.42578125" style="1" bestFit="1" customWidth="1"/>
    <col min="6" max="6" width="15" style="1" bestFit="1" customWidth="1"/>
    <col min="7" max="7" width="18.42578125" style="1" bestFit="1" customWidth="1"/>
    <col min="8" max="8" width="31" style="1" bestFit="1" customWidth="1"/>
    <col min="9" max="9" width="34.140625" style="1" bestFit="1" customWidth="1"/>
    <col min="10" max="10" width="34.7109375" style="1" bestFit="1" customWidth="1"/>
    <col min="11" max="11" width="19.85546875" style="1" bestFit="1" customWidth="1"/>
    <col min="12" max="12" width="23" style="1" bestFit="1" customWidth="1"/>
    <col min="13" max="13" width="23.42578125" style="1" bestFit="1" customWidth="1"/>
    <col min="14" max="14" width="9.7109375" style="1" bestFit="1" customWidth="1"/>
    <col min="15" max="15" width="15.42578125" style="1" bestFit="1" customWidth="1"/>
    <col min="16" max="16" width="20.140625" style="1" bestFit="1" customWidth="1"/>
    <col min="17" max="17" width="15.42578125" style="1" bestFit="1" customWidth="1"/>
    <col min="18" max="18" width="22" style="1" bestFit="1" customWidth="1"/>
    <col min="19" max="19" width="8" style="1" bestFit="1" customWidth="1"/>
    <col min="20" max="20" width="17" style="1" bestFit="1" customWidth="1"/>
    <col min="21" max="16384" width="9.140625" style="1"/>
  </cols>
  <sheetData>
    <row r="1" spans="1:20" x14ac:dyDescent="0.25">
      <c r="A1" s="1" t="s">
        <v>1582</v>
      </c>
      <c r="B1" s="1" t="s">
        <v>1257</v>
      </c>
      <c r="C1" s="1" t="s">
        <v>1268</v>
      </c>
      <c r="D1" s="1" t="s">
        <v>1258</v>
      </c>
      <c r="E1" s="1" t="s">
        <v>26</v>
      </c>
      <c r="F1" s="1" t="s">
        <v>684</v>
      </c>
      <c r="G1" s="1" t="s">
        <v>685</v>
      </c>
      <c r="H1" s="1" t="s">
        <v>732</v>
      </c>
      <c r="I1" s="1" t="s">
        <v>1261</v>
      </c>
      <c r="J1" s="47" t="s">
        <v>1262</v>
      </c>
      <c r="K1" s="1" t="s">
        <v>696</v>
      </c>
      <c r="L1" s="1" t="s">
        <v>1263</v>
      </c>
      <c r="M1" s="1" t="s">
        <v>1264</v>
      </c>
      <c r="N1" s="1" t="s">
        <v>24</v>
      </c>
      <c r="O1" s="1" t="s">
        <v>614</v>
      </c>
      <c r="P1" s="1" t="s">
        <v>655</v>
      </c>
      <c r="Q1" s="1" t="s">
        <v>47</v>
      </c>
      <c r="R1" s="1" t="s">
        <v>1129</v>
      </c>
      <c r="S1" s="1" t="s">
        <v>625</v>
      </c>
      <c r="T1" s="1" t="s">
        <v>1580</v>
      </c>
    </row>
    <row r="2" spans="1:20" x14ac:dyDescent="0.25">
      <c r="A2" s="1">
        <v>1</v>
      </c>
      <c r="B2" s="1">
        <f>closing!A2</f>
        <v>1</v>
      </c>
      <c r="D2" s="1" t="s">
        <v>1285</v>
      </c>
      <c r="E2" s="1" t="str">
        <f>closing!E2</f>
        <v>dep monthly</v>
      </c>
      <c r="F2" s="1">
        <f>'data harta tetap'!A3</f>
        <v>1</v>
      </c>
      <c r="G2" s="1" t="str">
        <f>'data harta tetap'!G3</f>
        <v>TIMAH building</v>
      </c>
      <c r="H2" s="1">
        <f>'data harta tetap'!AL3</f>
        <v>31</v>
      </c>
      <c r="J2" s="1">
        <f>'data harta tetap'!AH3</f>
        <v>33333333.333333332</v>
      </c>
      <c r="K2" s="1">
        <f>'data harta tetap'!AN3</f>
        <v>32</v>
      </c>
      <c r="L2" s="1">
        <f>'data harta tetap'!AH3</f>
        <v>33333333.333333332</v>
      </c>
    </row>
    <row r="3" spans="1:20" x14ac:dyDescent="0.25">
      <c r="A3" s="1">
        <v>2</v>
      </c>
      <c r="D3" s="1" t="s">
        <v>1295</v>
      </c>
      <c r="F3" s="1">
        <f>'data harta tetap'!A3</f>
        <v>1</v>
      </c>
      <c r="G3" s="1" t="str">
        <f>'data harta tetap'!G3</f>
        <v>TIMAH building</v>
      </c>
      <c r="H3" s="1">
        <f>'data harta tetap'!AL3</f>
        <v>31</v>
      </c>
      <c r="J3" s="1">
        <f>'data harta tetap'!AH3</f>
        <v>33333333.333333332</v>
      </c>
      <c r="K3" s="1">
        <f>'data harta tetap'!AN3</f>
        <v>32</v>
      </c>
      <c r="L3" s="1">
        <f>'data harta tetap'!AH3</f>
        <v>33333333.333333332</v>
      </c>
    </row>
    <row r="4" spans="1:20" x14ac:dyDescent="0.25">
      <c r="A4" s="1">
        <v>3</v>
      </c>
      <c r="D4" s="1" t="s">
        <v>1287</v>
      </c>
      <c r="F4" s="1">
        <f>'data harta tetap'!A3</f>
        <v>1</v>
      </c>
      <c r="G4" s="1" t="str">
        <f>'data harta tetap'!G3</f>
        <v>TIMAH building</v>
      </c>
      <c r="H4" s="1">
        <f>'data harta tetap'!AL3</f>
        <v>31</v>
      </c>
      <c r="J4" s="1">
        <f>'data harta tetap'!AH3</f>
        <v>33333333.333333332</v>
      </c>
      <c r="K4" s="1">
        <f>'data harta tetap'!AN3</f>
        <v>32</v>
      </c>
      <c r="L4" s="1">
        <f>'data harta tetap'!AH3</f>
        <v>33333333.333333332</v>
      </c>
    </row>
    <row r="5" spans="1:20" x14ac:dyDescent="0.25">
      <c r="A5" s="1">
        <v>4</v>
      </c>
      <c r="D5" s="1" t="s">
        <v>1294</v>
      </c>
      <c r="F5" s="1">
        <f>'data harta tetap'!A3</f>
        <v>1</v>
      </c>
      <c r="G5" s="1" t="str">
        <f>'data harta tetap'!G3</f>
        <v>TIMAH building</v>
      </c>
      <c r="H5" s="1">
        <f>'data harta tetap'!AL3</f>
        <v>31</v>
      </c>
      <c r="J5" s="1">
        <f>'data harta tetap'!AH3</f>
        <v>33333333.333333332</v>
      </c>
      <c r="K5" s="1">
        <f>'data harta tetap'!AN3</f>
        <v>32</v>
      </c>
      <c r="L5" s="1">
        <f>'data harta tetap'!AH3</f>
        <v>33333333.333333332</v>
      </c>
    </row>
    <row r="6" spans="1:20" x14ac:dyDescent="0.25">
      <c r="A6" s="1">
        <v>5</v>
      </c>
      <c r="D6" s="1" t="s">
        <v>1288</v>
      </c>
      <c r="F6" s="1">
        <f>'data harta tetap'!A3</f>
        <v>1</v>
      </c>
      <c r="G6" s="1" t="str">
        <f>'data harta tetap'!G3</f>
        <v>TIMAH building</v>
      </c>
      <c r="H6" s="1">
        <f>'data harta tetap'!AL3</f>
        <v>31</v>
      </c>
      <c r="J6" s="1">
        <f>'data harta tetap'!AH3</f>
        <v>33333333.333333332</v>
      </c>
      <c r="K6" s="1">
        <f>'data harta tetap'!AN3</f>
        <v>32</v>
      </c>
      <c r="L6" s="1">
        <f>'data harta tetap'!AH3</f>
        <v>33333333.333333332</v>
      </c>
    </row>
    <row r="7" spans="1:20" x14ac:dyDescent="0.25">
      <c r="A7" s="1">
        <v>6</v>
      </c>
      <c r="D7" s="1" t="s">
        <v>1293</v>
      </c>
      <c r="F7" s="1">
        <f>'data harta tetap'!A3</f>
        <v>1</v>
      </c>
      <c r="G7" s="1" t="str">
        <f>'data harta tetap'!G3</f>
        <v>TIMAH building</v>
      </c>
      <c r="H7" s="1">
        <f>'data harta tetap'!AL3</f>
        <v>31</v>
      </c>
      <c r="J7" s="1">
        <f>'data harta tetap'!AH3</f>
        <v>33333333.333333332</v>
      </c>
      <c r="K7" s="1">
        <f>'data harta tetap'!AN3</f>
        <v>32</v>
      </c>
      <c r="L7" s="1">
        <f>'data harta tetap'!AH3</f>
        <v>33333333.333333332</v>
      </c>
    </row>
    <row r="8" spans="1:20" x14ac:dyDescent="0.25">
      <c r="A8" s="1">
        <v>7</v>
      </c>
      <c r="D8" s="1" t="s">
        <v>1289</v>
      </c>
      <c r="F8" s="1">
        <f>'data harta tetap'!A3</f>
        <v>1</v>
      </c>
      <c r="G8" s="1" t="str">
        <f>'data harta tetap'!G3</f>
        <v>TIMAH building</v>
      </c>
      <c r="H8" s="1">
        <f>'data harta tetap'!AL3</f>
        <v>31</v>
      </c>
      <c r="J8" s="1">
        <f>'data harta tetap'!AH3</f>
        <v>33333333.333333332</v>
      </c>
      <c r="K8" s="1">
        <f>'data harta tetap'!AN3</f>
        <v>32</v>
      </c>
      <c r="L8" s="1">
        <f>'data harta tetap'!AH3</f>
        <v>33333333.333333332</v>
      </c>
    </row>
    <row r="9" spans="1:20" x14ac:dyDescent="0.25">
      <c r="A9" s="1">
        <v>8</v>
      </c>
      <c r="D9" s="1" t="s">
        <v>1290</v>
      </c>
      <c r="F9" s="1">
        <f>'data harta tetap'!A3</f>
        <v>1</v>
      </c>
      <c r="G9" s="1" t="str">
        <f>'data harta tetap'!G3</f>
        <v>TIMAH building</v>
      </c>
      <c r="H9" s="1">
        <f>'data harta tetap'!AL3</f>
        <v>31</v>
      </c>
      <c r="J9" s="1">
        <f>'data harta tetap'!AH3</f>
        <v>33333333.333333332</v>
      </c>
      <c r="K9" s="1">
        <f>'data harta tetap'!AN3</f>
        <v>32</v>
      </c>
      <c r="L9" s="1">
        <f>'data harta tetap'!AH3</f>
        <v>33333333.333333332</v>
      </c>
    </row>
    <row r="10" spans="1:20" x14ac:dyDescent="0.25">
      <c r="A10" s="1">
        <v>9</v>
      </c>
      <c r="D10" s="1" t="s">
        <v>1292</v>
      </c>
      <c r="F10" s="1">
        <f>'data harta tetap'!A3</f>
        <v>1</v>
      </c>
      <c r="G10" s="1" t="str">
        <f>'data harta tetap'!G3</f>
        <v>TIMAH building</v>
      </c>
      <c r="H10" s="1">
        <f>'data harta tetap'!AL3</f>
        <v>31</v>
      </c>
      <c r="J10" s="1">
        <f>'data harta tetap'!AH3</f>
        <v>33333333.333333332</v>
      </c>
      <c r="K10" s="1">
        <f>'data harta tetap'!AN3</f>
        <v>32</v>
      </c>
      <c r="L10" s="1">
        <f>'data harta tetap'!AH3</f>
        <v>33333333.333333332</v>
      </c>
    </row>
    <row r="11" spans="1:20" x14ac:dyDescent="0.25">
      <c r="A11" s="1">
        <v>10</v>
      </c>
      <c r="B11" s="1">
        <f>closing!A2</f>
        <v>1</v>
      </c>
      <c r="D11" s="1" t="s">
        <v>1291</v>
      </c>
      <c r="E11" s="1" t="str">
        <f>closing!E2</f>
        <v>dep monthly</v>
      </c>
      <c r="F11" s="1">
        <f>'data harta tetap'!A3</f>
        <v>1</v>
      </c>
      <c r="G11" s="1" t="str">
        <f>'data harta tetap'!G3</f>
        <v>TIMAH building</v>
      </c>
      <c r="H11" s="1">
        <f>'data harta tetap'!AL3</f>
        <v>31</v>
      </c>
      <c r="J11" s="1">
        <f>'data harta tetap'!AH3</f>
        <v>33333333.333333332</v>
      </c>
      <c r="K11" s="1">
        <f>'data harta tetap'!AN3</f>
        <v>32</v>
      </c>
      <c r="L11" s="1">
        <f>'data harta tetap'!AH3</f>
        <v>33333333.333333332</v>
      </c>
    </row>
    <row r="12" spans="1:20" x14ac:dyDescent="0.25">
      <c r="A12" s="1">
        <v>11</v>
      </c>
      <c r="F12" s="1">
        <f>'data harta tetap'!A3</f>
        <v>1</v>
      </c>
      <c r="G12" s="1" t="str">
        <f>'data harta tetap'!G3</f>
        <v>TIMAH building</v>
      </c>
      <c r="H12" s="1">
        <f>'data harta tetap'!AL3</f>
        <v>31</v>
      </c>
      <c r="J12" s="1">
        <f>'data harta tetap'!AH3</f>
        <v>33333333.333333332</v>
      </c>
      <c r="K12" s="1">
        <f>'data harta tetap'!AN3</f>
        <v>32</v>
      </c>
      <c r="L12" s="1">
        <f>'data harta tetap'!AH3</f>
        <v>33333333.333333332</v>
      </c>
    </row>
    <row r="13" spans="1:20" x14ac:dyDescent="0.25">
      <c r="A13" s="1">
        <v>12</v>
      </c>
      <c r="F13" s="1">
        <f>'data harta tetap'!A3</f>
        <v>1</v>
      </c>
      <c r="G13" s="1" t="str">
        <f>'data harta tetap'!G3</f>
        <v>TIMAH building</v>
      </c>
      <c r="H13" s="1">
        <f>'data harta tetap'!AL3</f>
        <v>31</v>
      </c>
      <c r="J13" s="1">
        <f>'data harta tetap'!AH3</f>
        <v>33333333.333333332</v>
      </c>
      <c r="K13" s="1">
        <f>'data harta tetap'!AN3</f>
        <v>32</v>
      </c>
      <c r="L13" s="1">
        <f>'data harta tetap'!AH3</f>
        <v>33333333.333333332</v>
      </c>
    </row>
    <row r="14" spans="1:20" x14ac:dyDescent="0.25">
      <c r="A14" s="1">
        <v>13</v>
      </c>
      <c r="D14" s="6" t="s">
        <v>1286</v>
      </c>
      <c r="F14" s="1">
        <f>'data harta tetap'!A3</f>
        <v>1</v>
      </c>
      <c r="G14" s="1" t="str">
        <f>'data harta tetap'!G3</f>
        <v>TIMAH building</v>
      </c>
      <c r="H14" s="1">
        <f>'data harta tetap'!AL3</f>
        <v>31</v>
      </c>
      <c r="J14" s="1">
        <f>'data harta tetap'!AH3</f>
        <v>33333333.333333332</v>
      </c>
      <c r="K14" s="1">
        <f>'data harta tetap'!AN3</f>
        <v>32</v>
      </c>
      <c r="L14" s="1">
        <f>'data harta tetap'!AH3</f>
        <v>33333333.333333332</v>
      </c>
    </row>
    <row r="15" spans="1:20" x14ac:dyDescent="0.25">
      <c r="A15" s="1">
        <v>14</v>
      </c>
    </row>
    <row r="16" spans="1:20" x14ac:dyDescent="0.25">
      <c r="A16" s="1">
        <v>15</v>
      </c>
    </row>
    <row r="17" spans="1:18" x14ac:dyDescent="0.25">
      <c r="A17" s="1">
        <v>16</v>
      </c>
    </row>
    <row r="18" spans="1:18" x14ac:dyDescent="0.25">
      <c r="A18" s="1">
        <v>17</v>
      </c>
    </row>
    <row r="19" spans="1:18" x14ac:dyDescent="0.25">
      <c r="A19" s="1">
        <v>18</v>
      </c>
    </row>
    <row r="20" spans="1:18" x14ac:dyDescent="0.25">
      <c r="A20" s="1">
        <v>19</v>
      </c>
    </row>
    <row r="21" spans="1:18" x14ac:dyDescent="0.25">
      <c r="A21" s="1">
        <v>20</v>
      </c>
    </row>
    <row r="22" spans="1:18" x14ac:dyDescent="0.25">
      <c r="A22" s="1">
        <v>21</v>
      </c>
    </row>
    <row r="23" spans="1:18" x14ac:dyDescent="0.25">
      <c r="A23" s="1">
        <v>22</v>
      </c>
    </row>
    <row r="24" spans="1:18" x14ac:dyDescent="0.25">
      <c r="A24" s="1">
        <v>23</v>
      </c>
    </row>
    <row r="25" spans="1:18" x14ac:dyDescent="0.25">
      <c r="A25" s="1">
        <v>24</v>
      </c>
      <c r="B25" s="1">
        <f>closing!A2</f>
        <v>1</v>
      </c>
      <c r="C25" s="1">
        <f>closing!C2</f>
        <v>54000001</v>
      </c>
      <c r="D25" s="13">
        <f>closing!D2</f>
        <v>43404</v>
      </c>
      <c r="E25" s="1" t="str">
        <f>closing!E2</f>
        <v>dep monthly</v>
      </c>
      <c r="F25" s="1">
        <f>'data harta tetap'!A4</f>
        <v>2</v>
      </c>
      <c r="G25" s="1" t="str">
        <f>'data harta tetap'!G4</f>
        <v>AVANZA</v>
      </c>
      <c r="H25" s="1">
        <f>'data harta tetap'!AL4</f>
        <v>28</v>
      </c>
      <c r="J25" s="1">
        <f>'data harta tetap'!AH4</f>
        <v>2500000</v>
      </c>
      <c r="K25" s="1">
        <f>'data harta tetap'!AN4</f>
        <v>29</v>
      </c>
      <c r="L25" s="1">
        <f>'data harta tetap'!AH4</f>
        <v>2500000</v>
      </c>
      <c r="N25" s="1">
        <f>'data harta tetap'!S4</f>
        <v>2</v>
      </c>
      <c r="O25" s="1">
        <f>closing!F2</f>
        <v>27</v>
      </c>
      <c r="P25" s="1" t="str">
        <f>closing!G2</f>
        <v>27.1</v>
      </c>
      <c r="Q25" s="1" t="e">
        <f>closing!#REF!</f>
        <v>#REF!</v>
      </c>
      <c r="R25" s="1">
        <f>'data harta tetap'!AP4</f>
        <v>1</v>
      </c>
    </row>
    <row r="26" spans="1:18" x14ac:dyDescent="0.25">
      <c r="A26" s="1">
        <v>25</v>
      </c>
      <c r="B26" s="1">
        <f>closing!A2</f>
        <v>1</v>
      </c>
      <c r="C26" s="1">
        <f>closing!C2</f>
        <v>54000001</v>
      </c>
      <c r="D26" s="13">
        <f>closing!D2</f>
        <v>43404</v>
      </c>
      <c r="E26" s="1" t="str">
        <f>closing!E2</f>
        <v>dep monthly</v>
      </c>
      <c r="F26" s="1">
        <f>'data harta tetap'!A5</f>
        <v>3</v>
      </c>
      <c r="G26" s="1" t="str">
        <f>'data harta tetap'!G5</f>
        <v>ibis</v>
      </c>
      <c r="H26" s="1">
        <f>'data harta tetap'!AL5</f>
        <v>31</v>
      </c>
      <c r="J26" s="1">
        <f>'data harta tetap'!AH5</f>
        <v>25000000</v>
      </c>
      <c r="K26" s="1">
        <f>'data harta tetap'!AN5</f>
        <v>32</v>
      </c>
      <c r="L26" s="1">
        <f>'data harta tetap'!AH5</f>
        <v>25000000</v>
      </c>
      <c r="N26" s="1">
        <f>'data harta tetap'!S5</f>
        <v>1</v>
      </c>
      <c r="O26" s="1">
        <f>closing!F2</f>
        <v>27</v>
      </c>
      <c r="P26" s="1" t="str">
        <f>closing!G2</f>
        <v>27.1</v>
      </c>
      <c r="Q26" s="1" t="e">
        <f>closing!#REF!</f>
        <v>#REF!</v>
      </c>
      <c r="R26" s="1">
        <f>'data harta tetap'!AP5</f>
        <v>1</v>
      </c>
    </row>
    <row r="27" spans="1:18" x14ac:dyDescent="0.25">
      <c r="A27" s="1">
        <v>26</v>
      </c>
      <c r="B27" s="1">
        <f>closing!A2</f>
        <v>1</v>
      </c>
      <c r="C27" s="1">
        <f>closing!C2</f>
        <v>54000001</v>
      </c>
      <c r="D27" s="13">
        <f>closing!D2</f>
        <v>43404</v>
      </c>
      <c r="E27" s="1" t="str">
        <f>closing!E2</f>
        <v>dep monthly</v>
      </c>
      <c r="F27" s="1">
        <f>'data harta tetap'!A6</f>
        <v>4</v>
      </c>
      <c r="G27" s="1" t="str">
        <f>'data harta tetap'!G6</f>
        <v>toyota agya</v>
      </c>
      <c r="H27" s="1">
        <f>'data harta tetap'!AL6</f>
        <v>28</v>
      </c>
      <c r="J27" s="1">
        <f>'data harta tetap'!AH6</f>
        <v>1666666.6666666667</v>
      </c>
      <c r="K27" s="1">
        <f>'data harta tetap'!AN6</f>
        <v>29</v>
      </c>
      <c r="L27" s="1">
        <f>'data harta tetap'!AH6</f>
        <v>1666666.6666666667</v>
      </c>
      <c r="N27" s="1">
        <f>'data harta tetap'!S6</f>
        <v>1</v>
      </c>
      <c r="O27" s="1">
        <f>closing!F2</f>
        <v>27</v>
      </c>
      <c r="P27" s="1" t="str">
        <f>closing!G2</f>
        <v>27.1</v>
      </c>
      <c r="Q27" s="1" t="e">
        <f>closing!#REF!</f>
        <v>#REF!</v>
      </c>
      <c r="R27" s="1">
        <f>'data harta tetap'!AP6</f>
        <v>1</v>
      </c>
    </row>
    <row r="28" spans="1:18" x14ac:dyDescent="0.25">
      <c r="A28" s="1">
        <v>27</v>
      </c>
      <c r="B28" s="1">
        <f>closing!A2</f>
        <v>1</v>
      </c>
      <c r="C28" s="1">
        <f>closing!C2</f>
        <v>54000001</v>
      </c>
      <c r="D28" s="13">
        <f>closing!D2</f>
        <v>43404</v>
      </c>
      <c r="E28" s="1" t="str">
        <f>closing!E2</f>
        <v>dep monthly</v>
      </c>
      <c r="F28" s="1">
        <f>'data harta tetap'!A7</f>
        <v>5</v>
      </c>
      <c r="G28" s="1" t="str">
        <f>'data harta tetap'!G7</f>
        <v>suzuki alya</v>
      </c>
      <c r="H28" s="1">
        <f>'data harta tetap'!AL7</f>
        <v>28</v>
      </c>
      <c r="J28" s="1">
        <f>'data harta tetap'!AH7</f>
        <v>2000000</v>
      </c>
      <c r="K28" s="1">
        <f>'data harta tetap'!AN7</f>
        <v>29</v>
      </c>
      <c r="L28" s="1">
        <f>'data harta tetap'!AH7</f>
        <v>2000000</v>
      </c>
      <c r="N28" s="1">
        <f>'data harta tetap'!S7</f>
        <v>2</v>
      </c>
      <c r="O28" s="1">
        <f>closing!F2</f>
        <v>27</v>
      </c>
      <c r="P28" s="1" t="str">
        <f>closing!G2</f>
        <v>27.1</v>
      </c>
      <c r="Q28" s="1" t="e">
        <f>closing!#REF!</f>
        <v>#REF!</v>
      </c>
      <c r="R28" s="1">
        <f>'data harta tetap'!AP7</f>
        <v>1</v>
      </c>
    </row>
    <row r="29" spans="1:18" x14ac:dyDescent="0.25">
      <c r="A29" s="1">
        <v>28</v>
      </c>
      <c r="B29" s="1">
        <f>closing!A2</f>
        <v>1</v>
      </c>
      <c r="C29" s="1">
        <f>closing!C2</f>
        <v>54000001</v>
      </c>
      <c r="D29" s="13">
        <f>closing!D2</f>
        <v>43404</v>
      </c>
      <c r="E29" s="1" t="str">
        <f>closing!E2</f>
        <v>dep monthly</v>
      </c>
      <c r="F29" s="1">
        <f>'data harta tetap'!A8</f>
        <v>6</v>
      </c>
      <c r="G29" s="1" t="str">
        <f>'data harta tetap'!G8</f>
        <v>isuzu panther</v>
      </c>
      <c r="H29" s="1">
        <f>'data harta tetap'!AL8</f>
        <v>28</v>
      </c>
      <c r="J29" s="1">
        <f>'data harta tetap'!AH8</f>
        <v>2000000</v>
      </c>
      <c r="K29" s="1">
        <f>'data harta tetap'!AN8</f>
        <v>29</v>
      </c>
      <c r="L29" s="1">
        <f>'data harta tetap'!AH8</f>
        <v>2000000</v>
      </c>
      <c r="N29" s="1">
        <f>'data harta tetap'!S8</f>
        <v>2</v>
      </c>
      <c r="O29" s="1">
        <f>closing!F2</f>
        <v>27</v>
      </c>
      <c r="P29" s="1" t="str">
        <f>closing!G2</f>
        <v>27.1</v>
      </c>
      <c r="Q29" s="1" t="e">
        <f>closing!#REF!</f>
        <v>#REF!</v>
      </c>
      <c r="R29" s="1">
        <f>'data harta tetap'!AP8</f>
        <v>1</v>
      </c>
    </row>
    <row r="30" spans="1:18" x14ac:dyDescent="0.25">
      <c r="A30" s="1">
        <v>29</v>
      </c>
    </row>
    <row r="31" spans="1:18" x14ac:dyDescent="0.25">
      <c r="A31" s="1">
        <v>30</v>
      </c>
    </row>
    <row r="32" spans="1:18" x14ac:dyDescent="0.25">
      <c r="A32" s="1">
        <v>31</v>
      </c>
    </row>
    <row r="33" spans="1:1" x14ac:dyDescent="0.25">
      <c r="A33" s="1">
        <v>19</v>
      </c>
    </row>
    <row r="34" spans="1:1" x14ac:dyDescent="0.25">
      <c r="A34" s="1">
        <v>20</v>
      </c>
    </row>
    <row r="35" spans="1:1" x14ac:dyDescent="0.25">
      <c r="A35" s="1">
        <v>21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O26"/>
  <sheetViews>
    <sheetView zoomScale="115" zoomScaleNormal="115" workbookViewId="0">
      <selection activeCell="R6" sqref="Q6:R6"/>
    </sheetView>
  </sheetViews>
  <sheetFormatPr defaultColWidth="9.140625" defaultRowHeight="15" x14ac:dyDescent="0.25"/>
  <cols>
    <col min="1" max="1" width="8.42578125" style="1" bestFit="1" customWidth="1"/>
    <col min="2" max="2" width="12" style="1" bestFit="1" customWidth="1"/>
    <col min="3" max="3" width="20.7109375" style="1" bestFit="1" customWidth="1"/>
    <col min="4" max="4" width="18.28515625" style="1" bestFit="1" customWidth="1"/>
    <col min="5" max="5" width="10.42578125" style="1" bestFit="1" customWidth="1"/>
    <col min="6" max="6" width="11" style="1" bestFit="1" customWidth="1"/>
    <col min="7" max="7" width="9.140625" style="1" bestFit="1" customWidth="1"/>
    <col min="8" max="8" width="9.85546875" style="1" bestFit="1" customWidth="1"/>
    <col min="9" max="9" width="14.85546875" style="1" bestFit="1" customWidth="1"/>
    <col min="10" max="10" width="8.85546875" style="1" bestFit="1" customWidth="1"/>
    <col min="11" max="11" width="12.42578125" style="1" bestFit="1" customWidth="1"/>
    <col min="12" max="12" width="12.85546875" style="1" bestFit="1" customWidth="1"/>
    <col min="13" max="13" width="20.42578125" style="1" bestFit="1" customWidth="1"/>
    <col min="14" max="14" width="7.42578125" style="1" bestFit="1" customWidth="1"/>
    <col min="15" max="15" width="16.42578125" style="1" bestFit="1" customWidth="1"/>
    <col min="16" max="16384" width="9.140625" style="1"/>
  </cols>
  <sheetData>
    <row r="1" spans="1:15" s="44" customFormat="1" x14ac:dyDescent="0.25">
      <c r="B1" s="44" t="s">
        <v>1123</v>
      </c>
      <c r="C1" s="297" t="s">
        <v>1124</v>
      </c>
      <c r="D1" s="297"/>
      <c r="E1" s="297"/>
      <c r="F1" s="44" t="s">
        <v>951</v>
      </c>
      <c r="G1" s="44" t="s">
        <v>1125</v>
      </c>
      <c r="H1" s="44" t="s">
        <v>1126</v>
      </c>
      <c r="I1" s="44" t="s">
        <v>1127</v>
      </c>
      <c r="J1" s="44" t="s">
        <v>926</v>
      </c>
      <c r="K1" s="297" t="s">
        <v>1128</v>
      </c>
      <c r="L1" s="297"/>
    </row>
    <row r="2" spans="1:15" x14ac:dyDescent="0.25">
      <c r="A2" s="1" t="s">
        <v>485</v>
      </c>
      <c r="B2" s="1" t="s">
        <v>912</v>
      </c>
      <c r="C2" s="1" t="s">
        <v>787</v>
      </c>
      <c r="D2" s="1" t="s">
        <v>788</v>
      </c>
      <c r="E2" s="1" t="s">
        <v>251</v>
      </c>
      <c r="F2" s="1" t="s">
        <v>396</v>
      </c>
      <c r="G2" s="1" t="s">
        <v>777</v>
      </c>
      <c r="H2" s="1" t="s">
        <v>46</v>
      </c>
      <c r="I2" s="1" t="s">
        <v>47</v>
      </c>
      <c r="J2" s="1" t="s">
        <v>24</v>
      </c>
      <c r="K2" s="1" t="s">
        <v>789</v>
      </c>
      <c r="L2" s="1" t="s">
        <v>790</v>
      </c>
      <c r="M2" s="1" t="s">
        <v>1129</v>
      </c>
      <c r="N2" s="1" t="s">
        <v>625</v>
      </c>
      <c r="O2" s="1" t="s">
        <v>1580</v>
      </c>
    </row>
    <row r="3" spans="1:15" x14ac:dyDescent="0.25">
      <c r="A3" s="1">
        <v>1</v>
      </c>
      <c r="C3" s="1">
        <f>'rekening perkiraan'!A4</f>
        <v>2</v>
      </c>
      <c r="D3" s="1" t="str">
        <f>'rekening perkiraan'!B4</f>
        <v>penjualan produk 1</v>
      </c>
      <c r="E3" s="1" t="str">
        <f>'rekening perkiraan'!E4</f>
        <v>7.8.9.2</v>
      </c>
      <c r="G3" s="1">
        <v>2000000</v>
      </c>
      <c r="K3" s="6">
        <v>43101</v>
      </c>
      <c r="L3" s="6">
        <v>43131</v>
      </c>
      <c r="M3" s="1">
        <f>'periode akuntansi'!A2</f>
        <v>1</v>
      </c>
    </row>
    <row r="4" spans="1:15" x14ac:dyDescent="0.25">
      <c r="A4" s="1">
        <v>2</v>
      </c>
      <c r="C4" s="1">
        <f>'rekening perkiraan'!A4</f>
        <v>2</v>
      </c>
      <c r="D4" s="1" t="str">
        <f>'rekening perkiraan'!B4</f>
        <v>penjualan produk 1</v>
      </c>
      <c r="E4" s="1" t="str">
        <f>'rekening perkiraan'!E4</f>
        <v>7.8.9.2</v>
      </c>
      <c r="G4" s="1">
        <v>2000000</v>
      </c>
      <c r="K4" s="6">
        <v>43132</v>
      </c>
      <c r="L4" s="6">
        <v>43159</v>
      </c>
      <c r="M4" s="1">
        <f>'periode akuntansi'!A2</f>
        <v>1</v>
      </c>
    </row>
    <row r="5" spans="1:15" x14ac:dyDescent="0.25">
      <c r="A5" s="1">
        <v>3</v>
      </c>
      <c r="C5" s="1">
        <f>'rekening perkiraan'!A4</f>
        <v>2</v>
      </c>
      <c r="D5" s="1" t="str">
        <f>'rekening perkiraan'!B4</f>
        <v>penjualan produk 1</v>
      </c>
      <c r="E5" s="1" t="str">
        <f>'rekening perkiraan'!E4</f>
        <v>7.8.9.2</v>
      </c>
      <c r="G5" s="1">
        <v>2000000</v>
      </c>
      <c r="K5" s="6">
        <v>43160</v>
      </c>
      <c r="L5" s="6">
        <v>43190</v>
      </c>
      <c r="M5" s="1">
        <f>'periode akuntansi'!A2</f>
        <v>1</v>
      </c>
    </row>
    <row r="6" spans="1:15" x14ac:dyDescent="0.25">
      <c r="A6" s="1">
        <v>4</v>
      </c>
      <c r="C6" s="1">
        <f>'rekening perkiraan'!A4</f>
        <v>2</v>
      </c>
      <c r="D6" s="1" t="str">
        <f>'rekening perkiraan'!B4</f>
        <v>penjualan produk 1</v>
      </c>
      <c r="E6" s="1" t="str">
        <f>'rekening perkiraan'!E4</f>
        <v>7.8.9.2</v>
      </c>
      <c r="G6" s="1">
        <v>2000000</v>
      </c>
      <c r="K6" s="6">
        <v>43191</v>
      </c>
      <c r="L6" s="6">
        <v>43220</v>
      </c>
      <c r="M6" s="1">
        <f>'periode akuntansi'!A2</f>
        <v>1</v>
      </c>
    </row>
    <row r="7" spans="1:15" x14ac:dyDescent="0.25">
      <c r="A7" s="1">
        <v>5</v>
      </c>
      <c r="C7" s="1">
        <f>'rekening perkiraan'!A4</f>
        <v>2</v>
      </c>
      <c r="D7" s="1" t="str">
        <f>'rekening perkiraan'!B4</f>
        <v>penjualan produk 1</v>
      </c>
      <c r="E7" s="1" t="str">
        <f>'rekening perkiraan'!E4</f>
        <v>7.8.9.2</v>
      </c>
      <c r="G7" s="1">
        <v>2000000</v>
      </c>
      <c r="K7" s="6">
        <v>43221</v>
      </c>
      <c r="L7" s="6">
        <v>43251</v>
      </c>
      <c r="M7" s="1">
        <f>'periode akuntansi'!A2</f>
        <v>1</v>
      </c>
    </row>
    <row r="8" spans="1:15" x14ac:dyDescent="0.25">
      <c r="A8" s="1">
        <v>6</v>
      </c>
      <c r="C8" s="1">
        <f>'rekening perkiraan'!A4</f>
        <v>2</v>
      </c>
      <c r="D8" s="1" t="str">
        <f>'rekening perkiraan'!B4</f>
        <v>penjualan produk 1</v>
      </c>
      <c r="E8" s="1" t="str">
        <f>'rekening perkiraan'!E4</f>
        <v>7.8.9.2</v>
      </c>
      <c r="G8" s="1">
        <v>2000000</v>
      </c>
      <c r="K8" s="6">
        <v>43252</v>
      </c>
      <c r="L8" s="6">
        <v>43281</v>
      </c>
      <c r="M8" s="1">
        <f>'periode akuntansi'!A2</f>
        <v>1</v>
      </c>
    </row>
    <row r="9" spans="1:15" x14ac:dyDescent="0.25">
      <c r="A9" s="1">
        <v>7</v>
      </c>
      <c r="C9" s="1">
        <f>'rekening perkiraan'!A4</f>
        <v>2</v>
      </c>
      <c r="D9" s="1" t="str">
        <f>'rekening perkiraan'!B4</f>
        <v>penjualan produk 1</v>
      </c>
      <c r="E9" s="1" t="str">
        <f>'rekening perkiraan'!E4</f>
        <v>7.8.9.2</v>
      </c>
      <c r="G9" s="1">
        <v>2000000</v>
      </c>
      <c r="K9" s="6">
        <v>43282</v>
      </c>
      <c r="L9" s="6">
        <v>43312</v>
      </c>
      <c r="M9" s="1">
        <f>'periode akuntansi'!A2</f>
        <v>1</v>
      </c>
    </row>
    <row r="10" spans="1:15" x14ac:dyDescent="0.25">
      <c r="A10" s="1">
        <v>8</v>
      </c>
      <c r="C10" s="1">
        <f>'rekening perkiraan'!A4</f>
        <v>2</v>
      </c>
      <c r="D10" s="1" t="str">
        <f>'rekening perkiraan'!B4</f>
        <v>penjualan produk 1</v>
      </c>
      <c r="E10" s="1" t="str">
        <f>'rekening perkiraan'!E4</f>
        <v>7.8.9.2</v>
      </c>
      <c r="G10" s="1">
        <v>2000000</v>
      </c>
      <c r="K10" s="6">
        <v>43313</v>
      </c>
      <c r="L10" s="6">
        <v>43343</v>
      </c>
      <c r="M10" s="1">
        <f>'periode akuntansi'!A2</f>
        <v>1</v>
      </c>
    </row>
    <row r="11" spans="1:15" x14ac:dyDescent="0.25">
      <c r="A11" s="1">
        <v>9</v>
      </c>
      <c r="C11" s="1">
        <f>'rekening perkiraan'!A4</f>
        <v>2</v>
      </c>
      <c r="D11" s="1" t="str">
        <f>'rekening perkiraan'!B4</f>
        <v>penjualan produk 1</v>
      </c>
      <c r="E11" s="1" t="str">
        <f>'rekening perkiraan'!E4</f>
        <v>7.8.9.2</v>
      </c>
      <c r="G11" s="1">
        <v>2000000</v>
      </c>
      <c r="K11" s="6">
        <v>43344</v>
      </c>
      <c r="L11" s="6">
        <v>43373</v>
      </c>
      <c r="M11" s="1">
        <f>'periode akuntansi'!A2</f>
        <v>1</v>
      </c>
    </row>
    <row r="12" spans="1:15" x14ac:dyDescent="0.25">
      <c r="A12" s="1">
        <v>10</v>
      </c>
      <c r="C12" s="1">
        <f>'rekening perkiraan'!A4</f>
        <v>2</v>
      </c>
      <c r="D12" s="1" t="str">
        <f>'rekening perkiraan'!B4</f>
        <v>penjualan produk 1</v>
      </c>
      <c r="E12" s="1" t="str">
        <f>'rekening perkiraan'!E4</f>
        <v>7.8.9.2</v>
      </c>
      <c r="G12" s="1">
        <v>2000000</v>
      </c>
      <c r="K12" s="6">
        <v>43374</v>
      </c>
      <c r="L12" s="6">
        <v>43404</v>
      </c>
      <c r="M12" s="1">
        <f>'periode akuntansi'!A2</f>
        <v>1</v>
      </c>
    </row>
    <row r="13" spans="1:15" x14ac:dyDescent="0.25">
      <c r="A13" s="1">
        <v>11</v>
      </c>
      <c r="C13" s="1">
        <f>'rekening perkiraan'!A4</f>
        <v>2</v>
      </c>
      <c r="D13" s="1" t="str">
        <f>'rekening perkiraan'!B4</f>
        <v>penjualan produk 1</v>
      </c>
      <c r="E13" s="1" t="str">
        <f>'rekening perkiraan'!E4</f>
        <v>7.8.9.2</v>
      </c>
      <c r="G13" s="1">
        <v>2000000</v>
      </c>
      <c r="K13" s="6">
        <v>43405</v>
      </c>
      <c r="L13" s="6">
        <v>43434</v>
      </c>
      <c r="M13" s="1">
        <f>'periode akuntansi'!A2</f>
        <v>1</v>
      </c>
    </row>
    <row r="14" spans="1:15" x14ac:dyDescent="0.25">
      <c r="A14" s="1">
        <v>12</v>
      </c>
      <c r="C14" s="1">
        <f>'rekening perkiraan'!A4</f>
        <v>2</v>
      </c>
      <c r="D14" s="1" t="str">
        <f>'rekening perkiraan'!B4</f>
        <v>penjualan produk 1</v>
      </c>
      <c r="E14" s="1" t="str">
        <f>'rekening perkiraan'!E4</f>
        <v>7.8.9.2</v>
      </c>
      <c r="G14" s="1">
        <v>2000000</v>
      </c>
      <c r="K14" s="6">
        <v>43435</v>
      </c>
      <c r="L14" s="6">
        <v>43465</v>
      </c>
      <c r="M14" s="1">
        <f>'periode akuntansi'!A2</f>
        <v>1</v>
      </c>
    </row>
    <row r="15" spans="1:15" x14ac:dyDescent="0.25">
      <c r="A15" s="1">
        <v>13</v>
      </c>
      <c r="C15" s="1">
        <f>'rekening perkiraan'!A3</f>
        <v>1</v>
      </c>
      <c r="D15" s="1" t="str">
        <f>'rekening perkiraan'!B3</f>
        <v>biaya 1</v>
      </c>
      <c r="E15" s="1" t="str">
        <f>'rekening perkiraan'!E3</f>
        <v>10.11.12.1</v>
      </c>
      <c r="G15" s="1">
        <v>1500000</v>
      </c>
      <c r="K15" s="6">
        <v>43101</v>
      </c>
      <c r="L15" s="6">
        <v>43131</v>
      </c>
      <c r="M15" s="1">
        <f>'periode akuntansi'!A2</f>
        <v>1</v>
      </c>
    </row>
    <row r="16" spans="1:15" x14ac:dyDescent="0.25">
      <c r="A16" s="1">
        <v>14</v>
      </c>
      <c r="C16" s="1">
        <f>'rekening perkiraan'!A3</f>
        <v>1</v>
      </c>
      <c r="D16" s="1" t="str">
        <f>'rekening perkiraan'!B3</f>
        <v>biaya 1</v>
      </c>
      <c r="E16" s="1" t="str">
        <f>'rekening perkiraan'!E3</f>
        <v>10.11.12.1</v>
      </c>
      <c r="G16" s="1">
        <v>1500000</v>
      </c>
      <c r="K16" s="6">
        <v>43132</v>
      </c>
      <c r="L16" s="6">
        <v>43159</v>
      </c>
      <c r="M16" s="1">
        <f>'periode akuntansi'!A2</f>
        <v>1</v>
      </c>
    </row>
    <row r="17" spans="1:13" x14ac:dyDescent="0.25">
      <c r="A17" s="1">
        <v>15</v>
      </c>
      <c r="C17" s="1">
        <f>'rekening perkiraan'!A3</f>
        <v>1</v>
      </c>
      <c r="D17" s="1" t="str">
        <f>'rekening perkiraan'!B3</f>
        <v>biaya 1</v>
      </c>
      <c r="E17" s="1" t="str">
        <f>'rekening perkiraan'!E3</f>
        <v>10.11.12.1</v>
      </c>
      <c r="G17" s="1">
        <v>1500000</v>
      </c>
      <c r="K17" s="6">
        <v>43160</v>
      </c>
      <c r="L17" s="6">
        <v>43190</v>
      </c>
      <c r="M17" s="1">
        <f>'periode akuntansi'!A2</f>
        <v>1</v>
      </c>
    </row>
    <row r="18" spans="1:13" x14ac:dyDescent="0.25">
      <c r="A18" s="1">
        <v>16</v>
      </c>
      <c r="C18" s="1">
        <f>'rekening perkiraan'!A3</f>
        <v>1</v>
      </c>
      <c r="D18" s="1" t="str">
        <f>'rekening perkiraan'!B3</f>
        <v>biaya 1</v>
      </c>
      <c r="E18" s="1" t="str">
        <f>'rekening perkiraan'!E3</f>
        <v>10.11.12.1</v>
      </c>
      <c r="G18" s="1">
        <v>1500000</v>
      </c>
      <c r="K18" s="6">
        <v>43191</v>
      </c>
      <c r="L18" s="6">
        <v>43220</v>
      </c>
      <c r="M18" s="1">
        <f>'periode akuntansi'!A2</f>
        <v>1</v>
      </c>
    </row>
    <row r="19" spans="1:13" x14ac:dyDescent="0.25">
      <c r="A19" s="1">
        <v>17</v>
      </c>
      <c r="C19" s="1">
        <f>'rekening perkiraan'!A3</f>
        <v>1</v>
      </c>
      <c r="D19" s="1" t="str">
        <f>'rekening perkiraan'!B3</f>
        <v>biaya 1</v>
      </c>
      <c r="E19" s="1" t="str">
        <f>'rekening perkiraan'!E3</f>
        <v>10.11.12.1</v>
      </c>
      <c r="G19" s="1">
        <v>1500000</v>
      </c>
      <c r="K19" s="6">
        <v>43221</v>
      </c>
      <c r="L19" s="6">
        <v>43251</v>
      </c>
      <c r="M19" s="1">
        <f>'periode akuntansi'!A2</f>
        <v>1</v>
      </c>
    </row>
    <row r="20" spans="1:13" x14ac:dyDescent="0.25">
      <c r="A20" s="1">
        <v>18</v>
      </c>
      <c r="C20" s="1">
        <f>'rekening perkiraan'!A3</f>
        <v>1</v>
      </c>
      <c r="D20" s="1" t="str">
        <f>'rekening perkiraan'!B3</f>
        <v>biaya 1</v>
      </c>
      <c r="E20" s="1" t="str">
        <f>'rekening perkiraan'!E3</f>
        <v>10.11.12.1</v>
      </c>
      <c r="G20" s="1">
        <v>1500000</v>
      </c>
      <c r="K20" s="6">
        <v>43252</v>
      </c>
      <c r="L20" s="6">
        <v>43281</v>
      </c>
      <c r="M20" s="1">
        <f>'periode akuntansi'!A2</f>
        <v>1</v>
      </c>
    </row>
    <row r="21" spans="1:13" x14ac:dyDescent="0.25">
      <c r="A21" s="1">
        <v>19</v>
      </c>
      <c r="C21" s="1">
        <f>'rekening perkiraan'!A3</f>
        <v>1</v>
      </c>
      <c r="D21" s="1" t="str">
        <f>'rekening perkiraan'!B3</f>
        <v>biaya 1</v>
      </c>
      <c r="E21" s="1" t="str">
        <f>'rekening perkiraan'!E3</f>
        <v>10.11.12.1</v>
      </c>
      <c r="G21" s="1">
        <v>1500000</v>
      </c>
      <c r="K21" s="6">
        <v>43282</v>
      </c>
      <c r="L21" s="6">
        <v>43312</v>
      </c>
      <c r="M21" s="1">
        <f>'periode akuntansi'!A2</f>
        <v>1</v>
      </c>
    </row>
    <row r="22" spans="1:13" x14ac:dyDescent="0.25">
      <c r="A22" s="1">
        <v>20</v>
      </c>
      <c r="C22" s="1">
        <f>'rekening perkiraan'!A3</f>
        <v>1</v>
      </c>
      <c r="D22" s="1" t="str">
        <f>'rekening perkiraan'!B3</f>
        <v>biaya 1</v>
      </c>
      <c r="E22" s="1" t="str">
        <f>'rekening perkiraan'!E3</f>
        <v>10.11.12.1</v>
      </c>
      <c r="G22" s="1">
        <v>1500000</v>
      </c>
      <c r="K22" s="6">
        <v>43313</v>
      </c>
      <c r="L22" s="6">
        <v>43343</v>
      </c>
      <c r="M22" s="1">
        <f>'periode akuntansi'!A2</f>
        <v>1</v>
      </c>
    </row>
    <row r="23" spans="1:13" x14ac:dyDescent="0.25">
      <c r="A23" s="1">
        <v>21</v>
      </c>
      <c r="C23" s="1">
        <f>'rekening perkiraan'!A3</f>
        <v>1</v>
      </c>
      <c r="D23" s="1" t="str">
        <f>'rekening perkiraan'!B3</f>
        <v>biaya 1</v>
      </c>
      <c r="E23" s="1" t="str">
        <f>'rekening perkiraan'!E3</f>
        <v>10.11.12.1</v>
      </c>
      <c r="G23" s="1">
        <v>1500000</v>
      </c>
      <c r="K23" s="6">
        <v>43344</v>
      </c>
      <c r="L23" s="6">
        <v>43373</v>
      </c>
      <c r="M23" s="1">
        <f>'periode akuntansi'!A2</f>
        <v>1</v>
      </c>
    </row>
    <row r="24" spans="1:13" x14ac:dyDescent="0.25">
      <c r="A24" s="1">
        <v>22</v>
      </c>
      <c r="C24" s="1">
        <f>'rekening perkiraan'!A3</f>
        <v>1</v>
      </c>
      <c r="D24" s="1" t="str">
        <f>'rekening perkiraan'!B3</f>
        <v>biaya 1</v>
      </c>
      <c r="E24" s="1" t="str">
        <f>'rekening perkiraan'!E3</f>
        <v>10.11.12.1</v>
      </c>
      <c r="G24" s="1">
        <v>1500000</v>
      </c>
      <c r="K24" s="6">
        <v>43374</v>
      </c>
      <c r="L24" s="6">
        <v>43404</v>
      </c>
      <c r="M24" s="1">
        <f>'periode akuntansi'!A2</f>
        <v>1</v>
      </c>
    </row>
    <row r="25" spans="1:13" x14ac:dyDescent="0.25">
      <c r="A25" s="1">
        <v>23</v>
      </c>
      <c r="C25" s="1">
        <f>'rekening perkiraan'!A3</f>
        <v>1</v>
      </c>
      <c r="D25" s="1" t="str">
        <f>'rekening perkiraan'!B3</f>
        <v>biaya 1</v>
      </c>
      <c r="E25" s="1" t="str">
        <f>'rekening perkiraan'!E3</f>
        <v>10.11.12.1</v>
      </c>
      <c r="G25" s="1">
        <v>1500000</v>
      </c>
      <c r="K25" s="6">
        <v>43405</v>
      </c>
      <c r="L25" s="6">
        <v>43434</v>
      </c>
      <c r="M25" s="1">
        <f>'periode akuntansi'!A2</f>
        <v>1</v>
      </c>
    </row>
    <row r="26" spans="1:13" x14ac:dyDescent="0.25">
      <c r="A26" s="1">
        <v>24</v>
      </c>
      <c r="C26" s="1">
        <f>'rekening perkiraan'!A3</f>
        <v>1</v>
      </c>
      <c r="D26" s="1" t="str">
        <f>'rekening perkiraan'!B3</f>
        <v>biaya 1</v>
      </c>
      <c r="E26" s="1" t="str">
        <f>'rekening perkiraan'!E3</f>
        <v>10.11.12.1</v>
      </c>
      <c r="G26" s="1">
        <v>1500000</v>
      </c>
      <c r="K26" s="6">
        <v>43435</v>
      </c>
      <c r="L26" s="6">
        <v>43465</v>
      </c>
      <c r="M26" s="1">
        <f>'periode akuntansi'!A2</f>
        <v>1</v>
      </c>
    </row>
  </sheetData>
  <mergeCells count="2">
    <mergeCell ref="C1:E1"/>
    <mergeCell ref="K1:L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>
    <tabColor rgb="FF00B050"/>
  </sheetPr>
  <dimension ref="A1:D4"/>
  <sheetViews>
    <sheetView zoomScale="145" zoomScaleNormal="145" workbookViewId="0">
      <selection activeCell="D2" sqref="D2"/>
    </sheetView>
  </sheetViews>
  <sheetFormatPr defaultColWidth="9.140625" defaultRowHeight="15" x14ac:dyDescent="0.25"/>
  <cols>
    <col min="1" max="3" width="26.85546875" style="1" customWidth="1"/>
    <col min="4" max="4" width="41" style="1" customWidth="1"/>
    <col min="5" max="16384" width="9.140625" style="1"/>
  </cols>
  <sheetData>
    <row r="1" spans="1:4" x14ac:dyDescent="0.25">
      <c r="A1" s="1" t="s">
        <v>400</v>
      </c>
      <c r="B1" s="1" t="s">
        <v>44</v>
      </c>
      <c r="C1" s="1" t="s">
        <v>45</v>
      </c>
      <c r="D1" s="1" t="s">
        <v>266</v>
      </c>
    </row>
    <row r="2" spans="1:4" x14ac:dyDescent="0.25">
      <c r="A2" s="1">
        <v>1</v>
      </c>
      <c r="B2" s="6">
        <v>43101</v>
      </c>
      <c r="C2" s="6">
        <v>43465</v>
      </c>
      <c r="D2" s="1">
        <v>1</v>
      </c>
    </row>
    <row r="3" spans="1:4" x14ac:dyDescent="0.25">
      <c r="A3" s="1">
        <v>2</v>
      </c>
    </row>
    <row r="4" spans="1:4" x14ac:dyDescent="0.25">
      <c r="A4" s="1">
        <v>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00B050"/>
  </sheetPr>
  <dimension ref="A1:B4"/>
  <sheetViews>
    <sheetView workbookViewId="0">
      <selection activeCell="A4" sqref="A4"/>
    </sheetView>
  </sheetViews>
  <sheetFormatPr defaultColWidth="9.140625" defaultRowHeight="15" x14ac:dyDescent="0.25"/>
  <cols>
    <col min="1" max="1" width="9.140625" style="1"/>
    <col min="2" max="2" width="23.28515625" style="1" bestFit="1" customWidth="1"/>
    <col min="3" max="16384" width="9.140625" style="1"/>
  </cols>
  <sheetData>
    <row r="1" spans="1:2" x14ac:dyDescent="0.25">
      <c r="A1" s="1" t="s">
        <v>1363</v>
      </c>
      <c r="B1" s="1" t="s">
        <v>1349</v>
      </c>
    </row>
    <row r="2" spans="1:2" x14ac:dyDescent="0.25">
      <c r="A2" s="1">
        <v>1</v>
      </c>
      <c r="B2" s="1" t="s">
        <v>1356</v>
      </c>
    </row>
    <row r="3" spans="1:2" x14ac:dyDescent="0.25">
      <c r="A3" s="1">
        <v>2</v>
      </c>
      <c r="B3" s="1" t="s">
        <v>663</v>
      </c>
    </row>
    <row r="4" spans="1:2" x14ac:dyDescent="0.25">
      <c r="A4" s="1">
        <v>3</v>
      </c>
      <c r="B4" s="1" t="s">
        <v>1362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31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17.28515625" style="1" bestFit="1" customWidth="1"/>
    <col min="2" max="2" width="14.42578125" style="1" bestFit="1" customWidth="1"/>
    <col min="3" max="3" width="22.85546875" style="1" bestFit="1" customWidth="1"/>
    <col min="4" max="4" width="53.42578125" style="1" bestFit="1" customWidth="1"/>
    <col min="5" max="16384" width="9.140625" style="1"/>
  </cols>
  <sheetData>
    <row r="1" spans="1:4" x14ac:dyDescent="0.25">
      <c r="A1" s="1" t="s">
        <v>617</v>
      </c>
      <c r="B1" s="1" t="s">
        <v>614</v>
      </c>
      <c r="C1" s="1" t="s">
        <v>26</v>
      </c>
      <c r="D1" s="1" t="s">
        <v>629</v>
      </c>
    </row>
    <row r="2" spans="1:4" x14ac:dyDescent="0.25">
      <c r="A2" s="1">
        <v>1</v>
      </c>
      <c r="B2" s="15" t="s">
        <v>570</v>
      </c>
      <c r="C2" s="1" t="s">
        <v>571</v>
      </c>
      <c r="D2" s="1" t="s">
        <v>637</v>
      </c>
    </row>
    <row r="3" spans="1:4" x14ac:dyDescent="0.25">
      <c r="A3" s="1">
        <v>2</v>
      </c>
      <c r="B3" s="15" t="s">
        <v>572</v>
      </c>
      <c r="C3" s="1" t="s">
        <v>573</v>
      </c>
      <c r="D3" s="1" t="s">
        <v>659</v>
      </c>
    </row>
    <row r="4" spans="1:4" x14ac:dyDescent="0.25">
      <c r="A4" s="1">
        <v>3</v>
      </c>
      <c r="B4" s="15" t="s">
        <v>574</v>
      </c>
      <c r="C4" s="1" t="s">
        <v>575</v>
      </c>
      <c r="D4" s="1" t="s">
        <v>658</v>
      </c>
    </row>
    <row r="5" spans="1:4" x14ac:dyDescent="0.25">
      <c r="A5" s="1">
        <v>4</v>
      </c>
      <c r="B5" s="15" t="s">
        <v>1606</v>
      </c>
      <c r="C5" s="1" t="s">
        <v>1609</v>
      </c>
      <c r="D5" s="1" t="s">
        <v>1613</v>
      </c>
    </row>
    <row r="6" spans="1:4" x14ac:dyDescent="0.25">
      <c r="A6" s="1">
        <v>5</v>
      </c>
      <c r="B6" s="15" t="s">
        <v>1607</v>
      </c>
      <c r="C6" s="1" t="s">
        <v>1610</v>
      </c>
      <c r="D6" s="1" t="s">
        <v>1612</v>
      </c>
    </row>
    <row r="7" spans="1:4" x14ac:dyDescent="0.25">
      <c r="A7" s="1">
        <v>6</v>
      </c>
      <c r="B7" s="15" t="s">
        <v>1608</v>
      </c>
      <c r="C7" s="1" t="s">
        <v>1611</v>
      </c>
      <c r="D7" s="1" t="s">
        <v>1614</v>
      </c>
    </row>
    <row r="8" spans="1:4" x14ac:dyDescent="0.25">
      <c r="A8" s="1">
        <v>7</v>
      </c>
      <c r="B8" s="15" t="s">
        <v>576</v>
      </c>
      <c r="C8" s="1" t="s">
        <v>577</v>
      </c>
      <c r="D8" s="1" t="s">
        <v>631</v>
      </c>
    </row>
    <row r="9" spans="1:4" x14ac:dyDescent="0.25">
      <c r="A9" s="1">
        <v>8</v>
      </c>
      <c r="B9" s="15" t="s">
        <v>578</v>
      </c>
      <c r="C9" s="1" t="s">
        <v>579</v>
      </c>
      <c r="D9" s="1" t="s">
        <v>636</v>
      </c>
    </row>
    <row r="10" spans="1:4" x14ac:dyDescent="0.25">
      <c r="A10" s="1">
        <v>9</v>
      </c>
      <c r="B10" s="15" t="s">
        <v>580</v>
      </c>
      <c r="C10" s="1" t="s">
        <v>581</v>
      </c>
      <c r="D10" s="1" t="s">
        <v>640</v>
      </c>
    </row>
    <row r="11" spans="1:4" x14ac:dyDescent="0.25">
      <c r="A11" s="1">
        <v>10</v>
      </c>
      <c r="B11" s="15" t="s">
        <v>582</v>
      </c>
      <c r="C11" s="1" t="s">
        <v>583</v>
      </c>
      <c r="D11" s="1" t="s">
        <v>544</v>
      </c>
    </row>
    <row r="12" spans="1:4" x14ac:dyDescent="0.25">
      <c r="A12" s="1">
        <v>11</v>
      </c>
      <c r="B12" s="15" t="s">
        <v>584</v>
      </c>
      <c r="C12" s="1" t="s">
        <v>585</v>
      </c>
      <c r="D12" s="1" t="s">
        <v>544</v>
      </c>
    </row>
    <row r="13" spans="1:4" x14ac:dyDescent="0.25">
      <c r="A13" s="1">
        <v>12</v>
      </c>
      <c r="B13" s="15" t="s">
        <v>586</v>
      </c>
      <c r="C13" s="1" t="s">
        <v>587</v>
      </c>
      <c r="D13" s="1" t="s">
        <v>544</v>
      </c>
    </row>
    <row r="14" spans="1:4" x14ac:dyDescent="0.25">
      <c r="A14" s="1">
        <v>13</v>
      </c>
      <c r="B14" s="15" t="s">
        <v>588</v>
      </c>
      <c r="C14" s="1" t="s">
        <v>589</v>
      </c>
      <c r="D14" s="1" t="s">
        <v>544</v>
      </c>
    </row>
    <row r="15" spans="1:4" x14ac:dyDescent="0.25">
      <c r="A15" s="1">
        <v>14</v>
      </c>
      <c r="B15" s="15" t="s">
        <v>590</v>
      </c>
      <c r="C15" s="1" t="s">
        <v>591</v>
      </c>
      <c r="D15" s="1" t="s">
        <v>632</v>
      </c>
    </row>
    <row r="16" spans="1:4" x14ac:dyDescent="0.25">
      <c r="A16" s="1">
        <v>15</v>
      </c>
      <c r="B16" s="15" t="s">
        <v>592</v>
      </c>
      <c r="C16" s="1" t="s">
        <v>593</v>
      </c>
      <c r="D16" s="1" t="s">
        <v>628</v>
      </c>
    </row>
    <row r="17" spans="1:4" x14ac:dyDescent="0.25">
      <c r="A17" s="1">
        <v>16</v>
      </c>
      <c r="B17" s="15" t="s">
        <v>594</v>
      </c>
      <c r="C17" s="1" t="s">
        <v>595</v>
      </c>
      <c r="D17" s="1" t="s">
        <v>633</v>
      </c>
    </row>
    <row r="18" spans="1:4" x14ac:dyDescent="0.25">
      <c r="A18" s="1">
        <v>17</v>
      </c>
      <c r="B18" s="15" t="s">
        <v>596</v>
      </c>
      <c r="C18" s="1" t="s">
        <v>597</v>
      </c>
      <c r="D18" s="1" t="s">
        <v>634</v>
      </c>
    </row>
    <row r="19" spans="1:4" x14ac:dyDescent="0.25">
      <c r="A19" s="1">
        <v>18</v>
      </c>
      <c r="B19" s="15" t="s">
        <v>598</v>
      </c>
      <c r="C19" s="1" t="s">
        <v>599</v>
      </c>
      <c r="D19" s="1" t="s">
        <v>382</v>
      </c>
    </row>
    <row r="20" spans="1:4" x14ac:dyDescent="0.25">
      <c r="A20" s="1">
        <v>19</v>
      </c>
      <c r="B20" s="15" t="s">
        <v>600</v>
      </c>
      <c r="C20" s="1" t="s">
        <v>601</v>
      </c>
      <c r="D20" s="1" t="s">
        <v>638</v>
      </c>
    </row>
    <row r="21" spans="1:4" x14ac:dyDescent="0.25">
      <c r="A21" s="1">
        <v>20</v>
      </c>
      <c r="B21" s="15" t="s">
        <v>602</v>
      </c>
      <c r="C21" s="1" t="s">
        <v>603</v>
      </c>
      <c r="D21" s="1" t="s">
        <v>639</v>
      </c>
    </row>
    <row r="22" spans="1:4" x14ac:dyDescent="0.25">
      <c r="A22" s="1">
        <v>21</v>
      </c>
      <c r="B22" s="15" t="s">
        <v>604</v>
      </c>
      <c r="C22" s="1" t="s">
        <v>605</v>
      </c>
      <c r="D22" s="1" t="s">
        <v>660</v>
      </c>
    </row>
    <row r="23" spans="1:4" x14ac:dyDescent="0.25">
      <c r="A23" s="1">
        <v>22</v>
      </c>
      <c r="B23" s="15" t="s">
        <v>305</v>
      </c>
      <c r="C23" s="1" t="s">
        <v>606</v>
      </c>
      <c r="D23" s="1" t="s">
        <v>661</v>
      </c>
    </row>
    <row r="24" spans="1:4" x14ac:dyDescent="0.25">
      <c r="A24" s="1">
        <v>23</v>
      </c>
      <c r="B24" s="15" t="s">
        <v>607</v>
      </c>
      <c r="C24" s="1" t="s">
        <v>608</v>
      </c>
      <c r="D24" s="1" t="s">
        <v>255</v>
      </c>
    </row>
    <row r="25" spans="1:4" x14ac:dyDescent="0.25">
      <c r="A25" s="1">
        <v>24</v>
      </c>
      <c r="B25" s="15" t="s">
        <v>609</v>
      </c>
      <c r="C25" s="1" t="s">
        <v>610</v>
      </c>
      <c r="D25" s="1" t="s">
        <v>256</v>
      </c>
    </row>
    <row r="26" spans="1:4" x14ac:dyDescent="0.25">
      <c r="A26" s="1">
        <v>25</v>
      </c>
      <c r="B26" s="15" t="s">
        <v>611</v>
      </c>
      <c r="C26" s="1" t="s">
        <v>612</v>
      </c>
      <c r="D26" s="1" t="s">
        <v>630</v>
      </c>
    </row>
    <row r="27" spans="1:4" x14ac:dyDescent="0.25">
      <c r="A27" s="1">
        <v>26</v>
      </c>
      <c r="B27" s="15" t="s">
        <v>584</v>
      </c>
      <c r="C27" s="1" t="s">
        <v>613</v>
      </c>
      <c r="D27" s="1" t="s">
        <v>635</v>
      </c>
    </row>
    <row r="28" spans="1:4" x14ac:dyDescent="0.25">
      <c r="A28" s="1">
        <v>27</v>
      </c>
      <c r="B28" s="15" t="s">
        <v>1265</v>
      </c>
      <c r="C28" s="1" t="s">
        <v>1266</v>
      </c>
      <c r="D28" s="1" t="s">
        <v>1267</v>
      </c>
    </row>
    <row r="29" spans="1:4" x14ac:dyDescent="0.25">
      <c r="A29" s="1">
        <v>28</v>
      </c>
      <c r="B29" s="15" t="s">
        <v>604</v>
      </c>
      <c r="C29" s="1" t="s">
        <v>1319</v>
      </c>
    </row>
    <row r="30" spans="1:4" x14ac:dyDescent="0.25">
      <c r="A30" s="1">
        <v>29</v>
      </c>
      <c r="B30" s="15" t="s">
        <v>1502</v>
      </c>
      <c r="C30" s="1" t="s">
        <v>1503</v>
      </c>
      <c r="D30" s="1" t="s">
        <v>1504</v>
      </c>
    </row>
    <row r="31" spans="1:4" x14ac:dyDescent="0.25">
      <c r="A31" s="1">
        <v>30</v>
      </c>
      <c r="B31" s="15" t="s">
        <v>1686</v>
      </c>
      <c r="C31" s="1" t="s">
        <v>1687</v>
      </c>
      <c r="D31" s="1" t="s">
        <v>1688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"/>
  <sheetViews>
    <sheetView workbookViewId="0">
      <selection activeCell="B38" sqref="B38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production</vt:lpstr>
      <vt:lpstr>rekening perkiraan</vt:lpstr>
      <vt:lpstr>arus kas</vt:lpstr>
      <vt:lpstr>LabaRugi</vt:lpstr>
      <vt:lpstr>Neraca</vt:lpstr>
      <vt:lpstr>Sales Quotation</vt:lpstr>
      <vt:lpstr>sales flow</vt:lpstr>
      <vt:lpstr>Sales Order</vt:lpstr>
      <vt:lpstr>Delivery Order</vt:lpstr>
      <vt:lpstr>Invoice</vt:lpstr>
      <vt:lpstr>penerimaan barang konsinyasi</vt:lpstr>
      <vt:lpstr>retur barang konsinyasi</vt:lpstr>
      <vt:lpstr>Sales Return</vt:lpstr>
      <vt:lpstr>order produk jual</vt:lpstr>
      <vt:lpstr>order jasa jual</vt:lpstr>
      <vt:lpstr>order custom jual</vt:lpstr>
      <vt:lpstr>Shoping Cart</vt:lpstr>
      <vt:lpstr>Quotation Request</vt:lpstr>
      <vt:lpstr>Purchase Order</vt:lpstr>
      <vt:lpstr>Purchase Delivery</vt:lpstr>
      <vt:lpstr>Received Goods</vt:lpstr>
      <vt:lpstr>Purchase Return</vt:lpstr>
      <vt:lpstr>order pembayaran gaji</vt:lpstr>
      <vt:lpstr>modul hutang&amp;piutang</vt:lpstr>
      <vt:lpstr>pem-peny &amp; transfer barang</vt:lpstr>
      <vt:lpstr>order produk beli</vt:lpstr>
      <vt:lpstr>order jasa beli</vt:lpstr>
      <vt:lpstr>order custom beli</vt:lpstr>
      <vt:lpstr>order transaksi cash</vt:lpstr>
      <vt:lpstr>R&amp;PP</vt:lpstr>
      <vt:lpstr>Cash Activity</vt:lpstr>
      <vt:lpstr>dropdown payment&amp;cash activity</vt:lpstr>
      <vt:lpstr>opsi pembayaran</vt:lpstr>
      <vt:lpstr>Pulldown Cash Activity</vt:lpstr>
      <vt:lpstr>dropdown bank-kas</vt:lpstr>
      <vt:lpstr>data giro</vt:lpstr>
      <vt:lpstr>pembayaran gaji</vt:lpstr>
      <vt:lpstr>BUKU BESAR</vt:lpstr>
      <vt:lpstr>transaksi jurnal umum</vt:lpstr>
      <vt:lpstr>order jurnal umum</vt:lpstr>
      <vt:lpstr>list rekonsiliasi bank</vt:lpstr>
      <vt:lpstr>rekonsiliasi bank</vt:lpstr>
      <vt:lpstr>tabel rekonsiliasi</vt:lpstr>
      <vt:lpstr>list produk</vt:lpstr>
      <vt:lpstr>produk</vt:lpstr>
      <vt:lpstr>type produk</vt:lpstr>
      <vt:lpstr>group produk</vt:lpstr>
      <vt:lpstr>kategori produk </vt:lpstr>
      <vt:lpstr>harga pokok</vt:lpstr>
      <vt:lpstr>list kontak</vt:lpstr>
      <vt:lpstr>kontak</vt:lpstr>
      <vt:lpstr>Grup diskon</vt:lpstr>
      <vt:lpstr>Golongan Kontak</vt:lpstr>
      <vt:lpstr>klasifikasi kontak</vt:lpstr>
      <vt:lpstr>type kontak</vt:lpstr>
      <vt:lpstr>user id</vt:lpstr>
      <vt:lpstr>role employee</vt:lpstr>
      <vt:lpstr>list data mata uang</vt:lpstr>
      <vt:lpstr>data mata uang</vt:lpstr>
      <vt:lpstr>default akun mata uang</vt:lpstr>
      <vt:lpstr>Kurs mata uang</vt:lpstr>
      <vt:lpstr>list data pajak</vt:lpstr>
      <vt:lpstr>data pajak</vt:lpstr>
      <vt:lpstr>list dokumen</vt:lpstr>
      <vt:lpstr>dokumen</vt:lpstr>
      <vt:lpstr>type dokumen</vt:lpstr>
      <vt:lpstr>Internal Note</vt:lpstr>
      <vt:lpstr>Note Type</vt:lpstr>
      <vt:lpstr>list satuan dasar</vt:lpstr>
      <vt:lpstr>satuan dasar</vt:lpstr>
      <vt:lpstr>list rekening perkiraan</vt:lpstr>
      <vt:lpstr>klasifikasi akun</vt:lpstr>
      <vt:lpstr>radiobutton rekper</vt:lpstr>
      <vt:lpstr>list lokasi</vt:lpstr>
      <vt:lpstr>lokasi</vt:lpstr>
      <vt:lpstr>order inventori</vt:lpstr>
      <vt:lpstr>order production input</vt:lpstr>
      <vt:lpstr>order production custom</vt:lpstr>
      <vt:lpstr>order finished produk</vt:lpstr>
      <vt:lpstr>dropdown_berulang</vt:lpstr>
      <vt:lpstr>kalender</vt:lpstr>
      <vt:lpstr>list data departemen</vt:lpstr>
      <vt:lpstr>data departemen</vt:lpstr>
      <vt:lpstr>list data proyek</vt:lpstr>
      <vt:lpstr>data proyek</vt:lpstr>
      <vt:lpstr>status proyek</vt:lpstr>
      <vt:lpstr>list data harta tetap</vt:lpstr>
      <vt:lpstr>data harta tetap</vt:lpstr>
      <vt:lpstr>diperoleh</vt:lpstr>
      <vt:lpstr>kelompok harta tetap</vt:lpstr>
      <vt:lpstr>tabel penyusutan</vt:lpstr>
      <vt:lpstr>nama penyusutan</vt:lpstr>
      <vt:lpstr>closing</vt:lpstr>
      <vt:lpstr>order_closing</vt:lpstr>
      <vt:lpstr>rekening anggaran</vt:lpstr>
      <vt:lpstr>periode akuntansi</vt:lpstr>
      <vt:lpstr>dropdownPPT barang</vt:lpstr>
      <vt:lpstr>kode transaksi</vt:lpstr>
      <vt:lpstr>stocklist</vt:lpstr>
      <vt:lpstr>term pembayaran</vt:lpstr>
      <vt:lpstr>opsi 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dhadan33</dc:creator>
  <cp:lastModifiedBy>priv</cp:lastModifiedBy>
  <cp:lastPrinted>2019-05-13T02:30:13Z</cp:lastPrinted>
  <dcterms:created xsi:type="dcterms:W3CDTF">2018-09-20T01:22:15Z</dcterms:created>
  <dcterms:modified xsi:type="dcterms:W3CDTF">2020-01-23T05:40:50Z</dcterms:modified>
</cp:coreProperties>
</file>