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e 2025" sheetId="1" r:id="rId4"/>
    <sheet state="visible" name="Fruits&amp;légumes" sheetId="2" r:id="rId5"/>
    <sheet state="visible" name="April 2025" sheetId="3" r:id="rId6"/>
    <sheet state="visible" name="Qui est le moins cher" sheetId="4" r:id="rId7"/>
  </sheets>
  <definedNames/>
  <calcPr/>
  <extLst>
    <ext uri="GoogleSheetsCustomDataVersion2">
      <go:sheetsCustomData xmlns:go="http://customooxmlschemas.google.com/" r:id="rId8" roundtripDataChecksum="4tYgGmon+cuyk1BgR3aiTTjfR+4PXfojD6VyB5lTUFA="/>
    </ext>
  </extLst>
</workbook>
</file>

<file path=xl/sharedStrings.xml><?xml version="1.0" encoding="utf-8"?>
<sst xmlns="http://schemas.openxmlformats.org/spreadsheetml/2006/main" count="4690" uniqueCount="1777">
  <si>
    <t>Produit</t>
  </si>
  <si>
    <t>La Fourche</t>
  </si>
  <si>
    <t>Évolution La Fourche</t>
  </si>
  <si>
    <t>Biocoop Champollion</t>
  </si>
  <si>
    <t>Évolution Biocoop Champollion</t>
  </si>
  <si>
    <t>Biocoop Fontaine</t>
  </si>
  <si>
    <t>Évolution Biocoop Fontaine</t>
  </si>
  <si>
    <t>Satoriz</t>
  </si>
  <si>
    <t>Évolution Satoriz</t>
  </si>
  <si>
    <t>GreenWeez</t>
  </si>
  <si>
    <t>Évolution GreenWeez</t>
  </si>
  <si>
    <t>Elefan</t>
  </si>
  <si>
    <t>Évolution Elefan</t>
  </si>
  <si>
    <t>Leclerc</t>
  </si>
  <si>
    <t>Évolution Leclerc</t>
  </si>
  <si>
    <t>Boissons</t>
  </si>
  <si>
    <t>Boissons végétales</t>
  </si>
  <si>
    <t>Boisson avoine</t>
  </si>
  <si>
    <t>-6.29%</t>
  </si>
  <si>
    <t>3.03%</t>
  </si>
  <si>
    <t>11.83%</t>
  </si>
  <si>
    <t>Boisson avoine - 1L</t>
  </si>
  <si>
    <t>-0.63%</t>
  </si>
  <si>
    <t>Boisson riz</t>
  </si>
  <si>
    <t>-5.19%</t>
  </si>
  <si>
    <t>3.82%</t>
  </si>
  <si>
    <t>Boisson riz - 1L</t>
  </si>
  <si>
    <t>-11.46%</t>
  </si>
  <si>
    <t>Boisson amande</t>
  </si>
  <si>
    <t>-1.82%</t>
  </si>
  <si>
    <t>2.07%</t>
  </si>
  <si>
    <t>Boisson amande - 1L</t>
  </si>
  <si>
    <t>-12.44%</t>
  </si>
  <si>
    <t>Boisson soja</t>
  </si>
  <si>
    <t>9.55%</t>
  </si>
  <si>
    <t>Jus de fruits</t>
  </si>
  <si>
    <t>Jus de pomme</t>
  </si>
  <si>
    <t>-3.77%</t>
  </si>
  <si>
    <t>22.56%</t>
  </si>
  <si>
    <t>Jus de pomme - 1L</t>
  </si>
  <si>
    <t>23.31%</t>
  </si>
  <si>
    <t>Jus d'orange</t>
  </si>
  <si>
    <t>-21.05%</t>
  </si>
  <si>
    <t>-4.41%</t>
  </si>
  <si>
    <t>Jus d'orange - 1L</t>
  </si>
  <si>
    <t>5.59%</t>
  </si>
  <si>
    <t>17.35%</t>
  </si>
  <si>
    <t>26.03%</t>
  </si>
  <si>
    <t>Jus multifruit</t>
  </si>
  <si>
    <t>2.68%</t>
  </si>
  <si>
    <t>-9.32%</t>
  </si>
  <si>
    <t>18.1%</t>
  </si>
  <si>
    <t>Jus multifruit - 1L</t>
  </si>
  <si>
    <t>19.02%</t>
  </si>
  <si>
    <t>Jus raisin</t>
  </si>
  <si>
    <t>1.11%</t>
  </si>
  <si>
    <t>-</t>
  </si>
  <si>
    <t>Lait</t>
  </si>
  <si>
    <t>Lait vache</t>
  </si>
  <si>
    <t>25.16%</t>
  </si>
  <si>
    <t>Lait vache - 1L</t>
  </si>
  <si>
    <t>3.6%</t>
  </si>
  <si>
    <t>Sirops</t>
  </si>
  <si>
    <t>Sirop de menthe</t>
  </si>
  <si>
    <t>0.34%</t>
  </si>
  <si>
    <t>5.54%</t>
  </si>
  <si>
    <t>Sirop de grenadine</t>
  </si>
  <si>
    <t>Sirop de citron</t>
  </si>
  <si>
    <t>Sirop d'orgeat</t>
  </si>
  <si>
    <t>-1.5%</t>
  </si>
  <si>
    <t>9.02%</t>
  </si>
  <si>
    <t>Sirop de pèche</t>
  </si>
  <si>
    <t>4.59%</t>
  </si>
  <si>
    <t>Sodas</t>
  </si>
  <si>
    <t>Cola</t>
  </si>
  <si>
    <t>-0.74%</t>
  </si>
  <si>
    <t>8.35%</t>
  </si>
  <si>
    <t>Limonade</t>
  </si>
  <si>
    <t>15.82%</t>
  </si>
  <si>
    <t>0.75</t>
  </si>
  <si>
    <t>Citronnade</t>
  </si>
  <si>
    <t>7.49%</t>
  </si>
  <si>
    <t>Pétillant pomme</t>
  </si>
  <si>
    <t>7.18%</t>
  </si>
  <si>
    <t>Apibul pomme framboise</t>
  </si>
  <si>
    <t>8.14%</t>
  </si>
  <si>
    <t>Thé. café et chocolats</t>
  </si>
  <si>
    <t>Café moulu 100% arabica</t>
  </si>
  <si>
    <t>7.68%</t>
  </si>
  <si>
    <t>-0.72%</t>
  </si>
  <si>
    <t>19.65%</t>
  </si>
  <si>
    <t>0.1</t>
  </si>
  <si>
    <t>Café grain 100% arabica</t>
  </si>
  <si>
    <t>7.63%</t>
  </si>
  <si>
    <t>0.94%</t>
  </si>
  <si>
    <t>19.8%</t>
  </si>
  <si>
    <t>Chicorée en grain</t>
  </si>
  <si>
    <t>-0.88%</t>
  </si>
  <si>
    <t>Chicorée soluble</t>
  </si>
  <si>
    <t>5.87%</t>
  </si>
  <si>
    <t>Poudre chocolaté</t>
  </si>
  <si>
    <t>18.36%</t>
  </si>
  <si>
    <t>Cacao pur</t>
  </si>
  <si>
    <t>49.5%</t>
  </si>
  <si>
    <t>63.02%</t>
  </si>
  <si>
    <t>Thé vert  gun powder</t>
  </si>
  <si>
    <t>18.96%</t>
  </si>
  <si>
    <t>17.76%</t>
  </si>
  <si>
    <t>The vert sencha</t>
  </si>
  <si>
    <t>17.68%</t>
  </si>
  <si>
    <t>Thé noir breakfast</t>
  </si>
  <si>
    <t>0.25%</t>
  </si>
  <si>
    <t>0.38%</t>
  </si>
  <si>
    <t>20.09%</t>
  </si>
  <si>
    <t>3.2%</t>
  </si>
  <si>
    <t>17.75%</t>
  </si>
  <si>
    <t>Thé vert menthe</t>
  </si>
  <si>
    <t>Thé vert jasmin</t>
  </si>
  <si>
    <t>3.9%</t>
  </si>
  <si>
    <t>21.13%</t>
  </si>
  <si>
    <t>17.59%</t>
  </si>
  <si>
    <t>Thé vert jasmin - 100g</t>
  </si>
  <si>
    <t>45.8%</t>
  </si>
  <si>
    <t>36.92%</t>
  </si>
  <si>
    <t>96.56%</t>
  </si>
  <si>
    <t>Rooibos nature</t>
  </si>
  <si>
    <t>17.65%</t>
  </si>
  <si>
    <t>16.48%</t>
  </si>
  <si>
    <t>23.75%</t>
  </si>
  <si>
    <t>Chaï</t>
  </si>
  <si>
    <t>3.54%</t>
  </si>
  <si>
    <t>Tisane bonne nuit</t>
  </si>
  <si>
    <t>Tisane calme toux</t>
  </si>
  <si>
    <t>5.02%</t>
  </si>
  <si>
    <t>Tisane remède elfique</t>
  </si>
  <si>
    <t>21.77%</t>
  </si>
  <si>
    <t>Bébé</t>
  </si>
  <si>
    <t>Change</t>
  </si>
  <si>
    <t>Couche T2</t>
  </si>
  <si>
    <t>Couche T3</t>
  </si>
  <si>
    <t>Couche T4</t>
  </si>
  <si>
    <t>Couche T5</t>
  </si>
  <si>
    <t>Liniment</t>
  </si>
  <si>
    <t>-3.01%</t>
  </si>
  <si>
    <t>Lait infantile</t>
  </si>
  <si>
    <t>Lait 1</t>
  </si>
  <si>
    <t>-5.04%</t>
  </si>
  <si>
    <t>-0.91%</t>
  </si>
  <si>
    <t>Lait 2</t>
  </si>
  <si>
    <t>-9.07%</t>
  </si>
  <si>
    <t>0.3%</t>
  </si>
  <si>
    <t>Lait 3</t>
  </si>
  <si>
    <t>-6.38%</t>
  </si>
  <si>
    <t>-8.65%</t>
  </si>
  <si>
    <t>11.56%</t>
  </si>
  <si>
    <t>Epicerie salée</t>
  </si>
  <si>
    <t>Apéritifs</t>
  </si>
  <si>
    <t>Gressins nature</t>
  </si>
  <si>
    <t>Stick</t>
  </si>
  <si>
    <t>Bretzel</t>
  </si>
  <si>
    <t>3.33%</t>
  </si>
  <si>
    <t>10.8%</t>
  </si>
  <si>
    <t>Chips maïs</t>
  </si>
  <si>
    <t>-0.92%</t>
  </si>
  <si>
    <t>4.35%</t>
  </si>
  <si>
    <t>14.79%</t>
  </si>
  <si>
    <t>Chips classique</t>
  </si>
  <si>
    <t>Pistaches salées</t>
  </si>
  <si>
    <t>1.72%</t>
  </si>
  <si>
    <t>-5.84%</t>
  </si>
  <si>
    <t>-6.43%</t>
  </si>
  <si>
    <t>Cacahuètes Salées</t>
  </si>
  <si>
    <t>1.3%</t>
  </si>
  <si>
    <t>-5.56%</t>
  </si>
  <si>
    <t>-16.67%</t>
  </si>
  <si>
    <t>0.5</t>
  </si>
  <si>
    <t>Condiments</t>
  </si>
  <si>
    <t>Feuille de riz</t>
  </si>
  <si>
    <t>Bouillon de légumes</t>
  </si>
  <si>
    <t>1.53%</t>
  </si>
  <si>
    <t>Bouillon de légumes cube - 80gEQ</t>
  </si>
  <si>
    <t>Cube miso</t>
  </si>
  <si>
    <t>5.9%</t>
  </si>
  <si>
    <t>Miso riz</t>
  </si>
  <si>
    <t>0.28%</t>
  </si>
  <si>
    <t>-0.8%</t>
  </si>
  <si>
    <t>Gomasio</t>
  </si>
  <si>
    <t>3.08%</t>
  </si>
  <si>
    <t>Curcuma moulu</t>
  </si>
  <si>
    <t>50.27%</t>
  </si>
  <si>
    <t>5.57%</t>
  </si>
  <si>
    <t>Curcuma moulu - 35g</t>
  </si>
  <si>
    <t>316.19%</t>
  </si>
  <si>
    <t>110.97%</t>
  </si>
  <si>
    <t>297.91%</t>
  </si>
  <si>
    <t>Curry Jaune</t>
  </si>
  <si>
    <t>62.54%</t>
  </si>
  <si>
    <t>-36.2%</t>
  </si>
  <si>
    <t>0.01</t>
  </si>
  <si>
    <t>Curry Jaune - 35g</t>
  </si>
  <si>
    <t>133.43%</t>
  </si>
  <si>
    <t>53.31%</t>
  </si>
  <si>
    <t>188.46%</t>
  </si>
  <si>
    <t>Canelle</t>
  </si>
  <si>
    <t>-10.43%</t>
  </si>
  <si>
    <t>21.74%</t>
  </si>
  <si>
    <t>Canelle - 35g</t>
  </si>
  <si>
    <t>135.23%</t>
  </si>
  <si>
    <t>151.76%</t>
  </si>
  <si>
    <t>116.55%</t>
  </si>
  <si>
    <t>Paprika doux</t>
  </si>
  <si>
    <t>9.82%</t>
  </si>
  <si>
    <t>Paprika doux - 40g</t>
  </si>
  <si>
    <t>167.63%</t>
  </si>
  <si>
    <t>244.67%</t>
  </si>
  <si>
    <t>Paprika fumé</t>
  </si>
  <si>
    <t>5.2%</t>
  </si>
  <si>
    <t>Gingembre moulu</t>
  </si>
  <si>
    <t>5.62%</t>
  </si>
  <si>
    <t>40.74%</t>
  </si>
  <si>
    <t>-7.7%</t>
  </si>
  <si>
    <t>-9.01%</t>
  </si>
  <si>
    <t>Gingembre moulu - 55gEQ</t>
  </si>
  <si>
    <t>197.17%</t>
  </si>
  <si>
    <t>49.44%</t>
  </si>
  <si>
    <t>Coriandre poudre</t>
  </si>
  <si>
    <t>-3.25%</t>
  </si>
  <si>
    <t>2.32%</t>
  </si>
  <si>
    <t>-4.91%</t>
  </si>
  <si>
    <t>Fenugrec</t>
  </si>
  <si>
    <t>11.39%</t>
  </si>
  <si>
    <t>Ras El-hanout</t>
  </si>
  <si>
    <t>Ras El-hanout - 35g</t>
  </si>
  <si>
    <t>Herbes de provence</t>
  </si>
  <si>
    <t>4.55%</t>
  </si>
  <si>
    <t>-38.03%</t>
  </si>
  <si>
    <t>Herbes de provence - 50gEQ</t>
  </si>
  <si>
    <t>4.91%</t>
  </si>
  <si>
    <t>-12.68%</t>
  </si>
  <si>
    <t>Cumin graines</t>
  </si>
  <si>
    <t>Cumin graines - 40g</t>
  </si>
  <si>
    <t>48.31%</t>
  </si>
  <si>
    <t>Cumin moulu</t>
  </si>
  <si>
    <t>-6.16%</t>
  </si>
  <si>
    <t>20.07%</t>
  </si>
  <si>
    <t>-2.5%</t>
  </si>
  <si>
    <t>-0.79%</t>
  </si>
  <si>
    <t>0.02</t>
  </si>
  <si>
    <t>Noix de muscade moulue</t>
  </si>
  <si>
    <t>3.4%</t>
  </si>
  <si>
    <t>Colombo poudre</t>
  </si>
  <si>
    <t>-0.49%</t>
  </si>
  <si>
    <t>Piment doux</t>
  </si>
  <si>
    <t>-1.15%</t>
  </si>
  <si>
    <t>Mélange chili</t>
  </si>
  <si>
    <t>11.24%</t>
  </si>
  <si>
    <t>Garam masala</t>
  </si>
  <si>
    <t>Origan</t>
  </si>
  <si>
    <t>Origan - 12gEQ</t>
  </si>
  <si>
    <t>18.11%</t>
  </si>
  <si>
    <t>Thym</t>
  </si>
  <si>
    <t>-7.88%</t>
  </si>
  <si>
    <t>-31.78%</t>
  </si>
  <si>
    <t>Thym - 15g</t>
  </si>
  <si>
    <t>63.78%</t>
  </si>
  <si>
    <t>135.29%</t>
  </si>
  <si>
    <t>Moutarde Jaune graines</t>
  </si>
  <si>
    <t>-1.44%</t>
  </si>
  <si>
    <t>111.52%</t>
  </si>
  <si>
    <t>1.99%</t>
  </si>
  <si>
    <t>Nigelle graines</t>
  </si>
  <si>
    <t>-1.34%</t>
  </si>
  <si>
    <t>Curry madras</t>
  </si>
  <si>
    <t>10.92%</t>
  </si>
  <si>
    <t>Mélange 4 épices</t>
  </si>
  <si>
    <t>-99.99%</t>
  </si>
  <si>
    <t>Piment de Cayenne</t>
  </si>
  <si>
    <t>Cardamome</t>
  </si>
  <si>
    <t>Safran</t>
  </si>
  <si>
    <t>5.88%</t>
  </si>
  <si>
    <t>23.26%</t>
  </si>
  <si>
    <t>Ail des ours</t>
  </si>
  <si>
    <t>-2.57%</t>
  </si>
  <si>
    <t>42.61%</t>
  </si>
  <si>
    <t>11.07%</t>
  </si>
  <si>
    <t>Levure malté bio</t>
  </si>
  <si>
    <t>-6.67%</t>
  </si>
  <si>
    <t>2.48%</t>
  </si>
  <si>
    <t>Fécule pomme de terre</t>
  </si>
  <si>
    <t>Fécule tapioca</t>
  </si>
  <si>
    <t>23.55%</t>
  </si>
  <si>
    <t>Maizena</t>
  </si>
  <si>
    <t>-40.64%</t>
  </si>
  <si>
    <t>4.67%</t>
  </si>
  <si>
    <t>Tomates séchées à l'huile</t>
  </si>
  <si>
    <t>8.84%</t>
  </si>
  <si>
    <t>Poivrons grillés</t>
  </si>
  <si>
    <t>1.35%</t>
  </si>
  <si>
    <t>-7.32%</t>
  </si>
  <si>
    <t>Artichaut grillés</t>
  </si>
  <si>
    <t>Olives vertes entières</t>
  </si>
  <si>
    <t>-20.13%</t>
  </si>
  <si>
    <t>-23.57%</t>
  </si>
  <si>
    <t>Olives noires entières</t>
  </si>
  <si>
    <t>-28.71%</t>
  </si>
  <si>
    <t>13.76%</t>
  </si>
  <si>
    <t>22.72%</t>
  </si>
  <si>
    <t>Olives vertes dénoyautées</t>
  </si>
  <si>
    <t>1.69%</t>
  </si>
  <si>
    <t>5.17%</t>
  </si>
  <si>
    <t>Olives vertes dénoyautées - 160gEQ</t>
  </si>
  <si>
    <t>13.47%</t>
  </si>
  <si>
    <t>46.68%</t>
  </si>
  <si>
    <t>Olives noires dénoyautées</t>
  </si>
  <si>
    <t>-8.95%</t>
  </si>
  <si>
    <t>127.11%</t>
  </si>
  <si>
    <t>Olives noires dénoyautées - 160gEQ</t>
  </si>
  <si>
    <t>8.54%</t>
  </si>
  <si>
    <t>17.78%</t>
  </si>
  <si>
    <t>Cornichon</t>
  </si>
  <si>
    <t>15.07%</t>
  </si>
  <si>
    <t>3.01%</t>
  </si>
  <si>
    <t>118.2%</t>
  </si>
  <si>
    <t>Capres</t>
  </si>
  <si>
    <t>-13.26%</t>
  </si>
  <si>
    <t>82.36%</t>
  </si>
  <si>
    <t>Poivre noir moulu</t>
  </si>
  <si>
    <t>1.47%</t>
  </si>
  <si>
    <t>-0.51%</t>
  </si>
  <si>
    <t>7.72%</t>
  </si>
  <si>
    <t>Poivre noir moulu - 40gEQ</t>
  </si>
  <si>
    <t>155.62%</t>
  </si>
  <si>
    <t>59.67%</t>
  </si>
  <si>
    <t>Poivre noir en grain</t>
  </si>
  <si>
    <t>35.1%</t>
  </si>
  <si>
    <t>-3.13%</t>
  </si>
  <si>
    <t>Poivre noir en grain - 50g</t>
  </si>
  <si>
    <t>108.01%</t>
  </si>
  <si>
    <t>32.24%</t>
  </si>
  <si>
    <t>74.04%</t>
  </si>
  <si>
    <t>Poivre blanc grain</t>
  </si>
  <si>
    <t>5.58%</t>
  </si>
  <si>
    <t>2.61%</t>
  </si>
  <si>
    <t>31.65%</t>
  </si>
  <si>
    <t>Poivre mélange 3 baies</t>
  </si>
  <si>
    <t>-5.16%</t>
  </si>
  <si>
    <t>8.24%</t>
  </si>
  <si>
    <t>Baie de Genièvre</t>
  </si>
  <si>
    <t>Gros sel</t>
  </si>
  <si>
    <t>-38.27%</t>
  </si>
  <si>
    <t>0.03</t>
  </si>
  <si>
    <t>Sel fin</t>
  </si>
  <si>
    <t>6.29%</t>
  </si>
  <si>
    <t>Conserves</t>
  </si>
  <si>
    <t>Champignons paris émincés</t>
  </si>
  <si>
    <t>Chataignes entières pelées</t>
  </si>
  <si>
    <t>Cœur de palmier</t>
  </si>
  <si>
    <t>Petits pois</t>
  </si>
  <si>
    <t>2.82%</t>
  </si>
  <si>
    <t>-11.36%</t>
  </si>
  <si>
    <t>39.97%</t>
  </si>
  <si>
    <t>0.3</t>
  </si>
  <si>
    <t>Maïs bio</t>
  </si>
  <si>
    <t>-6.69%</t>
  </si>
  <si>
    <t>-8.39%</t>
  </si>
  <si>
    <t>-11.74%</t>
  </si>
  <si>
    <t>5.92%</t>
  </si>
  <si>
    <t>Haricots verts</t>
  </si>
  <si>
    <t>-10.2%</t>
  </si>
  <si>
    <t>-10.69%</t>
  </si>
  <si>
    <t>Macédoine</t>
  </si>
  <si>
    <t>Haricots rouges conserve</t>
  </si>
  <si>
    <t>0.05</t>
  </si>
  <si>
    <t>Haricots rouges conserve - 280gEQ</t>
  </si>
  <si>
    <t>Haricots blancs conserve</t>
  </si>
  <si>
    <t>Flageolets conserve</t>
  </si>
  <si>
    <t>Flageolets conserve - 280g</t>
  </si>
  <si>
    <t>Lentilles vertes conserve</t>
  </si>
  <si>
    <t>Lentilles vertes conserve - 280gEQ</t>
  </si>
  <si>
    <t>Pois chiches conserve</t>
  </si>
  <si>
    <t>Pois chiches conserve - 260gEQ</t>
  </si>
  <si>
    <t>Coucous aux 7 légumes</t>
  </si>
  <si>
    <t>-2.8%</t>
  </si>
  <si>
    <t>3.1%</t>
  </si>
  <si>
    <t>Mouliné légumes</t>
  </si>
  <si>
    <t>Mouliné légumes verts</t>
  </si>
  <si>
    <t>Soupe thai</t>
  </si>
  <si>
    <t>Gaspacho</t>
  </si>
  <si>
    <t>Velouté champignons</t>
  </si>
  <si>
    <t>Soupe indienne</t>
  </si>
  <si>
    <t>Soupe courge chataigne</t>
  </si>
  <si>
    <t>Huiles et vinaigres</t>
  </si>
  <si>
    <t>Huile d'olive</t>
  </si>
  <si>
    <t>-0.17%</t>
  </si>
  <si>
    <t>22.79%</t>
  </si>
  <si>
    <t>-9.12%</t>
  </si>
  <si>
    <t>-18.67%</t>
  </si>
  <si>
    <t>Huile d'olive - 1L</t>
  </si>
  <si>
    <t>0.84%</t>
  </si>
  <si>
    <t>-18.61%</t>
  </si>
  <si>
    <t>Huile de tournesol</t>
  </si>
  <si>
    <t>23.14%</t>
  </si>
  <si>
    <t>11.23%</t>
  </si>
  <si>
    <t>17.71%</t>
  </si>
  <si>
    <t>2.63%</t>
  </si>
  <si>
    <t>-12.39%</t>
  </si>
  <si>
    <t>Huile de tournesol - 1L</t>
  </si>
  <si>
    <t>Huile de colza</t>
  </si>
  <si>
    <t>-0.43%</t>
  </si>
  <si>
    <t>-29.22%</t>
  </si>
  <si>
    <t>-22.64%</t>
  </si>
  <si>
    <t>-30.09%</t>
  </si>
  <si>
    <t>-20.18%</t>
  </si>
  <si>
    <t>Huile de colza - 1L</t>
  </si>
  <si>
    <t>-7.74%</t>
  </si>
  <si>
    <t>Huile de coco</t>
  </si>
  <si>
    <t>Vinaigrette tonique</t>
  </si>
  <si>
    <t>Huile de sésame</t>
  </si>
  <si>
    <t>Huile de sésame toasté</t>
  </si>
  <si>
    <t>Huile de noix</t>
  </si>
  <si>
    <t>Vinaigre de cidre</t>
  </si>
  <si>
    <t>Vinaigre basalmique</t>
  </si>
  <si>
    <t>Vinaigre alimentaire blanc</t>
  </si>
  <si>
    <t>Pates, riz, graines et céréales</t>
  </si>
  <si>
    <t>Petit épeautre</t>
  </si>
  <si>
    <t>Sarrazin décortiqué</t>
  </si>
  <si>
    <t>Sarrazin décortiqué - 1kgEQ</t>
  </si>
  <si>
    <t>Quinoa Blanc</t>
  </si>
  <si>
    <t>Quinoa 3 couleurs</t>
  </si>
  <si>
    <t>Boulghour</t>
  </si>
  <si>
    <t>Boulghour - 1kgEQ</t>
  </si>
  <si>
    <t>Millet</t>
  </si>
  <si>
    <t>Millet - 1kg</t>
  </si>
  <si>
    <t>Couscous complet</t>
  </si>
  <si>
    <t>Couscous complet - 1kgEQ</t>
  </si>
  <si>
    <t>Blé tendre</t>
  </si>
  <si>
    <t>Polenta</t>
  </si>
  <si>
    <t>Graines de tournesol</t>
  </si>
  <si>
    <t>Graines de lin brun</t>
  </si>
  <si>
    <t>Graines de sésame</t>
  </si>
  <si>
    <t>Graines de chia</t>
  </si>
  <si>
    <t>Graines de courge</t>
  </si>
  <si>
    <t>Pignon de cèdre</t>
  </si>
  <si>
    <t>Pignon de pin</t>
  </si>
  <si>
    <t>Pois chiche</t>
  </si>
  <si>
    <t>Pois chiche - 1kgEQ</t>
  </si>
  <si>
    <t>Lentille corail </t>
  </si>
  <si>
    <t>Lentille corail  - 500g</t>
  </si>
  <si>
    <t>Pois cassés</t>
  </si>
  <si>
    <t>Pois cassés - 500g</t>
  </si>
  <si>
    <t>Lentille verte</t>
  </si>
  <si>
    <t>Lentille verte - 1kg</t>
  </si>
  <si>
    <t>Mogette</t>
  </si>
  <si>
    <t>Protéine soja gros</t>
  </si>
  <si>
    <t>Protéine soja petit</t>
  </si>
  <si>
    <t>Protéine soja petit - 200gEQ</t>
  </si>
  <si>
    <t>Protéine de pois</t>
  </si>
  <si>
    <t>Penne blanche</t>
  </si>
  <si>
    <t>Penne demi complète</t>
  </si>
  <si>
    <t>Penne complètes</t>
  </si>
  <si>
    <t>Coquillettes blanches</t>
  </si>
  <si>
    <t>Coquillettes blanches - 1kEQ</t>
  </si>
  <si>
    <t>Coquillettes demi complètes</t>
  </si>
  <si>
    <t>Coquillettes demi complètes - 1kgEQ</t>
  </si>
  <si>
    <t>Coquillettes complètes</t>
  </si>
  <si>
    <t>Coquillettes complètes - 1kgEQ</t>
  </si>
  <si>
    <t>Spaghetti blanc</t>
  </si>
  <si>
    <t>Spaghetti blanc - 500g</t>
  </si>
  <si>
    <t>Spaghetti demi complet</t>
  </si>
  <si>
    <t>Spaghetti demi complet - 500g</t>
  </si>
  <si>
    <t>Spaghetti complets</t>
  </si>
  <si>
    <t>Fusilli blanc</t>
  </si>
  <si>
    <t>Fusilli blanc - 1kgEQ</t>
  </si>
  <si>
    <t>Fusili demi complet</t>
  </si>
  <si>
    <t>Fusilli intégrales</t>
  </si>
  <si>
    <t>Riz basmati blanc</t>
  </si>
  <si>
    <t>Riz basmati blanc - 1kgEQ</t>
  </si>
  <si>
    <t>Riz basmati demi complet</t>
  </si>
  <si>
    <t>Riz basmati demi complet - 1kgEQ</t>
  </si>
  <si>
    <t>Riz basmati complet </t>
  </si>
  <si>
    <t>Riz basmati complet  - 500g</t>
  </si>
  <si>
    <t>Riz long blanc</t>
  </si>
  <si>
    <t>Riz long blanc - 1kgEQ</t>
  </si>
  <si>
    <t>Riz long demi complet</t>
  </si>
  <si>
    <t>Riz long demi complet - 1kg</t>
  </si>
  <si>
    <t>Riz long complet</t>
  </si>
  <si>
    <t>Riz long complet - 1kgEQ</t>
  </si>
  <si>
    <t>Riz rond blanc</t>
  </si>
  <si>
    <t>Riz rond blanc - 1kg</t>
  </si>
  <si>
    <t>Riz rond demi complet</t>
  </si>
  <si>
    <t>Riz rond demi complet - 1kgEQ</t>
  </si>
  <si>
    <t>Riz rond complet</t>
  </si>
  <si>
    <t>Riz rond complet - 1kg</t>
  </si>
  <si>
    <t>Riz Thaï blanc</t>
  </si>
  <si>
    <t>Riz Thaï blanc - 1kgEQ</t>
  </si>
  <si>
    <t>Riz Thaï demi complet</t>
  </si>
  <si>
    <t>Riz Thaï demi complet - 1kgEQ</t>
  </si>
  <si>
    <t>Riz Thaï complet</t>
  </si>
  <si>
    <t>Sauces</t>
  </si>
  <si>
    <t>Crème entière liquide</t>
  </si>
  <si>
    <t>Lait coco 17%</t>
  </si>
  <si>
    <t>0.2</t>
  </si>
  <si>
    <t>Lait coco 17% - 40cl</t>
  </si>
  <si>
    <t>Lait coco 22%</t>
  </si>
  <si>
    <t>Crème soja</t>
  </si>
  <si>
    <t>Crème soja - 20cl</t>
  </si>
  <si>
    <t>Crème riz</t>
  </si>
  <si>
    <t>Crème riz - 20cl</t>
  </si>
  <si>
    <t>Crème avoine</t>
  </si>
  <si>
    <t>Crème amande</t>
  </si>
  <si>
    <t>Ketchup</t>
  </si>
  <si>
    <t>L'incroyable ketchup Quintesens</t>
  </si>
  <si>
    <t>Mayonnaise</t>
  </si>
  <si>
    <t>Mayonnaise vegan</t>
  </si>
  <si>
    <t>Moutarde de Dijon</t>
  </si>
  <si>
    <t>Moutarde de Dijon - 350g</t>
  </si>
  <si>
    <t>Moutarde à l'ancienne</t>
  </si>
  <si>
    <t>Moutarde à l'ancienne - 350gEQ</t>
  </si>
  <si>
    <t>Pesto vert</t>
  </si>
  <si>
    <t>Pesto vert vegan</t>
  </si>
  <si>
    <t>Pesto rouge</t>
  </si>
  <si>
    <t>Pesto rouge vegan</t>
  </si>
  <si>
    <t>Shoyu Sauce Soja</t>
  </si>
  <si>
    <t>Sauce Tamari</t>
  </si>
  <si>
    <t>Sauce Teriyaki</t>
  </si>
  <si>
    <t>Coulis Tomate</t>
  </si>
  <si>
    <t>Passata Tomate</t>
  </si>
  <si>
    <t>Passata Tomate basilic</t>
  </si>
  <si>
    <t>Sauce Tomate basilic - 350gEQ</t>
  </si>
  <si>
    <t>Tomates pelées</t>
  </si>
  <si>
    <t>0.4</t>
  </si>
  <si>
    <t>Tomates concassées</t>
  </si>
  <si>
    <t>Bolognaise végétale</t>
  </si>
  <si>
    <t>Bolognaise végétale - 190g</t>
  </si>
  <si>
    <t>Epicerie sucrée</t>
  </si>
  <si>
    <t>Aide à la patisserie</t>
  </si>
  <si>
    <t>Arôme naturel fleur d'oranger</t>
  </si>
  <si>
    <t>Extrait de fleur d'oranger - 50ml</t>
  </si>
  <si>
    <t>Arôme naturel amande amère</t>
  </si>
  <si>
    <t>Extrait de vanille</t>
  </si>
  <si>
    <t>Vanille en poudre</t>
  </si>
  <si>
    <t>Poudre à lever</t>
  </si>
  <si>
    <t>Levure boulangère sèche</t>
  </si>
  <si>
    <t>Agar Agar</t>
  </si>
  <si>
    <t>Noix de coco rapée</t>
  </si>
  <si>
    <t>Biscuits</t>
  </si>
  <si>
    <t>Cookies tout chocolat</t>
  </si>
  <si>
    <t>Cookies tout chocolat - 200gEQ</t>
  </si>
  <si>
    <t>Petits beurres</t>
  </si>
  <si>
    <t>Petits beurres chocolat noir</t>
  </si>
  <si>
    <t>Genoise chocolat orange</t>
  </si>
  <si>
    <t>Gateau fourrés chocolat noir</t>
  </si>
  <si>
    <t>Boudoirs</t>
  </si>
  <si>
    <t>Gaufrettes citron</t>
  </si>
  <si>
    <t>Gaufrettes chocolat</t>
  </si>
  <si>
    <t>Biscuits petit dej chocolat</t>
  </si>
  <si>
    <t>Biscuits petit dej miel chocolat</t>
  </si>
  <si>
    <t>Brioches</t>
  </si>
  <si>
    <t>Briochette pépite de chocolat</t>
  </si>
  <si>
    <t>Pain au lait</t>
  </si>
  <si>
    <t>Brioche tranchée</t>
  </si>
  <si>
    <t>Chocolats et confiseries</t>
  </si>
  <si>
    <t>Palet de chocolat noir</t>
  </si>
  <si>
    <t>Pépites chocolat noir 60%</t>
  </si>
  <si>
    <t>Pépites chocolat noir 60% - 500g</t>
  </si>
  <si>
    <t>Pépites chocolat au lait</t>
  </si>
  <si>
    <t>Chocolat noir dessert</t>
  </si>
  <si>
    <t>Chocolat noir à la fleur de sel</t>
  </si>
  <si>
    <t>Chocolat noir à l'orange</t>
  </si>
  <si>
    <t>Chocolat noir 70%</t>
  </si>
  <si>
    <t>Chocolat noir 70% - 100g</t>
  </si>
  <si>
    <t>Chocolat au lait</t>
  </si>
  <si>
    <t>Chocolat blanc</t>
  </si>
  <si>
    <t>Compote pomme</t>
  </si>
  <si>
    <t>Compote pomme poire</t>
  </si>
  <si>
    <t>Compote pomme banane</t>
  </si>
  <si>
    <t>So Soja  Chocolat</t>
  </si>
  <si>
    <t xml:space="preserve">So Soja  Vanille </t>
  </si>
  <si>
    <t>Ananas morceaux conserve</t>
  </si>
  <si>
    <t>Céréales petit déjeuner</t>
  </si>
  <si>
    <t>Carré fourré chocolat</t>
  </si>
  <si>
    <t>Choco lune</t>
  </si>
  <si>
    <t>Mops miel</t>
  </si>
  <si>
    <t>Flocon d'avoine petit</t>
  </si>
  <si>
    <t>Flocon d'avoine gros</t>
  </si>
  <si>
    <t>Muesli céréales</t>
  </si>
  <si>
    <t>Muesli fruits</t>
  </si>
  <si>
    <t>Krounchy nature</t>
  </si>
  <si>
    <t>Krounchy chocolat</t>
  </si>
  <si>
    <t>Krounchy fruits rouges</t>
  </si>
  <si>
    <t>Fruits secs et fruits séchés</t>
  </si>
  <si>
    <t>Amandes</t>
  </si>
  <si>
    <t>Noisettes - Gros Format</t>
  </si>
  <si>
    <t>Noisettes - 1kgEQ</t>
  </si>
  <si>
    <t>Noix de cajou</t>
  </si>
  <si>
    <t>Noix de cajou - 1kgEQ</t>
  </si>
  <si>
    <t>Raisins secs</t>
  </si>
  <si>
    <t>Raisins secs - 500g</t>
  </si>
  <si>
    <t>Cranberries</t>
  </si>
  <si>
    <t>Abricots secs</t>
  </si>
  <si>
    <t xml:space="preserve">Figues séchées </t>
  </si>
  <si>
    <t>Pruneaux d'agen</t>
  </si>
  <si>
    <t>Pruneaux d'agen dénoyautés</t>
  </si>
  <si>
    <t>Dattes mazafati</t>
  </si>
  <si>
    <t>Dattes deglet</t>
  </si>
  <si>
    <t>Dattes deglet - 500g</t>
  </si>
  <si>
    <t>Dattes deglet dénoyautées</t>
  </si>
  <si>
    <t>Chips banane</t>
  </si>
  <si>
    <t>Gingembre confit</t>
  </si>
  <si>
    <t>Moelleux</t>
  </si>
  <si>
    <t>Madeleines pur beurre</t>
  </si>
  <si>
    <t>Madeleines sans beurre</t>
  </si>
  <si>
    <t>Madeleines pépites chocolat</t>
  </si>
  <si>
    <t>Sucrants</t>
  </si>
  <si>
    <t>Sirop d'agave</t>
  </si>
  <si>
    <t>Sucres et farines</t>
  </si>
  <si>
    <t>Farine T65</t>
  </si>
  <si>
    <t>Farine T65 - 1kg</t>
  </si>
  <si>
    <t>Farine T110</t>
  </si>
  <si>
    <t>Farine T110 - 1kg</t>
  </si>
  <si>
    <t>Farine  seigle</t>
  </si>
  <si>
    <t>Farine  seigle - 1kg</t>
  </si>
  <si>
    <t>Farine 5 céréales</t>
  </si>
  <si>
    <t>Farine sarrasin</t>
  </si>
  <si>
    <t>Farine sarrasin - 1kg</t>
  </si>
  <si>
    <t>Farine maïs complet</t>
  </si>
  <si>
    <t>Farine maïs complet - 1kg</t>
  </si>
  <si>
    <t>Farine riz blanc</t>
  </si>
  <si>
    <t>Farine riz blanche - 1kg</t>
  </si>
  <si>
    <t>Farine riz demi complet</t>
  </si>
  <si>
    <t>Farine riz demi complet - 1kg</t>
  </si>
  <si>
    <t>Farine riz complet</t>
  </si>
  <si>
    <t>Farine riz complet - 1kg</t>
  </si>
  <si>
    <t>Farine châtaigne</t>
  </si>
  <si>
    <t>Farine petit épautre T150</t>
  </si>
  <si>
    <t>Farine petit épautre T150 - 1kg</t>
  </si>
  <si>
    <t>Farine pois chiches</t>
  </si>
  <si>
    <t>Farine pois chiches - 1kg</t>
  </si>
  <si>
    <t>Sucre blond/roux</t>
  </si>
  <si>
    <t>Sucre blond/roux - 1kg</t>
  </si>
  <si>
    <t>Sucre complet</t>
  </si>
  <si>
    <t>Tartinables</t>
  </si>
  <si>
    <t>Pâte à tartiner</t>
  </si>
  <si>
    <t>Pâte à tartiner sans lait</t>
  </si>
  <si>
    <t>Crème de marrons</t>
  </si>
  <si>
    <t>Crème de marrons - 350gEQ</t>
  </si>
  <si>
    <t>Confiture fraise</t>
  </si>
  <si>
    <t>Confiture fraise - 350gEQ</t>
  </si>
  <si>
    <t>Confiture abricot</t>
  </si>
  <si>
    <t>Confiture abricot - 350gEQ</t>
  </si>
  <si>
    <t>Confiture orange</t>
  </si>
  <si>
    <t>Confiture orange - 350gEQ</t>
  </si>
  <si>
    <t>Confiture myrtilles</t>
  </si>
  <si>
    <t>Confiture myrtilles - 350gEQ</t>
  </si>
  <si>
    <t>Confiture framboise</t>
  </si>
  <si>
    <t>Confiture framboise - 350gEQ</t>
  </si>
  <si>
    <t>Confiture figue</t>
  </si>
  <si>
    <t>Confiture figue - 350gEQ</t>
  </si>
  <si>
    <t>Miel toutes fleurs</t>
  </si>
  <si>
    <t>Miel de montagne</t>
  </si>
  <si>
    <t>Beurre de cacahuète</t>
  </si>
  <si>
    <t>Purée sésame</t>
  </si>
  <si>
    <t>Purée sésame - 350gEQ</t>
  </si>
  <si>
    <t>Purée amande</t>
  </si>
  <si>
    <t>Purée noix de cajoux</t>
  </si>
  <si>
    <t>Purée noisette</t>
  </si>
  <si>
    <t>Purée noisette - 350gEQ</t>
  </si>
  <si>
    <t>Tartines</t>
  </si>
  <si>
    <t>Biscottes complètes</t>
  </si>
  <si>
    <t>Galette riz</t>
  </si>
  <si>
    <t>Galette riz chocolat noir</t>
  </si>
  <si>
    <t>Pain grillé complet</t>
  </si>
  <si>
    <t>Pain grillé graines et céréales</t>
  </si>
  <si>
    <t>Frais</t>
  </si>
  <si>
    <t>Crèmerie</t>
  </si>
  <si>
    <t>Margarine cuisine</t>
  </si>
  <si>
    <t>Beurre doux</t>
  </si>
  <si>
    <t>Beurre demi-sel</t>
  </si>
  <si>
    <t>Crème fraiche épaisse 30% - 50cl</t>
  </si>
  <si>
    <t>Crème fraiche épaisse 30% - 20cl</t>
  </si>
  <si>
    <t>Yaourt nature</t>
  </si>
  <si>
    <t>Yaourt nature - 500g</t>
  </si>
  <si>
    <t>Fromage blanc nature à partager</t>
  </si>
  <si>
    <t>Fromage blanc nature à partager - 500gEQ</t>
  </si>
  <si>
    <t>Yaourt soja nature à partager</t>
  </si>
  <si>
    <t>Yaourt soja nature</t>
  </si>
  <si>
    <t>Dessert chocolat soja</t>
  </si>
  <si>
    <t>Emmental rapé</t>
  </si>
  <si>
    <t>Emmental rapé - 200gEQ</t>
  </si>
  <si>
    <t>Parmigiano rapé</t>
  </si>
  <si>
    <t>Feta</t>
  </si>
  <si>
    <t>Mozza di bufala</t>
  </si>
  <si>
    <t>Ricotta</t>
  </si>
  <si>
    <t>Œuf moyen</t>
  </si>
  <si>
    <t>Œuf moyen - 6</t>
  </si>
  <si>
    <t>Fruits</t>
  </si>
  <si>
    <t>Pommes</t>
  </si>
  <si>
    <t>Banane</t>
  </si>
  <si>
    <t>Clémentines</t>
  </si>
  <si>
    <t>Kiwi</t>
  </si>
  <si>
    <t>Poires</t>
  </si>
  <si>
    <t>Oranges</t>
  </si>
  <si>
    <t>Citron</t>
  </si>
  <si>
    <t>Légumes</t>
  </si>
  <si>
    <t>Ail</t>
  </si>
  <si>
    <t>Gingembre frais</t>
  </si>
  <si>
    <t>Oignon jaune</t>
  </si>
  <si>
    <t>Oignon rouge</t>
  </si>
  <si>
    <t>Betterave</t>
  </si>
  <si>
    <t>Blettes</t>
  </si>
  <si>
    <t>Brocolis</t>
  </si>
  <si>
    <t>Carottes</t>
  </si>
  <si>
    <t>Celeri rave</t>
  </si>
  <si>
    <t>Celeri branche</t>
  </si>
  <si>
    <t>Champignon de paris</t>
  </si>
  <si>
    <t>Champignon pleurotes</t>
  </si>
  <si>
    <t>Chou de bruxelles</t>
  </si>
  <si>
    <t>Chou rouge</t>
  </si>
  <si>
    <t>Courge butternut</t>
  </si>
  <si>
    <t>Courge potimarron</t>
  </si>
  <si>
    <t>Echalotte</t>
  </si>
  <si>
    <t>Endives</t>
  </si>
  <si>
    <t>Epinards</t>
  </si>
  <si>
    <t>Fenouil</t>
  </si>
  <si>
    <t>Navets violets</t>
  </si>
  <si>
    <t>Panais</t>
  </si>
  <si>
    <t>Patate douce</t>
  </si>
  <si>
    <t>Poireau</t>
  </si>
  <si>
    <t>Pomme de terre</t>
  </si>
  <si>
    <t>Topinambour</t>
  </si>
  <si>
    <t>Proteine végétales</t>
  </si>
  <si>
    <t>Tofu Nature</t>
  </si>
  <si>
    <t>Tofu Nature - 250gEQ</t>
  </si>
  <si>
    <t>Tofu Fumé</t>
  </si>
  <si>
    <t>Tofu Fumé - 200g</t>
  </si>
  <si>
    <t>Tofu Soyeux</t>
  </si>
  <si>
    <t>Tofu Soyeux - 240g</t>
  </si>
  <si>
    <t>Traiteur</t>
  </si>
  <si>
    <t>Gnocchi</t>
  </si>
  <si>
    <t>Gnocchi à poeler</t>
  </si>
  <si>
    <t>Raviole emmental s fraiches</t>
  </si>
  <si>
    <t>Levure fraiche</t>
  </si>
  <si>
    <t>Pate feuilleté</t>
  </si>
  <si>
    <t>Pate brisée</t>
  </si>
  <si>
    <t>Pate pizza</t>
  </si>
  <si>
    <t>Haché végétal</t>
  </si>
  <si>
    <t>Steak végétal</t>
  </si>
  <si>
    <t>0.18</t>
  </si>
  <si>
    <t>Nuggets végétal</t>
  </si>
  <si>
    <t>Falafel</t>
  </si>
  <si>
    <t>Maison</t>
  </si>
  <si>
    <t>Droguerie</t>
  </si>
  <si>
    <t>Vinaigre blanc</t>
  </si>
  <si>
    <t>Vinaigre blanc - 1L</t>
  </si>
  <si>
    <t>Bicarbonate soude</t>
  </si>
  <si>
    <t>Bicarbonate soude - 1kg</t>
  </si>
  <si>
    <t>Cristaux de soude</t>
  </si>
  <si>
    <t>Cristaux de soude - 500g</t>
  </si>
  <si>
    <t>Percarbonate de soude</t>
  </si>
  <si>
    <t>Percarbonate de soude - 1kg</t>
  </si>
  <si>
    <t>Blanc de meudon</t>
  </si>
  <si>
    <t>Savon noir</t>
  </si>
  <si>
    <t>Savon noir - 1L</t>
  </si>
  <si>
    <t>Acide citrique</t>
  </si>
  <si>
    <t>Acide citrique - 1kg</t>
  </si>
  <si>
    <t>Copeaux de savon</t>
  </si>
  <si>
    <t>Copeaux de savon - 1kgEQ</t>
  </si>
  <si>
    <t>Linge</t>
  </si>
  <si>
    <t>Lessive liquide</t>
  </si>
  <si>
    <t>Lessive liquide - 1,5LEQ</t>
  </si>
  <si>
    <t>Lessive poudre</t>
  </si>
  <si>
    <t>Assouplissants</t>
  </si>
  <si>
    <t>Assouplissants - 1,5LEQ</t>
  </si>
  <si>
    <t>Vaisselle</t>
  </si>
  <si>
    <t>Liquide vaisselle</t>
  </si>
  <si>
    <t>Savon solide vaisselle</t>
  </si>
  <si>
    <t>Santé</t>
  </si>
  <si>
    <t>Aromathérapie</t>
  </si>
  <si>
    <t>HE Tea Tree</t>
  </si>
  <si>
    <t>HE Tea Tree - 10ml</t>
  </si>
  <si>
    <t>HE Citron</t>
  </si>
  <si>
    <t>HE Citron - 10ml</t>
  </si>
  <si>
    <t>HE Lavandin</t>
  </si>
  <si>
    <t>HE Lavandin - 10ml</t>
  </si>
  <si>
    <t>HE Menthe poivrée</t>
  </si>
  <si>
    <t>Soins et Beauté</t>
  </si>
  <si>
    <t>Beauté</t>
  </si>
  <si>
    <t>Beurre de karité</t>
  </si>
  <si>
    <t>Lait corporel Avril</t>
  </si>
  <si>
    <t>Dissolvant doux Avril</t>
  </si>
  <si>
    <t>Lait démaquillant</t>
  </si>
  <si>
    <t>Eau micellaire</t>
  </si>
  <si>
    <t>Huile végétale noyeau d'abricot</t>
  </si>
  <si>
    <t>Huile de ricin</t>
  </si>
  <si>
    <t>Huile de ricin - 50ml</t>
  </si>
  <si>
    <t>Huile amande douce</t>
  </si>
  <si>
    <t>Crème pour les main</t>
  </si>
  <si>
    <t>Gel nettoyant visage homme Avril</t>
  </si>
  <si>
    <t>Gel nettoyant visage</t>
  </si>
  <si>
    <t>Serum visage lissant Avril</t>
  </si>
  <si>
    <t>Serum visage désaltérant Avril</t>
  </si>
  <si>
    <t>Masque visage purifiant Avril</t>
  </si>
  <si>
    <t>Masque visage énergisant Avril</t>
  </si>
  <si>
    <t>Masque visage nourissant Avril</t>
  </si>
  <si>
    <t>Gommage visage Avril</t>
  </si>
  <si>
    <t>Crème visage &amp; corps Avril</t>
  </si>
  <si>
    <t>Crème jour &amp; nuit Avril</t>
  </si>
  <si>
    <t>Crème soin contour des yeux et lèvres Avril</t>
  </si>
  <si>
    <t>Crème désaltérante Avril</t>
  </si>
  <si>
    <t>Crème soin hydratant homme Avril</t>
  </si>
  <si>
    <t>Crème de jour peaux normales a mixtes Avril</t>
  </si>
  <si>
    <t>Crème de jour peaux seches et sensibles Avril</t>
  </si>
  <si>
    <t>Homme</t>
  </si>
  <si>
    <t>Baume après rasage</t>
  </si>
  <si>
    <t>Pain Rasage</t>
  </si>
  <si>
    <t>Hygiène</t>
  </si>
  <si>
    <t>Shampoing liquide</t>
  </si>
  <si>
    <t>Shampoing liquide - 1L</t>
  </si>
  <si>
    <t>Shampoing solide</t>
  </si>
  <si>
    <t>Savon alep 40%</t>
  </si>
  <si>
    <t>Savon de marseille solide</t>
  </si>
  <si>
    <t>Gel douche</t>
  </si>
  <si>
    <t>Gel douche - 1L</t>
  </si>
  <si>
    <t>Gel douche coeur d'abricot Avril</t>
  </si>
  <si>
    <t>Shampoing douche</t>
  </si>
  <si>
    <t>Shampoing douche - 1L</t>
  </si>
  <si>
    <t>Dentifrice à la menthe Avril</t>
  </si>
  <si>
    <t>Hygiène féminine</t>
  </si>
  <si>
    <t>Gel Intime</t>
  </si>
  <si>
    <t>Serviette normale</t>
  </si>
  <si>
    <t>Serviette nuit</t>
  </si>
  <si>
    <t>Protège slip</t>
  </si>
  <si>
    <t>Serviette flux abondant</t>
  </si>
  <si>
    <t>Tampon nomal applicateur</t>
  </si>
  <si>
    <t>Tampon normal sans applicateur</t>
  </si>
  <si>
    <t>Tampon super applicateur</t>
  </si>
  <si>
    <t>Tampon super sans applicateur</t>
  </si>
  <si>
    <t>Solaire</t>
  </si>
  <si>
    <t>Crème solaire visage SPF 50</t>
  </si>
  <si>
    <t>Prix du Panier</t>
  </si>
  <si>
    <t>carottes</t>
  </si>
  <si>
    <t>2,9</t>
  </si>
  <si>
    <t>navet</t>
  </si>
  <si>
    <t>patates</t>
  </si>
  <si>
    <t>1,6</t>
  </si>
  <si>
    <t>panais</t>
  </si>
  <si>
    <t>blettes</t>
  </si>
  <si>
    <t>4,5</t>
  </si>
  <si>
    <t>poireau</t>
  </si>
  <si>
    <t>3,6</t>
  </si>
  <si>
    <t>épinards</t>
  </si>
  <si>
    <t>patate douce</t>
  </si>
  <si>
    <t>3,5</t>
  </si>
  <si>
    <t>radis noir</t>
  </si>
  <si>
    <t>chou</t>
  </si>
  <si>
    <t>2,6</t>
  </si>
  <si>
    <t>salade</t>
  </si>
  <si>
    <t>courge</t>
  </si>
  <si>
    <t>2,1</t>
  </si>
  <si>
    <t>endives</t>
  </si>
  <si>
    <t>6,9</t>
  </si>
  <si>
    <t>chou chinois</t>
  </si>
  <si>
    <t>betterave</t>
  </si>
  <si>
    <t>oignon</t>
  </si>
  <si>
    <t>chou rave</t>
  </si>
  <si>
    <t>potimarron</t>
  </si>
  <si>
    <t>2,7</t>
  </si>
  <si>
    <t>0.67%</t>
  </si>
  <si>
    <t>-16.29%</t>
  </si>
  <si>
    <t>0.00%</t>
  </si>
  <si>
    <t>-3.44%</t>
  </si>
  <si>
    <t>3.36%</t>
  </si>
  <si>
    <t>-9.73%</t>
  </si>
  <si>
    <t>-2.70%</t>
  </si>
  <si>
    <t>3.23%</t>
  </si>
  <si>
    <t>-3.86%</t>
  </si>
  <si>
    <t>5.48%</t>
  </si>
  <si>
    <t>-4.65%</t>
  </si>
  <si>
    <t>-8.82%</t>
  </si>
  <si>
    <t>3.45%</t>
  </si>
  <si>
    <t>-1.83%</t>
  </si>
  <si>
    <t>4.93%</t>
  </si>
  <si>
    <t>10.34%</t>
  </si>
  <si>
    <t>-6.13%</t>
  </si>
  <si>
    <t>4.33%</t>
  </si>
  <si>
    <t>-5.52%</t>
  </si>
  <si>
    <t>13.00%</t>
  </si>
  <si>
    <t>11.11%</t>
  </si>
  <si>
    <t>0.82%</t>
  </si>
  <si>
    <t>1.45%</t>
  </si>
  <si>
    <t>4.05%</t>
  </si>
  <si>
    <t>2.76%</t>
  </si>
  <si>
    <t>0.78%</t>
  </si>
  <si>
    <t>8.22%</t>
  </si>
  <si>
    <t>-12.50%</t>
  </si>
  <si>
    <t>1.28%</t>
  </si>
  <si>
    <t>-100.00%</t>
  </si>
  <si>
    <t>-0.75%</t>
  </si>
  <si>
    <t>0.77%</t>
  </si>
  <si>
    <t>1.58%</t>
  </si>
  <si>
    <t>-0.67%</t>
  </si>
  <si>
    <t>1.63%</t>
  </si>
  <si>
    <t>0.85%</t>
  </si>
  <si>
    <t>-20.00%</t>
  </si>
  <si>
    <t>1.44%</t>
  </si>
  <si>
    <t>0.65%</t>
  </si>
  <si>
    <t>5.35%</t>
  </si>
  <si>
    <t>1.37%</t>
  </si>
  <si>
    <t>-6.78%</t>
  </si>
  <si>
    <t>7.50%</t>
  </si>
  <si>
    <t>3.51%</t>
  </si>
  <si>
    <t>-6.97%</t>
  </si>
  <si>
    <t>1.95%</t>
  </si>
  <si>
    <t>1.52%</t>
  </si>
  <si>
    <t>3.80%</t>
  </si>
  <si>
    <t>2.50%</t>
  </si>
  <si>
    <t>3.12%</t>
  </si>
  <si>
    <t>Thé, café et chocolats</t>
  </si>
  <si>
    <t>0.27%</t>
  </si>
  <si>
    <t>1.08%</t>
  </si>
  <si>
    <t>10.42%</t>
  </si>
  <si>
    <t>9.49%</t>
  </si>
  <si>
    <t>-0.53%</t>
  </si>
  <si>
    <t>1.80%</t>
  </si>
  <si>
    <t>6.73%</t>
  </si>
  <si>
    <t>2.10%</t>
  </si>
  <si>
    <t>-10.89%</t>
  </si>
  <si>
    <t>-19.35%</t>
  </si>
  <si>
    <t>-4.92%</t>
  </si>
  <si>
    <t>3.91%</t>
  </si>
  <si>
    <t>-8.61%</t>
  </si>
  <si>
    <t>24.30%</t>
  </si>
  <si>
    <t>37.44%</t>
  </si>
  <si>
    <t>11.63%</t>
  </si>
  <si>
    <t>22.43%</t>
  </si>
  <si>
    <t>31.26%</t>
  </si>
  <si>
    <t>-1.35%</t>
  </si>
  <si>
    <t>-0.25%</t>
  </si>
  <si>
    <t>1.50%</t>
  </si>
  <si>
    <t>6.83%</t>
  </si>
  <si>
    <t>0.47%</t>
  </si>
  <si>
    <t>0.95%</t>
  </si>
  <si>
    <t>9.13%</t>
  </si>
  <si>
    <t>9.85%</t>
  </si>
  <si>
    <t>12.53%</t>
  </si>
  <si>
    <t>15.19%</t>
  </si>
  <si>
    <t>3.10%</t>
  </si>
  <si>
    <t>-15.54%</t>
  </si>
  <si>
    <t>9.73%</t>
  </si>
  <si>
    <t>4.18%</t>
  </si>
  <si>
    <t>1.12%</t>
  </si>
  <si>
    <t>18.00%</t>
  </si>
  <si>
    <t>40.86%</t>
  </si>
  <si>
    <t>87.85%</t>
  </si>
  <si>
    <t>2.27%</t>
  </si>
  <si>
    <t>-4.17%</t>
  </si>
  <si>
    <t>12.26%</t>
  </si>
  <si>
    <t>14.14%</t>
  </si>
  <si>
    <t>5.28%</t>
  </si>
  <si>
    <t>4.30%</t>
  </si>
  <si>
    <t>2.15%</t>
  </si>
  <si>
    <t>2.38%</t>
  </si>
  <si>
    <t>-1.92%</t>
  </si>
  <si>
    <t>1.89%</t>
  </si>
  <si>
    <t>3.28%</t>
  </si>
  <si>
    <t>18.44%</t>
  </si>
  <si>
    <t>1.83%</t>
  </si>
  <si>
    <t>-1.89%</t>
  </si>
  <si>
    <t>-1.32%</t>
  </si>
  <si>
    <t>-16.80%</t>
  </si>
  <si>
    <t>20.00%</t>
  </si>
  <si>
    <t>19.05%</t>
  </si>
  <si>
    <t>16.00%</t>
  </si>
  <si>
    <t>17.86%</t>
  </si>
  <si>
    <t>-0.95%</t>
  </si>
  <si>
    <t>-2.19%</t>
  </si>
  <si>
    <t>0.50%</t>
  </si>
  <si>
    <t>-2.25%</t>
  </si>
  <si>
    <t>-1.60%</t>
  </si>
  <si>
    <t>4.17%</t>
  </si>
  <si>
    <t>0.53%</t>
  </si>
  <si>
    <t>3.31%</t>
  </si>
  <si>
    <t>-2.68%</t>
  </si>
  <si>
    <t>3.21%</t>
  </si>
  <si>
    <t>0.44%</t>
  </si>
  <si>
    <t>-7.46%</t>
  </si>
  <si>
    <t>-11.06%</t>
  </si>
  <si>
    <t>1.56%</t>
  </si>
  <si>
    <t>-0.46%</t>
  </si>
  <si>
    <t>13.40%</t>
  </si>
  <si>
    <t>5.29%</t>
  </si>
  <si>
    <t>4.01%</t>
  </si>
  <si>
    <t>5.13%</t>
  </si>
  <si>
    <t>0.86%</t>
  </si>
  <si>
    <t>6.99%</t>
  </si>
  <si>
    <t>-2.94%</t>
  </si>
  <si>
    <t>-2.45%</t>
  </si>
  <si>
    <t>-10.65%</t>
  </si>
  <si>
    <t>-15.24%</t>
  </si>
  <si>
    <t>-8.87%</t>
  </si>
  <si>
    <t>6.07%</t>
  </si>
  <si>
    <t>-7.72%</t>
  </si>
  <si>
    <t>-3.05%</t>
  </si>
  <si>
    <t>11.98%</t>
  </si>
  <si>
    <t>0.81%</t>
  </si>
  <si>
    <t>-23.76%</t>
  </si>
  <si>
    <t>-19.64%</t>
  </si>
  <si>
    <t>5.45%</t>
  </si>
  <si>
    <t>-3.79%</t>
  </si>
  <si>
    <t>-17.08%</t>
  </si>
  <si>
    <t>4.22%</t>
  </si>
  <si>
    <t>-0.44%</t>
  </si>
  <si>
    <t>286.35%</t>
  </si>
  <si>
    <t>2.37%</t>
  </si>
  <si>
    <t>140.28%</t>
  </si>
  <si>
    <t>145.42%</t>
  </si>
  <si>
    <t>3.07%</t>
  </si>
  <si>
    <t>137.37%</t>
  </si>
  <si>
    <t>35.92%</t>
  </si>
  <si>
    <t>159.31%</t>
  </si>
  <si>
    <t>3.83%</t>
  </si>
  <si>
    <t>-6.49%</t>
  </si>
  <si>
    <t>211.35%</t>
  </si>
  <si>
    <t>-6.95%</t>
  </si>
  <si>
    <t>10.91%</t>
  </si>
  <si>
    <t>181.36%</t>
  </si>
  <si>
    <t>61.90%</t>
  </si>
  <si>
    <t>25.28%</t>
  </si>
  <si>
    <t>-23.20%</t>
  </si>
  <si>
    <t>2.24%</t>
  </si>
  <si>
    <t>-2.18%</t>
  </si>
  <si>
    <t>-2.65%</t>
  </si>
  <si>
    <t>3.00%</t>
  </si>
  <si>
    <t>-15.36%</t>
  </si>
  <si>
    <t>2.11%</t>
  </si>
  <si>
    <t>-5.89%</t>
  </si>
  <si>
    <t>2.41%</t>
  </si>
  <si>
    <t>40.91%</t>
  </si>
  <si>
    <t>47.46%</t>
  </si>
  <si>
    <t>-0.64%</t>
  </si>
  <si>
    <t>-0.80%</t>
  </si>
  <si>
    <t>-1.19%</t>
  </si>
  <si>
    <t>1.82%</t>
  </si>
  <si>
    <t>4.25%</t>
  </si>
  <si>
    <t>4.62%</t>
  </si>
  <si>
    <t>6.53%</t>
  </si>
  <si>
    <t>6.10%</t>
  </si>
  <si>
    <t>8.06%</t>
  </si>
  <si>
    <t>6.74%</t>
  </si>
  <si>
    <t>1.51%</t>
  </si>
  <si>
    <t>-14.95%</t>
  </si>
  <si>
    <t>-17.95%</t>
  </si>
  <si>
    <t>-1.47%</t>
  </si>
  <si>
    <t>-1.58%</t>
  </si>
  <si>
    <t>77.78%</t>
  </si>
  <si>
    <t>125.49%</t>
  </si>
  <si>
    <t>0.97%</t>
  </si>
  <si>
    <t>-14.92%</t>
  </si>
  <si>
    <t>6.65%</t>
  </si>
  <si>
    <t>-1.43%</t>
  </si>
  <si>
    <t>-4.83%</t>
  </si>
  <si>
    <t>2.14%</t>
  </si>
  <si>
    <t>6.97%</t>
  </si>
  <si>
    <t>7.69%</t>
  </si>
  <si>
    <t>6.45%</t>
  </si>
  <si>
    <t>-99.98%</t>
  </si>
  <si>
    <t>-11.93%</t>
  </si>
  <si>
    <t>-19.44%</t>
  </si>
  <si>
    <t>-9.85%</t>
  </si>
  <si>
    <t>4.74%</t>
  </si>
  <si>
    <t>2.44%</t>
  </si>
  <si>
    <t>136.16%</t>
  </si>
  <si>
    <t>1.49%</t>
  </si>
  <si>
    <t>0.48%</t>
  </si>
  <si>
    <t>22.22%</t>
  </si>
  <si>
    <t>-13.04%</t>
  </si>
  <si>
    <t>5.32%</t>
  </si>
  <si>
    <t>-1.02%</t>
  </si>
  <si>
    <t>6.76%</t>
  </si>
  <si>
    <t>4.48%</t>
  </si>
  <si>
    <t>8.12%</t>
  </si>
  <si>
    <t>-8.52%</t>
  </si>
  <si>
    <t>8.44%</t>
  </si>
  <si>
    <t>-1.33%</t>
  </si>
  <si>
    <t>4.76%</t>
  </si>
  <si>
    <t>3.73%</t>
  </si>
  <si>
    <t>10.04%</t>
  </si>
  <si>
    <t>5.64%</t>
  </si>
  <si>
    <t>4.82%</t>
  </si>
  <si>
    <t>13.17%</t>
  </si>
  <si>
    <t>13.03%</t>
  </si>
  <si>
    <t>4.06%</t>
  </si>
  <si>
    <t>13.08%</t>
  </si>
  <si>
    <t>1.54%</t>
  </si>
  <si>
    <t>9.96%</t>
  </si>
  <si>
    <t>-3.21%</t>
  </si>
  <si>
    <t>5.18%</t>
  </si>
  <si>
    <t>39.48%</t>
  </si>
  <si>
    <t>14.07%</t>
  </si>
  <si>
    <t>35.42%</t>
  </si>
  <si>
    <t>7.22%</t>
  </si>
  <si>
    <t>-15.96%</t>
  </si>
  <si>
    <t>-2.04%</t>
  </si>
  <si>
    <t>12.78%</t>
  </si>
  <si>
    <t>21.76%</t>
  </si>
  <si>
    <t>-36.71%</t>
  </si>
  <si>
    <t>-0.76%</t>
  </si>
  <si>
    <t>60.49%</t>
  </si>
  <si>
    <t>-32.10%</t>
  </si>
  <si>
    <t>-0.29%</t>
  </si>
  <si>
    <t>7.82%</t>
  </si>
  <si>
    <t>53.97%</t>
  </si>
  <si>
    <t>36.52%</t>
  </si>
  <si>
    <t>-5.85%</t>
  </si>
  <si>
    <t>-10.62%</t>
  </si>
  <si>
    <t>-4.35%</t>
  </si>
  <si>
    <t>5.77%</t>
  </si>
  <si>
    <t>3.92%</t>
  </si>
  <si>
    <t>1.85%</t>
  </si>
  <si>
    <t>9.68%</t>
  </si>
  <si>
    <t>13.51%</t>
  </si>
  <si>
    <t>2.60%</t>
  </si>
  <si>
    <t>8.80%</t>
  </si>
  <si>
    <t>-11.12%</t>
  </si>
  <si>
    <t>12.47%</t>
  </si>
  <si>
    <t>-2.07%</t>
  </si>
  <si>
    <t>12.82%</t>
  </si>
  <si>
    <t>-2.87%</t>
  </si>
  <si>
    <t>-19.46%</t>
  </si>
  <si>
    <t>13.31%</t>
  </si>
  <si>
    <t>-18.79%</t>
  </si>
  <si>
    <t>11.97%</t>
  </si>
  <si>
    <t>5.86%</t>
  </si>
  <si>
    <t>1.74%</t>
  </si>
  <si>
    <t>-15.11%</t>
  </si>
  <si>
    <t>3.43%</t>
  </si>
  <si>
    <t>-2.29%</t>
  </si>
  <si>
    <t>-1.01%</t>
  </si>
  <si>
    <t>56.23%</t>
  </si>
  <si>
    <t>27.97%</t>
  </si>
  <si>
    <t>29.90%</t>
  </si>
  <si>
    <t>24.59%</t>
  </si>
  <si>
    <t>-22.32%</t>
  </si>
  <si>
    <t>-5.94%</t>
  </si>
  <si>
    <t>3.39%</t>
  </si>
  <si>
    <t>-11.86%</t>
  </si>
  <si>
    <t>27.22%</t>
  </si>
  <si>
    <t>28.84%</t>
  </si>
  <si>
    <t>-2.26%</t>
  </si>
  <si>
    <t>Lentilles vertes conserve - 240gEQ</t>
  </si>
  <si>
    <t>-14.19%</t>
  </si>
  <si>
    <t>28.13%</t>
  </si>
  <si>
    <t>41.43%</t>
  </si>
  <si>
    <t>1.43%</t>
  </si>
  <si>
    <t>-6.65%</t>
  </si>
  <si>
    <t>Pois chiches conserve - 240gEQ</t>
  </si>
  <si>
    <t>30.10%</t>
  </si>
  <si>
    <t>-18.93%</t>
  </si>
  <si>
    <t>2.84%</t>
  </si>
  <si>
    <t>-8.18%</t>
  </si>
  <si>
    <t>2.88%</t>
  </si>
  <si>
    <t>-2.62%</t>
  </si>
  <si>
    <t>-3.39%</t>
  </si>
  <si>
    <t>-1.61%</t>
  </si>
  <si>
    <t>-1.95%</t>
  </si>
  <si>
    <t>-5.08%</t>
  </si>
  <si>
    <t>-4.84%</t>
  </si>
  <si>
    <t>-3.55%</t>
  </si>
  <si>
    <t>2.67%</t>
  </si>
  <si>
    <t>-0.31%</t>
  </si>
  <si>
    <t>-14.01%</t>
  </si>
  <si>
    <t>-28.67%</t>
  </si>
  <si>
    <t>-23.11%</t>
  </si>
  <si>
    <t>1.01%</t>
  </si>
  <si>
    <t>-13.46%</t>
  </si>
  <si>
    <t>-2.56%</t>
  </si>
  <si>
    <t>4.65%</t>
  </si>
  <si>
    <t>-7.42%</t>
  </si>
  <si>
    <t>-13.39%</t>
  </si>
  <si>
    <t>-7.34%</t>
  </si>
  <si>
    <t>63.92%</t>
  </si>
  <si>
    <t>22.11%</t>
  </si>
  <si>
    <t>-29.93%</t>
  </si>
  <si>
    <t>-9.67%</t>
  </si>
  <si>
    <t>-15.16%</t>
  </si>
  <si>
    <t>0.07%</t>
  </si>
  <si>
    <t>1.02%</t>
  </si>
  <si>
    <t>-0.87%</t>
  </si>
  <si>
    <t>1.19%</t>
  </si>
  <si>
    <t>-4.18%</t>
  </si>
  <si>
    <t>6.81%</t>
  </si>
  <si>
    <t>-18.05%</t>
  </si>
  <si>
    <t>2.06%</t>
  </si>
  <si>
    <t>-1.00%</t>
  </si>
  <si>
    <t>1.79%</t>
  </si>
  <si>
    <t>2.25%</t>
  </si>
  <si>
    <t>-8.51%</t>
  </si>
  <si>
    <t>-8.37%</t>
  </si>
  <si>
    <t>-2.52%</t>
  </si>
  <si>
    <t>-19.66%</t>
  </si>
  <si>
    <t>-2.08%</t>
  </si>
  <si>
    <t>-21.43%</t>
  </si>
  <si>
    <t>50.92%</t>
  </si>
  <si>
    <t>25.71%</t>
  </si>
  <si>
    <t>-15.71%</t>
  </si>
  <si>
    <t>10.87%</t>
  </si>
  <si>
    <t>-7.94%</t>
  </si>
  <si>
    <t>-10.05%</t>
  </si>
  <si>
    <t>-6.06%</t>
  </si>
  <si>
    <t>-2.17%</t>
  </si>
  <si>
    <t>-15.77%</t>
  </si>
  <si>
    <t>9.72%</t>
  </si>
  <si>
    <t>7.12%</t>
  </si>
  <si>
    <t>2.51%</t>
  </si>
  <si>
    <t>3.61%</t>
  </si>
  <si>
    <t>-11.76%</t>
  </si>
  <si>
    <t>14.60%</t>
  </si>
  <si>
    <t>-30.88%</t>
  </si>
  <si>
    <t>-9.11%</t>
  </si>
  <si>
    <t>1.57%</t>
  </si>
  <si>
    <t>-8.72%</t>
  </si>
  <si>
    <t>5.31%</t>
  </si>
  <si>
    <t>-12.16%</t>
  </si>
  <si>
    <t>2.66%</t>
  </si>
  <si>
    <t>0.46%</t>
  </si>
  <si>
    <t>82.35%</t>
  </si>
  <si>
    <t>5.49%</t>
  </si>
  <si>
    <t>36.36%</t>
  </si>
  <si>
    <t>8.17%</t>
  </si>
  <si>
    <t>-9.52%</t>
  </si>
  <si>
    <t>16.29%</t>
  </si>
  <si>
    <t>24.04%</t>
  </si>
  <si>
    <t>-5.10%</t>
  </si>
  <si>
    <t>15.17%</t>
  </si>
  <si>
    <t>0.72%</t>
  </si>
  <si>
    <t>4.32%</t>
  </si>
  <si>
    <t>1.04%</t>
  </si>
  <si>
    <t>11.76%</t>
  </si>
  <si>
    <t>-12.74%</t>
  </si>
  <si>
    <t>1.29%</t>
  </si>
  <si>
    <t>10.55%</t>
  </si>
  <si>
    <t>-3.33%</t>
  </si>
  <si>
    <t>-1.99%</t>
  </si>
  <si>
    <t>3.70%</t>
  </si>
  <si>
    <t>15.05%</t>
  </si>
  <si>
    <t>10.09%</t>
  </si>
  <si>
    <t>1.94%</t>
  </si>
  <si>
    <t>-6.25%</t>
  </si>
  <si>
    <t>-1.75%</t>
  </si>
  <si>
    <t>2.70%</t>
  </si>
  <si>
    <t>-5.41%</t>
  </si>
  <si>
    <t>2.22%</t>
  </si>
  <si>
    <t>15.58%</t>
  </si>
  <si>
    <t>0.90%</t>
  </si>
  <si>
    <t>78.95%</t>
  </si>
  <si>
    <t>42.11%</t>
  </si>
  <si>
    <t>-2.61%</t>
  </si>
  <si>
    <t>-6.90%</t>
  </si>
  <si>
    <t>-11.24%</t>
  </si>
  <si>
    <t>12.04%</t>
  </si>
  <si>
    <t>-11.11%</t>
  </si>
  <si>
    <t>-11.33%</t>
  </si>
  <si>
    <t>-3.90%</t>
  </si>
  <si>
    <t>9.45%</t>
  </si>
  <si>
    <t>2.53%</t>
  </si>
  <si>
    <t>25.34%</t>
  </si>
  <si>
    <t>0.57%</t>
  </si>
  <si>
    <t>-1.74%</t>
  </si>
  <si>
    <t>32.57%</t>
  </si>
  <si>
    <t>10.49%</t>
  </si>
  <si>
    <t>-6.88%</t>
  </si>
  <si>
    <t>-7.56%</t>
  </si>
  <si>
    <t>14.06%</t>
  </si>
  <si>
    <t>11.71%</t>
  </si>
  <si>
    <t>16.86%</t>
  </si>
  <si>
    <t>1.84%</t>
  </si>
  <si>
    <t>13.52%</t>
  </si>
  <si>
    <t>14.00%</t>
  </si>
  <si>
    <t>3.13%</t>
  </si>
  <si>
    <t>-18.84%</t>
  </si>
  <si>
    <t>1.81%</t>
  </si>
  <si>
    <t>18.57%</t>
  </si>
  <si>
    <t>3.02%</t>
  </si>
  <si>
    <t>12.44%</t>
  </si>
  <si>
    <t>17.39%</t>
  </si>
  <si>
    <t>11.42%</t>
  </si>
  <si>
    <t>-6.45%</t>
  </si>
  <si>
    <t>2.33%</t>
  </si>
  <si>
    <t>-11.60%</t>
  </si>
  <si>
    <t>6.21%</t>
  </si>
  <si>
    <t>-5.49%</t>
  </si>
  <si>
    <t>-8.92%</t>
  </si>
  <si>
    <t>1.18%</t>
  </si>
  <si>
    <t>2.72%</t>
  </si>
  <si>
    <t>12.00%</t>
  </si>
  <si>
    <t>3.47%</t>
  </si>
  <si>
    <t>24.12%</t>
  </si>
  <si>
    <t>16.53%</t>
  </si>
  <si>
    <t>12.23%</t>
  </si>
  <si>
    <t>6.05%</t>
  </si>
  <si>
    <t>8.16%</t>
  </si>
  <si>
    <t>Crème soja - 20clEQ</t>
  </si>
  <si>
    <t>4.21%</t>
  </si>
  <si>
    <t>47.96%</t>
  </si>
  <si>
    <t>-9.71%</t>
  </si>
  <si>
    <t>1.33%</t>
  </si>
  <si>
    <t>-19.21%</t>
  </si>
  <si>
    <t>-1.17%</t>
  </si>
  <si>
    <t>-4.04%</t>
  </si>
  <si>
    <t>1.30%</t>
  </si>
  <si>
    <t>2.21%</t>
  </si>
  <si>
    <t>3.18%</t>
  </si>
  <si>
    <t>-1.36%</t>
  </si>
  <si>
    <t>-7.20%</t>
  </si>
  <si>
    <t>-1.85%</t>
  </si>
  <si>
    <t>4.83%</t>
  </si>
  <si>
    <t>2.85%</t>
  </si>
  <si>
    <t>3.84%</t>
  </si>
  <si>
    <t>-1.88%</t>
  </si>
  <si>
    <t>-2.67%</t>
  </si>
  <si>
    <t>-9.65%</t>
  </si>
  <si>
    <t>10.37%</t>
  </si>
  <si>
    <t>7.10%</t>
  </si>
  <si>
    <t>-14.50%</t>
  </si>
  <si>
    <t>6.66%</t>
  </si>
  <si>
    <t>0.37%</t>
  </si>
  <si>
    <t>1.70%</t>
  </si>
  <si>
    <t>4.13%</t>
  </si>
  <si>
    <t>1.77%</t>
  </si>
  <si>
    <t>4.72%</t>
  </si>
  <si>
    <t>3.63%</t>
  </si>
  <si>
    <t>0.69%</t>
  </si>
  <si>
    <t>-4.90%</t>
  </si>
  <si>
    <t>-5.28%</t>
  </si>
  <si>
    <t>0.59%</t>
  </si>
  <si>
    <t>3.40%</t>
  </si>
  <si>
    <t>-6.01%</t>
  </si>
  <si>
    <t>0.56%</t>
  </si>
  <si>
    <t>32.07%</t>
  </si>
  <si>
    <t>-3.80%</t>
  </si>
  <si>
    <t>-6.94%</t>
  </si>
  <si>
    <t>28.28%</t>
  </si>
  <si>
    <t>-13.47%</t>
  </si>
  <si>
    <t>8.31%</t>
  </si>
  <si>
    <t>122.44%</t>
  </si>
  <si>
    <t>14.34%</t>
  </si>
  <si>
    <t>-1.37%</t>
  </si>
  <si>
    <t>3.35%</t>
  </si>
  <si>
    <t>3.50%</t>
  </si>
  <si>
    <t>4.00%</t>
  </si>
  <si>
    <t>-5.69%</t>
  </si>
  <si>
    <t>-14.90%</t>
  </si>
  <si>
    <t>17.64%</t>
  </si>
  <si>
    <t>3.20%</t>
  </si>
  <si>
    <t>4.90%</t>
  </si>
  <si>
    <t>-15.79%</t>
  </si>
  <si>
    <t>-1.50%</t>
  </si>
  <si>
    <t>-4.29%</t>
  </si>
  <si>
    <t>12.86%</t>
  </si>
  <si>
    <t>-2.76%</t>
  </si>
  <si>
    <t>18.07%</t>
  </si>
  <si>
    <t>-1.68%</t>
  </si>
  <si>
    <t>10.20%</t>
  </si>
  <si>
    <t>5.74%</t>
  </si>
  <si>
    <t>-12.21%</t>
  </si>
  <si>
    <t>-3.37%</t>
  </si>
  <si>
    <t>-19.73%</t>
  </si>
  <si>
    <t>-0.78%</t>
  </si>
  <si>
    <t>-15.66%</t>
  </si>
  <si>
    <t>4.29%</t>
  </si>
  <si>
    <t>18.22%</t>
  </si>
  <si>
    <t>11.53%</t>
  </si>
  <si>
    <t>8.19%</t>
  </si>
  <si>
    <t>-14.61%</t>
  </si>
  <si>
    <t>-6.35%</t>
  </si>
  <si>
    <t>12.95%</t>
  </si>
  <si>
    <t>5.56%</t>
  </si>
  <si>
    <t>1.76%</t>
  </si>
  <si>
    <t>-13.82%</t>
  </si>
  <si>
    <t>-13.12%</t>
  </si>
  <si>
    <t>-13.56%</t>
  </si>
  <si>
    <t>3.15%</t>
  </si>
  <si>
    <t>3.14%</t>
  </si>
  <si>
    <t>4.31%</t>
  </si>
  <si>
    <t>0.29%</t>
  </si>
  <si>
    <t>-0.59%</t>
  </si>
  <si>
    <t>-0.61%</t>
  </si>
  <si>
    <t>-9.78%</t>
  </si>
  <si>
    <t>0.68%</t>
  </si>
  <si>
    <t>5.50%</t>
  </si>
  <si>
    <t>8.45%</t>
  </si>
  <si>
    <t>48.69%</t>
  </si>
  <si>
    <t>45.95%</t>
  </si>
  <si>
    <t>18.97%</t>
  </si>
  <si>
    <t>4.99%</t>
  </si>
  <si>
    <t>55.33%</t>
  </si>
  <si>
    <t>35.12%</t>
  </si>
  <si>
    <t>21.52%</t>
  </si>
  <si>
    <t>32.88%</t>
  </si>
  <si>
    <t>14.85%</t>
  </si>
  <si>
    <t>-3.46%</t>
  </si>
  <si>
    <t>28.57%</t>
  </si>
  <si>
    <t>43.86%</t>
  </si>
  <si>
    <t>-25.06%</t>
  </si>
  <si>
    <t>-4.68%</t>
  </si>
  <si>
    <t>18.80%</t>
  </si>
  <si>
    <t>26.67%</t>
  </si>
  <si>
    <t>1.27%</t>
  </si>
  <si>
    <t>8.13%</t>
  </si>
  <si>
    <t>22.07%</t>
  </si>
  <si>
    <t>-4.23%</t>
  </si>
  <si>
    <t>19.92%</t>
  </si>
  <si>
    <t>7.08%</t>
  </si>
  <si>
    <t>-2.84%</t>
  </si>
  <si>
    <t>-10.86%</t>
  </si>
  <si>
    <t>2.95%</t>
  </si>
  <si>
    <t>5.14%</t>
  </si>
  <si>
    <t>5.95%</t>
  </si>
  <si>
    <t>-4.08%</t>
  </si>
  <si>
    <t>1.75%</t>
  </si>
  <si>
    <t>-8.71%</t>
  </si>
  <si>
    <t>3.38%</t>
  </si>
  <si>
    <t>4.24%</t>
  </si>
  <si>
    <t>4.11%</t>
  </si>
  <si>
    <t>6.75%</t>
  </si>
  <si>
    <t>1.91%</t>
  </si>
  <si>
    <t>2.17%</t>
  </si>
  <si>
    <t>0.93%</t>
  </si>
  <si>
    <t>-5.62%</t>
  </si>
  <si>
    <t>7.41%</t>
  </si>
  <si>
    <t>-5.45%</t>
  </si>
  <si>
    <t>-13.15%</t>
  </si>
  <si>
    <t>16.63%</t>
  </si>
  <si>
    <t>5.36%</t>
  </si>
  <si>
    <t>1.55%</t>
  </si>
  <si>
    <t>0.79%</t>
  </si>
  <si>
    <t>7.02%</t>
  </si>
  <si>
    <t>-0.21%</t>
  </si>
  <si>
    <t>7.87%</t>
  </si>
  <si>
    <t>-14.04%</t>
  </si>
  <si>
    <t>8.97%</t>
  </si>
  <si>
    <t>7.07%</t>
  </si>
  <si>
    <t>11.43%</t>
  </si>
  <si>
    <t>9.08%</t>
  </si>
  <si>
    <t>9.20%</t>
  </si>
  <si>
    <t>16.64%</t>
  </si>
  <si>
    <t>2.78%</t>
  </si>
  <si>
    <t>1.64%</t>
  </si>
  <si>
    <t>7.19%</t>
  </si>
  <si>
    <t>0.88%</t>
  </si>
  <si>
    <t>6.01%</t>
  </si>
  <si>
    <t>20.75%</t>
  </si>
  <si>
    <t>11.79%</t>
  </si>
  <si>
    <t>33.44%</t>
  </si>
  <si>
    <t>14.15%</t>
  </si>
  <si>
    <t>11.14%</t>
  </si>
  <si>
    <t>-3.87%</t>
  </si>
  <si>
    <t>-2.22%</t>
  </si>
  <si>
    <t>0.80%</t>
  </si>
  <si>
    <t>-4.61%</t>
  </si>
  <si>
    <t>-2.12%</t>
  </si>
  <si>
    <t>5.26%</t>
  </si>
  <si>
    <t>11.95%</t>
  </si>
  <si>
    <t>1.34%</t>
  </si>
  <si>
    <t>-3.66%</t>
  </si>
  <si>
    <t>6.49%</t>
  </si>
  <si>
    <t>4.15%</t>
  </si>
  <si>
    <t>1.60%</t>
  </si>
  <si>
    <t>8.64%</t>
  </si>
  <si>
    <t>-1.59%</t>
  </si>
  <si>
    <t>-7.79%</t>
  </si>
  <si>
    <t>30.78%</t>
  </si>
  <si>
    <t>19.70%</t>
  </si>
  <si>
    <t>-2.93%</t>
  </si>
  <si>
    <t>18.10%</t>
  </si>
  <si>
    <t>2.47%</t>
  </si>
  <si>
    <t>-13.17%</t>
  </si>
  <si>
    <t>-7.04%</t>
  </si>
  <si>
    <t>-13.19%</t>
  </si>
  <si>
    <t>5.52%</t>
  </si>
  <si>
    <t>1.05%</t>
  </si>
  <si>
    <t>11.69%</t>
  </si>
  <si>
    <t>-3.16%</t>
  </si>
  <si>
    <t>10.56%</t>
  </si>
  <si>
    <t>6.61%</t>
  </si>
  <si>
    <t>0.70%</t>
  </si>
  <si>
    <t>1.59%</t>
  </si>
  <si>
    <t>-5.71%</t>
  </si>
  <si>
    <t>2.94%</t>
  </si>
  <si>
    <t>10.61%</t>
  </si>
  <si>
    <t>1.14%</t>
  </si>
  <si>
    <t>6.25%</t>
  </si>
  <si>
    <t>5.67%</t>
  </si>
  <si>
    <t>-13.68%</t>
  </si>
  <si>
    <t>12.70%</t>
  </si>
  <si>
    <t>0.32%</t>
  </si>
  <si>
    <t>6.70%</t>
  </si>
  <si>
    <t>1.92%</t>
  </si>
  <si>
    <t>22.42%</t>
  </si>
  <si>
    <t>5.61%</t>
  </si>
  <si>
    <t>-17.83%</t>
  </si>
  <si>
    <t>71.35%</t>
  </si>
  <si>
    <t>Farine riz blanche - 500g</t>
  </si>
  <si>
    <t>8.47%</t>
  </si>
  <si>
    <t>17.55%</t>
  </si>
  <si>
    <t>8.57%</t>
  </si>
  <si>
    <t>8.67%</t>
  </si>
  <si>
    <t>1.40%</t>
  </si>
  <si>
    <t>5.73%</t>
  </si>
  <si>
    <t>-2.80%</t>
  </si>
  <si>
    <t>0.83%</t>
  </si>
  <si>
    <t>6.40%</t>
  </si>
  <si>
    <t>-13.91%</t>
  </si>
  <si>
    <t>5.19%</t>
  </si>
  <si>
    <t>24.73%</t>
  </si>
  <si>
    <t>3.42%</t>
  </si>
  <si>
    <t>-8.40%</t>
  </si>
  <si>
    <t>-2.31%</t>
  </si>
  <si>
    <t>15.45%</t>
  </si>
  <si>
    <t>8.66%</t>
  </si>
  <si>
    <t>7.38%</t>
  </si>
  <si>
    <t>5.44%</t>
  </si>
  <si>
    <t>-4.00%</t>
  </si>
  <si>
    <t>-3.72%</t>
  </si>
  <si>
    <t>37.56%</t>
  </si>
  <si>
    <t>0.31%</t>
  </si>
  <si>
    <t>2.86%</t>
  </si>
  <si>
    <t>10.00%</t>
  </si>
  <si>
    <t>1.22%</t>
  </si>
  <si>
    <t>91.55%</t>
  </si>
  <si>
    <t>19.33%</t>
  </si>
  <si>
    <t>73.89%</t>
  </si>
  <si>
    <t>10.44%</t>
  </si>
  <si>
    <t>87.52%</t>
  </si>
  <si>
    <t>30.77%</t>
  </si>
  <si>
    <t>75.56%</t>
  </si>
  <si>
    <t>25.44%</t>
  </si>
  <si>
    <t>-5.05%</t>
  </si>
  <si>
    <t>1.10%</t>
  </si>
  <si>
    <t>4.09%</t>
  </si>
  <si>
    <t>33.09%</t>
  </si>
  <si>
    <t>16.12%</t>
  </si>
  <si>
    <t>8.04%</t>
  </si>
  <si>
    <t>45.33%</t>
  </si>
  <si>
    <t>21.54%</t>
  </si>
  <si>
    <t>14.77%</t>
  </si>
  <si>
    <t>47.32%</t>
  </si>
  <si>
    <t>4.63%</t>
  </si>
  <si>
    <t>15.80%</t>
  </si>
  <si>
    <t>5.34%</t>
  </si>
  <si>
    <t>8.93%</t>
  </si>
  <si>
    <t>5.70%</t>
  </si>
  <si>
    <t>6.93%</t>
  </si>
  <si>
    <t>44.66%</t>
  </si>
  <si>
    <t>39.91%</t>
  </si>
  <si>
    <t>7.32%</t>
  </si>
  <si>
    <t>34.55%</t>
  </si>
  <si>
    <t>9.00%</t>
  </si>
  <si>
    <t>5.21%</t>
  </si>
  <si>
    <t>3.65%</t>
  </si>
  <si>
    <t>34.58%</t>
  </si>
  <si>
    <t>3.68%</t>
  </si>
  <si>
    <t>3.64%</t>
  </si>
  <si>
    <t>-13.45%</t>
  </si>
  <si>
    <t>-0.73%</t>
  </si>
  <si>
    <t>0.08%</t>
  </si>
  <si>
    <t>-4.54%</t>
  </si>
  <si>
    <t>-16.25%</t>
  </si>
  <si>
    <t>-11.64%</t>
  </si>
  <si>
    <t>-3.07%</t>
  </si>
  <si>
    <t>-2.44%</t>
  </si>
  <si>
    <t>10.08%</t>
  </si>
  <si>
    <t>-7.54%</t>
  </si>
  <si>
    <t>2.00%</t>
  </si>
  <si>
    <t>7.99%</t>
  </si>
  <si>
    <t>9.63%</t>
  </si>
  <si>
    <t>-6.79%</t>
  </si>
  <si>
    <t>17.18%</t>
  </si>
  <si>
    <t>15.96%</t>
  </si>
  <si>
    <t>3.49%</t>
  </si>
  <si>
    <t>13.97%</t>
  </si>
  <si>
    <t>-25.76%</t>
  </si>
  <si>
    <t>6.88%</t>
  </si>
  <si>
    <t>2.02%</t>
  </si>
  <si>
    <t>6.79%</t>
  </si>
  <si>
    <t>14.04%</t>
  </si>
  <si>
    <t>11.04%</t>
  </si>
  <si>
    <t>13.56%</t>
  </si>
  <si>
    <t>2.35%</t>
  </si>
  <si>
    <t>15.33%</t>
  </si>
  <si>
    <t>33.05%</t>
  </si>
  <si>
    <t>13.04%</t>
  </si>
  <si>
    <t>-1.12%</t>
  </si>
  <si>
    <t>-6.33%</t>
  </si>
  <si>
    <t>-6.09%</t>
  </si>
  <si>
    <t>-1.07%</t>
  </si>
  <si>
    <t>-2.09%</t>
  </si>
  <si>
    <t>6.44%</t>
  </si>
  <si>
    <t>4.85%</t>
  </si>
  <si>
    <t>12.55%</t>
  </si>
  <si>
    <t>-0.38%</t>
  </si>
  <si>
    <t>-4.75%</t>
  </si>
  <si>
    <t>-5.43%</t>
  </si>
  <si>
    <t>-5.29%</t>
  </si>
  <si>
    <t>3.77%</t>
  </si>
  <si>
    <t>11.73%</t>
  </si>
  <si>
    <t>-4.69%</t>
  </si>
  <si>
    <t>5.65%</t>
  </si>
  <si>
    <t>2.98%</t>
  </si>
  <si>
    <t>9.37%</t>
  </si>
  <si>
    <t>6.59%</t>
  </si>
  <si>
    <t>18.35%</t>
  </si>
  <si>
    <t>4.68%</t>
  </si>
  <si>
    <t>-10.40%</t>
  </si>
  <si>
    <t>4.45%</t>
  </si>
  <si>
    <t>-4.10%</t>
  </si>
  <si>
    <t>4.41%</t>
  </si>
  <si>
    <t>4.78%</t>
  </si>
  <si>
    <t>8.03%</t>
  </si>
  <si>
    <t>4.51%</t>
  </si>
  <si>
    <t>-1.54%</t>
  </si>
  <si>
    <t>7.55%</t>
  </si>
  <si>
    <t>8.33%</t>
  </si>
  <si>
    <t>-13.66%</t>
  </si>
  <si>
    <t>27.78%</t>
  </si>
  <si>
    <t>27.39%</t>
  </si>
  <si>
    <t>-0.48%</t>
  </si>
  <si>
    <t>21.08%</t>
  </si>
  <si>
    <t>16.38%</t>
  </si>
  <si>
    <t>39.22%</t>
  </si>
  <si>
    <t>4.47%</t>
  </si>
  <si>
    <t>-3.85%</t>
  </si>
  <si>
    <t>5.91%</t>
  </si>
  <si>
    <t>-2.00%</t>
  </si>
  <si>
    <t>-49.28%</t>
  </si>
  <si>
    <t>88.24%</t>
  </si>
  <si>
    <t>-15.70%</t>
  </si>
  <si>
    <t>11.49%</t>
  </si>
  <si>
    <t>12.58%</t>
  </si>
  <si>
    <t>78.31%</t>
  </si>
  <si>
    <t>13.79%</t>
  </si>
  <si>
    <t>-4.62%</t>
  </si>
  <si>
    <t>-14.81%</t>
  </si>
  <si>
    <t>10.83%</t>
  </si>
  <si>
    <t>-4.33%</t>
  </si>
  <si>
    <t>-16.95%</t>
  </si>
  <si>
    <t>3.57%</t>
  </si>
  <si>
    <t>-24.92%</t>
  </si>
  <si>
    <t>6.02%</t>
  </si>
  <si>
    <t>20.61%</t>
  </si>
  <si>
    <t>22.02%</t>
  </si>
  <si>
    <t>10.10%</t>
  </si>
  <si>
    <t>-11.20%</t>
  </si>
  <si>
    <t>20.74%</t>
  </si>
  <si>
    <t>-13.33%</t>
  </si>
  <si>
    <t>4.23%</t>
  </si>
  <si>
    <t>-31.03%</t>
  </si>
  <si>
    <t>-1.69%</t>
  </si>
  <si>
    <t>54.62%</t>
  </si>
  <si>
    <t>34.49%</t>
  </si>
  <si>
    <t>-14.20%</t>
  </si>
  <si>
    <t>-27.50%</t>
  </si>
  <si>
    <t>10.99%</t>
  </si>
  <si>
    <t>-1.27%</t>
  </si>
  <si>
    <t>33.33%</t>
  </si>
  <si>
    <t>-6.81%</t>
  </si>
  <si>
    <t>6.41%</t>
  </si>
  <si>
    <t>37.47%</t>
  </si>
  <si>
    <t>22.70%</t>
  </si>
  <si>
    <t>-11.70%</t>
  </si>
  <si>
    <t>20.23%</t>
  </si>
  <si>
    <t>64.30%</t>
  </si>
  <si>
    <t>41.19%</t>
  </si>
  <si>
    <t>48.07%</t>
  </si>
  <si>
    <t>-18.18%</t>
  </si>
  <si>
    <t>8.74%</t>
  </si>
  <si>
    <t>6.33%</t>
  </si>
  <si>
    <t>-11.92%</t>
  </si>
  <si>
    <t>5.80%</t>
  </si>
  <si>
    <t>2.29%</t>
  </si>
  <si>
    <t>1.16%</t>
  </si>
  <si>
    <t>-4.26%</t>
  </si>
  <si>
    <t>1.61%</t>
  </si>
  <si>
    <t>8.00%</t>
  </si>
  <si>
    <t>6.09%</t>
  </si>
  <si>
    <t>0.55%</t>
  </si>
  <si>
    <t>-5.31%</t>
  </si>
  <si>
    <t>-5.37%</t>
  </si>
  <si>
    <t>2.99%</t>
  </si>
  <si>
    <t>7.61%</t>
  </si>
  <si>
    <t>5.25%</t>
  </si>
  <si>
    <t>11.31%</t>
  </si>
  <si>
    <t>-7.87%</t>
  </si>
  <si>
    <t>13.21%</t>
  </si>
  <si>
    <t>27.60%</t>
  </si>
  <si>
    <t>5.03%</t>
  </si>
  <si>
    <t>-23.36%</t>
  </si>
  <si>
    <t>-10.28%</t>
  </si>
  <si>
    <t>52.23%</t>
  </si>
  <si>
    <t>1.68%</t>
  </si>
  <si>
    <t>5.39%</t>
  </si>
  <si>
    <t>-9.20%</t>
  </si>
  <si>
    <t>-16.03%</t>
  </si>
  <si>
    <t>18.14%</t>
  </si>
  <si>
    <t>13.43%</t>
  </si>
  <si>
    <t>-10.01%</t>
  </si>
  <si>
    <t>-6.31%</t>
  </si>
  <si>
    <t>-5.24%</t>
  </si>
  <si>
    <t>6.94%</t>
  </si>
  <si>
    <t>-20.04%</t>
  </si>
  <si>
    <t>7.44%</t>
  </si>
  <si>
    <t>10.95%</t>
  </si>
  <si>
    <t>2.31%</t>
  </si>
  <si>
    <t>221.61%</t>
  </si>
  <si>
    <t>2.01%</t>
  </si>
  <si>
    <t>1.73%</t>
  </si>
  <si>
    <t>6.82%</t>
  </si>
  <si>
    <t>6.92%</t>
  </si>
  <si>
    <t>9.27%</t>
  </si>
  <si>
    <t>-6.56%</t>
  </si>
  <si>
    <t>6.91%</t>
  </si>
  <si>
    <t>2.96%</t>
  </si>
  <si>
    <t>Liquide vaisselle - 1L</t>
  </si>
  <si>
    <t>6.06%</t>
  </si>
  <si>
    <t>-11.52%</t>
  </si>
  <si>
    <t>-23.06%</t>
  </si>
  <si>
    <t>-26.87%</t>
  </si>
  <si>
    <t>-2.88%</t>
  </si>
  <si>
    <t>-6.48%</t>
  </si>
  <si>
    <t>57.89%</t>
  </si>
  <si>
    <t>67.73%</t>
  </si>
  <si>
    <t>-4.22%</t>
  </si>
  <si>
    <t>48.56%</t>
  </si>
  <si>
    <t>-3.06%</t>
  </si>
  <si>
    <t>62.28%</t>
  </si>
  <si>
    <t>39.07%</t>
  </si>
  <si>
    <t>15.08%</t>
  </si>
  <si>
    <t>13.66%</t>
  </si>
  <si>
    <t>-3.68%</t>
  </si>
  <si>
    <t>-12.75%</t>
  </si>
  <si>
    <t>-13.53%</t>
  </si>
  <si>
    <t>-3.48%</t>
  </si>
  <si>
    <t>12.63%</t>
  </si>
  <si>
    <t>-21.65%</t>
  </si>
  <si>
    <t>92.46%</t>
  </si>
  <si>
    <t>1.26%</t>
  </si>
  <si>
    <t>-5.26%</t>
  </si>
  <si>
    <t>8.11%</t>
  </si>
  <si>
    <t>Crème pour les mains</t>
  </si>
  <si>
    <t>-0.56%</t>
  </si>
  <si>
    <t>14.96%</t>
  </si>
  <si>
    <t>0.58%</t>
  </si>
  <si>
    <t>-1.38%</t>
  </si>
  <si>
    <t>21.95%</t>
  </si>
  <si>
    <t>-12.37%</t>
  </si>
  <si>
    <t>25.81%</t>
  </si>
  <si>
    <t>16.94%</t>
  </si>
  <si>
    <t>3.06%</t>
  </si>
  <si>
    <t>5.23%</t>
  </si>
  <si>
    <t>8.38%</t>
  </si>
  <si>
    <t>4.92%</t>
  </si>
  <si>
    <t>-3.35%</t>
  </si>
  <si>
    <t>1.97%</t>
  </si>
  <si>
    <t>18.84%</t>
  </si>
  <si>
    <t>9.22%</t>
  </si>
  <si>
    <t>16.67%</t>
  </si>
  <si>
    <t>-20.44%</t>
  </si>
  <si>
    <t>3.32%</t>
  </si>
  <si>
    <t>7.74%</t>
  </si>
  <si>
    <t>-14.29%</t>
  </si>
  <si>
    <t>-17.39%</t>
  </si>
  <si>
    <t>-32.00%</t>
  </si>
  <si>
    <t>-2.33%</t>
  </si>
  <si>
    <t>-40.00%</t>
  </si>
  <si>
    <t>-3.57%</t>
  </si>
  <si>
    <t>-4.27%</t>
  </si>
  <si>
    <t>Prix Elefan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</si>
</sst>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theme="10"/>
      <name val="Calibri"/>
    </font>
    <font>
      <u/>
      <sz val="11.0"/>
      <color rgb="FF0563C1"/>
      <name val="Calibri"/>
    </font>
    <font>
      <u/>
      <sz val="11.0"/>
      <color theme="10"/>
      <name val="Calibri"/>
    </font>
    <font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7C9E2"/>
        <bgColor rgb="FFB7C9E2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5E6D6D"/>
        <bgColor rgb="FF5E6D6D"/>
      </patternFill>
    </fill>
  </fills>
  <borders count="3">
    <border/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2" fontId="2" numFmtId="0" xfId="0" applyBorder="1" applyFont="1"/>
    <xf borderId="1" fillId="3" fontId="4" numFmtId="0" xfId="0" applyBorder="1" applyFill="1" applyFont="1"/>
    <xf borderId="1" fillId="3" fontId="2" numFmtId="0" xfId="0" applyBorder="1" applyFont="1"/>
    <xf borderId="1" fillId="4" fontId="5" numFmtId="0" xfId="0" applyBorder="1" applyFill="1" applyFont="1"/>
    <xf borderId="1" fillId="5" fontId="2" numFmtId="10" xfId="0" applyBorder="1" applyFill="1" applyFont="1" applyNumberFormat="1"/>
    <xf borderId="1" fillId="6" fontId="6" numFmtId="0" xfId="0" applyBorder="1" applyFill="1" applyFont="1"/>
    <xf borderId="0" fillId="0" fontId="2" numFmtId="10" xfId="0" applyFont="1" applyNumberFormat="1"/>
    <xf borderId="1" fillId="7" fontId="2" numFmtId="10" xfId="0" applyBorder="1" applyFill="1" applyFont="1" applyNumberFormat="1"/>
    <xf borderId="0" fillId="0" fontId="4" numFmtId="0" xfId="0" applyFont="1"/>
    <xf borderId="0" fillId="0" fontId="2" numFmtId="20" xfId="0" applyFont="1" applyNumberFormat="1"/>
    <xf borderId="1" fillId="3" fontId="7" numFmtId="0" xfId="0" applyBorder="1" applyFont="1"/>
    <xf borderId="1" fillId="3" fontId="2" numFmtId="10" xfId="0" applyBorder="1" applyFont="1" applyNumberFormat="1"/>
    <xf borderId="1" fillId="6" fontId="2" numFmtId="0" xfId="0" applyBorder="1" applyFont="1"/>
    <xf borderId="1" fillId="6" fontId="2" numFmtId="10" xfId="0" applyBorder="1" applyFont="1" applyNumberFormat="1"/>
    <xf borderId="1" fillId="8" fontId="2" numFmtId="0" xfId="0" applyBorder="1" applyFill="1" applyFont="1"/>
    <xf borderId="1" fillId="4" fontId="8" numFmtId="0" xfId="0" applyBorder="1" applyFont="1"/>
    <xf borderId="0" fillId="0" fontId="9" numFmtId="0" xfId="0" applyFont="1"/>
    <xf borderId="0" fillId="0" fontId="10" numFmtId="0" xfId="0" applyFont="1"/>
    <xf borderId="1" fillId="4" fontId="2" numFmtId="0" xfId="0" applyBorder="1" applyFont="1"/>
    <xf borderId="2" fillId="0" fontId="11" numFmtId="0" xfId="0" applyAlignment="1" applyBorder="1" applyFont="1">
      <alignment shrinkToFit="0" wrapText="1"/>
    </xf>
    <xf borderId="2" fillId="0" fontId="11" numFmtId="0" xfId="0" applyAlignment="1" applyBorder="1" applyFont="1">
      <alignment horizontal="right" shrinkToFit="0" wrapText="1"/>
    </xf>
    <xf borderId="1" fillId="7" fontId="2" numFmtId="0" xfId="0" applyBorder="1" applyFont="1"/>
    <xf borderId="1" fillId="5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0"/>
    <col customWidth="1" min="2" max="9" width="8.86"/>
    <col customWidth="1" min="10" max="10" width="9.29"/>
    <col customWidth="1" min="11" max="26" width="8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customHeight="1">
      <c r="A3" s="3" t="s">
        <v>15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5" t="s">
        <v>16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" t="s">
        <v>17</v>
      </c>
      <c r="B5" s="7" t="str">
        <f>HYPERLINK("https://lafourche.fr/products/la-fourche-boisson-avoine-bio-8x1l-8l","1.49")</f>
        <v>1.49</v>
      </c>
      <c r="C5" s="8" t="s">
        <v>18</v>
      </c>
      <c r="D5" s="9" t="str">
        <f t="shared" ref="D5:D6" si="1">HYPERLINK("https://www.biocoop.fr/magasin-biocoop_champollion/boisson-avoine-naturel-1l-tb0026-000.html","2.21")</f>
        <v>2.21</v>
      </c>
      <c r="E5" s="10">
        <v>0.0</v>
      </c>
      <c r="F5" s="9" t="str">
        <f t="shared" ref="F5:F6" si="2">HYPERLINK("https://www.biocoop.fr/magasin-biocoop_fontaine/boisson-avoine-naturel-1l-tb0026-000.html","2.15")</f>
        <v>2.15</v>
      </c>
      <c r="G5" s="10">
        <v>0.0</v>
      </c>
      <c r="H5" s="9" t="str">
        <f t="shared" ref="H5:H6" si="3">HYPERLINK("https://satoriz-comboire.bio/collections/boissons-sans-alcools/products/lbt259","1.7")</f>
        <v>1.7</v>
      </c>
      <c r="I5" s="11" t="s">
        <v>19</v>
      </c>
      <c r="J5" s="9" t="str">
        <f t="shared" ref="J5:J6" si="4">HYPERLINK("https://www.greenweez.com/produit/boisson-vegetale-avoine-sans-sucres-1l/3EVER0147","1.89")</f>
        <v>1.89</v>
      </c>
      <c r="K5" s="11" t="s">
        <v>20</v>
      </c>
      <c r="L5" s="9" t="str">
        <f t="shared" ref="L5:L6" si="5">HYPERLINK("https://metabase.lelefan.org/public/dashboard/53c41f3f-5644-466e-935e-897e7725f6bc?rayon=&amp;d%25C3%25A9signation=LAIT D AVOINE MARKAL&amp;fournisseur=&amp;date_d%25C3%25A9but=&amp;date_fin=","2.62")</f>
        <v>2.62</v>
      </c>
      <c r="M5" s="2"/>
      <c r="N5" s="9" t="str">
        <f t="shared" ref="N5:N6" si="6">HYPERLINK("https://fd11-courses.leclercdrive.fr/magasin-063801-063801-Echirolles---Comboire/fiche-produits-42298-Boisson-Avoine-bio-Bio-Village.aspx","1.53")</f>
        <v>1.53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" t="s">
        <v>21</v>
      </c>
      <c r="B6" s="7" t="str">
        <f>HYPERLINK("https://lafourche.fr/products/la-fourche-boisson-avoine-bio-1l","1.58")</f>
        <v>1.58</v>
      </c>
      <c r="C6" s="8" t="s">
        <v>22</v>
      </c>
      <c r="D6" s="9" t="str">
        <f t="shared" si="1"/>
        <v>2.21</v>
      </c>
      <c r="E6" s="10">
        <v>0.0</v>
      </c>
      <c r="F6" s="9" t="str">
        <f t="shared" si="2"/>
        <v>2.15</v>
      </c>
      <c r="G6" s="10">
        <v>0.0</v>
      </c>
      <c r="H6" s="9" t="str">
        <f t="shared" si="3"/>
        <v>1.7</v>
      </c>
      <c r="I6" s="11" t="s">
        <v>19</v>
      </c>
      <c r="J6" s="9" t="str">
        <f t="shared" si="4"/>
        <v>1.89</v>
      </c>
      <c r="K6" s="11" t="s">
        <v>20</v>
      </c>
      <c r="L6" s="9" t="str">
        <f t="shared" si="5"/>
        <v>2.62</v>
      </c>
      <c r="M6" s="2"/>
      <c r="N6" s="7" t="str">
        <f t="shared" si="6"/>
        <v>1.53</v>
      </c>
      <c r="O6" s="2"/>
      <c r="P6" s="1">
        <v>1.0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2" t="s">
        <v>23</v>
      </c>
      <c r="B7" s="7" t="str">
        <f>HYPERLINK("https://lafourche.fr/products/la-fourche-boisson-riz-bio-8x1l-8l","1.46")</f>
        <v>1.46</v>
      </c>
      <c r="C7" s="8" t="s">
        <v>24</v>
      </c>
      <c r="D7" s="9" t="str">
        <f t="shared" ref="D7:D8" si="7">HYPERLINK("https://www.biocoop.fr/magasin-biocoop_champollion/boisson-de-riz-naturel-1l-tb0036-000.html","1.85")</f>
        <v>1.85</v>
      </c>
      <c r="E7" s="10">
        <v>0.0</v>
      </c>
      <c r="F7" s="9" t="str">
        <f t="shared" ref="F7:F8" si="8">HYPERLINK("https://www.biocoop.fr/magasin-biocoop_fontaine/boisson-riz-nature-1l-tb0038-000.html","1.85")</f>
        <v>1.85</v>
      </c>
      <c r="G7" s="10">
        <v>0.0</v>
      </c>
      <c r="H7" s="9" t="str">
        <f t="shared" ref="H7:H8" si="9">HYPERLINK("https://satoriz-comboire.bio/collections/boissons-sans-alcools/products/in1","1.55")</f>
        <v>1.55</v>
      </c>
      <c r="I7" s="10">
        <v>0.0</v>
      </c>
      <c r="J7" s="9" t="str">
        <f>HYPERLINK("https://www.greenweez.com/produit/lot-de-6-boissons-vegetales-riz-sans-sucre-1l/1PACK3637","1.63")</f>
        <v>1.63</v>
      </c>
      <c r="K7" s="11" t="s">
        <v>25</v>
      </c>
      <c r="L7" s="9" t="str">
        <f t="shared" ref="L7:L8" si="10">HYPERLINK("https://metabase.lelefan.org/public/dashboard/53c41f3f-5644-466e-935e-897e7725f6bc?rayon=&amp;d%25C3%25A9signation=LAIT DE RIZ MARKAL&amp;fournisseur=&amp;date_d%25C3%25A9but=&amp;date_fin=","2.59")</f>
        <v>2.59</v>
      </c>
      <c r="M7" s="2"/>
      <c r="N7" s="9" t="str">
        <f t="shared" ref="N7:N8" si="11">HYPERLINK("https://fd11-courses.leclercdrive.fr/magasin-063801-063801-Echirolles---Comboire/fiche-produits-185999-Boisson-Riz-Nature-bio.aspx","1.62")</f>
        <v>1.62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 t="s">
        <v>26</v>
      </c>
      <c r="B8" s="9" t="str">
        <f>HYPERLINK("https://lafourche.fr/products/la-fourche-boisson-riz-bio-1l","1.54")</f>
        <v>1.54</v>
      </c>
      <c r="C8" s="10">
        <v>0.0</v>
      </c>
      <c r="D8" s="9" t="str">
        <f t="shared" si="7"/>
        <v>1.85</v>
      </c>
      <c r="E8" s="10">
        <v>0.0</v>
      </c>
      <c r="F8" s="9" t="str">
        <f t="shared" si="8"/>
        <v>1.85</v>
      </c>
      <c r="G8" s="10">
        <v>0.0</v>
      </c>
      <c r="H8" s="9" t="str">
        <f t="shared" si="9"/>
        <v>1.55</v>
      </c>
      <c r="I8" s="10">
        <v>0.0</v>
      </c>
      <c r="J8" s="7" t="str">
        <f>HYPERLINK("https://www.greenweez.com/produit/boisson-vegetale-riz-sans-sucre-1l/2WEEZ0312","1.39")</f>
        <v>1.39</v>
      </c>
      <c r="K8" s="8" t="s">
        <v>27</v>
      </c>
      <c r="L8" s="9" t="str">
        <f t="shared" si="10"/>
        <v>2.59</v>
      </c>
      <c r="M8" s="2"/>
      <c r="N8" s="9" t="str">
        <f t="shared" si="11"/>
        <v>1.62</v>
      </c>
      <c r="O8" s="2"/>
      <c r="P8" s="1">
        <v>1.0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" t="s">
        <v>28</v>
      </c>
      <c r="B9" s="9" t="str">
        <f t="shared" ref="B9:B10" si="12">HYPERLINK("https://lafourche.fr/products/la-fourche-boisson-a-lamande-intense-bio-1l","2.7")</f>
        <v>2.7</v>
      </c>
      <c r="C9" s="8" t="s">
        <v>29</v>
      </c>
      <c r="D9" s="9" t="str">
        <f t="shared" ref="D9:D10" si="13">HYPERLINK("https://www.biocoop.fr/magasin-biocoop_champollion/boisson-de-riz-amande-1l-tb0028-000.html","2.55")</f>
        <v>2.55</v>
      </c>
      <c r="E9" s="10">
        <v>0.0</v>
      </c>
      <c r="F9" s="9" t="str">
        <f t="shared" ref="F9:F10" si="14">HYPERLINK("https://www.biocoop.fr/magasin-biocoop_fontaine/boisson-amande-intense-1l-hm1044-000.html","2.85")</f>
        <v>2.85</v>
      </c>
      <c r="G9" s="10">
        <v>0.0</v>
      </c>
      <c r="H9" s="9" t="str">
        <f t="shared" ref="H9:H10" si="15">HYPERLINK("https://satoriz-comboire.bio/collections/boissons-sans-alcools/products/lbt235","2.95")</f>
        <v>2.95</v>
      </c>
      <c r="I9" s="10">
        <v>0.0</v>
      </c>
      <c r="J9" s="7" t="str">
        <f>HYPERLINK("https://www.greenweez.com/produit/lot-de-6-boissons-vegetales-amande-sans-sucre-1l/1PACK3639","1.97")</f>
        <v>1.97</v>
      </c>
      <c r="K9" s="11" t="s">
        <v>30</v>
      </c>
      <c r="L9" s="9" t="str">
        <f t="shared" ref="L9:L10" si="16">HYPERLINK("https://metabase.lelefan.org/public/dashboard/53c41f3f-5644-466e-935e-897e7725f6bc?rayon=&amp;d%25C3%25A9signation=BOISSON VEGETALE AMANDE INTENSE &amp;fournisseur=&amp;date_d%25C3%25A9but=&amp;date_fin=","2.27")</f>
        <v>2.27</v>
      </c>
      <c r="M9" s="2"/>
      <c r="N9" s="7" t="str">
        <f t="shared" ref="N9:N10" si="17">HYPERLINK("https://fd11-courses.leclercdrive.fr/magasin-063801-063801-Echirolles---Comboire/fiche-produits-68986-Lait-damande-bio-Bio-Village.aspx","1.45")</f>
        <v>1.45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2" t="s">
        <v>31</v>
      </c>
      <c r="B10" s="9" t="str">
        <f t="shared" si="12"/>
        <v>2.7</v>
      </c>
      <c r="C10" s="8" t="s">
        <v>29</v>
      </c>
      <c r="D10" s="9" t="str">
        <f t="shared" si="13"/>
        <v>2.55</v>
      </c>
      <c r="E10" s="10">
        <v>0.0</v>
      </c>
      <c r="F10" s="9" t="str">
        <f t="shared" si="14"/>
        <v>2.85</v>
      </c>
      <c r="G10" s="10">
        <v>0.0</v>
      </c>
      <c r="H10" s="9" t="str">
        <f t="shared" si="15"/>
        <v>2.95</v>
      </c>
      <c r="I10" s="10">
        <v>0.0</v>
      </c>
      <c r="J10" s="7" t="str">
        <f>HYPERLINK("https://www.greenweez.com/produit/boisson-vegetale-amande-sans-sucre-1l/2WEEZ0314","1.69")</f>
        <v>1.69</v>
      </c>
      <c r="K10" s="8" t="s">
        <v>32</v>
      </c>
      <c r="L10" s="9" t="str">
        <f t="shared" si="16"/>
        <v>2.27</v>
      </c>
      <c r="M10" s="2"/>
      <c r="N10" s="7" t="str">
        <f t="shared" si="17"/>
        <v>1.45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" t="s">
        <v>33</v>
      </c>
      <c r="B11" s="7" t="str">
        <f>HYPERLINK("https://lafourche.fr/products/la-fourche-boisson-soja-bio-1l","1.29")</f>
        <v>1.29</v>
      </c>
      <c r="C11" s="10">
        <v>0.0</v>
      </c>
      <c r="D11" s="9" t="str">
        <f>HYPERLINK("https://www.biocoop.fr/magasin-biocoop_champollion/boisson-soja-proteines-75cl-ti3049-000.html","3.33")</f>
        <v>3.33</v>
      </c>
      <c r="E11" s="11">
        <v>0.8</v>
      </c>
      <c r="F11" s="9" t="str">
        <f>HYPERLINK("https://www.biocoop.fr/magasin-biocoop_fontaine/boisson-soja-nature-1l-sy1723-000.html","1.7")</f>
        <v>1.7</v>
      </c>
      <c r="G11" s="8">
        <v>-0.32</v>
      </c>
      <c r="H11" s="9" t="str">
        <f>HYPERLINK("https://satoriz-comboire.bio/collections/boissons-sans-alcools/products/re42896","1.45")</f>
        <v>1.45</v>
      </c>
      <c r="I11" s="10">
        <v>0.0</v>
      </c>
      <c r="J11" s="9" t="str">
        <f>HYPERLINK("https://www.greenweez.com/produit/boisson-vegetale-soja-nature-1l/1BTER0574","2.18")</f>
        <v>2.18</v>
      </c>
      <c r="K11" s="11" t="s">
        <v>34</v>
      </c>
      <c r="L11" s="9" t="str">
        <f>HYPERLINK("https://metabase.lelefan.org/public/dashboard/53c41f3f-5644-466e-935e-897e7725f6bc?rayon=&amp;d%25C3%25A9signation=BOISSON SOJA NATURE &amp;fournisseur=&amp;date_d%25C3%25A9but=&amp;date_fin=","1.42")</f>
        <v>1.42</v>
      </c>
      <c r="M11" s="2"/>
      <c r="N11" s="7" t="str">
        <f>HYPERLINK("https://fd11-courses.leclercdrive.fr/magasin-063801-063801-Echirolles---Comboire/fiche-produits-22804-Boisson-soja-bio-Bio-Village.aspx","0.88")</f>
        <v>0.88</v>
      </c>
      <c r="O11" s="2"/>
      <c r="P11" s="2"/>
      <c r="Q11" s="13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5" t="s">
        <v>35</v>
      </c>
      <c r="B12" s="14"/>
      <c r="C12" s="15"/>
      <c r="D12" s="14"/>
      <c r="E12" s="15"/>
      <c r="F12" s="14"/>
      <c r="G12" s="15"/>
      <c r="H12" s="14"/>
      <c r="I12" s="15"/>
      <c r="J12" s="14"/>
      <c r="K12" s="15"/>
      <c r="L12" s="14"/>
      <c r="M12" s="6"/>
      <c r="N12" s="6"/>
      <c r="O12" s="6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" t="s">
        <v>36</v>
      </c>
      <c r="B13" s="7" t="str">
        <f t="shared" ref="B13:B14" si="18">HYPERLINK("https://lafourche.fr/products/pur-jus-de-pomme","2.55")</f>
        <v>2.55</v>
      </c>
      <c r="C13" s="8" t="s">
        <v>37</v>
      </c>
      <c r="D13" s="9" t="str">
        <f t="shared" ref="D13:D14" si="19">HYPERLINK("https://www.biocoop.fr/magasin-biocoop_champollion/jus-de-pomme-tetra-1l-ls4001-000.html","2.72")</f>
        <v>2.72</v>
      </c>
      <c r="E13" s="10">
        <v>0.0</v>
      </c>
      <c r="F13" s="7" t="str">
        <f t="shared" ref="F13:F14" si="20">HYPERLINK("https://www.biocoop.fr/magasin-biocoop_fontaine/jus-de-pomme-tetra-1l-ls4001-000.html","2.55")</f>
        <v>2.55</v>
      </c>
      <c r="G13" s="10">
        <v>0.0</v>
      </c>
      <c r="H13" s="9" t="str">
        <f t="shared" ref="H13:H14" si="21">HYPERLINK("https://satoriz-comboire.bio/collections/boissons-sans-alcools/products/vt4310292","2.9")</f>
        <v>2.9</v>
      </c>
      <c r="I13" s="10">
        <v>0.0</v>
      </c>
      <c r="J13" s="9" t="str">
        <f>HYPERLINK("https://www.greenweez.com/produit/lot-de-3-jus-de-pomme-bio-1l/1PACK3598","3.26")</f>
        <v>3.26</v>
      </c>
      <c r="K13" s="11" t="s">
        <v>38</v>
      </c>
      <c r="L13" s="9" t="str">
        <f>HYPERLINK("https://metabase.lelefan.org/public/dashboard/53c41f3f-5644-466e-935e-897e7725f6bc?rayon=&amp;d%25C3%25A9signation=JUS BIO DE POMME 5L&amp;fournisseur=&amp;date_d%25C3%25A9but=&amp;date_fin=","3.0")</f>
        <v>3.0</v>
      </c>
      <c r="M13" s="2"/>
      <c r="N13" s="7" t="str">
        <f t="shared" ref="N13:N14" si="22">HYPERLINK("https://fd11-courses.leclercdrive.fr/magasin-063801-063801-Echirolles---Comboire/fiche-produits-3310-Pur-jus-de-pomme-Bio-Village.aspx","1.49")</f>
        <v>1.49</v>
      </c>
      <c r="O13" s="2"/>
      <c r="P13" s="1">
        <v>1.0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" t="s">
        <v>39</v>
      </c>
      <c r="B14" s="7" t="str">
        <f t="shared" si="18"/>
        <v>2.55</v>
      </c>
      <c r="C14" s="8" t="s">
        <v>37</v>
      </c>
      <c r="D14" s="9" t="str">
        <f t="shared" si="19"/>
        <v>2.72</v>
      </c>
      <c r="E14" s="10">
        <v>0.0</v>
      </c>
      <c r="F14" s="7" t="str">
        <f t="shared" si="20"/>
        <v>2.55</v>
      </c>
      <c r="G14" s="10">
        <v>0.0</v>
      </c>
      <c r="H14" s="9" t="str">
        <f t="shared" si="21"/>
        <v>2.9</v>
      </c>
      <c r="I14" s="10">
        <v>0.0</v>
      </c>
      <c r="J14" s="9" t="str">
        <f>HYPERLINK("https://www.greenweez.com/produit/jus-de-pomme-bio-1l-2/2WEEZ0113","3.28")</f>
        <v>3.28</v>
      </c>
      <c r="K14" s="11" t="s">
        <v>40</v>
      </c>
      <c r="L14" s="9" t="str">
        <f>HYPERLINK("https://metabase.lelefan.org/public/dashboard/53c41f3f-5644-466e-935e-897e7725f6bc?rayon=&amp;d%25C3%25A9signation=JUS BIO DE POMME 1L&amp;fournisseur=&amp;date_d%25C3%25A9but=&amp;date_fin=","3.23")</f>
        <v>3.23</v>
      </c>
      <c r="M14" s="2"/>
      <c r="N14" s="7" t="str">
        <f t="shared" si="22"/>
        <v>1.49</v>
      </c>
      <c r="O14" s="2"/>
      <c r="P14" s="1">
        <v>1.0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" t="s">
        <v>41</v>
      </c>
      <c r="B15" s="9" t="str">
        <f t="shared" ref="B15:B16" si="23">HYPERLINK("https://lafourche.fr/products/bio-pour-tous-pur-jus-dorange-bio-1l","3.15")</f>
        <v>3.15</v>
      </c>
      <c r="C15" s="8" t="s">
        <v>42</v>
      </c>
      <c r="D15" s="7" t="str">
        <f>HYPERLINK("https://www.biocoop.fr/magasin-biocoop_champollion/jus-orange-tetra-2l-em1007-000.html","3.06")</f>
        <v>3.06</v>
      </c>
      <c r="E15" s="8">
        <v>-0.1</v>
      </c>
      <c r="F15" s="9" t="str">
        <f>HYPERLINK("https://www.biocoop.fr/magasin-biocoop_fontaine/jus-orange-tetra-2l-em1007-000.html","3.4")</f>
        <v>3.4</v>
      </c>
      <c r="G15" s="10">
        <v>0.0</v>
      </c>
      <c r="H15" s="9" t="str">
        <f t="shared" ref="H15:H16" si="24">HYPERLINK("https://satoriz-comboire.bio/collections/boissons-sans-alcools/products/re39815","3.25")</f>
        <v>3.25</v>
      </c>
      <c r="I15" s="8" t="s">
        <v>43</v>
      </c>
      <c r="J15" s="9" t="str">
        <f>HYPERLINK("https://www.greenweez.com/produit/lot-de-3-jus-dorange-bio-1l/1PACK3600","3.65")</f>
        <v>3.65</v>
      </c>
      <c r="K15" s="11">
        <v>0.25</v>
      </c>
      <c r="L15" s="9" t="str">
        <f t="shared" ref="L15:L16" si="25">HYPERLINK("https://metabase.lelefan.org/public/dashboard/53c41f3f-5644-466e-935e-897e7725f6bc?rayon=&amp;d%25C3%25A9signation=JUS D ORANGE DE GRECE BIO&amp;fournisseur=&amp;date_d%25C3%25A9but=&amp;date_fin=","4.33")</f>
        <v>4.33</v>
      </c>
      <c r="M15" s="2"/>
      <c r="N15" s="7" t="str">
        <f t="shared" ref="N15:N16" si="26">HYPERLINK("https://fd11-courses.leclercdrive.fr/magasin-063801-063801-Echirolles---Comboire/fiche-produits-5399-Pur-jus-dorange-Bio-Village.aspx","2.45")</f>
        <v>2.45</v>
      </c>
      <c r="O15" s="2"/>
      <c r="P15" s="1">
        <v>1.0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" t="s">
        <v>44</v>
      </c>
      <c r="B16" s="7" t="str">
        <f t="shared" si="23"/>
        <v>3.15</v>
      </c>
      <c r="C16" s="8" t="s">
        <v>42</v>
      </c>
      <c r="D16" s="9" t="str">
        <f>HYPERLINK("https://www.biocoop.fr/magasin-biocoop_champollion/pur-jus-d-orange-1l-em1002-000.html","3.59")</f>
        <v>3.59</v>
      </c>
      <c r="E16" s="11" t="s">
        <v>45</v>
      </c>
      <c r="F16" s="9" t="str">
        <f>HYPERLINK("https://www.biocoop.fr/magasin-biocoop_fontaine/pur-jus-d-orange-1l-em1002-000.html","3.99")</f>
        <v>3.99</v>
      </c>
      <c r="G16" s="11" t="s">
        <v>46</v>
      </c>
      <c r="H16" s="9" t="str">
        <f t="shared" si="24"/>
        <v>3.25</v>
      </c>
      <c r="I16" s="8" t="s">
        <v>43</v>
      </c>
      <c r="J16" s="9" t="str">
        <f>HYPERLINK("https://www.greenweez.com/produit/jus-dorange-bio-1l-2/2WEEZ0115","3.68")</f>
        <v>3.68</v>
      </c>
      <c r="K16" s="11" t="s">
        <v>47</v>
      </c>
      <c r="L16" s="9" t="str">
        <f t="shared" si="25"/>
        <v>4.33</v>
      </c>
      <c r="M16" s="2"/>
      <c r="N16" s="7" t="str">
        <f t="shared" si="26"/>
        <v>2.45</v>
      </c>
      <c r="O16" s="2"/>
      <c r="P16" s="1">
        <v>1.0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" t="s">
        <v>48</v>
      </c>
      <c r="B17" s="7" t="str">
        <f t="shared" ref="B17:B18" si="27">HYPERLINK("https://lafourche.fr/products/vitamont-cocktail-kids-junior-bio-1l","3.45")</f>
        <v>3.45</v>
      </c>
      <c r="C17" s="11" t="s">
        <v>49</v>
      </c>
      <c r="D17" s="9" t="str">
        <f t="shared" ref="D17:D18" si="28">HYPERLINK("https://www.biocoop.fr/magasin-biocoop_champollion/jus-d-orange-mandarine-raisin-1l-ls4004-000.html","3.7")</f>
        <v>3.7</v>
      </c>
      <c r="E17" s="10">
        <v>0.0</v>
      </c>
      <c r="F17" s="9" t="str">
        <f t="shared" ref="F17:F18" si="29">HYPERLINK("https://www.biocoop.fr/magasin-biocoop_fontaine/cocktail-5-fruits-1l-vt4728-000.html","3.99")</f>
        <v>3.99</v>
      </c>
      <c r="G17" s="8" t="s">
        <v>50</v>
      </c>
      <c r="H17" s="9" t="str">
        <f t="shared" ref="H17:H18" si="30">HYPERLINK("https://satoriz-comboire.bio/collections/boissons-sans-alcools/products/re39816","3.6")</f>
        <v>3.6</v>
      </c>
      <c r="I17" s="10">
        <v>0.0</v>
      </c>
      <c r="J17" s="9" t="str">
        <f>HYPERLINK("https://www.greenweez.com/produit/lot-de-3-jus-multifruits-bio-1l/1PACK3599","3.85")</f>
        <v>3.85</v>
      </c>
      <c r="K17" s="11" t="s">
        <v>51</v>
      </c>
      <c r="L17" s="16">
        <v>888888.0</v>
      </c>
      <c r="M17" s="2"/>
      <c r="N17" s="7" t="str">
        <f t="shared" ref="N17:N18" si="31">HYPERLINK("https://fd11-courses.leclercdrive.fr/magasin-063801-063801-Echirolles---Comboire/fiche-produits-113851-100-pur-Jus-bio-Bio-Village.aspx","2.87")</f>
        <v>2.87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" t="s">
        <v>52</v>
      </c>
      <c r="B18" s="7" t="str">
        <f t="shared" si="27"/>
        <v>3.45</v>
      </c>
      <c r="C18" s="11" t="s">
        <v>49</v>
      </c>
      <c r="D18" s="9" t="str">
        <f t="shared" si="28"/>
        <v>3.7</v>
      </c>
      <c r="E18" s="10">
        <v>0.0</v>
      </c>
      <c r="F18" s="9" t="str">
        <f t="shared" si="29"/>
        <v>3.99</v>
      </c>
      <c r="G18" s="8" t="s">
        <v>50</v>
      </c>
      <c r="H18" s="9" t="str">
        <f t="shared" si="30"/>
        <v>3.6</v>
      </c>
      <c r="I18" s="10">
        <v>0.0</v>
      </c>
      <c r="J18" s="9" t="str">
        <f>HYPERLINK("https://www.greenweez.com/produit/jus-multifruits-bio-1l-2/2WEEZ0114","3.88")</f>
        <v>3.88</v>
      </c>
      <c r="K18" s="11" t="s">
        <v>53</v>
      </c>
      <c r="L18" s="16">
        <v>888888.0</v>
      </c>
      <c r="M18" s="2"/>
      <c r="N18" s="7" t="str">
        <f t="shared" si="31"/>
        <v>2.87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" t="s">
        <v>54</v>
      </c>
      <c r="B19" s="9" t="str">
        <f>HYPERLINK("https://lafourche.fr/products/vitamont-jus-matin-tonique-orange-sanguine-et-pamplemousse-1l-bio","3.65")</f>
        <v>3.65</v>
      </c>
      <c r="C19" s="11" t="s">
        <v>55</v>
      </c>
      <c r="D19" s="7" t="str">
        <f>HYPERLINK("https://www.biocoop.fr/magasin-biocoop_champollion/jus-de-raisin-rouge-1l-ls4005-000.html","3.2")</f>
        <v>3.2</v>
      </c>
      <c r="E19" s="10">
        <v>0.0</v>
      </c>
      <c r="F19" s="9" t="str">
        <f>HYPERLINK("https://www.biocoop.fr/magasin-biocoop_fontaine/jus-de-raisin-rouge-1l-ls4005-000.html","888888")</f>
        <v>888888</v>
      </c>
      <c r="G19" s="17">
        <v>0.0</v>
      </c>
      <c r="H19" s="9" t="str">
        <f>HYPERLINK("https://satoriz-comboire.bio/products/vt4310042","3.9")</f>
        <v>3.9</v>
      </c>
      <c r="I19" s="10">
        <v>0.0</v>
      </c>
      <c r="J19" s="9" t="str">
        <f>HYPERLINK("https://www.greenweez.com/produit/pur-jus-de-raisin-bio-tetra-pak-1l/5VITA0126","888888")</f>
        <v>888888</v>
      </c>
      <c r="K19" s="18" t="s">
        <v>56</v>
      </c>
      <c r="L19" s="9" t="str">
        <f>HYPERLINK("https://metabase.lelefan.org/public/dashboard/53c41f3f-5644-466e-935e-897e7725f6bc?rayon=&amp;d%25C3%25A9signation=JUS DE RAISIN NOIR 100%&amp;fournisseur=&amp;date_d%25C3%25A9but=&amp;date_fin=","888888")</f>
        <v>888888</v>
      </c>
      <c r="M19" s="2"/>
      <c r="N19" s="7" t="str">
        <f>HYPERLINK("https://fd11-courses.leclercdrive.fr/magasin-063801-063801-Echirolles---Comboire/fiche-produits-12470-Pur-Jus-de-raisin-Bio-Village.aspx","2.45")</f>
        <v>2.45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5" t="s">
        <v>57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" t="s">
        <v>58</v>
      </c>
      <c r="B21" s="7" t="str">
        <f>HYPERLINK("https://lafourche.fr/products/la-fourche-lait-demi-ecreme-bio-et-equitable-6x1l-6l","1.11")</f>
        <v>1.11</v>
      </c>
      <c r="C21" s="10">
        <v>0.0</v>
      </c>
      <c r="D21" s="9" t="str">
        <f t="shared" ref="D21:D22" si="32">HYPERLINK("https://www.biocoop.fr/magasin-biocoop_champollion/lait-demi-ecreme-sterilise-uht-ad6922-000.html","1.2")</f>
        <v>1.2</v>
      </c>
      <c r="E21" s="8">
        <v>-0.04</v>
      </c>
      <c r="F21" s="9" t="str">
        <f t="shared" ref="F21:F22" si="33">HYPERLINK("https://www.biocoop.fr/magasin-biocoop_fontaine/lait-demi-ecreme-sterilise-uht-1l-ad6923-000.html","1.15")</f>
        <v>1.15</v>
      </c>
      <c r="G21" s="10">
        <v>0.0</v>
      </c>
      <c r="H21" s="9" t="str">
        <f t="shared" ref="H21:H22" si="34">HYPERLINK("https://satoriz-comboire.bio/collections/produits-frais/products/cbvi6916","1.2")</f>
        <v>1.2</v>
      </c>
      <c r="I21" s="10">
        <v>0.0</v>
      </c>
      <c r="J21" s="9" t="str">
        <f t="shared" ref="J21:J22" si="35">HYPERLINK("https://www.greenweez.com/produit/lait-sterilise-uht-demi-ecreme-1l/1BTER0554","1.94")</f>
        <v>1.94</v>
      </c>
      <c r="K21" s="11" t="s">
        <v>59</v>
      </c>
      <c r="L21" s="9" t="str">
        <f t="shared" ref="L21:L22" si="36">HYPERLINK("https://metabase.lelefan.org/public/dashboard/53c41f3f-5644-466e-935e-897e7725f6bc?rayon=&amp;d%25C3%25A9signation=LAIT 1/2 ECREME ARDECHE UHT BIO&amp;fournisseur=&amp;date_d%25C3%25A9but=&amp;date_fin=","2.22")</f>
        <v>2.22</v>
      </c>
      <c r="M21" s="2"/>
      <c r="N21" s="7" t="str">
        <f>HYPERLINK("https://fd11-courses.leclercdrive.fr/magasin-063801-063801-Echirolles---Comboire/fiche-produits-97135-Lait-bio-Bio-Village-Brique.aspx","1.05")</f>
        <v>1.05</v>
      </c>
      <c r="O21" s="2"/>
      <c r="P21" s="1">
        <v>3.0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" t="s">
        <v>60</v>
      </c>
      <c r="B22" s="7" t="str">
        <f>HYPERLINK("https://lafourche.fr/products/la-fourche-lait-demi-ecreme-bio-et-equitable-1l","1.15")</f>
        <v>1.15</v>
      </c>
      <c r="C22" s="11" t="s">
        <v>61</v>
      </c>
      <c r="D22" s="9" t="str">
        <f t="shared" si="32"/>
        <v>1.2</v>
      </c>
      <c r="E22" s="8">
        <v>-0.04</v>
      </c>
      <c r="F22" s="7" t="str">
        <f t="shared" si="33"/>
        <v>1.15</v>
      </c>
      <c r="G22" s="10">
        <v>0.0</v>
      </c>
      <c r="H22" s="9" t="str">
        <f t="shared" si="34"/>
        <v>1.2</v>
      </c>
      <c r="I22" s="10">
        <v>0.0</v>
      </c>
      <c r="J22" s="9" t="str">
        <f t="shared" si="35"/>
        <v>1.94</v>
      </c>
      <c r="K22" s="11" t="s">
        <v>59</v>
      </c>
      <c r="L22" s="9" t="str">
        <f t="shared" si="36"/>
        <v>2.22</v>
      </c>
      <c r="M22" s="2"/>
      <c r="N22" s="9" t="str">
        <f>HYPERLINK("https://fd11-courses.leclercdrive.fr/magasin-063801-063801-Echirolles---Comboire/fiche-produits-77335-Lait-frais-demi-ecreme-.aspx","888888")</f>
        <v>888888</v>
      </c>
      <c r="O22" s="2"/>
      <c r="P22" s="1">
        <v>3.0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5" t="s">
        <v>62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" t="s">
        <v>63</v>
      </c>
      <c r="B24" s="9" t="str">
        <f>HYPERLINK("https://lafourche.fr/products/elibio-sirop-de-menthe-bio-0-5l","5.99")</f>
        <v>5.99</v>
      </c>
      <c r="C24" s="11" t="s">
        <v>64</v>
      </c>
      <c r="D24" s="9" t="str">
        <f>HYPERLINK("https://www.biocoop.fr/magasin-biocoop_champollion/sirop-menthe-70cl-bg5003-000.html","888888")</f>
        <v>888888</v>
      </c>
      <c r="E24" s="17">
        <v>0.0</v>
      </c>
      <c r="F24" s="9" t="str">
        <f>HYPERLINK("https://www.biocoop.fr/magasin-biocoop_fontaine/sirop-menthe-70cl-bg5003-000.html","9.36")</f>
        <v>9.36</v>
      </c>
      <c r="G24" s="10">
        <v>0.0</v>
      </c>
      <c r="H24" s="9" t="str">
        <f>HYPERLINK("https://satoriz-comboire.bio/products/big7430","9.07")</f>
        <v>9.07</v>
      </c>
      <c r="I24" s="10">
        <v>0.0</v>
      </c>
      <c r="J24" s="9" t="str">
        <f>HYPERLINK("https://www.greenweez.com/produit/sirop-de-menthe-1l/1MENE0020","8.95")</f>
        <v>8.95</v>
      </c>
      <c r="K24" s="11" t="s">
        <v>65</v>
      </c>
      <c r="L24" s="7" t="str">
        <f>HYPERLINK("https://metabase.lelefan.org/public/dashboard/53c41f3f-5644-466e-935e-897e7725f6bc?rayon=&amp;d%25C3%25A9signation=SIROP DE MENTHE&amp;fournisseur=&amp;date_d%25C3%25A9but=&amp;date_fin=","4.88")</f>
        <v>4.88</v>
      </c>
      <c r="M24" s="2"/>
      <c r="N24" s="7" t="str">
        <f>HYPERLINK("https://fd11-courses.leclercdrive.fr/magasin-063801-063801-Echirolles---Comboire/fiche-produits-182181-Sirop-de-Menthe-Bio-Village.aspx","4.7")</f>
        <v>4.7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" t="s">
        <v>66</v>
      </c>
      <c r="B25" s="9" t="str">
        <f>HYPERLINK("https://lafourche.fr/products/elibio-sirop-de-genadine-bio-0-5l","5.99")</f>
        <v>5.99</v>
      </c>
      <c r="C25" s="11" t="s">
        <v>64</v>
      </c>
      <c r="D25" s="9" t="str">
        <f>HYPERLINK("https://www.biocoop.fr/magasin-biocoop_champollion/sirop-grenadine-70cl-bg5000-000.html","888888")</f>
        <v>888888</v>
      </c>
      <c r="E25" s="17">
        <v>0.0</v>
      </c>
      <c r="F25" s="9" t="str">
        <f>HYPERLINK("https://www.biocoop.fr/magasin-biocoop_fontaine/sirop-grenadine-70cl-bg5000-000.html","9.64")</f>
        <v>9.64</v>
      </c>
      <c r="G25" s="10">
        <v>0.0</v>
      </c>
      <c r="H25" s="9" t="str">
        <f>HYPERLINK("https://satoriz-comboire.bio/products/st60234","9.5")</f>
        <v>9.5</v>
      </c>
      <c r="I25" s="10">
        <v>0.0</v>
      </c>
      <c r="J25" s="9" t="str">
        <f>HYPERLINK("https://www.greenweez.com/produit/sirop-de-grenadine-1l/1MENE0019","8.95")</f>
        <v>8.95</v>
      </c>
      <c r="K25" s="11" t="s">
        <v>65</v>
      </c>
      <c r="L25" s="7" t="str">
        <f>HYPERLINK("https://metabase.lelefan.org/public/dashboard/53c41f3f-5644-466e-935e-897e7725f6bc?rayon=&amp;d%25C3%25A9signation=SIROP DE GRENADINE FRUITEE&amp;fournisseur=&amp;date_d%25C3%25A9but=&amp;date_fin=","5.43")</f>
        <v>5.43</v>
      </c>
      <c r="M25" s="2"/>
      <c r="N25" s="7" t="str">
        <f>HYPERLINK("https://fd11-courses.leclercdrive.fr/magasin-063801-063801-Echirolles---Comboire/fiche-produits-182180-Sirop-de-Grenadine-Bio-Village.aspx","4.86")</f>
        <v>4.86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" t="s">
        <v>67</v>
      </c>
      <c r="B26" s="9" t="str">
        <f>HYPERLINK("https://lafourche.fr/products/elibio-sirop-de-citron-bio-1l","5.99")</f>
        <v>5.99</v>
      </c>
      <c r="C26" s="11" t="s">
        <v>64</v>
      </c>
      <c r="D26" s="9" t="str">
        <f>HYPERLINK("https://www.biocoop.fr/magasin-biocoop_champollion/sirop-de-citron-au-sucre-de-canne-70cl-ro6000-000.html","7.07")</f>
        <v>7.07</v>
      </c>
      <c r="E26" s="10">
        <v>0.0</v>
      </c>
      <c r="F26" s="9" t="str">
        <f>HYPERLINK("https://www.biocoop.fr/magasin-biocoop_fontaine/sirop-de-citron-au-sucre-de-canne-70cl-ro6000-000.html","7.21")</f>
        <v>7.21</v>
      </c>
      <c r="G26" s="10">
        <v>0.0</v>
      </c>
      <c r="H26" s="9" t="str">
        <f>HYPERLINK("https://satoriz-comboire.bio/products/st60236","9.2")</f>
        <v>9.2</v>
      </c>
      <c r="I26" s="10">
        <v>0.0</v>
      </c>
      <c r="J26" s="9" t="str">
        <f>HYPERLINK("https://www.greenweez.com/produit/sirop-de-citron-1l/1MENE0021","8.95")</f>
        <v>8.95</v>
      </c>
      <c r="K26" s="11" t="s">
        <v>65</v>
      </c>
      <c r="L26" s="7" t="str">
        <f>HYPERLINK("https://metabase.lelefan.org/public/dashboard/53c41f3f-5644-466e-935e-897e7725f6bc?rayon=&amp;d%25C3%25A9signation=SIROP BIO CITRON&amp;fournisseur=&amp;date_d%25C3%25A9but=&amp;date_fin=","5.59")</f>
        <v>5.59</v>
      </c>
      <c r="M26" s="2"/>
      <c r="N26" s="7" t="str">
        <f>HYPERLINK("https://fd11-courses.leclercdrive.fr/magasin-063801-063801-Echirolles---Comboire/fiche-produits-180556-Sirop-de-Citron-Bio-Village.aspx","4.44")</f>
        <v>4.44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1" t="s">
        <v>68</v>
      </c>
      <c r="B27" s="7" t="str">
        <f>HYPERLINK("https://lafourche.fr/products/maison-meneau-sirop-dorgeat-bio-0-5l","11.8")</f>
        <v>11.8</v>
      </c>
      <c r="C27" s="8" t="s">
        <v>69</v>
      </c>
      <c r="D27" s="9" t="str">
        <f>HYPERLINK("https://www.biocoop.fr/magasin-biocoop_champollion/sirop-d-orgeat-au-sucre-de-canne-50cl-mb0006-000.html","13.3")</f>
        <v>13.3</v>
      </c>
      <c r="E27" s="11" t="s">
        <v>70</v>
      </c>
      <c r="F27" s="9" t="str">
        <f>HYPERLINK("https://www.biocoop.fr/magasin-biocoop_fontaine/sirop-d-orgeat-au-sucre-de-canne-50cl-mb0006-000.html","13.8")</f>
        <v>13.8</v>
      </c>
      <c r="G27" s="10">
        <v>0.0</v>
      </c>
      <c r="H27" s="9" t="str">
        <f>HYPERLINK("https://satoriz-comboire.bio/products/st97029","13.9")</f>
        <v>13.9</v>
      </c>
      <c r="I27" s="10">
        <v>0.0</v>
      </c>
      <c r="J27" s="9" t="str">
        <f>HYPERLINK("https://www.greenweez.com/produit/sirop-dorgeat-50cl/1MENE0053","13.18")</f>
        <v>13.18</v>
      </c>
      <c r="K27" s="10">
        <v>0.0</v>
      </c>
      <c r="L27" s="9" t="str">
        <f>HYPERLINK("https://metabase.lelefan.org/public/dashboard/53c41f3f-5644-466e-935e-897e7725f6bc?rayon=&amp;d%25C3%25A9signation=SIROP D ORGEAT&amp;fournisseur=&amp;date_d%25C3%25A9but=&amp;date_fin=","888888")</f>
        <v>888888</v>
      </c>
      <c r="M27" s="2"/>
      <c r="N27" s="16">
        <v>888888.0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" t="s">
        <v>71</v>
      </c>
      <c r="B28" s="9" t="str">
        <f>HYPERLINK("https://lafourche.fr/products/maison-meneau-sirop-peche-50cl-bio","13.58")</f>
        <v>13.58</v>
      </c>
      <c r="C28" s="10">
        <v>0.0</v>
      </c>
      <c r="D28" s="16">
        <v>888888.0</v>
      </c>
      <c r="E28" s="2"/>
      <c r="F28" s="16">
        <v>888888.0</v>
      </c>
      <c r="G28" s="2"/>
      <c r="H28" s="9" t="str">
        <f>HYPERLINK("https://satoriz-comboire.bio/products/st97047","15.3")</f>
        <v>15.3</v>
      </c>
      <c r="I28" s="10">
        <v>0.0</v>
      </c>
      <c r="J28" s="9" t="str">
        <f>HYPERLINK("https://www.greenweez.com/produit/sirop-de-peche-50cl/1MENE0056","14.58")</f>
        <v>14.58</v>
      </c>
      <c r="K28" s="11" t="s">
        <v>72</v>
      </c>
      <c r="L28" s="7" t="str">
        <f>HYPERLINK("https://metabase.lelefan.org/public/dashboard/53c41f3f-5644-466e-935e-897e7725f6bc?rayon=&amp;d%25C3%25A9signation=SIROP DE PECHE&amp;fournisseur=&amp;date_d%25C3%25A9but=&amp;date_fin=","6.3")</f>
        <v>6.3</v>
      </c>
      <c r="M28" s="2"/>
      <c r="N28" s="16">
        <v>888888.0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5" t="s">
        <v>73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" t="s">
        <v>74</v>
      </c>
      <c r="B30" s="7" t="str">
        <f>HYPERLINK("https://lafourche.fr/products/cola-bio","2.99")</f>
        <v>2.99</v>
      </c>
      <c r="C30" s="10">
        <v>0.0</v>
      </c>
      <c r="D30" s="9" t="str">
        <f>HYPERLINK("https://www.biocoop.fr/magasin-biocoop_champollion/cola-1l-vt0680-000.html","4.02")</f>
        <v>4.02</v>
      </c>
      <c r="E30" s="8" t="s">
        <v>75</v>
      </c>
      <c r="F30" s="9" t="str">
        <f>HYPERLINK("https://www.biocoop.fr/magasin-biocoop_fontaine/cola-1l-vt0680-000.html","4.15")</f>
        <v>4.15</v>
      </c>
      <c r="G30" s="10">
        <v>0.0</v>
      </c>
      <c r="H30" s="9" t="str">
        <f>HYPERLINK("https://satoriz-comboire.bio/products/vtcola","3.65")</f>
        <v>3.65</v>
      </c>
      <c r="I30" s="10">
        <v>0.0</v>
      </c>
      <c r="J30" s="9" t="str">
        <f>HYPERLINK("https://www.greenweez.com/produit/cola-bio-equitable-1l/5VITA0045","4.28")</f>
        <v>4.28</v>
      </c>
      <c r="K30" s="11" t="s">
        <v>76</v>
      </c>
      <c r="L30" s="9" t="str">
        <f>HYPERLINK("https://metabase.lelefan.org/public/dashboard/53c41f3f-5644-466e-935e-897e7725f6bc?rayon=&amp;d%25C3%25A9signation=YAUTE COLA  BS 33 CL BOUTEILLE&amp;fournisseur=&amp;date_d%25C3%25A9but=&amp;date_fin=","3.97")</f>
        <v>3.97</v>
      </c>
      <c r="M30" s="2"/>
      <c r="N30" s="16">
        <v>888888.0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" t="s">
        <v>77</v>
      </c>
      <c r="B31" s="9" t="str">
        <f>HYPERLINK("https://lafourche.fr/products/vitamont-limonade-d-antan-75cl-bio","3.6")</f>
        <v>3.6</v>
      </c>
      <c r="C31" s="10">
        <v>0.0</v>
      </c>
      <c r="D31" s="9" t="str">
        <f>HYPERLINK("https://www.biocoop.fr/magasin-biocoop_champollion/limonade-75cl-mb0067-000.html","3.13")</f>
        <v>3.13</v>
      </c>
      <c r="E31" s="10">
        <v>0.0</v>
      </c>
      <c r="F31" s="9" t="str">
        <f>HYPERLINK("https://www.biocoop.fr/magasin-biocoop_fontaine/limonade-75cl-mb0067-000.html","3.13")</f>
        <v>3.13</v>
      </c>
      <c r="G31" s="10">
        <v>0.0</v>
      </c>
      <c r="H31" s="7" t="str">
        <f>HYPERLINK("https://satoriz-comboire.bio/products/selm1","2.85")</f>
        <v>2.85</v>
      </c>
      <c r="I31" s="10">
        <v>0.0</v>
      </c>
      <c r="J31" s="9" t="str">
        <f>HYPERLINK("https://www.greenweez.com/produit/limonade-dantan-75cl-25-cl-offerts/5VITA0081","3.88")</f>
        <v>3.88</v>
      </c>
      <c r="K31" s="11" t="s">
        <v>78</v>
      </c>
      <c r="L31" s="9" t="str">
        <f>HYPERLINK("https://metabase.lelefan.org/public/dashboard/53c41f3f-5644-466e-935e-897e7725f6bc?rayon=&amp;d%25C3%25A9signation=LIMONADE PUR CITRON 100CL&amp;fournisseur=&amp;date_d%25C3%25A9but=&amp;date_fin=","4.41")</f>
        <v>4.41</v>
      </c>
      <c r="M31" s="2"/>
      <c r="N31" s="7" t="str">
        <f>HYPERLINK("https://fd11-courses.leclercdrive.fr/magasin-063801-063801-Echirolles---Comboire/fiche-produits-17112-Limonade-Bio-village.aspx","0.96")</f>
        <v>0.96</v>
      </c>
      <c r="O31" s="2"/>
      <c r="P31" s="1" t="s">
        <v>79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" t="s">
        <v>80</v>
      </c>
      <c r="B32" s="9" t="str">
        <f>HYPERLINK("https://lafourche.fr/products/vitamont-citronnade-au-pur-jus-de-citron-jaune-75cl-bio","3.73")</f>
        <v>3.73</v>
      </c>
      <c r="C32" s="11" t="s">
        <v>81</v>
      </c>
      <c r="D32" s="9" t="str">
        <f>HYPERLINK("https://www.biocoop.fr/magasin-biocoop_champollion/citronnade-citron-vert-75cl-vt4959-000.html","888888")</f>
        <v>888888</v>
      </c>
      <c r="E32" s="17">
        <v>0.0</v>
      </c>
      <c r="F32" s="9" t="str">
        <f>HYPERLINK("https://www.biocoop.fr/magasin-biocoop_fontaine/citronnade-citron-vert-75cl-vt4959-000.html","4.07")</f>
        <v>4.07</v>
      </c>
      <c r="G32" s="10">
        <v>0.0</v>
      </c>
      <c r="H32" s="9" t="str">
        <f>HYPERLINK("https://satoriz-comboire.bio/products/vt10883","3.4")</f>
        <v>3.4</v>
      </c>
      <c r="I32" s="10">
        <v>0.0</v>
      </c>
      <c r="J32" s="9" t="str">
        <f>HYPERLINK("https://www.greenweez.com/produit/citronnade-citrons-jaunes-bio-75cl/5VITA0060","888888")</f>
        <v>888888</v>
      </c>
      <c r="K32" s="17">
        <v>0.0</v>
      </c>
      <c r="L32" s="7" t="str">
        <f>HYPERLINK("https://metabase.lelefan.org/public/dashboard/53c41f3f-5644-466e-935e-897e7725f6bc?rayon=&amp;d%25C3%25A9signation=CITRONNADE&amp;fournisseur=&amp;date_d%25C3%25A9but=&amp;date_fin=","3.07")</f>
        <v>3.07</v>
      </c>
      <c r="M32" s="2"/>
      <c r="N32" s="7" t="str">
        <f>HYPERLINK("https://fd11-courses.leclercdrive.fr/magasin-063801-063801-Echirolles---Comboire/fiche-produits-111700-Citronnade-Bio-Village.aspx","1.25")</f>
        <v>1.25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1" t="s">
        <v>82</v>
      </c>
      <c r="B33" s="7" t="str">
        <f>HYPERLINK("https://lafourche.fr/products/coteaux-nantais-bio-apibul-pommes-75cl","4.6")</f>
        <v>4.6</v>
      </c>
      <c r="C33" s="10">
        <v>0.0</v>
      </c>
      <c r="D33" s="9" t="str">
        <f>HYPERLINK("https://www.biocoop.fr/magasin-biocoop_champollion/petillant-de-fruit-100-pomme-75cl-or1100-000.html","4.89")</f>
        <v>4.89</v>
      </c>
      <c r="E33" s="10">
        <v>0.0</v>
      </c>
      <c r="F33" s="9" t="str">
        <f>HYPERLINK("https://www.biocoop.fr/magasin-biocoop_fontaine/apibul-pommes-75cl-cn0040-000.html","5.24")</f>
        <v>5.24</v>
      </c>
      <c r="G33" s="10">
        <v>0.0</v>
      </c>
      <c r="H33" s="9" t="str">
        <f>HYPERLINK("https://satoriz-comboire.bio/collections/boissons-sans-alcools/products/cn0057","5.27")</f>
        <v>5.27</v>
      </c>
      <c r="I33" s="10">
        <v>0.0</v>
      </c>
      <c r="J33" s="9" t="str">
        <f>HYPERLINK("https://www.greenweez.com/produit/apibul-pommes-75cl/1COTE0197","6.12")</f>
        <v>6.12</v>
      </c>
      <c r="K33" s="11" t="s">
        <v>83</v>
      </c>
      <c r="L33" s="16">
        <v>888888.0</v>
      </c>
      <c r="M33" s="2"/>
      <c r="N33" s="16">
        <v>888888.0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" t="s">
        <v>84</v>
      </c>
      <c r="B34" s="7" t="str">
        <f>HYPERLINK("https://lafourche.fr/products/coteaux-nantais-bio-apibul-pommes-framboises-75cl","5.19")</f>
        <v>5.19</v>
      </c>
      <c r="C34" s="10">
        <v>0.0</v>
      </c>
      <c r="D34" s="16">
        <v>888888.0</v>
      </c>
      <c r="E34" s="2"/>
      <c r="F34" s="16">
        <v>888888.0</v>
      </c>
      <c r="G34" s="2"/>
      <c r="H34" s="9" t="str">
        <f>HYPERLINK("https://satoriz-comboire.bio/collections/boissons-sans-alcools/products/cn0039","6.4")</f>
        <v>6.4</v>
      </c>
      <c r="I34" s="10">
        <v>0.0</v>
      </c>
      <c r="J34" s="9" t="str">
        <f>HYPERLINK("https://www.greenweez.com/produit/apibul-pommes-framboises-75cl/1COTE0031","7.44")</f>
        <v>7.44</v>
      </c>
      <c r="K34" s="11" t="s">
        <v>85</v>
      </c>
      <c r="L34" s="16">
        <v>888888.0</v>
      </c>
      <c r="M34" s="2"/>
      <c r="N34" s="16">
        <v>888888.0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5" t="s">
        <v>86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1" t="s">
        <v>87</v>
      </c>
      <c r="B36" s="9" t="str">
        <f>HYPERLINK("https://lafourche.fr/products/la-fourche-cafe-moulu-equilibre-arabica-honduras-bio-equitable-0-5kg","14.86")</f>
        <v>14.86</v>
      </c>
      <c r="C36" s="11" t="s">
        <v>88</v>
      </c>
      <c r="D36" s="9" t="str">
        <f>HYPERLINK("https://www.biocoop.fr/magasin-biocoop_champollion/cafe-arabica-melange-origine-equilibre-250g-mx0055-000.html","18.6")</f>
        <v>18.6</v>
      </c>
      <c r="E36" s="10">
        <v>0.0</v>
      </c>
      <c r="F36" s="9" t="str">
        <f>HYPERLINK("https://www.biocoop.fr/magasin-biocoop_fontaine/cafe-melange-tresor-des-andes-500g-cp4107-000.html","14.4")</f>
        <v>14.4</v>
      </c>
      <c r="G36" s="10">
        <v>0.0</v>
      </c>
      <c r="H36" s="7" t="str">
        <f>HYPERLINK("https://satoriz-comboire.bio/collections/epicerie-sucree/products/st13500","13.7")</f>
        <v>13.7</v>
      </c>
      <c r="I36" s="8" t="s">
        <v>89</v>
      </c>
      <c r="J36" s="9" t="str">
        <f>HYPERLINK("https://www.greenweez.com/produit/cafe-moulu-100-arabica-medium-500g/2BIOD0016","19.0")</f>
        <v>19.0</v>
      </c>
      <c r="K36" s="11" t="s">
        <v>90</v>
      </c>
      <c r="L36" s="9" t="str">
        <f t="shared" ref="L36:L37" si="37">HYPERLINK("https://metabase.lelefan.org/public/dashboard/53c41f3f-5644-466e-935e-897e7725f6bc?rayon=&amp;d%25C3%25A9signation=CAFE GRAIN LEKEMPTI VRAC&amp;fournisseur=&amp;date_d%25C3%25A9but=&amp;date_fin=","21.5")</f>
        <v>21.5</v>
      </c>
      <c r="M36" s="2"/>
      <c r="N36" s="7" t="str">
        <f>HYPERLINK("https://fd11-courses.leclercdrive.fr/magasin-063801-063801-Echirolles---Comboire/fiche-produits-99857-Cafe-moulu-Naturela.aspx","12.04")</f>
        <v>12.04</v>
      </c>
      <c r="O36" s="2"/>
      <c r="P36" s="1" t="s">
        <v>91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1" t="s">
        <v>92</v>
      </c>
      <c r="B37" s="9" t="str">
        <f>HYPERLINK("https://lafourche.fr/products/la-fourche-cafe-en-grains-equilibre-arabica-honduras-bio-equitable-1kg","14.96")</f>
        <v>14.96</v>
      </c>
      <c r="C37" s="11" t="s">
        <v>93</v>
      </c>
      <c r="D37" s="9" t="str">
        <f>HYPERLINK("https://www.biocoop.fr/magasin-biocoop_champollion/cafe-mexique-grains-bio-mx0046-000.html","21.45")</f>
        <v>21.45</v>
      </c>
      <c r="E37" s="11" t="s">
        <v>94</v>
      </c>
      <c r="F37" s="9" t="str">
        <f>HYPERLINK("https://www.biocoop.fr/magasin-biocoop_fontaine/cafe-melange-tresor-peuples-grains-500g-cp4105-000.html","20.8")</f>
        <v>20.8</v>
      </c>
      <c r="G37" s="10">
        <v>0.0</v>
      </c>
      <c r="H37" s="7" t="str">
        <f>HYPERLINK("https://satoriz-comboire.bio/collections/epicerie-sucree/products/dag53","14.3")</f>
        <v>14.3</v>
      </c>
      <c r="I37" s="10">
        <v>0.0</v>
      </c>
      <c r="J37" s="9" t="str">
        <f>HYPERLINK("https://www.greenweez.com/produit/cafe-en-grains-100-arabica-medium-1kg/2BIOD0010","17.91")</f>
        <v>17.91</v>
      </c>
      <c r="K37" s="11" t="s">
        <v>95</v>
      </c>
      <c r="L37" s="9" t="str">
        <f t="shared" si="37"/>
        <v>21.5</v>
      </c>
      <c r="M37" s="2"/>
      <c r="N37" s="7" t="str">
        <f>HYPERLINK("https://fd11-courses.leclercdrive.fr/magasin-063801-063801-Echirolles---Comboire/fiche-produits-115644-Cafe-en-grains-Naturela.aspx","10.77")</f>
        <v>10.77</v>
      </c>
      <c r="O37" s="2"/>
      <c r="P37" s="1" t="s">
        <v>91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1" t="s">
        <v>96</v>
      </c>
      <c r="B38" s="7" t="str">
        <f>HYPERLINK("https://lafourche.fr/products/lima-chicoree-bio-500g","11.2")</f>
        <v>11.2</v>
      </c>
      <c r="C38" s="8" t="s">
        <v>97</v>
      </c>
      <c r="D38" s="9" t="str">
        <f>HYPERLINK("https://www.biocoop.fr/magasin-biocoop_champollion/magasin-biocoop_champollion/chicoree-bio-lr5005-000.html","888888")</f>
        <v>888888</v>
      </c>
      <c r="E38" s="17">
        <v>0.0</v>
      </c>
      <c r="F38" s="9" t="str">
        <f>HYPERLINK("https://www.biocoop.fr/magasin-biocoop_fontaine/chicoree-torrefiee-gout-doux-lr5001-000.html","21.25")</f>
        <v>21.25</v>
      </c>
      <c r="G38" s="10">
        <v>0.0</v>
      </c>
      <c r="H38" s="9" t="str">
        <f>HYPERLINK("https://satoriz-comboire.bio/collections/epicerie-sucree/products/re42658","14.88")</f>
        <v>14.88</v>
      </c>
      <c r="I38" s="10">
        <v>0.0</v>
      </c>
      <c r="J38" s="9" t="str">
        <f>HYPERLINK("https://www.greenweez.com/produit/chicoree-cicoria-original-filtre-500g/1LIMA0071","888888")</f>
        <v>888888</v>
      </c>
      <c r="K38" s="18" t="s">
        <v>56</v>
      </c>
      <c r="L38" s="16">
        <v>888888.0</v>
      </c>
      <c r="M38" s="2"/>
      <c r="N38" s="16">
        <v>888888.0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1" t="s">
        <v>98</v>
      </c>
      <c r="B39" s="7" t="str">
        <f>HYPERLINK("https://lafourche.fr/products/bio-pour-tous-chicoree-torrefiee-soluble-bio-0-2kg","31.5")</f>
        <v>31.5</v>
      </c>
      <c r="C39" s="10">
        <v>0.0</v>
      </c>
      <c r="D39" s="9" t="str">
        <f>HYPERLINK("https://www.biocoop.fr/magasin-biocoop_champollion/magasin-biocoop_champollion/chicoree-soluble-200g-lr5007-000.html","888888")</f>
        <v>888888</v>
      </c>
      <c r="E39" s="17">
        <v>0.0</v>
      </c>
      <c r="F39" s="9" t="str">
        <f>HYPERLINK("https://www.biocoop.fr/magasin-biocoop_fontaine/chicoree-instantanee-recharge-180g-pr5353-000.html","40.28")</f>
        <v>40.28</v>
      </c>
      <c r="G39" s="10">
        <v>0.0</v>
      </c>
      <c r="H39" s="9" t="str">
        <f>HYPERLINK("https://satoriz-comboire.bio/collections/epicerie-sucree/products/re41362","32.0")</f>
        <v>32.0</v>
      </c>
      <c r="I39" s="10">
        <v>0.0</v>
      </c>
      <c r="J39" s="9" t="str">
        <f>HYPERLINK("https://www.greenweez.com/produit/chicoree-torrefiee-soluble-bio-200g/1DAGO0034","39.7")</f>
        <v>39.7</v>
      </c>
      <c r="K39" s="11" t="s">
        <v>99</v>
      </c>
      <c r="L39" s="16">
        <v>888888.0</v>
      </c>
      <c r="M39" s="2"/>
      <c r="N39" s="16">
        <v>888888.0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1" t="s">
        <v>100</v>
      </c>
      <c r="B40" s="9" t="str">
        <f>HYPERLINK("https://lafourche.fr/products/biodyssee-poudre-chocolatee-32-bio-800g","9.99")</f>
        <v>9.99</v>
      </c>
      <c r="C40" s="11" t="s">
        <v>101</v>
      </c>
      <c r="D40" s="9" t="str">
        <f>HYPERLINK("https://www.biocoop.fr/magasin-biocoop_champollion/poudre-cacaotee-pour-le-petit-dejeuner-jk1001-000.html","7.49")</f>
        <v>7.49</v>
      </c>
      <c r="E40" s="10">
        <v>0.0</v>
      </c>
      <c r="F40" s="9" t="str">
        <f>HYPERLINK("https://www.biocoop.fr/magasin-biocoop_fontaine/poudre-cacaotee-pour-le-petit-dejeuner-jk1001-000.html","7.49")</f>
        <v>7.49</v>
      </c>
      <c r="G40" s="10">
        <v>0.0</v>
      </c>
      <c r="H40" s="7" t="str">
        <f>HYPERLINK("https://satoriz-comboire.bio/collections/epicerie-sucree/products/re47003","6.5")</f>
        <v>6.5</v>
      </c>
      <c r="I40" s="10">
        <v>0.0</v>
      </c>
      <c r="J40" s="9" t="str">
        <f>HYPERLINK("https://www.greenweez.com/produit/preparation-en-poudre-cacao-cool-matin-500g/1VITA0049","888888")</f>
        <v>888888</v>
      </c>
      <c r="K40" s="18" t="s">
        <v>56</v>
      </c>
      <c r="L40" s="9" t="str">
        <f>HYPERLINK("https://metabase.lelefan.org/public/dashboard/53c41f3f-5644-466e-935e-897e7725f6bc?rayon=&amp;d%25C3%25A9signation=CHOCOLAT EN POUDRE&amp;fournisseur=&amp;date_d%25C3%25A9but=&amp;date_fin=","13.97")</f>
        <v>13.97</v>
      </c>
      <c r="M40" s="2"/>
      <c r="N40" s="9" t="str">
        <f>HYPERLINK("https://fd11-courses.leclercdrive.fr/magasin-063801-063801-Echirolles---Comboire/fiche-produits-86725-Poudre-de-cacao-bio-Bio-Village.aspx","8.2")</f>
        <v>8.2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1" t="s">
        <v>102</v>
      </c>
      <c r="B41" s="9" t="str">
        <f>HYPERLINK("https://lafourche.fr/products/biodyssee-poudre-de-cacao-maigre-10-12-mg-250g","17.88")</f>
        <v>17.88</v>
      </c>
      <c r="C41" s="11" t="s">
        <v>103</v>
      </c>
      <c r="D41" s="9" t="str">
        <f>HYPERLINK("https://www.biocoop.fr/magasin-biocoop_champollion/poudre-cacao-pur-250g-jk1000-000.html","21.4")</f>
        <v>21.4</v>
      </c>
      <c r="E41" s="10">
        <v>0.0</v>
      </c>
      <c r="F41" s="9" t="str">
        <f>HYPERLINK("https://www.biocoop.fr/magasin-biocoop_fontaine/poudre-cacao-pur-250g-jk1000-000.html","19.96")</f>
        <v>19.96</v>
      </c>
      <c r="G41" s="10">
        <v>0.0</v>
      </c>
      <c r="H41" s="7" t="str">
        <f>HYPERLINK("https://satoriz-comboire.bio/collections/epicerie-sucree/products/ma9011","14.8")</f>
        <v>14.8</v>
      </c>
      <c r="I41" s="10">
        <v>0.0</v>
      </c>
      <c r="J41" s="9" t="str">
        <f>HYPERLINK("https://www.greenweez.com/produit/poudre-de-cacao-bio-500g/2WEEZ0158","17.9")</f>
        <v>17.9</v>
      </c>
      <c r="K41" s="11" t="s">
        <v>104</v>
      </c>
      <c r="L41" s="9" t="str">
        <f>HYPERLINK("https://metabase.lelefan.org/public/dashboard/53c41f3f-5644-466e-935e-897e7725f6bc?rayon=&amp;d%25C3%25A9signation=CACAO MAIGRE EN POUDRE&amp;fournisseur=&amp;date_d%25C3%25A9but=&amp;date_fin=","16.68")</f>
        <v>16.68</v>
      </c>
      <c r="M41" s="2"/>
      <c r="N41" s="9" t="str">
        <f>HYPERLINK("https://fd11-courses.leclercdrive.fr/magasin-063801-063801-Echirolles---Comboire/fiche-produits-134746-Chocolat-en-poudre-Bio-Village.aspx","888888")</f>
        <v>888888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1" t="s">
        <v>105</v>
      </c>
      <c r="B42" s="9" t="str">
        <f>HYPERLINK("https://lafourche.fr/products/biodyssee-the-vert-gunpowder-de-chine-bio-100g","40.5")</f>
        <v>40.5</v>
      </c>
      <c r="C42" s="10">
        <v>0.0</v>
      </c>
      <c r="D42" s="9" t="str">
        <f>HYPERLINK("https://www.biocoop.fr/magasin-biocoop_champollion/the-vert-chine-gunpowder-jg0161-000.html","65.5")</f>
        <v>65.5</v>
      </c>
      <c r="E42" s="10">
        <v>0.0</v>
      </c>
      <c r="F42" s="9" t="str">
        <f>HYPERLINK("https://www.biocoop.fr/magasin-biocoop_fontaine/the-vert-chine-gunpowder-jg0161-000.html","66.5")</f>
        <v>66.5</v>
      </c>
      <c r="G42" s="11" t="s">
        <v>106</v>
      </c>
      <c r="H42" s="9" t="str">
        <f>HYPERLINK("https://satoriz-comboire.bio/collections/epicerie-sucree/products/st23518","51.25")</f>
        <v>51.25</v>
      </c>
      <c r="I42" s="10">
        <v>0.0</v>
      </c>
      <c r="J42" s="7" t="str">
        <f>HYPERLINK("https://www.greenweez.com/produit/the-vert-gunpowder-bio-vrac-200g/2WEEZ0431","29.5")</f>
        <v>29.5</v>
      </c>
      <c r="K42" s="11" t="s">
        <v>107</v>
      </c>
      <c r="L42" s="16">
        <v>888888.0</v>
      </c>
      <c r="M42" s="2"/>
      <c r="N42" s="16">
        <v>888888.0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1" t="s">
        <v>108</v>
      </c>
      <c r="B43" s="7" t="str">
        <f>HYPERLINK("https://lafourche.fr/products/biodyssee-the-vert-sencha-de-chine-bio-100g","42.7")</f>
        <v>42.7</v>
      </c>
      <c r="C43" s="10">
        <v>0.0</v>
      </c>
      <c r="D43" s="9" t="str">
        <f>HYPERLINK("https://www.biocoop.fr/magasin-biocoop_champollion/the-vert-chine-sencha-zhejiang-bio-jg0679-000.html","52.9")</f>
        <v>52.9</v>
      </c>
      <c r="E43" s="10">
        <v>0.0</v>
      </c>
      <c r="F43" s="9" t="str">
        <f>HYPERLINK("https://www.biocoop.fr/magasin-biocoop_fontaine/the-vert-chine-sencha-zhejiang-bio-jg0679-000.html","52.4")</f>
        <v>52.4</v>
      </c>
      <c r="G43" s="10">
        <v>0.0</v>
      </c>
      <c r="H43" s="9" t="str">
        <f>HYPERLINK("https://satoriz-comboire.bio/collections/epicerie-sucree/products/st23515","60.25")</f>
        <v>60.25</v>
      </c>
      <c r="I43" s="10">
        <v>0.0</v>
      </c>
      <c r="J43" s="9" t="str">
        <f>HYPERLINK("https://www.greenweez.com/produit/the-vert-sencha-origine-chine-200g/1DEST0533","59.9")</f>
        <v>59.9</v>
      </c>
      <c r="K43" s="11" t="s">
        <v>109</v>
      </c>
      <c r="L43" s="16">
        <v>888888.0</v>
      </c>
      <c r="M43" s="2"/>
      <c r="N43" s="16">
        <v>888888.0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1" t="s">
        <v>110</v>
      </c>
      <c r="B44" s="9" t="str">
        <f>HYPERLINK("https://lafourche.fr/products/biodyssee-the-noir-breakfast-de-ceylan-bio-100g","39.9")</f>
        <v>39.9</v>
      </c>
      <c r="C44" s="11" t="s">
        <v>111</v>
      </c>
      <c r="D44" s="9" t="str">
        <f>HYPERLINK("https://www.biocoop.fr/magasin-biocoop_champollion/the-noir-english-breakfast-bio-jg0155-000.html","52.43")</f>
        <v>52.43</v>
      </c>
      <c r="E44" s="11" t="s">
        <v>112</v>
      </c>
      <c r="F44" s="9" t="str">
        <f>HYPERLINK("https://www.biocoop.fr/magasin-biocoop_fontaine/the-noir-breakfast-ceylan-100g-to1025-000.html","52.0")</f>
        <v>52.0</v>
      </c>
      <c r="G44" s="11" t="s">
        <v>113</v>
      </c>
      <c r="H44" s="9" t="str">
        <f>HYPERLINK("https://satoriz-comboire.bio/products/jg7832","64.5")</f>
        <v>64.5</v>
      </c>
      <c r="I44" s="11" t="s">
        <v>114</v>
      </c>
      <c r="J44" s="7" t="str">
        <f>HYPERLINK("https://www.greenweez.com/produit/the-noir-breakfast-bio-vrac-200g/2WEEZ0434","34.5")</f>
        <v>34.5</v>
      </c>
      <c r="K44" s="11" t="s">
        <v>115</v>
      </c>
      <c r="L44" s="9" t="str">
        <f>HYPERLINK("https://metabase.lelefan.org/public/dashboard/53c41f3f-5644-466e-935e-897e7725f6bc?rayon=&amp;d%25C3%25A9signation=THE BREAKFAST VRAC&amp;fournisseur=&amp;date_d%25C3%25A9but=&amp;date_fin=","46.17")</f>
        <v>46.17</v>
      </c>
      <c r="M44" s="2"/>
      <c r="N44" s="16">
        <v>888888.0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1" t="s">
        <v>116</v>
      </c>
      <c r="B45" s="7" t="str">
        <f>HYPERLINK("https://lafourche.fr/products/la-fourche-the-vert-menthe-bio-equitable-0-1kg","39.9")</f>
        <v>39.9</v>
      </c>
      <c r="C45" s="10">
        <v>0.0</v>
      </c>
      <c r="D45" s="9" t="str">
        <f>HYPERLINK("https://www.biocoop.fr/magasin-biocoop_champollion/the-vert-menthe-parfum-de-medina-bio-jg0677-000.html","52.29")</f>
        <v>52.29</v>
      </c>
      <c r="E45" s="10">
        <v>0.0</v>
      </c>
      <c r="F45" s="9" t="str">
        <f>HYPERLINK("https://www.biocoop.fr/magasin-biocoop_fontaine/the-vert-menthe-parfum-de-medina-bio-jg0677-000.html","51.9")</f>
        <v>51.9</v>
      </c>
      <c r="G45" s="10">
        <v>0.0</v>
      </c>
      <c r="H45" s="9" t="str">
        <f>HYPERLINK("https://satoriz-comboire.bio/products/st23516","888888")</f>
        <v>888888</v>
      </c>
      <c r="I45" s="18" t="s">
        <v>56</v>
      </c>
      <c r="J45" s="9" t="str">
        <f>HYPERLINK("https://www.greenweez.com/produit/the-vert-a-la-menthe-200g/1DEST0423","68.35")</f>
        <v>68.35</v>
      </c>
      <c r="K45" s="10">
        <v>0.0</v>
      </c>
      <c r="L45" s="9" t="str">
        <f>HYPERLINK("https://metabase.lelefan.org/public/dashboard/53c41f3f-5644-466e-935e-897e7725f6bc?rayon=&amp;d%25C3%25A9signation=THE VERT MENTHE - CASBAH VRAC&amp;fournisseur=&amp;date_d%25C3%25A9but=&amp;date_fin=","48.8")</f>
        <v>48.8</v>
      </c>
      <c r="M45" s="2"/>
      <c r="N45" s="16">
        <v>888888.0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1" t="s">
        <v>117</v>
      </c>
      <c r="B46" s="9" t="str">
        <f t="shared" ref="B46:B47" si="38">HYPERLINK("https://lafourche.fr/products/biodyssee-the-vert-fleuri-au-jasmin-bio-0-1kg","47.9")</f>
        <v>47.9</v>
      </c>
      <c r="C46" s="11" t="s">
        <v>118</v>
      </c>
      <c r="D46" s="9" t="str">
        <f t="shared" ref="D46:D47" si="39">HYPERLINK("https://www.biocoop.fr/magasin-biocoop_champollion/the-vert-jasmin-flowers-bio-jg0087-000.html","70.82")</f>
        <v>70.82</v>
      </c>
      <c r="E46" s="10">
        <v>0.0</v>
      </c>
      <c r="F46" s="9" t="str">
        <f>HYPERLINK("https://www.biocoop.fr/magasin-biocoop_fontaine/the-vert-jasmin-ft2003-000.html","67.71")</f>
        <v>67.71</v>
      </c>
      <c r="G46" s="11" t="s">
        <v>119</v>
      </c>
      <c r="H46" s="9" t="str">
        <f>HYPERLINK("https://satoriz-comboire.bio/products/ma04628","63.54")</f>
        <v>63.54</v>
      </c>
      <c r="I46" s="10">
        <v>0.0</v>
      </c>
      <c r="J46" s="7" t="str">
        <f>HYPERLINK("https://www.greenweez.com/produit/the-vert-jasmin-bio-vrac-200g/2WEEZ0433","44.45")</f>
        <v>44.45</v>
      </c>
      <c r="K46" s="11" t="s">
        <v>120</v>
      </c>
      <c r="L46" s="16">
        <v>888888.0</v>
      </c>
      <c r="M46" s="2"/>
      <c r="N46" s="16">
        <v>888888.0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1" t="s">
        <v>121</v>
      </c>
      <c r="B47" s="7" t="str">
        <f t="shared" si="38"/>
        <v>47.9</v>
      </c>
      <c r="C47" s="11" t="s">
        <v>118</v>
      </c>
      <c r="D47" s="9" t="str">
        <f t="shared" si="39"/>
        <v>70.82</v>
      </c>
      <c r="E47" s="10">
        <v>0.0</v>
      </c>
      <c r="F47" s="9" t="str">
        <f>HYPERLINK("https://www.biocoop.fr/magasin-biocoop_fontaine/the-vert-jasmin-100g-rc3364-000.html","81.5")</f>
        <v>81.5</v>
      </c>
      <c r="G47" s="11" t="s">
        <v>122</v>
      </c>
      <c r="H47" s="9" t="str">
        <f>HYPERLINK("https://satoriz-comboire.bio/products/jg7362","87.0")</f>
        <v>87.0</v>
      </c>
      <c r="I47" s="11" t="s">
        <v>123</v>
      </c>
      <c r="J47" s="9" t="str">
        <f>HYPERLINK("https://www.greenweez.com/produit/the-vert-au-jasmin-100g/1DEST0203","74.3")</f>
        <v>74.3</v>
      </c>
      <c r="K47" s="11" t="s">
        <v>124</v>
      </c>
      <c r="L47" s="16">
        <v>888888.0</v>
      </c>
      <c r="M47" s="2"/>
      <c r="N47" s="16">
        <v>888888.0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1" t="s">
        <v>125</v>
      </c>
      <c r="B48" s="9" t="str">
        <f>HYPERLINK("https://lafourche.fr/products/gaia-rooibos-nature-100g","48.4")</f>
        <v>48.4</v>
      </c>
      <c r="C48" s="10">
        <v>0.0</v>
      </c>
      <c r="D48" s="7" t="str">
        <f>HYPERLINK("https://www.biocoop.fr/magasin-biocoop_champollion/rooibos-nature-to1011-000.html","47.5")</f>
        <v>47.5</v>
      </c>
      <c r="E48" s="10">
        <v>0.0</v>
      </c>
      <c r="F48" s="9" t="str">
        <f>HYPERLINK("https://www.biocoop.fr/magasin-biocoop_fontaine/rooibos-nature-to1011-000.html","48.0")</f>
        <v>48.0</v>
      </c>
      <c r="G48" s="11" t="s">
        <v>126</v>
      </c>
      <c r="H48" s="9" t="str">
        <f>HYPERLINK("https://satoriz-comboire.bio/collections/epicerie-sucree/products/st6062","53.0")</f>
        <v>53.0</v>
      </c>
      <c r="I48" s="11" t="s">
        <v>127</v>
      </c>
      <c r="J48" s="9" t="str">
        <f>HYPERLINK("https://www.greenweez.com/produit/rooibos-nature-dafrique-du-sud-100g/1DEST0413","49.5")</f>
        <v>49.5</v>
      </c>
      <c r="K48" s="11" t="s">
        <v>128</v>
      </c>
      <c r="L48" s="9" t="str">
        <f>HYPERLINK("https://metabase.lelefan.org/public/dashboard/53c41f3f-5644-466e-935e-897e7725f6bc?rayon=&amp;d%25C3%25A9signation=ROOIBOS DES VERGERS PECHE POMME VRAC&amp;fournisseur=&amp;date_d%25C3%25A9but=&amp;date_fin=","50.12")</f>
        <v>50.12</v>
      </c>
      <c r="M48" s="2"/>
      <c r="N48" s="16">
        <v>888888.0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1" t="s">
        <v>129</v>
      </c>
      <c r="B49" s="9" t="str">
        <f>HYPERLINK("https://lafourche.fr/products/yogi-tea-infusion-chai-tea-bio-90g","44.33")</f>
        <v>44.33</v>
      </c>
      <c r="C49" s="10">
        <v>0.0</v>
      </c>
      <c r="D49" s="9" t="str">
        <f>HYPERLINK("https://www.biocoop.fr/magasin-biocoop_champollion/tisane-classic-chai-90g-gt1000-000.html","51.67")</f>
        <v>51.67</v>
      </c>
      <c r="E49" s="10">
        <v>0.0</v>
      </c>
      <c r="F49" s="9" t="str">
        <f>HYPERLINK("https://www.biocoop.fr/magasin-biocoop_fontaine/tisane-classic-chai-90g-gt1000-000.html","51.67")</f>
        <v>51.67</v>
      </c>
      <c r="G49" s="10">
        <v>0.0</v>
      </c>
      <c r="H49" s="9" t="str">
        <f>HYPERLINK("https://satoriz-comboire.bio/products/pu710051","46.67")</f>
        <v>46.67</v>
      </c>
      <c r="I49" s="10">
        <v>0.0</v>
      </c>
      <c r="J49" s="9" t="str">
        <f>HYPERLINK("https://www.greenweez.com/produit/infusion-vrac-classic-chai-90g/1YOGI0049","52.0")</f>
        <v>52.0</v>
      </c>
      <c r="K49" s="11" t="s">
        <v>130</v>
      </c>
      <c r="L49" s="7" t="str">
        <f>HYPERLINK("https://metabase.lelefan.org/public/dashboard/53c41f3f-5644-466e-935e-897e7725f6bc?rayon=&amp;d%25C3%25A9signation=ATMA CHAI 5 EPICES (SANS THE) VRAC&amp;fournisseur=&amp;date_d%25C3%25A9but=&amp;date_fin=","32.5")</f>
        <v>32.5</v>
      </c>
      <c r="M49" s="2"/>
      <c r="N49" s="16">
        <v>888888.0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1" t="s">
        <v>131</v>
      </c>
      <c r="B50" s="7" t="str">
        <f>HYPERLINK("https://lafourche.fr/products/gaia-tisane-bonne-nuit-50g","106")</f>
        <v>106</v>
      </c>
      <c r="C50" s="10">
        <v>0.0</v>
      </c>
      <c r="D50" s="9" t="str">
        <f>HYPERLINK("https://www.biocoop.fr/magasin-biocoop_champollion/tisane-bonne-nuit-jg0634-000.html","128.0")</f>
        <v>128.0</v>
      </c>
      <c r="E50" s="10">
        <v>0.0</v>
      </c>
      <c r="F50" s="9" t="str">
        <f>HYPERLINK("https://www.biocoop.fr/magasin-biocoop_fontaine/tisane-bonne-nuit-jg0634-000.html","128.0")</f>
        <v>128.0</v>
      </c>
      <c r="G50" s="10">
        <v>0.0</v>
      </c>
      <c r="H50" s="9" t="str">
        <f>HYPERLINK("https://satoriz-comboire.bio/collections/epicerie-sucree/products/jgth502","122.0")</f>
        <v>122.0</v>
      </c>
      <c r="I50" s="10">
        <v>0.0</v>
      </c>
      <c r="J50" s="9" t="str">
        <f>HYPERLINK("https://www.greenweez.com/produit/tisane-bonne-nuit-50g/3JARD0022","125.8")</f>
        <v>125.8</v>
      </c>
      <c r="K50" s="10">
        <v>0.0</v>
      </c>
      <c r="L50" s="16">
        <v>888888.0</v>
      </c>
      <c r="M50" s="2"/>
      <c r="N50" s="16">
        <v>888888.0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1" t="s">
        <v>132</v>
      </c>
      <c r="B51" s="7" t="str">
        <f>HYPERLINK("https://lafourche.fr/products/gaia-tisane-calmetoux-50g","109")</f>
        <v>109</v>
      </c>
      <c r="C51" s="10">
        <v>0.0</v>
      </c>
      <c r="D51" s="9" t="str">
        <f>HYPERLINK("https://www.biocoop.fr/magasin-biocoop_champollion/tisane-calmetoux-jg0637-000.html","888888")</f>
        <v>888888</v>
      </c>
      <c r="E51" s="18" t="s">
        <v>56</v>
      </c>
      <c r="F51" s="9" t="str">
        <f>HYPERLINK("https://www.biocoop.fr/magasin-biocoop_fontaine/tisane-calmetoux-jg0637-000.html","888888")</f>
        <v>888888</v>
      </c>
      <c r="G51" s="18" t="s">
        <v>56</v>
      </c>
      <c r="H51" s="9" t="str">
        <f>HYPERLINK("https://satoriz-comboire.bio/collections/epicerie-sucree/products/jgth508","122.0")</f>
        <v>122.0</v>
      </c>
      <c r="I51" s="10">
        <v>0.0</v>
      </c>
      <c r="J51" s="9" t="str">
        <f>HYPERLINK("https://www.greenweez.com/produit/tisane-calme-toux-50g/3JARD0074","129.8")</f>
        <v>129.8</v>
      </c>
      <c r="K51" s="11" t="s">
        <v>133</v>
      </c>
      <c r="L51" s="16">
        <v>888888.0</v>
      </c>
      <c r="M51" s="2"/>
      <c r="N51" s="16">
        <v>888888.0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1" t="s">
        <v>134</v>
      </c>
      <c r="B52" s="7" t="str">
        <f>HYPERLINK("https://lafourche.fr/products/les-jardins-de-gaia-tisane-remede-elfique-bio-0-05kg","106")</f>
        <v>106</v>
      </c>
      <c r="C52" s="10">
        <v>0.0</v>
      </c>
      <c r="D52" s="9" t="str">
        <f>HYPERLINK("https://www.biocoop.fr/magasin-biocoop_champollion/tisane-remede-elfique-50g-aa0429-000.html","888888")</f>
        <v>888888</v>
      </c>
      <c r="E52" s="17">
        <v>0.0</v>
      </c>
      <c r="F52" s="9" t="str">
        <f>HYPERLINK("https://www.biocoop.fr/magasin-biocoop_fontaine/tisane-remede-elfique-50g-aa0429-000.html","151.0")</f>
        <v>151.0</v>
      </c>
      <c r="G52" s="11" t="s">
        <v>135</v>
      </c>
      <c r="H52" s="9" t="str">
        <f>HYPERLINK("https://satoriz-comboire.bio/collections/epicerie-sucree/products/jgth517","122.0")</f>
        <v>122.0</v>
      </c>
      <c r="I52" s="10">
        <v>0.0</v>
      </c>
      <c r="J52" s="9" t="str">
        <f>HYPERLINK("https://www.greenweez.com/produit/tisane-remede-elfique-detox-50g/3JARD0021","129.8")</f>
        <v>129.8</v>
      </c>
      <c r="K52" s="11" t="s">
        <v>133</v>
      </c>
      <c r="L52" s="16">
        <v>888888.0</v>
      </c>
      <c r="M52" s="2"/>
      <c r="N52" s="16">
        <v>888888.0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3" t="s">
        <v>136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5" t="s">
        <v>137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1" t="s">
        <v>138</v>
      </c>
      <c r="B56" s="9" t="str">
        <f>HYPERLINK("https://lafourche.fr/products/la-fourche-couches-ecologiques-t2-56unite","0.23")</f>
        <v>0.23</v>
      </c>
      <c r="C56" s="2"/>
      <c r="D56" s="9" t="str">
        <f>HYPERLINK("https://www.biocoop.fr/magasin-biocoop_champollion/couches-bebe-t2-mini-3-6kg-58-ts4023-000.html","0.34")</f>
        <v>0.34</v>
      </c>
      <c r="E56" s="2"/>
      <c r="F56" s="9" t="str">
        <f>HYPERLINK("https://www.biocoop.fr/magasin-biocoop_fontaine/couches-bebe-t2-mini-3-6kg-58-ts4023-000.html","0.34")</f>
        <v>0.34</v>
      </c>
      <c r="G56" s="2"/>
      <c r="H56" s="9" t="str">
        <f>HYPERLINK("https://satoriz-comboire.bio/collections/bebe/products/bb01","0.33")</f>
        <v>0.33</v>
      </c>
      <c r="I56" s="2"/>
      <c r="J56" s="7" t="str">
        <f>HYPERLINK("https://www.greenweez.com/produit/couches-ecologiques-t2-mini-3-6kg-anti-fuites-x38/2WEEZ0544","0.2")</f>
        <v>0.2</v>
      </c>
      <c r="K56" s="2"/>
      <c r="L56" s="9" t="str">
        <f>HYPERLINK("https://metabase.lelefan.org/public/dashboard/53c41f3f-5644-466e-935e-897e7725f6bc?rayon=&amp;d%25C3%25A9signation=COUCHE BIBOU DRY TAILLE 2 | 3-6KG&amp;fournisseur=&amp;date_d%25C3%25A9but=&amp;date_fin=","0.25")</f>
        <v>0.25</v>
      </c>
      <c r="M56" s="2"/>
      <c r="N56" s="16">
        <v>888888.0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1" t="s">
        <v>139</v>
      </c>
      <c r="B57" s="9" t="str">
        <f>HYPERLINK("https://lafourche.fr/products/la-fourche-couches-ecologiques-t3-54unite","0.28")</f>
        <v>0.28</v>
      </c>
      <c r="C57" s="2"/>
      <c r="D57" s="9" t="str">
        <f>HYPERLINK("https://www.biocoop.fr/magasin-biocoop_champollion/couches-bebe-t3-midi-4-9kg-56-ts4001-000.html","0.37")</f>
        <v>0.37</v>
      </c>
      <c r="E57" s="2"/>
      <c r="F57" s="9" t="str">
        <f>HYPERLINK("https://www.biocoop.fr/magasin-biocoop_fontaine/couches-bebe-t3-midi-4-9kg-56-ts4001-000.html","0.37")</f>
        <v>0.37</v>
      </c>
      <c r="G57" s="2"/>
      <c r="H57" s="9" t="str">
        <f>HYPERLINK("https://satoriz-comboire.bio/collections/bebe/products/bb02","0.33")</f>
        <v>0.33</v>
      </c>
      <c r="I57" s="2"/>
      <c r="J57" s="7" t="str">
        <f>HYPERLINK("https://www.greenweez.com/produit/couches-ecologiques-t3-midi-4-9kg-anti-fuites-x56/2WEEZ0543","0.21")</f>
        <v>0.21</v>
      </c>
      <c r="K57" s="2"/>
      <c r="L57" s="9" t="str">
        <f>HYPERLINK("https://metabase.lelefan.org/public/dashboard/53c41f3f-5644-466e-935e-897e7725f6bc?rayon=&amp;d%25C3%25A9signation=COUCHE BIBOU DRY TAILLE 3 | 4-9KG&amp;fournisseur=&amp;date_d%25C3%25A9but=&amp;date_fin=","0.25")</f>
        <v>0.25</v>
      </c>
      <c r="M57" s="2"/>
      <c r="N57" s="7" t="str">
        <f>HYPERLINK("https://fd11-courses.leclercdrive.fr/magasin-063801-063801-Echirolles---Comboire/fiche-produits-27228-Couches-bebe-Mots-dEnfants.aspx","0.25")</f>
        <v>0.25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1" t="s">
        <v>140</v>
      </c>
      <c r="B58" s="9" t="str">
        <f>HYPERLINK("https://lafourche.fr/products/la-fourche-couches-ecologiques-t4-48unite","0.31")</f>
        <v>0.31</v>
      </c>
      <c r="C58" s="2"/>
      <c r="D58" s="9" t="str">
        <f>HYPERLINK("https://www.biocoop.fr/magasin-biocoop_champollion/couches-bebe-t4-maxi-7-18-kg-50-ts4002-000.html","0.42")</f>
        <v>0.42</v>
      </c>
      <c r="E58" s="2"/>
      <c r="F58" s="9" t="str">
        <f>HYPERLINK("https://www.biocoop.fr/magasin-biocoop_fontaine/couches-bebe-t4-maxi-7-18-kg-50-ts4002-000.html","888888")</f>
        <v>888888</v>
      </c>
      <c r="G58" s="2"/>
      <c r="H58" s="9" t="str">
        <f>HYPERLINK("https://satoriz-comboire.bio/collections/bebe/products/bb03","0.37")</f>
        <v>0.37</v>
      </c>
      <c r="I58" s="2"/>
      <c r="J58" s="7" t="str">
        <f>HYPERLINK("https://www.greenweez.com/produit/couches-ecologiques-t4-maxi-7-14kg-anti-fuites-x50/2WEEZ0545","0.25")</f>
        <v>0.25</v>
      </c>
      <c r="K58" s="2"/>
      <c r="L58" s="7" t="str">
        <f>HYPERLINK("https://metabase.lelefan.org/public/dashboard/53c41f3f-5644-466e-935e-897e7725f6bc?rayon=&amp;d%25C3%25A9signation=COUCHE BIBOU DRY TAILLE 4 MAX | 7-18KG&amp;fournisseur=&amp;date_d%25C3%25A9but=&amp;date_fin=","0.25")</f>
        <v>0.25</v>
      </c>
      <c r="M58" s="2"/>
      <c r="N58" s="9" t="str">
        <f>HYPERLINK("https://fd11-courses.leclercdrive.fr/magasin-063801-063801-Echirolles---Comboire/fiche-produits-27229-Couches-bebe-Mots-dEnfants.aspx","0.29")</f>
        <v>0.29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1" t="s">
        <v>141</v>
      </c>
      <c r="B59" s="9" t="str">
        <f>HYPERLINK("https://lafourche.fr/products/la-fourche-couches-ecologiques-t5-40unite","0.36")</f>
        <v>0.36</v>
      </c>
      <c r="C59" s="2"/>
      <c r="D59" s="9" t="str">
        <f>HYPERLINK("https://www.biocoop.fr/magasin-biocoop_champollion/couches-bebe-t5-junior-12-25kg-46-ts4004-000.html","0.45")</f>
        <v>0.45</v>
      </c>
      <c r="E59" s="2"/>
      <c r="F59" s="9" t="str">
        <f>HYPERLINK("https://www.biocoop.fr/magasin-biocoop_fontaine/couches-bebe-t5-junior-12-25kg-46-ts4004-000.html","888888")</f>
        <v>888888</v>
      </c>
      <c r="G59" s="2"/>
      <c r="H59" s="9" t="str">
        <f>HYPERLINK("https://satoriz-comboire.bio/collections/bebe/products/bb04","0.42")</f>
        <v>0.42</v>
      </c>
      <c r="I59" s="2"/>
      <c r="J59" s="9" t="str">
        <f>HYPERLINK("https://www.greenweez.com/produit/couches-ecologiques-t5-junior-11-16kg-anti-fuites-x44/2WEEZ0546","0.28")</f>
        <v>0.28</v>
      </c>
      <c r="K59" s="2"/>
      <c r="L59" s="7" t="str">
        <f>HYPERLINK("https://metabase.lelefan.org/public/dashboard/53c41f3f-5644-466e-935e-897e7725f6bc?rayon=&amp;d%25C3%25A9signation=COUCHE BIBOU DRY TAILLE 5 | 11-25KG&amp;fournisseur=&amp;date_d%25C3%25A9but=&amp;date_fin=","0.25")</f>
        <v>0.25</v>
      </c>
      <c r="M59" s="2"/>
      <c r="N59" s="16">
        <v>888888.0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1" t="s">
        <v>142</v>
      </c>
      <c r="B60" s="9" t="str">
        <f>HYPERLINK("https://lafourche.fr/products/la-fourche-liniment-oleo-calcaire-certifie-cosmos-organic-1l","13.86")</f>
        <v>13.86</v>
      </c>
      <c r="C60" s="8" t="s">
        <v>143</v>
      </c>
      <c r="D60" s="9" t="str">
        <f>HYPERLINK("https://www.biocoop.fr/magasin-biocoop_champollion/liniment-oleo-calcaire-bebe-lg5038-000.html","888888")</f>
        <v>888888</v>
      </c>
      <c r="E60" s="18" t="s">
        <v>56</v>
      </c>
      <c r="F60" s="9" t="str">
        <f>HYPERLINK("https://www.biocoop.fr/magasin-biocoop_fontaine/liniment-oleo-calcaire-bebe-lg5038-000.html","888888")</f>
        <v>888888</v>
      </c>
      <c r="G60" s="18" t="s">
        <v>56</v>
      </c>
      <c r="H60" s="9" t="str">
        <f>HYPERLINK("https://satoriz-comboire.bio/products/ecoae035?_pos=3&amp;_sid=db2ea40dc&amp;_ss=r","16.9")</f>
        <v>16.9</v>
      </c>
      <c r="I60" s="10">
        <v>0.0</v>
      </c>
      <c r="J60" s="7" t="str">
        <f>HYPERLINK("https://www.greenweez.com/produit/liniment-bebe-oleocalcaire-1l/2WEEZ0527","10.9")</f>
        <v>10.9</v>
      </c>
      <c r="K60" s="10">
        <v>0.0</v>
      </c>
      <c r="L60" s="9" t="str">
        <f>HYPERLINK("https://metabase.lelefan.org/public/dashboard/53c41f3f-5644-466e-935e-897e7725f6bc?rayon=&amp;d%25C3%25A9signation=LINIMENT VRAC&amp;fournisseur=&amp;date_d%25C3%25A9but=&amp;date_fin=","19.25")</f>
        <v>19.25</v>
      </c>
      <c r="M60" s="2"/>
      <c r="N60" s="16">
        <v>888888.0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5" t="s">
        <v>144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1" t="s">
        <v>145</v>
      </c>
      <c r="B62" s="9" t="str">
        <f>HYPERLINK("https://lafourche.fr/products/holle-lait-1-bio-demeter-pour-nourrissons-des-la-naissance-jusqu-a-6-mois-0-4kg","21.12")</f>
        <v>21.12</v>
      </c>
      <c r="C62" s="8" t="s">
        <v>146</v>
      </c>
      <c r="D62" s="9" t="str">
        <f>HYPERLINK("https://www.biocoop.fr/magasin-biocoop_champollion/lait-infantile-1er-age-800g-nt2000-000.html","19.7")</f>
        <v>19.7</v>
      </c>
      <c r="E62" s="10">
        <v>0.0</v>
      </c>
      <c r="F62" s="7" t="str">
        <f>HYPERLINK("https://www.biocoop.fr/magasin-biocoop_fontaine/lait-infantile-1er-age-800g-nt2000-000.html","18.9")</f>
        <v>18.9</v>
      </c>
      <c r="G62" s="10">
        <v>0.0</v>
      </c>
      <c r="H62" s="9" t="str">
        <f>HYPERLINK("https://satoriz-comboire.bio/collections/bebe/products/pu660168808","22.88")</f>
        <v>22.88</v>
      </c>
      <c r="I62" s="10">
        <v>0.0</v>
      </c>
      <c r="J62" s="9" t="str">
        <f>HYPERLINK("https://www.greenweez.com/produit/lait-nourrisson-vache-1er-age-800g-de-0-a-6-mois/1JUNE0012","21.81")</f>
        <v>21.81</v>
      </c>
      <c r="K62" s="8" t="s">
        <v>147</v>
      </c>
      <c r="L62" s="9" t="str">
        <f>HYPERLINK("https://metabase.lelefan.org/public/dashboard/53c41f3f-5644-466e-935e-897e7725f6bc?rayon=&amp;d%25C3%25A9signation=LAIT EN POUDRE PRIMEA / 0 A 6 MOIS&amp;fournisseur=&amp;date_d%25C3%25A9but=&amp;date_fin=","888888")</f>
        <v>888888</v>
      </c>
      <c r="M62" s="2"/>
      <c r="N62" s="7" t="str">
        <f>HYPERLINK("https://fd11-courses.leclercdrive.fr/magasin-063801-063801-Echirolles---Comboire/fiche-produits-123695-Lait-Primea-1-Bio-BabyBio.aspx","18.8")</f>
        <v>18.8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1" t="s">
        <v>148</v>
      </c>
      <c r="B63" s="9" t="str">
        <f>HYPERLINK("https://lafourche.fr/products/holle-lait-de-suite-2-demeter-bio-des-6-mois-0-6kg","19.65")</f>
        <v>19.65</v>
      </c>
      <c r="C63" s="8" t="s">
        <v>149</v>
      </c>
      <c r="D63" s="9" t="str">
        <f>HYPERLINK("https://www.biocoop.fr/magasin-biocoop_champollion/lait-infantile-2eme-age-800g-nt2001-000.html","19.99")</f>
        <v>19.99</v>
      </c>
      <c r="E63" s="10">
        <v>0.0</v>
      </c>
      <c r="F63" s="7" t="str">
        <f>HYPERLINK("https://www.biocoop.fr/magasin-biocoop_fontaine/lait-infantile-2eme-age-800g-nt2001-000.html","17.9")</f>
        <v>17.9</v>
      </c>
      <c r="G63" s="10">
        <v>0.0</v>
      </c>
      <c r="H63" s="9" t="str">
        <f>HYPERLINK("https://satoriz-comboire.bio/collections/bebe/products/pu660154208","22.25")</f>
        <v>22.25</v>
      </c>
      <c r="I63" s="10">
        <v>0.0</v>
      </c>
      <c r="J63" s="9" t="str">
        <f>HYPERLINK("https://www.greenweez.com/produit/lait-de-suite-2-600g-apres-6-mois/2HOLL0116","19.97")</f>
        <v>19.97</v>
      </c>
      <c r="K63" s="11" t="s">
        <v>150</v>
      </c>
      <c r="L63" s="9" t="str">
        <f>HYPERLINK("https://metabase.lelefan.org/public/dashboard/53c41f3f-5644-466e-935e-897e7725f6bc?rayon=&amp;d%25C3%25A9signation=LAIT EN POUDRE PRIMEA / + DE 6 MOIS&amp;fournisseur=&amp;date_d%25C3%25A9but=&amp;date_fin=","888888")</f>
        <v>888888</v>
      </c>
      <c r="M63" s="2"/>
      <c r="N63" s="9" t="str">
        <f>HYPERLINK("https://fd11-courses.leclercdrive.fr/magasin-063801-063801-Echirolles---Comboire/fiche-produits-123622-Lait-poudre-Optima-2-Babybio-.aspx","20.44")</f>
        <v>20.44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1" t="s">
        <v>151</v>
      </c>
      <c r="B64" s="9" t="str">
        <f>HYPERLINK("https://lafourche.fr/products/hipp-lait-3-de-croissance-essentia-bio-0-6kg","18.48")</f>
        <v>18.48</v>
      </c>
      <c r="C64" s="8" t="s">
        <v>152</v>
      </c>
      <c r="D64" s="9" t="str">
        <f>HYPERLINK("https://www.biocoop.fr/magasin-biocoop_champollion/lait-infantile-3eme-age-800g-nt2002-000.html","18.9")</f>
        <v>18.9</v>
      </c>
      <c r="E64" s="10">
        <v>0.0</v>
      </c>
      <c r="F64" s="7" t="str">
        <f>HYPERLINK("https://www.biocoop.fr/magasin-biocoop_fontaine/lait-infantile-3eme-age-800g-nt2002-000.html","16.9")</f>
        <v>16.9</v>
      </c>
      <c r="G64" s="8" t="s">
        <v>153</v>
      </c>
      <c r="H64" s="9" t="str">
        <f>HYPERLINK("https://satoriz-comboire.bio/collections/bebe/products/pu660154308","20.92")</f>
        <v>20.92</v>
      </c>
      <c r="I64" s="10">
        <v>0.0</v>
      </c>
      <c r="J64" s="9" t="str">
        <f>HYPERLINK("https://www.greenweez.com/produit/lait-de-suite-3-600g-des-10-mois/2HOLL0114","19.97")</f>
        <v>19.97</v>
      </c>
      <c r="K64" s="11" t="s">
        <v>154</v>
      </c>
      <c r="L64" s="9" t="str">
        <f>HYPERLINK("https://metabase.lelefan.org/public/dashboard/53c41f3f-5644-466e-935e-897e7725f6bc?rayon=&amp;d%25C3%25A9signation=LAIT EN POUDRE CROISSANCE / + DE 10 MOIS&amp;fournisseur=&amp;date_d%25C3%25A9but=&amp;date_fin=","888888")</f>
        <v>888888</v>
      </c>
      <c r="M64" s="2"/>
      <c r="N64" s="9" t="str">
        <f>HYPERLINK("https://fd11-courses.leclercdrive.fr/magasin-063801-063801-Echirolles---Comboire/fiche-produits-76895-Lait-croissance-Bio-Guigoz.aspx","17.39")</f>
        <v>17.39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3" t="s">
        <v>155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5" t="s">
        <v>156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1" t="s">
        <v>157</v>
      </c>
      <c r="B68" s="7" t="str">
        <f>HYPERLINK("https://lafourche.fr/products/la-fourche-gressins-a-l-huile-d-olive-bio-0-16kg","11.19")</f>
        <v>11.19</v>
      </c>
      <c r="C68" s="10">
        <v>0.0</v>
      </c>
      <c r="D68" s="9" t="str">
        <f>HYPERLINK("https://www.biocoop.fr/magasin-biocoop_champollion/gressins-a-l-huile-d-olive-vierge-sd2008-000.html","38.0")</f>
        <v>38.0</v>
      </c>
      <c r="E68" s="10">
        <v>0.0</v>
      </c>
      <c r="F68" s="9" t="str">
        <f>HYPERLINK("https://www.biocoop.fr/magasin-biocoop_fontaine/gressin-nature-150g-gr4007-000.html","12.67")</f>
        <v>12.67</v>
      </c>
      <c r="G68" s="10">
        <v>0.0</v>
      </c>
      <c r="H68" s="9" t="str">
        <f>HYPERLINK("https://satoriz-comboire.bio/collections/epicerie-salee/products/tgc01","12.67")</f>
        <v>12.67</v>
      </c>
      <c r="I68" s="10">
        <v>0.0</v>
      </c>
      <c r="J68" s="9" t="str">
        <f>HYPERLINK("https://www.greenweez.com/produit/gressins-au-sesame-160g/1LAZZ0072","888888")</f>
        <v>888888</v>
      </c>
      <c r="K68" s="18" t="s">
        <v>56</v>
      </c>
      <c r="L68" s="9" t="str">
        <f>HYPERLINK("https://metabase.lelefan.org/public/dashboard/53c41f3f-5644-466e-935e-897e7725f6bc?rayon=&amp;d%25C3%25A9signation=GRESSINS AUX TROIS GRAINES&amp;fournisseur=&amp;date_d%25C3%25A9but=&amp;date_fin=","14.96")</f>
        <v>14.96</v>
      </c>
      <c r="M68" s="2"/>
      <c r="N68" s="9" t="str">
        <f>HYPERLINK("https://fd11-courses.leclercdrive.fr/magasin-063801-063801-Echirolles---Comboire/fiche-produits-62742-Gressins-sesames-bio.aspx","11.92")</f>
        <v>11.92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1" t="s">
        <v>158</v>
      </c>
      <c r="B69" s="7" t="str">
        <f>HYPERLINK("https://lafourche.fr/products/moulin-des-moines-sticks-depeautre-200g-bio","9.95")</f>
        <v>9.95</v>
      </c>
      <c r="C69" s="10">
        <v>0.0</v>
      </c>
      <c r="D69" s="9" t="str">
        <f>HYPERLINK("https://www.biocoop.fr/magasin-biocoop_champollion/sticks-epeautre-pur-200g-ml1211-000.html","888888")</f>
        <v>888888</v>
      </c>
      <c r="E69" s="17">
        <v>0.0</v>
      </c>
      <c r="F69" s="9" t="str">
        <f>HYPERLINK("https://www.biocoop.fr/magasin-biocoop_fontaine/sticks-epeautre-pur-200g-ml1211-000.html","888888")</f>
        <v>888888</v>
      </c>
      <c r="G69" s="18" t="s">
        <v>56</v>
      </c>
      <c r="H69" s="16">
        <v>888888.0</v>
      </c>
      <c r="I69" s="2"/>
      <c r="J69" s="9" t="str">
        <f>HYPERLINK("https://www.greenweez.com/produit/sticks-depeautre-a-lhuile-dolive-200g/1MOUL0035","11.45")</f>
        <v>11.45</v>
      </c>
      <c r="K69" s="17">
        <v>-1.0</v>
      </c>
      <c r="L69" s="16">
        <v>888888.0</v>
      </c>
      <c r="M69" s="2"/>
      <c r="N69" s="16">
        <v>888888.0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1" t="s">
        <v>159</v>
      </c>
      <c r="B70" s="9" t="str">
        <f>HYPERLINK("https://lafourche.fr/products/moulin-des-moines-bretzels-depeautre-150g-bio","11.53")</f>
        <v>11.53</v>
      </c>
      <c r="C70" s="10">
        <v>0.0</v>
      </c>
      <c r="D70" s="9" t="str">
        <f>HYPERLINK("https://www.biocoop.fr/magasin-biocoop_champollion/bretzel-epeautre-bio-ml1218-000.html","9.95")</f>
        <v>9.95</v>
      </c>
      <c r="E70" s="10">
        <v>0.0</v>
      </c>
      <c r="F70" s="7" t="str">
        <f>HYPERLINK("https://www.biocoop.fr/magasin-biocoop_fontaine/bretzel-epeautre-bio-ml1218-000.html","9.3")</f>
        <v>9.3</v>
      </c>
      <c r="G70" s="11" t="s">
        <v>160</v>
      </c>
      <c r="H70" s="9" t="str">
        <f>HYPERLINK("https://satoriz-comboire.bio/products/eu1740","16.0")</f>
        <v>16.0</v>
      </c>
      <c r="I70" s="10">
        <v>0.0</v>
      </c>
      <c r="J70" s="9" t="str">
        <f>HYPERLINK("https://www.greenweez.com/produit/bretzels-epeautre-sesame-et-huile-dolive-150g/1MOUL0033","12.93")</f>
        <v>12.93</v>
      </c>
      <c r="K70" s="11" t="s">
        <v>161</v>
      </c>
      <c r="L70" s="9" t="str">
        <f>HYPERLINK("https://metabase.lelefan.org/public/dashboard/53c41f3f-5644-466e-935e-897e7725f6bc?rayon=&amp;d%25C3%25A9signation=BRETZELS D EPEAUTRE&amp;fournisseur=&amp;date_d%25C3%25A9but=&amp;date_fin=","11.53")</f>
        <v>11.53</v>
      </c>
      <c r="M70" s="2"/>
      <c r="N70" s="7" t="str">
        <f>HYPERLINK("https://fd11-courses.leclercdrive.fr/magasin-063801-063801-Echirolles---Comboire/fiche-produits-137897-Bretzels-bio-Bio-Village.aspx","7.13")</f>
        <v>7.13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1" t="s">
        <v>162</v>
      </c>
      <c r="B71" s="7" t="str">
        <f>HYPERLINK("https://lafourche.fr/products/pural-chips-au-mais-nature-bio-0-2kg","10.8")</f>
        <v>10.8</v>
      </c>
      <c r="C71" s="8" t="s">
        <v>163</v>
      </c>
      <c r="D71" s="9" t="str">
        <f>HYPERLINK("https://www.biocoop.fr/magasin-biocoop_champollion/tortilla-chips-mais-natures-200g-ap0010-000.html","12.5")</f>
        <v>12.5</v>
      </c>
      <c r="E71" s="10">
        <v>0.0</v>
      </c>
      <c r="F71" s="9" t="str">
        <f>HYPERLINK("https://www.biocoop.fr/magasin-biocoop_fontaine/tortilla-chips-mais-natures-200g-ap0010-000.html","12.5")</f>
        <v>12.5</v>
      </c>
      <c r="G71" s="10">
        <v>0.0</v>
      </c>
      <c r="H71" s="9" t="str">
        <f>HYPERLINK("https://satoriz-comboire.bio/products/pu6901460","12.0")</f>
        <v>12.0</v>
      </c>
      <c r="I71" s="11" t="s">
        <v>164</v>
      </c>
      <c r="J71" s="9" t="str">
        <f>HYPERLINK("https://www.greenweez.com/produit/chips-de-mais-nature-125g/1PURA0072","15.52")</f>
        <v>15.52</v>
      </c>
      <c r="K71" s="11" t="s">
        <v>165</v>
      </c>
      <c r="L71" s="9" t="str">
        <f>HYPERLINK("https://metabase.lelefan.org/public/dashboard/53c41f3f-5644-466e-935e-897e7725f6bc?rayon=&amp;d%25C3%25A9signation=TORTILLAS NATURE SANS GLUTEN&amp;fournisseur=&amp;date_d%25C3%25A9but=&amp;date_fin=","17.12")</f>
        <v>17.12</v>
      </c>
      <c r="M71" s="2"/>
      <c r="N71" s="9" t="str">
        <f>HYPERLINK("https://fd11-courses.leclercdrive.fr/magasin-063801-063801-Echirolles---Comboire/fiche-produits-54492-Tortillas-chips-Bio-village.aspx","11.47")</f>
        <v>11.47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1" t="s">
        <v>166</v>
      </c>
      <c r="B72" s="7" t="str">
        <f>HYPERLINK("https://lafourche.fr/products/trafo-chips-salees-125g","15.12")</f>
        <v>15.12</v>
      </c>
      <c r="C72" s="11">
        <v>0.05</v>
      </c>
      <c r="D72" s="9" t="str">
        <f>HYPERLINK("https://www.biocoop.fr/magasin-biocoop_champollion/chips-pdt-natures-100g-cs5010-000.html","27.0")</f>
        <v>27.0</v>
      </c>
      <c r="E72" s="10">
        <v>0.0</v>
      </c>
      <c r="F72" s="9" t="str">
        <f>HYPERLINK("https://www.biocoop.fr/magasin-biocoop_fontaine/chips-pdt-natures-200g-ao4005-000.html","19.95")</f>
        <v>19.95</v>
      </c>
      <c r="G72" s="10">
        <v>0.0</v>
      </c>
      <c r="H72" s="9" t="str">
        <f>HYPERLINK("https://satoriz-comboire.bio/collections/epicerie-salee/products/ma5776","15.6")</f>
        <v>15.6</v>
      </c>
      <c r="I72" s="10">
        <v>0.0</v>
      </c>
      <c r="J72" s="9" t="str">
        <f>HYPERLINK("https://www.greenweez.com/produit/chips-nature-format-familial-220g/1APER0002","888888")</f>
        <v>888888</v>
      </c>
      <c r="K72" s="18" t="s">
        <v>56</v>
      </c>
      <c r="L72" s="9" t="str">
        <f>HYPERLINK("https://metabase.lelefan.org/public/dashboard/53c41f3f-5644-466e-935e-897e7725f6bc?rayon=&amp;d%25C3%25A9signation=CHIPS NATURE&amp;fournisseur=&amp;date_d%25C3%25A9but=&amp;date_fin=","19.92")</f>
        <v>19.92</v>
      </c>
      <c r="M72" s="2"/>
      <c r="N72" s="7" t="str">
        <f>HYPERLINK("https://fd11-courses.leclercdrive.fr/magasin-063801-063801-Echirolles---Comboire/fiche-produits-23227-Chips-Bio-Village.aspx","15.92")</f>
        <v>15.92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1" t="s">
        <v>167</v>
      </c>
      <c r="B73" s="9" t="str">
        <f>HYPERLINK("https://lafourche.fr/products/la-fourche-250g-de-pistaches-en-coque-grillees-salees-en-vrac-bio","23.6")</f>
        <v>23.6</v>
      </c>
      <c r="C73" s="11" t="s">
        <v>168</v>
      </c>
      <c r="D73" s="9" t="str">
        <f>HYPERLINK("https://www.biocoop.fr/magasin-biocoop_champollion/pistaches-coques-grillees-salees-bio-ag3041-000.html","30.5")</f>
        <v>30.5</v>
      </c>
      <c r="E73" s="8" t="s">
        <v>169</v>
      </c>
      <c r="F73" s="9" t="str">
        <f>HYPERLINK("https://www.biocoop.fr/magasin-biocoop_fontaine/pistaches-coques-grillees-salees-bio-ag3041-000.html","888888")</f>
        <v>888888</v>
      </c>
      <c r="G73" s="17">
        <v>0.0</v>
      </c>
      <c r="H73" s="9" t="str">
        <f>HYPERLINK("https://satoriz-comboire.bio/collections/vrac/products/ag0653","23.3")</f>
        <v>23.3</v>
      </c>
      <c r="I73" s="8" t="s">
        <v>170</v>
      </c>
      <c r="J73" s="9" t="str">
        <f>HYPERLINK("https://www.greenweez.com/produit/pistaches-en-coques-grillees-salees-500g/2WEEZ0404","888888")</f>
        <v>888888</v>
      </c>
      <c r="K73" s="17">
        <v>0.0</v>
      </c>
      <c r="L73" s="7" t="str">
        <f>HYPERLINK("https://metabase.lelefan.org/public/dashboard/53c41f3f-5644-466e-935e-897e7725f6bc?rayon=&amp;d%25C3%25A9signation=PISTACHE COQUE GRILLEE-SALEE VRAC&amp;fournisseur=&amp;date_d%25C3%25A9but=&amp;date_fin=","21.76")</f>
        <v>21.76</v>
      </c>
      <c r="M73" s="2"/>
      <c r="N73" s="9" t="str">
        <f>HYPERLINK("https://fd11-courses.leclercdrive.fr/magasin-063801-063801-Echirolles---Comboire/fiche-produits-68870-Pistaches-Bio-Village.aspx","26.0")</f>
        <v>26.0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1" t="s">
        <v>171</v>
      </c>
      <c r="B74" s="7" t="str">
        <f>HYPERLINK("https://lafourche.fr/products/la-fourche-cacahuetes-grillees-salees-bio-en-vrac-0-5kg","7.8")</f>
        <v>7.8</v>
      </c>
      <c r="C74" s="11" t="s">
        <v>172</v>
      </c>
      <c r="D74" s="9" t="str">
        <f>HYPERLINK("https://www.biocoop.fr/magasin-biocoop_champollion/arachide-grillee-nature-bio-ag3062-000.html","10.2")</f>
        <v>10.2</v>
      </c>
      <c r="E74" s="8" t="s">
        <v>173</v>
      </c>
      <c r="F74" s="9" t="str">
        <f>HYPERLINK("https://www.biocoop.fr/magasin-biocoop_fontaine/arachides-grillees-et-salees-egypte-bio-ag3063-000.html","11.8")</f>
        <v>11.8</v>
      </c>
      <c r="G74" s="10">
        <v>0.0</v>
      </c>
      <c r="H74" s="9" t="str">
        <f>HYPERLINK("https://satoriz-comboire.bio/collections/vrac/products/bof3707","8.15")</f>
        <v>8.15</v>
      </c>
      <c r="I74" s="10">
        <v>0.0</v>
      </c>
      <c r="J74" s="9" t="str">
        <f>HYPERLINK("https://www.greenweez.com/produit/arachides-decortiquees-grillees-nature-500g/2WEEZ0360","9.9")</f>
        <v>9.9</v>
      </c>
      <c r="K74" s="8" t="s">
        <v>174</v>
      </c>
      <c r="L74" s="9" t="str">
        <f>HYPERLINK("https://metabase.lelefan.org/public/dashboard/53c41f3f-5644-466e-935e-897e7725f6bc?rayon=&amp;d%25C3%25A9signation=ARACHIDE DECORTIQUEE GRILLEE VRAC&amp;fournisseur=&amp;date_d%25C3%25A9but=&amp;date_fin=","8.64")</f>
        <v>8.64</v>
      </c>
      <c r="M74" s="2"/>
      <c r="N74" s="9" t="str">
        <f>HYPERLINK("https://fd11-courses.leclercdrive.fr/magasin-063801-063801-Echirolles---Comboire/fiche-produits-121993-Cachuetes-grillees-Bio-Village.aspx","9.9")</f>
        <v>9.9</v>
      </c>
      <c r="O74" s="2"/>
      <c r="P74" s="1" t="s">
        <v>175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5" t="s">
        <v>176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1" t="s">
        <v>177</v>
      </c>
      <c r="B76" s="7" t="str">
        <f>HYPERLINK("https://lafourche.fr/products/autour-du-riz-feuilles-de-riz-bio-150g","18.33")</f>
        <v>18.33</v>
      </c>
      <c r="C76" s="2"/>
      <c r="D76" s="9" t="str">
        <f>HYPERLINK("https://www.biocoop.fr/magasin-biocoop_champollion/feuilles-de-riz-150g-mf1143-000.html","21.0")</f>
        <v>21.0</v>
      </c>
      <c r="E76" s="2"/>
      <c r="F76" s="16">
        <v>888888.0</v>
      </c>
      <c r="G76" s="2"/>
      <c r="H76" s="9" t="str">
        <f>HYPERLINK("https://satoriz-comboire.bio/products/re38474","22.67")</f>
        <v>22.67</v>
      </c>
      <c r="I76" s="2"/>
      <c r="J76" s="9" t="str">
        <f>HYPERLINK("https://www.greenweez.com/produit/feuilles-de-riz-22cm-150g/1FITN0053","21.87")</f>
        <v>21.87</v>
      </c>
      <c r="K76" s="2"/>
      <c r="L76" s="9" t="str">
        <f>HYPERLINK("https://metabase.lelefan.org/public/dashboard/53c41f3f-5644-466e-935e-897e7725f6bc?rayon=&amp;d%25C3%25A9signation=FEUILLE DE RIZ BLANC 22CM&amp;fournisseur=&amp;date_d%25C3%25A9but=&amp;date_fin=","18.53")</f>
        <v>18.53</v>
      </c>
      <c r="M76" s="2"/>
      <c r="N76" s="16">
        <v>888888.0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1" t="s">
        <v>178</v>
      </c>
      <c r="B77" s="7" t="str">
        <f t="shared" ref="B77:B78" si="40">HYPERLINK("https://lafourche.fr/products/philia-bouillon-de-legumes-cubes-66g-bio","15")</f>
        <v>15</v>
      </c>
      <c r="C77" s="10">
        <v>0.0</v>
      </c>
      <c r="D77" s="9" t="str">
        <f t="shared" ref="D77:D78" si="41">HYPERLINK("https://www.biocoop.fr/magasin-biocoop_champollion/bouillon-legumes-cube-ss-levure-8-80g-ra1400-000.html","22.5")</f>
        <v>22.5</v>
      </c>
      <c r="E77" s="11" t="s">
        <v>179</v>
      </c>
      <c r="F77" s="9" t="str">
        <f t="shared" ref="F77:F78" si="42">HYPERLINK("https://www.biocoop.fr/magasin-biocoop_fontaine/bouillon-de-legumes-en-cube-hl1004-000.html","22.16")</f>
        <v>22.16</v>
      </c>
      <c r="G77" s="10">
        <v>0.0</v>
      </c>
      <c r="H77" s="9" t="str">
        <f>HYPERLINK("https://satoriz-comboire.bio/products/ralegplu","16.4")</f>
        <v>16.4</v>
      </c>
      <c r="I77" s="10">
        <v>0.0</v>
      </c>
      <c r="J77" s="9" t="str">
        <f>HYPERLINK("https://www.greenweez.com/produit/bouillon-de-legumes-en-poudre-sans-levure-500g/1RAPU0182","16.8")</f>
        <v>16.8</v>
      </c>
      <c r="K77" s="10">
        <v>0.0</v>
      </c>
      <c r="L77" s="9" t="str">
        <f>HYPERLINK("https://metabase.lelefan.org/public/dashboard/53c41f3f-5644-466e-935e-897e7725f6bc?rayon=&amp;d%25C3%25A9signation=BOUILLON DE LEGUMES&amp;fournisseur=&amp;date_d%25C3%25A9but=&amp;date_fin=","888888")</f>
        <v>888888</v>
      </c>
      <c r="M77" s="2"/>
      <c r="N77" s="9" t="str">
        <f t="shared" ref="N77:N78" si="43">HYPERLINK("https://fd11-courses.leclercdrive.fr/magasin-063801-063801-Echirolles---Comboire/fiche-produits-23500-Bouillon-de-legumes-Bio-Village.aspx","21.13")</f>
        <v>21.13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1" t="s">
        <v>180</v>
      </c>
      <c r="B78" s="9" t="str">
        <f t="shared" si="40"/>
        <v>15</v>
      </c>
      <c r="C78" s="2"/>
      <c r="D78" s="9" t="str">
        <f t="shared" si="41"/>
        <v>22.5</v>
      </c>
      <c r="E78" s="2"/>
      <c r="F78" s="9" t="str">
        <f t="shared" si="42"/>
        <v>22.16</v>
      </c>
      <c r="G78" s="2"/>
      <c r="H78" s="9" t="str">
        <f>HYPERLINK("https://satoriz-comboire.bio/products/re39242","18.94")</f>
        <v>18.94</v>
      </c>
      <c r="I78" s="2"/>
      <c r="J78" s="9" t="str">
        <f>HYPERLINK("https://www.greenweez.com/produit/bouillon-de-legumes-en-cubes-sans-levure-80g/1RAPU0055","888888")</f>
        <v>888888</v>
      </c>
      <c r="K78" s="2"/>
      <c r="L78" s="7" t="str">
        <f>HYPERLINK("https://metabase.lelefan.org/public/dashboard/53c41f3f-5644-466e-935e-897e7725f6bc?rayon=&amp;d%25C3%25A9signation=BOUILLON CUBE LEGUMES DEGRAISSE&amp;fournisseur=&amp;date_d%25C3%25A9but=&amp;date_fin=","2.51")</f>
        <v>2.51</v>
      </c>
      <c r="M78" s="2"/>
      <c r="N78" s="9" t="str">
        <f t="shared" si="43"/>
        <v>21.13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1" t="s">
        <v>181</v>
      </c>
      <c r="B79" s="7" t="str">
        <f>HYPERLINK("https://lafourche.fr/products/danival-cube-miso-bio-8x10g-bio","40.75")</f>
        <v>40.75</v>
      </c>
      <c r="C79" s="10">
        <v>0.0</v>
      </c>
      <c r="D79" s="9" t="str">
        <f>HYPERLINK("https://www.biocoop.fr/magasin-biocoop_champollion/miso-cube-original-8-80g-dn1090-000.html","888888")</f>
        <v>888888</v>
      </c>
      <c r="E79" s="17">
        <v>0.0</v>
      </c>
      <c r="F79" s="9" t="str">
        <f>HYPERLINK("https://www.biocoop.fr/magasin-biocoop_fontaine/miso-cube-original-8-80g-dn1090-000.html","49.38")</f>
        <v>49.38</v>
      </c>
      <c r="G79" s="8">
        <v>-0.01</v>
      </c>
      <c r="H79" s="9" t="str">
        <f>HYPERLINK("https://satoriz-comboire.bio/products/da2889","45.63")</f>
        <v>45.63</v>
      </c>
      <c r="I79" s="10">
        <v>0.0</v>
      </c>
      <c r="J79" s="9" t="str">
        <f>HYPERLINK("https://www.greenweez.com/produit/miso-en-cubes-original-8x10g/1DANI0197","49.38")</f>
        <v>49.38</v>
      </c>
      <c r="K79" s="11" t="s">
        <v>182</v>
      </c>
      <c r="L79" s="16">
        <v>888888.0</v>
      </c>
      <c r="M79" s="2"/>
      <c r="N79" s="16">
        <v>888888.0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1" t="s">
        <v>183</v>
      </c>
      <c r="B80" s="7" t="str">
        <f>HYPERLINK("https://lafourche.fr/products/danival-miso-riz-bio-0-39kg","17.92")</f>
        <v>17.92</v>
      </c>
      <c r="C80" s="11" t="s">
        <v>184</v>
      </c>
      <c r="D80" s="9" t="str">
        <f>HYPERLINK("https://www.biocoop.fr/magasin-biocoop_champollion/miso-riz-200g-dn0733-000.html","24.95")</f>
        <v>24.95</v>
      </c>
      <c r="E80" s="10">
        <v>0.0</v>
      </c>
      <c r="F80" s="9" t="str">
        <f>HYPERLINK("https://www.biocoop.fr/magasin-biocoop_fontaine/miso-riz-200g-dn0733-000.html","24.75")</f>
        <v>24.75</v>
      </c>
      <c r="G80" s="8" t="s">
        <v>185</v>
      </c>
      <c r="H80" s="9" t="str">
        <f>HYPERLINK("https://satoriz-comboire.bio/products/re2573","20.38")</f>
        <v>20.38</v>
      </c>
      <c r="I80" s="10">
        <v>0.0</v>
      </c>
      <c r="J80" s="9" t="str">
        <f>HYPERLINK("https://www.greenweez.com/produit/miso-de-riz-390g/1DANI0048","20.67")</f>
        <v>20.67</v>
      </c>
      <c r="K80" s="10">
        <v>0.0</v>
      </c>
      <c r="L80" s="16">
        <v>888888.0</v>
      </c>
      <c r="M80" s="2"/>
      <c r="N80" s="16">
        <v>888888.0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1" t="s">
        <v>186</v>
      </c>
      <c r="B81" s="7" t="str">
        <f>HYPERLINK("https://lafourche.fr/products/la-fourche-gomasio-bio-0-5kg","9.98")</f>
        <v>9.98</v>
      </c>
      <c r="C81" s="10">
        <v>0.0</v>
      </c>
      <c r="D81" s="9" t="str">
        <f>HYPERLINK("https://www.biocoop.fr/magasin-biocoop_champollion/gomasio-300g-he0775-000.html","20.17")</f>
        <v>20.17</v>
      </c>
      <c r="E81" s="10">
        <v>0.0</v>
      </c>
      <c r="F81" s="9" t="str">
        <f>HYPERLINK("https://www.biocoop.fr/magasin-biocoop_fontaine/gomasio-300g-he0775-000.html","20.33")</f>
        <v>20.33</v>
      </c>
      <c r="G81" s="10">
        <v>0.0</v>
      </c>
      <c r="H81" s="9" t="str">
        <f>HYPERLINK("https://satoriz-comboire.bio/products/go300","19.5")</f>
        <v>19.5</v>
      </c>
      <c r="I81" s="10">
        <v>0.0</v>
      </c>
      <c r="J81" s="9" t="str">
        <f>HYPERLINK("https://www.greenweez.com/produit/gomasio-loriginal-500g/1SENF0012","13.38")</f>
        <v>13.38</v>
      </c>
      <c r="K81" s="11" t="s">
        <v>187</v>
      </c>
      <c r="L81" s="9" t="str">
        <f>HYPERLINK("https://metabase.lelefan.org/public/dashboard/53c41f3f-5644-466e-935e-897e7725f6bc?rayon=&amp;d%25C3%25A9signation=GOMASIO&amp;fournisseur=&amp;date_d%25C3%25A9but=&amp;date_fin=","22.0")</f>
        <v>22.0</v>
      </c>
      <c r="M81" s="2"/>
      <c r="N81" s="16">
        <v>888888.0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1" t="s">
        <v>188</v>
      </c>
      <c r="B82" s="7" t="str">
        <f>HYPERLINK("https://lafourche.fr/products/la-fourche-curcuma-moulu-bio-0-25kg","14.76")</f>
        <v>14.76</v>
      </c>
      <c r="C82" s="10">
        <v>0.0</v>
      </c>
      <c r="D82" s="9" t="str">
        <f t="shared" ref="D82:D83" si="44">HYPERLINK("https://www.biocoop.fr/magasin-biocoop_champollion/curcuma-racine-poudre-bio-ck2048-000.html","19.7")</f>
        <v>19.7</v>
      </c>
      <c r="E82" s="10">
        <v>0.0</v>
      </c>
      <c r="F82" s="9" t="str">
        <f t="shared" ref="F82:F83" si="45">HYPERLINK("https://www.biocoop.fr/magasin-biocoop_fontaine/curcuma-poudre-35g-ck0906-000.html","68.57")</f>
        <v>68.57</v>
      </c>
      <c r="G82" s="11" t="s">
        <v>189</v>
      </c>
      <c r="H82" s="9" t="str">
        <f>HYPERLINK("https://satoriz-comboire.bio/products/cocurcrapc500","888888")</f>
        <v>888888</v>
      </c>
      <c r="I82" s="18" t="s">
        <v>56</v>
      </c>
      <c r="J82" s="9" t="str">
        <f>HYPERLINK("https://www.greenweez.com/produit/curcuma-poudre-bio-250g/2WEEZ0074","15.16")</f>
        <v>15.16</v>
      </c>
      <c r="K82" s="11" t="s">
        <v>190</v>
      </c>
      <c r="L82" s="9" t="str">
        <f>HYPERLINK("https://metabase.lelefan.org/public/dashboard/53c41f3f-5644-466e-935e-897e7725f6bc?rayon=&amp;d%25C3%25A9signation=CURCUMA&amp;fournisseur=&amp;date_d%25C3%25A9but=&amp;date_fin=","57.0")</f>
        <v>57.0</v>
      </c>
      <c r="M82" s="2"/>
      <c r="N82" s="16">
        <v>888888.0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1" t="s">
        <v>191</v>
      </c>
      <c r="B83" s="9" t="str">
        <f>HYPERLINK("https://lafourche.fr/products/cook-curcuma-en-poudre-bio-0-035kg","61.43")</f>
        <v>61.43</v>
      </c>
      <c r="C83" s="11" t="s">
        <v>192</v>
      </c>
      <c r="D83" s="7" t="str">
        <f t="shared" si="44"/>
        <v>19.7</v>
      </c>
      <c r="E83" s="10">
        <v>0.0</v>
      </c>
      <c r="F83" s="9" t="str">
        <f t="shared" si="45"/>
        <v>68.57</v>
      </c>
      <c r="G83" s="11" t="s">
        <v>189</v>
      </c>
      <c r="H83" s="9" t="str">
        <f>HYPERLINK("https://satoriz-comboire.bio/products/cocurcrapr","50.0")</f>
        <v>50.0</v>
      </c>
      <c r="I83" s="11" t="s">
        <v>193</v>
      </c>
      <c r="J83" s="9" t="str">
        <f>HYPERLINK("https://www.greenweez.com/produit/curcuma-en-poudre-eco-recharge-35g/1COOK0174","57.14")</f>
        <v>57.14</v>
      </c>
      <c r="K83" s="11" t="s">
        <v>194</v>
      </c>
      <c r="L83" s="16">
        <v>888888.0</v>
      </c>
      <c r="M83" s="2"/>
      <c r="N83" s="16">
        <v>888888.0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1" t="s">
        <v>195</v>
      </c>
      <c r="B84" s="9" t="str">
        <f>HYPERLINK("https://lafourche.fr/products/la-fourche-curry-jaune-moulu-bio-0-15kg","30.6")</f>
        <v>30.6</v>
      </c>
      <c r="C84" s="10">
        <v>0.0</v>
      </c>
      <c r="D84" s="7" t="str">
        <f t="shared" ref="D84:D85" si="46">HYPERLINK("https://www.biocoop.fr/magasin-biocoop_champollion/curry-bio-ck2049-000.html","29.5")</f>
        <v>29.5</v>
      </c>
      <c r="E84" s="10">
        <v>0.0</v>
      </c>
      <c r="F84" s="9" t="str">
        <f t="shared" ref="F84:F85" si="47">HYPERLINK("https://www.biocoop.fr/magasin-biocoop_fontaine/curry-en-poudre-35g-ck0907-000.html","91.43")</f>
        <v>91.43</v>
      </c>
      <c r="G84" s="11" t="s">
        <v>196</v>
      </c>
      <c r="H84" s="9" t="str">
        <f>HYPERLINK("https://satoriz-comboire.bio/products/cocurrmapc","32.7")</f>
        <v>32.7</v>
      </c>
      <c r="I84" s="8" t="s">
        <v>197</v>
      </c>
      <c r="J84" s="9" t="str">
        <f>HYPERLINK("https://www.greenweez.com/produit/curry-en-poudre-bio-150g/2WEEZ0162","31.2")</f>
        <v>31.2</v>
      </c>
      <c r="K84" s="10">
        <v>0.0</v>
      </c>
      <c r="L84" s="9" t="str">
        <f>HYPERLINK("https://metabase.lelefan.org/public/dashboard/53c41f3f-5644-466e-935e-897e7725f6bc?rayon=&amp;d%25C3%25A9signation=CURRY INDIEN&amp;fournisseur=&amp;date_d%25C3%25A9but=&amp;date_fin=","84.29")</f>
        <v>84.29</v>
      </c>
      <c r="M84" s="2"/>
      <c r="N84" s="9" t="str">
        <f t="shared" ref="N84:N85" si="48">HYPERLINK("https://fd11-courses.leclercdrive.fr/magasin-063801-063801-Echirolles---Comboire/fiche-produits-71655-Curry-moulu-Bio-Village.aspx","33.78")</f>
        <v>33.78</v>
      </c>
      <c r="O84" s="2"/>
      <c r="P84" s="1" t="s">
        <v>198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1" t="s">
        <v>199</v>
      </c>
      <c r="B85" s="9" t="str">
        <f>HYPERLINK("https://lafourche.fr/products/cook-curry-madras-35g","71.43")</f>
        <v>71.43</v>
      </c>
      <c r="C85" s="11" t="s">
        <v>200</v>
      </c>
      <c r="D85" s="7" t="str">
        <f t="shared" si="46"/>
        <v>29.5</v>
      </c>
      <c r="E85" s="10">
        <v>0.0</v>
      </c>
      <c r="F85" s="9" t="str">
        <f t="shared" si="47"/>
        <v>91.43</v>
      </c>
      <c r="G85" s="11" t="s">
        <v>196</v>
      </c>
      <c r="H85" s="9" t="str">
        <f>HYPERLINK("https://satoriz-comboire.bio/products/cocurry","78.57")</f>
        <v>78.57</v>
      </c>
      <c r="I85" s="11" t="s">
        <v>201</v>
      </c>
      <c r="J85" s="9" t="str">
        <f>HYPERLINK("https://www.greenweez.com/produit/curry-de-madras-poudre-bio-35g/1COOK0128","90.0")</f>
        <v>90.0</v>
      </c>
      <c r="K85" s="11" t="s">
        <v>202</v>
      </c>
      <c r="L85" s="16">
        <v>888888.0</v>
      </c>
      <c r="M85" s="2"/>
      <c r="N85" s="9" t="str">
        <f t="shared" si="48"/>
        <v>33.78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1" t="s">
        <v>203</v>
      </c>
      <c r="B86" s="9" t="str">
        <f>HYPERLINK("https://lafourche.fr/products/la-fourche-cannelle-moulue-bio-0-15kg","26.6")</f>
        <v>26.6</v>
      </c>
      <c r="C86" s="10">
        <v>0.0</v>
      </c>
      <c r="D86" s="9" t="str">
        <f>HYPERLINK("https://www.biocoop.fr/magasin-biocoop_champollion/cannelle-poudre-100g-ck2151-000.html","51.5")</f>
        <v>51.5</v>
      </c>
      <c r="E86" s="8" t="s">
        <v>204</v>
      </c>
      <c r="F86" s="9" t="str">
        <f t="shared" ref="F86:F87" si="49">HYPERLINK("https://www.biocoop.fr/magasin-biocoop_fontaine/cannelle-moulue-35g-ck1419-000.html","70.0")</f>
        <v>70.0</v>
      </c>
      <c r="G86" s="11" t="s">
        <v>205</v>
      </c>
      <c r="H86" s="7" t="str">
        <f>HYPERLINK("https://satoriz-comboire.bio/products/cocannegpc","26.1")</f>
        <v>26.1</v>
      </c>
      <c r="I86" s="10">
        <v>0.0</v>
      </c>
      <c r="J86" s="9" t="str">
        <f>HYPERLINK("https://www.greenweez.com/produit/cannelle-de-ceylan-en-poudre-500g/1COOK0184","29.42")</f>
        <v>29.42</v>
      </c>
      <c r="K86" s="10">
        <v>0.0</v>
      </c>
      <c r="L86" s="9" t="str">
        <f>HYPERLINK("https://metabase.lelefan.org/public/dashboard/53c41f3f-5644-466e-935e-897e7725f6bc?rayon=&amp;d%25C3%25A9signation=CANNELLE&amp;fournisseur=&amp;date_d%25C3%25A9but=&amp;date_fin=","88.57")</f>
        <v>88.57</v>
      </c>
      <c r="M86" s="2"/>
      <c r="N86" s="16">
        <v>888888.0</v>
      </c>
      <c r="O86" s="2"/>
      <c r="P86" s="1" t="s">
        <v>198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1" t="s">
        <v>206</v>
      </c>
      <c r="B87" s="7" t="str">
        <f>HYPERLINK("https://lafourche.fr/products/cook-cannelle-en-poudre-bio-0-035kg","62.57")</f>
        <v>62.57</v>
      </c>
      <c r="C87" s="11" t="s">
        <v>207</v>
      </c>
      <c r="D87" s="9" t="str">
        <f>HYPERLINK("https://www.biocoop.fr/magasin-biocoop_champollion/cannelle-moulue-35g-ck1419-000.html","70.0")</f>
        <v>70.0</v>
      </c>
      <c r="E87" s="11" t="s">
        <v>205</v>
      </c>
      <c r="F87" s="9" t="str">
        <f t="shared" si="49"/>
        <v>70.0</v>
      </c>
      <c r="G87" s="11" t="s">
        <v>205</v>
      </c>
      <c r="H87" s="9" t="str">
        <f>HYPERLINK("https://satoriz-comboire.bio/products/cocannel","65.71")</f>
        <v>65.71</v>
      </c>
      <c r="I87" s="11" t="s">
        <v>208</v>
      </c>
      <c r="J87" s="9" t="str">
        <f>HYPERLINK("https://www.greenweez.com/produit/cannelle-poudre-bio-35g/1COOK0007","63.71")</f>
        <v>63.71</v>
      </c>
      <c r="K87" s="11" t="s">
        <v>209</v>
      </c>
      <c r="L87" s="9" t="str">
        <f>HYPERLINK("https://metabase.lelefan.org/public/dashboard/53c41f3f-5644-466e-935e-897e7725f6bc?rayon=&amp;d%25C3%25A9signation=PAPRIKA POUDRE&amp;fournisseur=&amp;date_d%25C3%25A9but=&amp;date_fin=","84.0")</f>
        <v>84.0</v>
      </c>
      <c r="M87" s="2"/>
      <c r="N87" s="16">
        <v>888888.0</v>
      </c>
      <c r="O87" s="2"/>
      <c r="P87" s="1" t="s">
        <v>198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1" t="s">
        <v>210</v>
      </c>
      <c r="B88" s="7" t="str">
        <f>HYPERLINK("https://lafourche.fr/products/la-fourche-paprika-doux-bio-0-15kg","27.93")</f>
        <v>27.93</v>
      </c>
      <c r="C88" s="10">
        <v>0.0</v>
      </c>
      <c r="D88" s="9" t="str">
        <f t="shared" ref="D88:D89" si="50">HYPERLINK("https://www.biocoop.fr/magasin-biocoop_champollion/paprika-doux-de-hongrie-40g-ck0922-000.html","88.75")</f>
        <v>88.75</v>
      </c>
      <c r="E88" s="10">
        <v>0.0</v>
      </c>
      <c r="F88" s="9" t="str">
        <f t="shared" ref="F88:F89" si="51">HYPERLINK("https://www.biocoop.fr/magasin-biocoop_fontaine/paprika-doux-de-hongrie-40g-ck0922-000.html","87.5")</f>
        <v>87.5</v>
      </c>
      <c r="G88" s="10">
        <v>0.0</v>
      </c>
      <c r="H88" s="9" t="str">
        <f t="shared" ref="H88:H89" si="52">HYPERLINK("https://satoriz-comboire.bio/products/copapdfr","72.5")</f>
        <v>72.5</v>
      </c>
      <c r="I88" s="10">
        <v>0.0</v>
      </c>
      <c r="J88" s="9" t="str">
        <f>HYPERLINK("https://www.greenweez.com/produit/paprika-doux-en-poudre-bio-150g/2WEEZ0165","29.87")</f>
        <v>29.87</v>
      </c>
      <c r="K88" s="11" t="s">
        <v>211</v>
      </c>
      <c r="L88" s="16">
        <v>888888.0</v>
      </c>
      <c r="M88" s="2"/>
      <c r="N88" s="16">
        <v>888888.0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1" t="s">
        <v>212</v>
      </c>
      <c r="B89" s="9" t="str">
        <f>HYPERLINK("https://lafourche.fr/products/paprika-doux","74.75")</f>
        <v>74.75</v>
      </c>
      <c r="C89" s="11" t="s">
        <v>213</v>
      </c>
      <c r="D89" s="9" t="str">
        <f t="shared" si="50"/>
        <v>88.75</v>
      </c>
      <c r="E89" s="10">
        <v>0.0</v>
      </c>
      <c r="F89" s="9" t="str">
        <f t="shared" si="51"/>
        <v>87.5</v>
      </c>
      <c r="G89" s="10">
        <v>0.0</v>
      </c>
      <c r="H89" s="7" t="str">
        <f t="shared" si="52"/>
        <v>72.5</v>
      </c>
      <c r="I89" s="10">
        <v>0.0</v>
      </c>
      <c r="J89" s="9" t="str">
        <f>HYPERLINK("https://www.greenweez.com/produit/paprika-doux-de-hongrie-poudre-bio-40g/1COOK0035","93.75")</f>
        <v>93.75</v>
      </c>
      <c r="K89" s="11" t="s">
        <v>214</v>
      </c>
      <c r="L89" s="16">
        <v>888888.0</v>
      </c>
      <c r="M89" s="2"/>
      <c r="N89" s="16">
        <v>888888.0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1" t="s">
        <v>215</v>
      </c>
      <c r="B90" s="9" t="str">
        <f>HYPERLINK("https://lafourche.fr/products/la-fourche-paprika-fume-bio-0-15kg","35")</f>
        <v>35</v>
      </c>
      <c r="C90" s="11" t="s">
        <v>216</v>
      </c>
      <c r="D90" s="9" t="str">
        <f>HYPERLINK("https://www.biocoop.fr/magasin-biocoop_champollion/paprika-fume-fl1217-000.html","77.5")</f>
        <v>77.5</v>
      </c>
      <c r="E90" s="10">
        <v>0.0</v>
      </c>
      <c r="F90" s="9" t="str">
        <f>HYPERLINK("https://www.biocoop.fr/magasin-biocoop_fontaine/paprika-fume-fl1217-000.html","888888")</f>
        <v>888888</v>
      </c>
      <c r="G90" s="17">
        <v>0.0</v>
      </c>
      <c r="H90" s="9" t="str">
        <f>HYPERLINK("https://satoriz-comboire.bio/products/emhbe58b?_pos=2&amp;_sid=3ef3d1d3c&amp;_ss=r","888888")</f>
        <v>888888</v>
      </c>
      <c r="I90" s="18" t="s">
        <v>56</v>
      </c>
      <c r="J90" s="7" t="str">
        <f>HYPERLINK("https://www.greenweez.com/produit/paprika-fume-sachet-recharge-250g/1ECOI0084","31.04")</f>
        <v>31.04</v>
      </c>
      <c r="K90" s="10">
        <v>0.0</v>
      </c>
      <c r="L90" s="16">
        <v>888888.0</v>
      </c>
      <c r="M90" s="2"/>
      <c r="N90" s="16">
        <v>888888.0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1" t="s">
        <v>217</v>
      </c>
      <c r="B91" s="9" t="str">
        <f>HYPERLINK("https://lafourche.fr/products/la-fourche-gingembre-moulu-bio-0-2kg","29.5")</f>
        <v>29.5</v>
      </c>
      <c r="C91" s="11" t="s">
        <v>218</v>
      </c>
      <c r="D91" s="9" t="str">
        <f t="shared" ref="D91:D92" si="53">HYPERLINK("https://www.biocoop.fr/magasin-biocoop_champollion/gingembre-racine-poudre-bio-ck2051-000.html","33.65")</f>
        <v>33.65</v>
      </c>
      <c r="E91" s="10">
        <v>0.0</v>
      </c>
      <c r="F91" s="9" t="str">
        <f t="shared" ref="F91:F92" si="54">HYPERLINK("https://www.biocoop.fr/magasin-biocoop_fontaine/gingembre-poudre-30g-ck0908-000.html","95.0")</f>
        <v>95.0</v>
      </c>
      <c r="G91" s="11" t="s">
        <v>219</v>
      </c>
      <c r="H91" s="9" t="str">
        <f>HYPERLINK("https://satoriz-comboire.bio/products/cogingse","52.5")</f>
        <v>52.5</v>
      </c>
      <c r="I91" s="8" t="s">
        <v>220</v>
      </c>
      <c r="J91" s="7" t="str">
        <f>HYPERLINK("https://www.greenweez.com/produit/gingembre-en-poudre-bio-200g/2WEEZ0161","24.75")</f>
        <v>24.75</v>
      </c>
      <c r="K91" s="8" t="s">
        <v>221</v>
      </c>
      <c r="L91" s="9" t="str">
        <f t="shared" ref="L91:L92" si="55">HYPERLINK("https://metabase.lelefan.org/public/dashboard/53c41f3f-5644-466e-935e-897e7725f6bc?rayon=&amp;d%25C3%25A9signation=GINGEMBRE POUDRE&amp;fournisseur=&amp;date_d%25C3%25A9but=&amp;date_fin=","105.6")</f>
        <v>105.6</v>
      </c>
      <c r="M91" s="2"/>
      <c r="N91" s="16">
        <v>888888.0</v>
      </c>
      <c r="O91" s="2"/>
      <c r="P91" s="1" t="s">
        <v>198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1" t="s">
        <v>222</v>
      </c>
      <c r="B92" s="9" t="str">
        <f>HYPERLINK("https://lafourche.fr/products/cook-gingembre-en-poudre-bio-0-03kg","83")</f>
        <v>83</v>
      </c>
      <c r="C92" s="11" t="s">
        <v>223</v>
      </c>
      <c r="D92" s="7" t="str">
        <f t="shared" si="53"/>
        <v>33.65</v>
      </c>
      <c r="E92" s="10">
        <v>0.0</v>
      </c>
      <c r="F92" s="9" t="str">
        <f t="shared" si="54"/>
        <v>95.0</v>
      </c>
      <c r="G92" s="11" t="s">
        <v>219</v>
      </c>
      <c r="H92" s="9" t="str">
        <f>HYPERLINK("https://satoriz-comboire.bio/products/coginge","85.0")</f>
        <v>85.0</v>
      </c>
      <c r="I92" s="11" t="s">
        <v>224</v>
      </c>
      <c r="J92" s="9" t="str">
        <f>HYPERLINK("https://www.greenweez.com/produit/gingembre-poudre-bio-80-g/1COOK0081","888888")</f>
        <v>888888</v>
      </c>
      <c r="K92" s="18" t="s">
        <v>56</v>
      </c>
      <c r="L92" s="9" t="str">
        <f t="shared" si="55"/>
        <v>105.6</v>
      </c>
      <c r="M92" s="2"/>
      <c r="N92" s="16">
        <v>888888.0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1" t="s">
        <v>225</v>
      </c>
      <c r="B93" s="7" t="str">
        <f>HYPERLINK("https://lafourche.fr/products/biodyssee-coriandre-en-poudre-bio-0-035kg","42.57")</f>
        <v>42.57</v>
      </c>
      <c r="C93" s="8" t="s">
        <v>226</v>
      </c>
      <c r="D93" s="9" t="str">
        <f>HYPERLINK("https://www.biocoop.fr/magasin-biocoop_champollion/coriandre-moulue-30g-ck0925-000.html","73.33")</f>
        <v>73.33</v>
      </c>
      <c r="E93" s="11" t="s">
        <v>227</v>
      </c>
      <c r="F93" s="9" t="str">
        <f>HYPERLINK("https://www.biocoop.fr/magasin-biocoop_fontaine/coriandre-moulue-30g-ck0925-000.html","75.0")</f>
        <v>75.0</v>
      </c>
      <c r="G93" s="10">
        <v>0.0</v>
      </c>
      <c r="H93" s="9" t="str">
        <f>HYPERLINK("https://satoriz-comboire.bio/collections/epicerie-salee/products/cocorpc","65.0")</f>
        <v>65.0</v>
      </c>
      <c r="I93" s="10">
        <v>0.0</v>
      </c>
      <c r="J93" s="9" t="str">
        <f>HYPERLINK("https://www.greenweez.com/produit/poudre-de-graines-de-coriandre-35g/2BIOD0049","55.43")</f>
        <v>55.43</v>
      </c>
      <c r="K93" s="8" t="s">
        <v>228</v>
      </c>
      <c r="L93" s="9" t="str">
        <f>HYPERLINK("https://metabase.lelefan.org/public/dashboard/53c41f3f-5644-466e-935e-897e7725f6bc?rayon=&amp;d%25C3%25A9signation=CORIANDRE&amp;fournisseur=&amp;date_d%25C3%25A9but=&amp;date_fin=","89.2")</f>
        <v>89.2</v>
      </c>
      <c r="M93" s="2"/>
      <c r="N93" s="16">
        <v>888888.0</v>
      </c>
      <c r="O93" s="2"/>
      <c r="P93" s="1" t="s">
        <v>198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1" t="s">
        <v>229</v>
      </c>
      <c r="B94" s="7" t="str">
        <f>HYPERLINK("https://lafourche.fr/products/cook-fenugrec-poudre-55g","37.82")</f>
        <v>37.82</v>
      </c>
      <c r="C94" s="10">
        <v>0.0</v>
      </c>
      <c r="D94" s="9" t="str">
        <f>HYPERLINK("https://www.biocoop.fr/magasin-biocoop_champollion/fenugrec-moulu-55g-ck1209-000.html","47.27")</f>
        <v>47.27</v>
      </c>
      <c r="E94" s="10">
        <v>0.0</v>
      </c>
      <c r="F94" s="9" t="str">
        <f>HYPERLINK("https://www.biocoop.fr/magasin-biocoop_fontaine/fenugrec-moulu-55g-ck1209-000.html","888888")</f>
        <v>888888</v>
      </c>
      <c r="G94" s="17">
        <v>0.0</v>
      </c>
      <c r="H94" s="9" t="str">
        <f>HYPERLINK("https://satoriz-comboire.bio/products/cofenuc","41.82")</f>
        <v>41.82</v>
      </c>
      <c r="I94" s="10">
        <v>0.0</v>
      </c>
      <c r="J94" s="9" t="str">
        <f>HYPERLINK("https://www.greenweez.com/produit/fenugrec-poudre-bio-50g/1COOK0022","52.8")</f>
        <v>52.8</v>
      </c>
      <c r="K94" s="11" t="s">
        <v>230</v>
      </c>
      <c r="L94" s="9" t="str">
        <f>HYPERLINK("https://metabase.lelefan.org/public/dashboard/53c41f3f-5644-466e-935e-897e7725f6bc?rayon=&amp;d%25C3%25A9signation=FENUGREC&amp;fournisseur=&amp;date_d%25C3%25A9but=&amp;date_fin=","58.0")</f>
        <v>58.0</v>
      </c>
      <c r="M94" s="2"/>
      <c r="N94" s="16">
        <v>888888.0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1" t="s">
        <v>231</v>
      </c>
      <c r="B95" s="7" t="str">
        <f t="shared" ref="B95:B96" si="56">HYPERLINK("https://lafourche.fr/products/la-fourche-ras-el-hanout-bio-0-15kg","46.6")</f>
        <v>46.6</v>
      </c>
      <c r="C95" s="10">
        <v>0.0</v>
      </c>
      <c r="D95" s="9" t="str">
        <f t="shared" ref="D95:D96" si="57">HYPERLINK("https://www.biocoop.fr/magasin-biocoop_champollion/ras-el-hanout-35g-ar0215-000.html","94.86")</f>
        <v>94.86</v>
      </c>
      <c r="E95" s="10">
        <v>0.0</v>
      </c>
      <c r="F95" s="9" t="str">
        <f t="shared" ref="F95:F96" si="58">HYPERLINK("https://www.biocoop.fr/magasin-biocoop_fontaine/ras-el-hanout-35g-ar0215-000.html","102.86")</f>
        <v>102.86</v>
      </c>
      <c r="G95" s="10">
        <v>0.0</v>
      </c>
      <c r="H95" s="9" t="str">
        <f t="shared" ref="H95:H96" si="59">HYPERLINK("https://satoriz-comboire.bio/products/corasec","88.57")</f>
        <v>88.57</v>
      </c>
      <c r="I95" s="10">
        <v>0.0</v>
      </c>
      <c r="J95" s="9" t="str">
        <f t="shared" ref="J95:J96" si="60">HYPERLINK("https://www.greenweez.com/produit/melange-ras-el-hanout-bio-35g/1COOK0072","98.57")</f>
        <v>98.57</v>
      </c>
      <c r="K95" s="10">
        <v>0.0</v>
      </c>
      <c r="L95" s="16">
        <v>888888.0</v>
      </c>
      <c r="M95" s="2"/>
      <c r="N95" s="16">
        <v>888888.0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1" t="s">
        <v>232</v>
      </c>
      <c r="B96" s="7" t="str">
        <f t="shared" si="56"/>
        <v>46.6</v>
      </c>
      <c r="C96" s="10">
        <v>0.0</v>
      </c>
      <c r="D96" s="9" t="str">
        <f t="shared" si="57"/>
        <v>94.86</v>
      </c>
      <c r="E96" s="10">
        <v>0.0</v>
      </c>
      <c r="F96" s="9" t="str">
        <f t="shared" si="58"/>
        <v>102.86</v>
      </c>
      <c r="G96" s="10">
        <v>0.0</v>
      </c>
      <c r="H96" s="9" t="str">
        <f t="shared" si="59"/>
        <v>88.57</v>
      </c>
      <c r="I96" s="10">
        <v>0.0</v>
      </c>
      <c r="J96" s="9" t="str">
        <f t="shared" si="60"/>
        <v>98.57</v>
      </c>
      <c r="K96" s="10">
        <v>0.0</v>
      </c>
      <c r="L96" s="16">
        <v>888888.0</v>
      </c>
      <c r="M96" s="2"/>
      <c r="N96" s="16">
        <v>888888.0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1" t="s">
        <v>233</v>
      </c>
      <c r="B97" s="9" t="str">
        <f>HYPERLINK("https://lafourche.fr/products/la-fourche-herbes-de-provence-bio-0-2kg","47.5")</f>
        <v>47.5</v>
      </c>
      <c r="C97" s="10">
        <v>0.0</v>
      </c>
      <c r="D97" s="9" t="str">
        <f t="shared" ref="D97:D98" si="61">HYPERLINK("https://www.biocoop.fr/magasin-biocoop_champollion/herbes-de-provence-50g-ar0035-000.html","69.0")</f>
        <v>69.0</v>
      </c>
      <c r="E97" s="11" t="s">
        <v>234</v>
      </c>
      <c r="F97" s="7" t="str">
        <f t="shared" ref="F97:F98" si="62">HYPERLINK("https://www.biocoop.fr/magasin-biocoop_fontaine/herbes-de-provence-sans-marjolaine-bio-ck2106-000.html","34.0")</f>
        <v>34.0</v>
      </c>
      <c r="G97" s="10">
        <v>0.0</v>
      </c>
      <c r="H97" s="9" t="str">
        <f>HYPERLINK("https://satoriz-comboire.bio/products/apla0034","55.0")</f>
        <v>55.0</v>
      </c>
      <c r="I97" s="8" t="s">
        <v>235</v>
      </c>
      <c r="J97" s="9" t="str">
        <f t="shared" ref="J97:J98" si="63">HYPERLINK("https://www.greenweez.com/produit/herbes-de-provence-60g/2BIOD0053","65.17")</f>
        <v>65.17</v>
      </c>
      <c r="K97" s="10">
        <v>0.0</v>
      </c>
      <c r="L97" s="9" t="str">
        <f>HYPERLINK("https://metabase.lelefan.org/public/dashboard/53c41f3f-5644-466e-935e-897e7725f6bc?rayon=&amp;d%25C3%25A9signation=HERBES DE PROVENCE&amp;fournisseur=&amp;date_d%25C3%25A9but=&amp;date_fin=","124.5")</f>
        <v>124.5</v>
      </c>
      <c r="M97" s="2"/>
      <c r="N97" s="9" t="str">
        <f>HYPERLINK("https://fd11-courses.leclercdrive.fr/magasin-063801-063801-Echirolles---Comboire/fiche-produits-71649-Herbe-Provence-bio-Bio-Village.aspx","56.43")</f>
        <v>56.43</v>
      </c>
      <c r="O97" s="2"/>
      <c r="P97" s="1" t="s">
        <v>198</v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1" t="s">
        <v>236</v>
      </c>
      <c r="B98" s="9" t="str">
        <f>HYPERLINK("https://lafourche.fr/products/biodyssee-herbes-de-provence-bio-0-06kg","49.83")</f>
        <v>49.83</v>
      </c>
      <c r="C98" s="11" t="s">
        <v>237</v>
      </c>
      <c r="D98" s="9" t="str">
        <f t="shared" si="61"/>
        <v>69.0</v>
      </c>
      <c r="E98" s="11" t="s">
        <v>234</v>
      </c>
      <c r="F98" s="7" t="str">
        <f t="shared" si="62"/>
        <v>34.0</v>
      </c>
      <c r="G98" s="10">
        <v>0.0</v>
      </c>
      <c r="H98" s="9" t="str">
        <f>HYPERLINK("https://satoriz-comboire.bio/products/apla0035","77.5")</f>
        <v>77.5</v>
      </c>
      <c r="I98" s="8" t="s">
        <v>238</v>
      </c>
      <c r="J98" s="9" t="str">
        <f t="shared" si="63"/>
        <v>65.17</v>
      </c>
      <c r="K98" s="10">
        <v>0.0</v>
      </c>
      <c r="L98" s="16">
        <v>888888.0</v>
      </c>
      <c r="M98" s="2"/>
      <c r="N98" s="16">
        <v>888888.0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1" t="s">
        <v>239</v>
      </c>
      <c r="B99" s="7" t="str">
        <f>HYPERLINK("https://lafourche.fr/products/la-fourche-cumin-graines-bio-0-15kg","59")</f>
        <v>59</v>
      </c>
      <c r="C99" s="10">
        <v>0.0</v>
      </c>
      <c r="D99" s="9" t="str">
        <f t="shared" ref="D99:D100" si="64">HYPERLINK("https://www.biocoop.fr/magasin-biocoop_champollion/cumin-graines-40g-ck0924-000.html","96.25")</f>
        <v>96.25</v>
      </c>
      <c r="E99" s="10">
        <v>0.0</v>
      </c>
      <c r="F99" s="9" t="str">
        <f t="shared" ref="F99:F100" si="65">HYPERLINK("https://www.biocoop.fr/magasin-biocoop_fontaine/cumin-graines-40g-ck0924-000.html","95.0")</f>
        <v>95.0</v>
      </c>
      <c r="G99" s="10">
        <v>0.0</v>
      </c>
      <c r="H99" s="9" t="str">
        <f t="shared" ref="H99:H100" si="66">HYPERLINK("https://satoriz-comboire.bio/products/cocum?_pos=1&amp;_sid=d9ea7a39f&amp;_ss=r","87.5")</f>
        <v>87.5</v>
      </c>
      <c r="I99" s="10">
        <v>0.0</v>
      </c>
      <c r="J99" s="9" t="str">
        <f t="shared" ref="J99:J100" si="67">HYPERLINK("https://www.greenweez.com/produit/graines-de-cumin-eco-recharge-40g/1COOK0177","888888")</f>
        <v>888888</v>
      </c>
      <c r="K99" s="18" t="s">
        <v>56</v>
      </c>
      <c r="L99" s="16">
        <v>888888.0</v>
      </c>
      <c r="M99" s="2"/>
      <c r="N99" s="16">
        <v>888888.0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1" t="s">
        <v>240</v>
      </c>
      <c r="B100" s="7" t="str">
        <f>HYPERLINK("https://lafourche.fr/products/cook-cumin-graines-40g","87.5")</f>
        <v>87.5</v>
      </c>
      <c r="C100" s="11" t="s">
        <v>241</v>
      </c>
      <c r="D100" s="9" t="str">
        <f t="shared" si="64"/>
        <v>96.25</v>
      </c>
      <c r="E100" s="10">
        <v>0.0</v>
      </c>
      <c r="F100" s="9" t="str">
        <f t="shared" si="65"/>
        <v>95.0</v>
      </c>
      <c r="G100" s="10">
        <v>0.0</v>
      </c>
      <c r="H100" s="7" t="str">
        <f t="shared" si="66"/>
        <v>87.5</v>
      </c>
      <c r="I100" s="10">
        <v>0.0</v>
      </c>
      <c r="J100" s="9" t="str">
        <f t="shared" si="67"/>
        <v>888888</v>
      </c>
      <c r="K100" s="18" t="s">
        <v>56</v>
      </c>
      <c r="L100" s="16">
        <v>888888.0</v>
      </c>
      <c r="M100" s="2"/>
      <c r="N100" s="16">
        <v>888888.0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1" t="s">
        <v>242</v>
      </c>
      <c r="B101" s="9" t="str">
        <f>HYPERLINK("https://lafourche.fr/products/la-fourche-cumin-moulu-bio-0-15kg","58.6")</f>
        <v>58.6</v>
      </c>
      <c r="C101" s="10">
        <v>0.0</v>
      </c>
      <c r="D101" s="9" t="str">
        <f>HYPERLINK("https://www.biocoop.fr/magasin-biocoop_champollion/cumin-poudre-100g-ck2152-000.html","82.0")</f>
        <v>82.0</v>
      </c>
      <c r="E101" s="8" t="s">
        <v>243</v>
      </c>
      <c r="F101" s="7" t="str">
        <f>HYPERLINK("https://www.biocoop.fr/magasin-biocoop_fontaine/cumin-graines-poudre-bio-ck2050-000.html","35.9")</f>
        <v>35.9</v>
      </c>
      <c r="G101" s="11" t="s">
        <v>244</v>
      </c>
      <c r="H101" s="9" t="str">
        <f>HYPERLINK("https://satoriz-comboire.bio/products/cocumipse","78.0")</f>
        <v>78.0</v>
      </c>
      <c r="I101" s="8" t="s">
        <v>245</v>
      </c>
      <c r="J101" s="9" t="str">
        <f>HYPERLINK("https://www.greenweez.com/produit/cumin-poudre-bio-80g/1COOK0138","91.9")</f>
        <v>91.9</v>
      </c>
      <c r="K101" s="8" t="s">
        <v>246</v>
      </c>
      <c r="L101" s="9" t="str">
        <f>HYPERLINK("https://metabase.lelefan.org/public/dashboard/53c41f3f-5644-466e-935e-897e7725f6bc?rayon=&amp;d%25C3%25A9signation=CUMIN&amp;fournisseur=&amp;date_d%25C3%25A9but=&amp;date_fin=","111.14")</f>
        <v>111.14</v>
      </c>
      <c r="M101" s="2"/>
      <c r="N101" s="16">
        <v>888888.0</v>
      </c>
      <c r="O101" s="2"/>
      <c r="P101" s="1" t="s">
        <v>247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1" t="s">
        <v>248</v>
      </c>
      <c r="B102" s="7" t="str">
        <f>HYPERLINK("https://lafourche.fr/products/biodyssee-noix-de-muscade-moulue-bio-0-05kg","67")</f>
        <v>67</v>
      </c>
      <c r="C102" s="11" t="s">
        <v>249</v>
      </c>
      <c r="D102" s="9" t="str">
        <f>HYPERLINK("https://www.biocoop.fr/magasin-biocoop_champollion/muscade-moulue-35g-ck0926-000.html","142.57")</f>
        <v>142.57</v>
      </c>
      <c r="E102" s="10">
        <v>0.0</v>
      </c>
      <c r="F102" s="9" t="str">
        <f>HYPERLINK("https://www.biocoop.fr/magasin-biocoop_fontaine/muscade-moulue-35g-ck0926-000.html","142.57")</f>
        <v>142.57</v>
      </c>
      <c r="G102" s="10">
        <v>0.0</v>
      </c>
      <c r="H102" s="9" t="str">
        <f>HYPERLINK("https://satoriz-comboire.bio/products/comusmou","120.0")</f>
        <v>120.0</v>
      </c>
      <c r="I102" s="10">
        <v>0.0</v>
      </c>
      <c r="J102" s="9" t="str">
        <f>HYPERLINK("https://www.greenweez.com/produit/noix-de-muscade-moulue-50g/2BIOD0044","888888")</f>
        <v>888888</v>
      </c>
      <c r="K102" s="18" t="s">
        <v>56</v>
      </c>
      <c r="L102" s="9" t="str">
        <f>HYPERLINK("https://metabase.lelefan.org/public/dashboard/53c41f3f-5644-466e-935e-897e7725f6bc?rayon=&amp;d%25C3%25A9signation=NOIX DE MUSCADE&amp;fournisseur=&amp;date_d%25C3%25A9but=&amp;date_fin=","137.19")</f>
        <v>137.19</v>
      </c>
      <c r="M102" s="2"/>
      <c r="N102" s="16">
        <v>888888.0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1" t="s">
        <v>250</v>
      </c>
      <c r="B103" s="7" t="str">
        <f>HYPERLINK("https://lafourche.fr/products/cook-colombo-poudre-35g","56.86")</f>
        <v>56.86</v>
      </c>
      <c r="C103" s="8" t="s">
        <v>251</v>
      </c>
      <c r="D103" s="9" t="str">
        <f>HYPERLINK("https://www.biocoop.fr/magasin-biocoop_champollion/melange-epices-colombo-35g-ck0947-000.html","67.14")</f>
        <v>67.14</v>
      </c>
      <c r="E103" s="10">
        <v>0.0</v>
      </c>
      <c r="F103" s="9" t="str">
        <f>HYPERLINK("https://www.biocoop.fr/magasin-biocoop_fontaine/melange-epices-colombo-35g-ck0947-000.html","888888")</f>
        <v>888888</v>
      </c>
      <c r="G103" s="17">
        <v>0.0</v>
      </c>
      <c r="H103" s="9" t="str">
        <f>HYPERLINK("https://satoriz-comboire.bio/products/coloc","62.86")</f>
        <v>62.86</v>
      </c>
      <c r="I103" s="10">
        <v>0.0</v>
      </c>
      <c r="J103" s="9" t="str">
        <f>HYPERLINK("https://www.greenweez.com/produit/colombo-bio-50g/1LACA0042","888888")</f>
        <v>888888</v>
      </c>
      <c r="K103" s="17">
        <v>0.0</v>
      </c>
      <c r="L103" s="16">
        <v>888888.0</v>
      </c>
      <c r="M103" s="2"/>
      <c r="N103" s="16">
        <v>888888.0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1" t="s">
        <v>252</v>
      </c>
      <c r="B104" s="7" t="str">
        <f>HYPERLINK("https://lafourche.fr/products/cook-piment-doux-40g","64.75")</f>
        <v>64.75</v>
      </c>
      <c r="C104" s="8" t="s">
        <v>253</v>
      </c>
      <c r="D104" s="9" t="str">
        <f>HYPERLINK("https://www.biocoop.fr/magasin-biocoop_champollion/piment-doux-d-espagne-40g-ck0940-000.html","81.25")</f>
        <v>81.25</v>
      </c>
      <c r="E104" s="10">
        <v>0.0</v>
      </c>
      <c r="F104" s="9" t="str">
        <f>HYPERLINK("https://www.biocoop.fr/magasin-biocoop_fontaine/piment-doux-d-espagne-40g-ck0940-000.html","81.25")</f>
        <v>81.25</v>
      </c>
      <c r="G104" s="10">
        <v>0.0</v>
      </c>
      <c r="H104" s="9" t="str">
        <f>HYPERLINK("https://satoriz-comboire.bio/products/copimdou","72.5")</f>
        <v>72.5</v>
      </c>
      <c r="I104" s="10">
        <v>0.0</v>
      </c>
      <c r="J104" s="9" t="str">
        <f>HYPERLINK("https://www.greenweez.com/produit/piment-doux-despagne-bio-40g/1COOK0038","81.0")</f>
        <v>81.0</v>
      </c>
      <c r="K104" s="10">
        <v>0.0</v>
      </c>
      <c r="L104" s="9" t="str">
        <f>HYPERLINK("https://metabase.lelefan.org/public/dashboard/53c41f3f-5644-466e-935e-897e7725f6bc?rayon=&amp;d%25C3%25A9signation=PIMENT DOUX&amp;fournisseur=&amp;date_d%25C3%25A9but=&amp;date_fin=","90.94")</f>
        <v>90.94</v>
      </c>
      <c r="M104" s="2"/>
      <c r="N104" s="16">
        <v>888888.0</v>
      </c>
      <c r="O104" s="2"/>
      <c r="P104" s="1" t="s">
        <v>198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1" t="s">
        <v>254</v>
      </c>
      <c r="B105" s="7" t="str">
        <f>HYPERLINK("https://lafourche.fr/products/cook-melange-pour-chili-35g","79.71")</f>
        <v>79.71</v>
      </c>
      <c r="C105" s="10">
        <v>0.0</v>
      </c>
      <c r="D105" s="9" t="str">
        <f>HYPERLINK("https://www.biocoop.fr/magasin-biocoop_champollion/melange-epices-du-chili-35g-ck2014-000.html","100.0")</f>
        <v>100.0</v>
      </c>
      <c r="E105" s="10">
        <v>0.0</v>
      </c>
      <c r="F105" s="9" t="str">
        <f>HYPERLINK("https://www.biocoop.fr/magasin-biocoop_fontaine/melange-epices-du-chili-35g-ck2014-000.html","888888")</f>
        <v>888888</v>
      </c>
      <c r="G105" s="17">
        <v>0.0</v>
      </c>
      <c r="H105" s="9" t="str">
        <f>HYPERLINK("https://satoriz-comboire.bio/products/cochilc","88.57")</f>
        <v>88.57</v>
      </c>
      <c r="I105" s="10">
        <v>0.0</v>
      </c>
      <c r="J105" s="9" t="str">
        <f>HYPERLINK("https://www.greenweez.com/produit/melange-bio-chili-35g/1COOK0075","101.71")</f>
        <v>101.71</v>
      </c>
      <c r="K105" s="11" t="s">
        <v>255</v>
      </c>
      <c r="L105" s="16">
        <v>888888.0</v>
      </c>
      <c r="M105" s="2"/>
      <c r="N105" s="16">
        <v>888888.0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1" t="s">
        <v>256</v>
      </c>
      <c r="B106" s="7" t="str">
        <f>HYPERLINK("https://lafourche.fr/products/garam-masala","84.57")</f>
        <v>84.57</v>
      </c>
      <c r="C106" s="10">
        <v>0.0</v>
      </c>
      <c r="D106" s="9" t="str">
        <f>HYPERLINK("https://www.biocoop.fr/magasin-biocoop_champollion/garam-masala-35g-ck2059-000.html","110.0")</f>
        <v>110.0</v>
      </c>
      <c r="E106" s="10">
        <v>0.0</v>
      </c>
      <c r="F106" s="9" t="str">
        <f>HYPERLINK("https://www.biocoop.fr/magasin-biocoop_fontaine/garam-masala-35g-ck2059-000.html","110.0")</f>
        <v>110.0</v>
      </c>
      <c r="G106" s="10">
        <v>0.0</v>
      </c>
      <c r="H106" s="9" t="str">
        <f>HYPERLINK("https://satoriz-comboire.bio/products/map2garp","94.29")</f>
        <v>94.29</v>
      </c>
      <c r="I106" s="10">
        <v>0.0</v>
      </c>
      <c r="J106" s="9" t="str">
        <f>HYPERLINK("https://www.greenweez.com/produit/melange-garam-masala-bio-35g/1COOK0071","110.86")</f>
        <v>110.86</v>
      </c>
      <c r="K106" s="10">
        <v>0.0</v>
      </c>
      <c r="L106" s="16">
        <v>888888.0</v>
      </c>
      <c r="M106" s="2"/>
      <c r="N106" s="16">
        <v>888888.0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1" t="s">
        <v>257</v>
      </c>
      <c r="B107" s="7" t="str">
        <f>HYPERLINK("https://lafourche.fr/products/la-fourche-origan-bio-0-15kg","84.67")</f>
        <v>84.67</v>
      </c>
      <c r="C107" s="10">
        <v>0.0</v>
      </c>
      <c r="D107" s="9" t="str">
        <f t="shared" ref="D107:D108" si="68">HYPERLINK("https://www.biocoop.fr/magasin-biocoop_champollion/feuille-coupees-d-origan-13g-ck1216-000.html","160.0")</f>
        <v>160.0</v>
      </c>
      <c r="E107" s="10">
        <v>0.0</v>
      </c>
      <c r="F107" s="9" t="str">
        <f t="shared" ref="F107:F108" si="69">HYPERLINK("https://www.biocoop.fr/magasin-biocoop_fontaine/feuille-coupees-d-origan-13g-ck1216-000.html","170.0")</f>
        <v>170.0</v>
      </c>
      <c r="G107" s="10">
        <v>0.0</v>
      </c>
      <c r="H107" s="9" t="str">
        <f t="shared" ref="H107:H108" si="70">HYPERLINK("https://satoriz-comboire.bio/collections/epicerie-salee/products/coorigfeer","119.23")</f>
        <v>119.23</v>
      </c>
      <c r="I107" s="10">
        <v>0.0</v>
      </c>
      <c r="J107" s="9" t="str">
        <f t="shared" ref="J107:J108" si="71">HYPERLINK("https://www.greenweez.com/produit/origan-12g/2BIOD0050","115.0")</f>
        <v>115.0</v>
      </c>
      <c r="K107" s="10">
        <v>0.0</v>
      </c>
      <c r="L107" s="16">
        <v>888888.0</v>
      </c>
      <c r="M107" s="2"/>
      <c r="N107" s="16">
        <v>888888.0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1" t="s">
        <v>258</v>
      </c>
      <c r="B108" s="7" t="str">
        <f>HYPERLINK("https://lafourche.fr/products/biodyssee-origan-bio-0-012kg","100")</f>
        <v>100</v>
      </c>
      <c r="C108" s="11" t="s">
        <v>259</v>
      </c>
      <c r="D108" s="9" t="str">
        <f t="shared" si="68"/>
        <v>160.0</v>
      </c>
      <c r="E108" s="10">
        <v>0.0</v>
      </c>
      <c r="F108" s="9" t="str">
        <f t="shared" si="69"/>
        <v>170.0</v>
      </c>
      <c r="G108" s="10">
        <v>0.0</v>
      </c>
      <c r="H108" s="9" t="str">
        <f t="shared" si="70"/>
        <v>119.23</v>
      </c>
      <c r="I108" s="10">
        <v>0.0</v>
      </c>
      <c r="J108" s="9" t="str">
        <f t="shared" si="71"/>
        <v>115.0</v>
      </c>
      <c r="K108" s="10">
        <v>0.0</v>
      </c>
      <c r="L108" s="16">
        <v>888888.0</v>
      </c>
      <c r="M108" s="2"/>
      <c r="N108" s="16">
        <v>888888.0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1" t="s">
        <v>260</v>
      </c>
      <c r="B109" s="9" t="str">
        <f>HYPERLINK("https://lafourche.fr/products/herbier-thym-feuilles-50g","78")</f>
        <v>78</v>
      </c>
      <c r="C109" s="8" t="s">
        <v>261</v>
      </c>
      <c r="D109" s="9" t="str">
        <f t="shared" ref="D109:D110" si="72">HYPERLINK("https://www.biocoop.fr/magasin-biocoop_champollion/feuilles-de-thym-15g-ck1239-000.html","180.0")</f>
        <v>180.0</v>
      </c>
      <c r="E109" s="10">
        <v>0.0</v>
      </c>
      <c r="F109" s="9" t="str">
        <f t="shared" ref="F109:F110" si="73">HYPERLINK("https://www.biocoop.fr/magasin-biocoop_fontaine/feuilles-de-thym-15g-ck1239-000.html","183.33")</f>
        <v>183.33</v>
      </c>
      <c r="G109" s="10">
        <v>0.0</v>
      </c>
      <c r="H109" s="7" t="str">
        <f>HYPERLINK("https://satoriz-comboire.bio/products/cothym","68.0")</f>
        <v>68.0</v>
      </c>
      <c r="I109" s="10">
        <v>0.0</v>
      </c>
      <c r="J109" s="9" t="str">
        <f>HYPERLINK("https://www.greenweez.com/produit/feuilles-de-thym-bio-50g/1LHER0068","75.8")</f>
        <v>75.8</v>
      </c>
      <c r="K109" s="8" t="s">
        <v>262</v>
      </c>
      <c r="L109" s="9" t="str">
        <f>HYPERLINK("https://metabase.lelefan.org/public/dashboard/53c41f3f-5644-466e-935e-897e7725f6bc?rayon=&amp;d%25C3%25A9signation=THYM&amp;fournisseur=&amp;date_d%25C3%25A9but=&amp;date_fin=","200.67")</f>
        <v>200.67</v>
      </c>
      <c r="M109" s="2"/>
      <c r="N109" s="7" t="str">
        <f t="shared" ref="N109:N110" si="74">HYPERLINK("https://fd11-courses.leclercdrive.fr/magasin-063801-063801-Echirolles---Comboire/fiche-produits-71653-Thym-bio-Bio-Village.aspx","56.88")</f>
        <v>56.88</v>
      </c>
      <c r="O109" s="2"/>
      <c r="P109" s="1" t="s">
        <v>198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1" t="s">
        <v>263</v>
      </c>
      <c r="B110" s="7" t="str">
        <f>HYPERLINK("https://lafourche.fr/products/thym-en-feuilles","138.67")</f>
        <v>138.67</v>
      </c>
      <c r="C110" s="11" t="s">
        <v>264</v>
      </c>
      <c r="D110" s="9" t="str">
        <f t="shared" si="72"/>
        <v>180.0</v>
      </c>
      <c r="E110" s="10">
        <v>0.0</v>
      </c>
      <c r="F110" s="9" t="str">
        <f t="shared" si="73"/>
        <v>183.33</v>
      </c>
      <c r="G110" s="10">
        <v>0.0</v>
      </c>
      <c r="H110" s="9" t="str">
        <f>HYPERLINK("https://satoriz-comboire.bio/products/cothymc","160.0")</f>
        <v>160.0</v>
      </c>
      <c r="I110" s="11" t="s">
        <v>265</v>
      </c>
      <c r="J110" s="16">
        <v>888888.0</v>
      </c>
      <c r="K110" s="18" t="s">
        <v>56</v>
      </c>
      <c r="L110" s="16">
        <v>888888.0</v>
      </c>
      <c r="M110" s="2"/>
      <c r="N110" s="7" t="str">
        <f t="shared" si="74"/>
        <v>56.88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1" t="s">
        <v>266</v>
      </c>
      <c r="B111" s="7" t="str">
        <f>HYPERLINK("https://lafourche.fr/products/cook-moutarde-jaune-graines-60g","34.17")</f>
        <v>34.17</v>
      </c>
      <c r="C111" s="8" t="s">
        <v>267</v>
      </c>
      <c r="D111" s="9" t="str">
        <f>HYPERLINK("https://www.biocoop.fr/magasin-biocoop_champollion/moutarde-jaune-graines-60g-ck0928-000.html","41.67")</f>
        <v>41.67</v>
      </c>
      <c r="E111" s="11" t="s">
        <v>268</v>
      </c>
      <c r="F111" s="9" t="str">
        <f>HYPERLINK("https://www.biocoop.fr/magasin-biocoop_fontaine/moutarde-jaune-graines-60g-ck0928-000.html","42.5")</f>
        <v>42.5</v>
      </c>
      <c r="G111" s="11" t="s">
        <v>269</v>
      </c>
      <c r="H111" s="9" t="str">
        <f>HYPERLINK("https://satoriz-comboire.bio/products/comoutc","38.33")</f>
        <v>38.33</v>
      </c>
      <c r="I111" s="10">
        <v>0.0</v>
      </c>
      <c r="J111" s="9" t="str">
        <f>HYPERLINK("https://www.greenweez.com/produit/moutarde-jaune-graine-bio-55g/1LACA0026","888888")</f>
        <v>888888</v>
      </c>
      <c r="K111" s="17">
        <v>0.0</v>
      </c>
      <c r="L111" s="16">
        <v>888888.0</v>
      </c>
      <c r="M111" s="2"/>
      <c r="N111" s="16">
        <v>888888.0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1" t="s">
        <v>270</v>
      </c>
      <c r="B112" s="7" t="str">
        <f>HYPERLINK("https://lafourche.fr/products/cook-nigelle-graines-50g","59")</f>
        <v>59</v>
      </c>
      <c r="C112" s="8" t="s">
        <v>271</v>
      </c>
      <c r="D112" s="9" t="str">
        <f>HYPERLINK("https://www.biocoop.fr/magasin-biocoop_champollion/nigelle-graines-50g-ck2033-000.html","73.0")</f>
        <v>73.0</v>
      </c>
      <c r="E112" s="10">
        <v>0.0</v>
      </c>
      <c r="F112" s="9" t="str">
        <f>HYPERLINK("https://www.biocoop.fr/magasin-biocoop_fontaine/nigelle-graines-50g-ck2033-000.html","74.0")</f>
        <v>74.0</v>
      </c>
      <c r="G112" s="10">
        <v>0.0</v>
      </c>
      <c r="H112" s="9" t="str">
        <f>HYPERLINK("https://satoriz-comboire.bio/products/conig","68.0")</f>
        <v>68.0</v>
      </c>
      <c r="I112" s="10">
        <v>0.0</v>
      </c>
      <c r="J112" s="9" t="str">
        <f>HYPERLINK("https://www.greenweez.com/produit/nigelle-graines-bio-50g/1COOK0120","888888")</f>
        <v>888888</v>
      </c>
      <c r="K112" s="18" t="s">
        <v>56</v>
      </c>
      <c r="L112" s="16">
        <v>888888.0</v>
      </c>
      <c r="M112" s="2"/>
      <c r="N112" s="16">
        <v>888888.0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1" t="s">
        <v>272</v>
      </c>
      <c r="B113" s="9" t="str">
        <f>HYPERLINK("https://lafourche.fr/products/cook-curry-madras-35g","71.43")</f>
        <v>71.43</v>
      </c>
      <c r="C113" s="10">
        <v>0.0</v>
      </c>
      <c r="D113" s="9" t="str">
        <f>HYPERLINK("https://www.biocoop.fr/magasin-biocoop_champollion/curry-madras-35g-ck2053-000.html","90.0")</f>
        <v>90.0</v>
      </c>
      <c r="E113" s="10">
        <v>0.0</v>
      </c>
      <c r="F113" s="9" t="str">
        <f>HYPERLINK("https://www.biocoop.fr/magasin-biocoop_fontaine/curry-madras-35g-ck2053-000.html","888888")</f>
        <v>888888</v>
      </c>
      <c r="G113" s="17">
        <v>0.0</v>
      </c>
      <c r="H113" s="9" t="str">
        <f>HYPERLINK("https://satoriz-comboire.bio/products/cocumac","78.57")</f>
        <v>78.57</v>
      </c>
      <c r="I113" s="10">
        <v>0.0</v>
      </c>
      <c r="J113" s="9" t="str">
        <f>HYPERLINK("https://www.greenweez.com/produit/curry-de-madras-poudre-bio-35g/1COOK0128","90.0")</f>
        <v>90.0</v>
      </c>
      <c r="K113" s="11" t="s">
        <v>273</v>
      </c>
      <c r="L113" s="7" t="str">
        <f>HYPERLINK("https://metabase.lelefan.org/public/dashboard/53c41f3f-5644-466e-935e-897e7725f6bc?rayon=&amp;d%25C3%25A9signation=CURRY DE MADRAS VRAC&amp;fournisseur=&amp;date_d%25C3%25A9but=&amp;date_fin=","29.78")</f>
        <v>29.78</v>
      </c>
      <c r="M113" s="2"/>
      <c r="N113" s="16">
        <v>888888.0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1" t="s">
        <v>274</v>
      </c>
      <c r="B114" s="7" t="str">
        <f>HYPERLINK("https://lafourche.fr/products/cook-melange-4-epices-bio-35g","87.14")</f>
        <v>87.14</v>
      </c>
      <c r="C114" s="10">
        <v>0.0</v>
      </c>
      <c r="D114" s="9" t="str">
        <f>HYPERLINK("https://www.biocoop.fr/magasin-biocoop_champollion/melange-4-epices-35g-ck1237-000.html","100.0")</f>
        <v>100.0</v>
      </c>
      <c r="E114" s="10">
        <v>0.0</v>
      </c>
      <c r="F114" s="9" t="str">
        <f>HYPERLINK("https://www.biocoop.fr/magasin-biocoop_fontaine/melange-4-epices-35g-ck1237-000.html","100.0")</f>
        <v>100.0</v>
      </c>
      <c r="G114" s="10">
        <v>0.0</v>
      </c>
      <c r="H114" s="9" t="str">
        <f>HYPERLINK("https://satoriz-comboire.bio/products/co4epic","88.57")</f>
        <v>88.57</v>
      </c>
      <c r="I114" s="17" t="s">
        <v>275</v>
      </c>
      <c r="J114" s="9" t="str">
        <f>HYPERLINK("https://www.greenweez.com/produit/quatre-epices-bio-50g/1LACA0043","888888")</f>
        <v>888888</v>
      </c>
      <c r="K114" s="17">
        <v>0.0</v>
      </c>
      <c r="L114" s="9" t="str">
        <f>HYPERLINK("https://metabase.lelefan.org/public/dashboard/53c41f3f-5644-466e-935e-897e7725f6bc?rayon=&amp;d%25C3%25A9signation=QUATRE EPICES&amp;fournisseur=&amp;date_d%25C3%25A9but=&amp;date_fin=","93.25")</f>
        <v>93.25</v>
      </c>
      <c r="M114" s="2"/>
      <c r="N114" s="16">
        <v>888888.0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1" t="s">
        <v>276</v>
      </c>
      <c r="B115" s="7" t="str">
        <f>HYPERLINK("https://lafourche.fr/products/cook-piment-cayenne-poudre-40g","111.25")</f>
        <v>111.25</v>
      </c>
      <c r="C115" s="10">
        <v>0.0</v>
      </c>
      <c r="D115" s="9" t="str">
        <f>HYPERLINK("https://www.biocoop.fr/magasin-biocoop_champollion/piment-de-cayenne-poudre-40g-ck0910-000.html","128.75")</f>
        <v>128.75</v>
      </c>
      <c r="E115" s="10">
        <v>0.0</v>
      </c>
      <c r="F115" s="9" t="str">
        <f>HYPERLINK("https://www.biocoop.fr/magasin-biocoop_fontaine/piment-de-cayenne-poudre-40g-ck0910-000.html","130.0")</f>
        <v>130.0</v>
      </c>
      <c r="G115" s="10">
        <v>0.0</v>
      </c>
      <c r="H115" s="9" t="str">
        <f>HYPERLINK("https://satoriz-comboire.bio/products/copimpc","116.25")</f>
        <v>116.25</v>
      </c>
      <c r="I115" s="10">
        <v>0.0</v>
      </c>
      <c r="J115" s="9" t="str">
        <f>HYPERLINK("https://www.greenweez.com/produit/piment-de-cayenne-poudre-bio-40g/1COOK0040","888888")</f>
        <v>888888</v>
      </c>
      <c r="K115" s="18" t="s">
        <v>56</v>
      </c>
      <c r="L115" s="16">
        <v>888888.0</v>
      </c>
      <c r="M115" s="2"/>
      <c r="N115" s="16">
        <v>888888.0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1" t="s">
        <v>277</v>
      </c>
      <c r="B116" s="9" t="str">
        <f>HYPERLINK("https://lafourche.fr/products/cook-cardamome-moulue-35g","155.71")</f>
        <v>155.71</v>
      </c>
      <c r="C116" s="8" t="s">
        <v>147</v>
      </c>
      <c r="D116" s="9" t="str">
        <f>HYPERLINK("https://www.biocoop.fr/magasin-biocoop_champollion/cardamome-moulue-35g-ck0900-000.html","161.43")</f>
        <v>161.43</v>
      </c>
      <c r="E116" s="10">
        <v>0.0</v>
      </c>
      <c r="F116" s="9" t="str">
        <f>HYPERLINK("https://www.biocoop.fr/magasin-biocoop_fontaine/cardamome-moulue-35g-ck0900-000.html","160.0")</f>
        <v>160.0</v>
      </c>
      <c r="G116" s="10">
        <v>0.0</v>
      </c>
      <c r="H116" s="7" t="str">
        <f>HYPERLINK("https://satoriz-comboire.bio/products/cocard","154.29")</f>
        <v>154.29</v>
      </c>
      <c r="I116" s="10">
        <v>0.0</v>
      </c>
      <c r="J116" s="9" t="str">
        <f>HYPERLINK("https://www.greenweez.com/produit/cardamome-poudre-bio-35g/1COOK0010","169.71")</f>
        <v>169.71</v>
      </c>
      <c r="K116" s="10">
        <v>0.0</v>
      </c>
      <c r="L116" s="9" t="str">
        <f>HYPERLINK("https://metabase.lelefan.org/public/dashboard/53c41f3f-5644-466e-935e-897e7725f6bc?rayon=&amp;d%25C3%25A9signation=CARDAMOME&amp;fournisseur=&amp;date_d%25C3%25A9but=&amp;date_fin=","247.6")</f>
        <v>247.6</v>
      </c>
      <c r="M116" s="2"/>
      <c r="N116" s="16">
        <v>888888.0</v>
      </c>
      <c r="O116" s="2"/>
      <c r="P116" s="1" t="s">
        <v>198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1" t="s">
        <v>278</v>
      </c>
      <c r="B117" s="9" t="str">
        <f>HYPERLINK("https://lafourche.fr/products/cook-safran-poudre-1g","10990")</f>
        <v>10990</v>
      </c>
      <c r="C117" s="11" t="s">
        <v>279</v>
      </c>
      <c r="D117" s="9" t="str">
        <f>HYPERLINK("https://www.biocoop.fr/magasin-biocoop_champollion/safran-stigmates-entiers-1g-ck0945-000.html","11350.0")</f>
        <v>11350.0</v>
      </c>
      <c r="E117" s="10">
        <v>0.0</v>
      </c>
      <c r="F117" s="9" t="str">
        <f>HYPERLINK("https://www.biocoop.fr/magasin-biocoop_fontaine/safran-stigmates-entiers-1g-ck0945-000.html","11850.0")</f>
        <v>11850.0</v>
      </c>
      <c r="G117" s="10">
        <v>0.0</v>
      </c>
      <c r="H117" s="7" t="str">
        <f>HYPERLINK("https://satoriz-comboire.bio/products/cosaf","10600.0")</f>
        <v>10600.0</v>
      </c>
      <c r="I117" s="11" t="s">
        <v>280</v>
      </c>
      <c r="J117" s="9" t="str">
        <f>HYPERLINK("https://www.greenweez.com/produit/safran-stigmates-bio-1g/1COOK0052","11980.0")</f>
        <v>11980.0</v>
      </c>
      <c r="K117" s="10">
        <v>0.0</v>
      </c>
      <c r="L117" s="16">
        <v>888888.0</v>
      </c>
      <c r="M117" s="2"/>
      <c r="N117" s="16">
        <v>888888.0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1" t="s">
        <v>281</v>
      </c>
      <c r="B118" s="9" t="str">
        <f>HYPERLINK("https://lafourche.fr/products/cook-ail-des-ours-coupe-16g","118.75")</f>
        <v>118.75</v>
      </c>
      <c r="C118" s="8" t="s">
        <v>282</v>
      </c>
      <c r="D118" s="9" t="str">
        <f>HYPERLINK("https://www.biocoop.fr/magasin-biocoop_champollion/ail-des-ours-feuille-coupes-16g-ck2032-000.html","168.75")</f>
        <v>168.75</v>
      </c>
      <c r="E118" s="10">
        <v>0.0</v>
      </c>
      <c r="F118" s="7" t="str">
        <f>HYPERLINK("https://www.biocoop.fr/magasin-biocoop_fontaine/ail-des-ours-en-poudre-ec2115-000.html","98.0")</f>
        <v>98.0</v>
      </c>
      <c r="G118" s="10">
        <v>0.0</v>
      </c>
      <c r="H118" s="9" t="str">
        <f>HYPERLINK("https://satoriz-comboire.bio/products/map4ao1f","205.0")</f>
        <v>205.0</v>
      </c>
      <c r="I118" s="11" t="s">
        <v>283</v>
      </c>
      <c r="J118" s="9" t="str">
        <f>HYPERLINK("https://www.greenweez.com/produit/ail-des-ours-feuille-coupes-bio-16g/1COOK0110","169.38")</f>
        <v>169.38</v>
      </c>
      <c r="K118" s="11" t="s">
        <v>284</v>
      </c>
      <c r="L118" s="16">
        <v>888888.0</v>
      </c>
      <c r="M118" s="2"/>
      <c r="N118" s="16">
        <v>888888.0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1" t="s">
        <v>285</v>
      </c>
      <c r="B119" s="9" t="str">
        <f>HYPERLINK("https://lafourche.fr/products/philia-levure-maltee-en-flocons-bio-0-15kg","35.67")</f>
        <v>35.67</v>
      </c>
      <c r="C119" s="10">
        <v>0.0</v>
      </c>
      <c r="D119" s="9" t="str">
        <f>HYPERLINK("https://www.biocoop.fr/magasin-biocoop_champollion/flocons-de-levure-maltee-biologique-bio-ag2000-000.html","888888")</f>
        <v>888888</v>
      </c>
      <c r="E119" s="17">
        <v>0.0</v>
      </c>
      <c r="F119" s="9" t="str">
        <f>HYPERLINK("https://www.biocoop.fr/magasin-biocoop_fontaine/flocons-de-levure-maltee-biologique-bio-ag2000-000.html","28.0")</f>
        <v>28.0</v>
      </c>
      <c r="G119" s="8" t="s">
        <v>286</v>
      </c>
      <c r="H119" s="9" t="str">
        <f>HYPERLINK("https://satoriz-comboire.bio/products/re42572","30.0")</f>
        <v>30.0</v>
      </c>
      <c r="I119" s="10">
        <v>0.0</v>
      </c>
      <c r="J119" s="9" t="str">
        <f>HYPERLINK("https://www.greenweez.com/produit/flocons-de-levure-maltee-150g/1RAPU0059","46.73")</f>
        <v>46.73</v>
      </c>
      <c r="K119" s="11" t="s">
        <v>287</v>
      </c>
      <c r="L119" s="7" t="str">
        <f>HYPERLINK("https://metabase.lelefan.org/public/dashboard/53c41f3f-5644-466e-935e-897e7725f6bc?rayon=&amp;d%25C3%25A9signation=LEVURE MALTEE PAILLETTE VRAC&amp;fournisseur=&amp;date_d%25C3%25A9but=&amp;date_fin=","16.8")</f>
        <v>16.8</v>
      </c>
      <c r="M119" s="2"/>
      <c r="N119" s="16">
        <v>888888.0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1" t="s">
        <v>288</v>
      </c>
      <c r="B120" s="9" t="str">
        <f>HYPERLINK("https://lafourche.fr/products/celiane-fecule-de-pomme-de-terre-sans-gluten-500g","888888")</f>
        <v>888888</v>
      </c>
      <c r="C120" s="18" t="s">
        <v>56</v>
      </c>
      <c r="D120" s="9" t="str">
        <f>HYPERLINK("https://www.biocoop.fr/magasin-biocoop_champollion/fecule-de-pomme-de-terre-500g-al3026-000.html","8.84")</f>
        <v>8.84</v>
      </c>
      <c r="E120" s="10">
        <v>0.0</v>
      </c>
      <c r="F120" s="9" t="str">
        <f>HYPERLINK("https://www.biocoop.fr/magasin-biocoop_fontaine/fecule-de-pomme-de-terre-500g-al3026-000.html","8.8")</f>
        <v>8.8</v>
      </c>
      <c r="G120" s="10">
        <v>0.0</v>
      </c>
      <c r="H120" s="7" t="str">
        <f>HYPERLINK("https://satoriz-comboire.bio/products/ma5005","6.3")</f>
        <v>6.3</v>
      </c>
      <c r="I120" s="10">
        <v>0.0</v>
      </c>
      <c r="J120" s="9" t="str">
        <f>HYPERLINK("https://www.greenweez.com/produit/fecule-de-pomme-de-terre-500g-1/1MKAL0230","888888")</f>
        <v>888888</v>
      </c>
      <c r="K120" s="18" t="s">
        <v>56</v>
      </c>
      <c r="L120" s="9" t="str">
        <f>HYPERLINK("https://metabase.lelefan.org/public/dashboard/53c41f3f-5644-466e-935e-897e7725f6bc?rayon=&amp;d%25C3%25A9signation=FECULE DE POMME DE TERRE&amp;fournisseur=&amp;date_d%25C3%25A9but=&amp;date_fin=","7.34")</f>
        <v>7.34</v>
      </c>
      <c r="M120" s="2"/>
      <c r="N120" s="16">
        <v>888888.0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1" t="s">
        <v>289</v>
      </c>
      <c r="B121" s="9" t="str">
        <f>HYPERLINK("https://lafourche.fr/products/celnat-tapioca-250g","11.96")</f>
        <v>11.96</v>
      </c>
      <c r="C121" s="11" t="s">
        <v>290</v>
      </c>
      <c r="D121" s="16">
        <v>888888.0</v>
      </c>
      <c r="E121" s="2"/>
      <c r="F121" s="16">
        <v>888888.0</v>
      </c>
      <c r="G121" s="2"/>
      <c r="H121" s="7" t="str">
        <f>HYPERLINK("https://satoriz-comboire.bio/products/eu7671","9.4")</f>
        <v>9.4</v>
      </c>
      <c r="I121" s="10">
        <v>0.0</v>
      </c>
      <c r="J121" s="9" t="str">
        <f>HYPERLINK("https://www.greenweez.com/produit/fecule-de-tapioca-500g/1MAVI0037","9.8")</f>
        <v>9.8</v>
      </c>
      <c r="K121" s="10">
        <v>0.0</v>
      </c>
      <c r="L121" s="16">
        <v>888888.0</v>
      </c>
      <c r="M121" s="2"/>
      <c r="N121" s="16">
        <v>888888.0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1" t="s">
        <v>291</v>
      </c>
      <c r="B122" s="7" t="str">
        <f>HYPERLINK("https://lafourche.fr/products/fecule-de-mais","7.1")</f>
        <v>7.1</v>
      </c>
      <c r="C122" s="8" t="s">
        <v>292</v>
      </c>
      <c r="D122" s="9" t="str">
        <f>HYPERLINK("https://www.biocoop.fr/magasin-biocoop_champollion/amidon-de-mais-250g-jm1111-000.html","888888")</f>
        <v>888888</v>
      </c>
      <c r="E122" s="17">
        <v>0.0</v>
      </c>
      <c r="F122" s="9" t="str">
        <f>HYPERLINK("https://www.biocoop.fr/magasin-biocoop_fontaine/amidon-de-mais-250g-jm1111-000.html","14.8")</f>
        <v>14.8</v>
      </c>
      <c r="G122" s="10">
        <v>0.0</v>
      </c>
      <c r="H122" s="9" t="str">
        <f>HYPERLINK("https://satoriz-comboire.bio/products/eu2350","13.4")</f>
        <v>13.4</v>
      </c>
      <c r="I122" s="10">
        <v>0.0</v>
      </c>
      <c r="J122" s="9" t="str">
        <f>HYPERLINK("https://www.greenweez.com/produit/amidon-de-mais-sans-gluten-bio-500g/2WEEZ0207","8.96")</f>
        <v>8.96</v>
      </c>
      <c r="K122" s="11" t="s">
        <v>293</v>
      </c>
      <c r="L122" s="16">
        <v>888888.0</v>
      </c>
      <c r="M122" s="2"/>
      <c r="N122" s="16">
        <v>888888.0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1" t="s">
        <v>294</v>
      </c>
      <c r="B123" s="7" t="str">
        <f>HYPERLINK("https://lafourche.fr/products/la-fourche-tomates-sechees-a-lhuile-bio-0-28kg","13.18")</f>
        <v>13.18</v>
      </c>
      <c r="C123" s="11" t="s">
        <v>295</v>
      </c>
      <c r="D123" s="9" t="str">
        <f>HYPERLINK("https://www.biocoop.fr/magasin-biocoop_champollion/tomates-sechees-a-l-huile-190g-oi5058-000.html","888888")</f>
        <v>888888</v>
      </c>
      <c r="E123" s="17">
        <v>0.0</v>
      </c>
      <c r="F123" s="9" t="str">
        <f>HYPERLINK("https://www.biocoop.fr/magasin-biocoop_fontaine/tomates-sechees-a-l-huile-190g-oi5058-000.html","21.0")</f>
        <v>21.0</v>
      </c>
      <c r="G123" s="10">
        <v>0.0</v>
      </c>
      <c r="H123" s="9" t="str">
        <f>HYPERLINK("https://satoriz-comboire.bio/products/igpose06","15.53")</f>
        <v>15.53</v>
      </c>
      <c r="I123" s="10">
        <v>0.0</v>
      </c>
      <c r="J123" s="9" t="str">
        <f>HYPERLINK("https://www.greenweez.com/produit/tomates-sechees-a-lhuile-190g-3/1BIOO0004","25.79")</f>
        <v>25.79</v>
      </c>
      <c r="K123" s="10">
        <v>0.0</v>
      </c>
      <c r="L123" s="9" t="str">
        <f>HYPERLINK("https://metabase.lelefan.org/public/dashboard/53c41f3f-5644-466e-935e-897e7725f6bc?rayon=&amp;d%25C3%25A9signation=TOMATES SECHEES&amp;fournisseur=&amp;date_d%25C3%25A9but=&amp;date_fin=","34.0")</f>
        <v>34.0</v>
      </c>
      <c r="M123" s="2"/>
      <c r="N123" s="16">
        <v>888888.0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1" t="s">
        <v>296</v>
      </c>
      <c r="B124" s="9" t="str">
        <f>HYPERLINK("https://lafourche.fr/products/la-fourche-poivrons-grilles-a-lhuile-bio-0-19kg","15.74")</f>
        <v>15.74</v>
      </c>
      <c r="C124" s="11" t="s">
        <v>297</v>
      </c>
      <c r="D124" s="9" t="str">
        <f>HYPERLINK("https://www.biocoop.fr/magasin-biocoop_champollion/poivrons-grilles-a-l-huile-190g-oi5057-000.html","888888")</f>
        <v>888888</v>
      </c>
      <c r="E124" s="17">
        <v>0.0</v>
      </c>
      <c r="F124" s="9" t="str">
        <f>HYPERLINK("https://www.biocoop.fr/magasin-biocoop_fontaine/poivrons-grilles-a-l-huile-190g-oi5057-000.html","16.58")</f>
        <v>16.58</v>
      </c>
      <c r="G124" s="8" t="s">
        <v>298</v>
      </c>
      <c r="H124" s="7" t="str">
        <f>HYPERLINK("https://satoriz-comboire.bio/products/ig23","14.21")</f>
        <v>14.21</v>
      </c>
      <c r="I124" s="10">
        <v>0.0</v>
      </c>
      <c r="J124" s="9" t="str">
        <f>HYPERLINK("https://www.greenweez.com/produit/poivrons-rouges-grilles-en-saumure-310g/1RAPU0184","888888")</f>
        <v>888888</v>
      </c>
      <c r="K124" s="18" t="s">
        <v>56</v>
      </c>
      <c r="L124" s="16">
        <v>888888.0</v>
      </c>
      <c r="M124" s="2"/>
      <c r="N124" s="16">
        <v>888888.0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1" t="s">
        <v>299</v>
      </c>
      <c r="B125" s="7" t="str">
        <f>HYPERLINK("https://lafourche.fr/products/la-fourche-artichauts-grilles-a-lhuile-bio-0-19kg","15.74")</f>
        <v>15.74</v>
      </c>
      <c r="C125" s="10">
        <v>0.0</v>
      </c>
      <c r="D125" s="9" t="str">
        <f>HYPERLINK("https://www.biocoop.fr/magasin-biocoop_champollion/artichaut-grille-a-l-huile-190g-oi5055-000.html","888888")</f>
        <v>888888</v>
      </c>
      <c r="E125" s="17">
        <v>0.0</v>
      </c>
      <c r="F125" s="9" t="str">
        <f>HYPERLINK("https://www.biocoop.fr/magasin-biocoop_fontaine/artichaut-grille-a-l-huile-190g-oi5055-000.html","23.42")</f>
        <v>23.42</v>
      </c>
      <c r="G125" s="10">
        <v>0.0</v>
      </c>
      <c r="H125" s="9" t="str">
        <f>HYPERLINK("https://satoriz-comboire.bio/products/iggrca03","18.95")</f>
        <v>18.95</v>
      </c>
      <c r="I125" s="10">
        <v>0.0</v>
      </c>
      <c r="J125" s="9" t="str">
        <f>HYPERLINK("https://www.greenweez.com/produit/artichauts-grilles-a-lhuile-190g/1BIOO0006","27.84")</f>
        <v>27.84</v>
      </c>
      <c r="K125" s="10">
        <v>0.0</v>
      </c>
      <c r="L125" s="16">
        <v>888888.0</v>
      </c>
      <c r="M125" s="2"/>
      <c r="N125" s="16">
        <v>888888.0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1" t="s">
        <v>300</v>
      </c>
      <c r="B126" s="7" t="str">
        <f>HYPERLINK("https://lafourche.fr/products/belle-nature-olives-vertes-natures-bio-500g","9.96")</f>
        <v>9.96</v>
      </c>
      <c r="C126" s="8" t="s">
        <v>301</v>
      </c>
      <c r="D126" s="9" t="str">
        <f>HYPERLINK("https://www.biocoop.fr/magasin-biocoop_champollion/olive-verte-entiere-600g-net-egoutte-ra6106-000.html","888888")</f>
        <v>888888</v>
      </c>
      <c r="E126" s="17">
        <v>0.0</v>
      </c>
      <c r="F126" s="9" t="str">
        <f>HYPERLINK("https://www.biocoop.fr/magasin-biocoop_fontaine/olive-verte-entiere-600g-net-egoutte-ra6106-000.html","888888")</f>
        <v>888888</v>
      </c>
      <c r="G126" s="18" t="s">
        <v>56</v>
      </c>
      <c r="H126" s="9" t="str">
        <f>HYPERLINK("https://satoriz-comboire.bio/products/igbc709002","10.86")</f>
        <v>10.86</v>
      </c>
      <c r="I126" s="8" t="s">
        <v>302</v>
      </c>
      <c r="J126" s="9" t="str">
        <f>HYPERLINK("https://www.greenweez.com/produit/olives-vertes-550g/1BIOO0015","888888")</f>
        <v>888888</v>
      </c>
      <c r="K126" s="18" t="s">
        <v>56</v>
      </c>
      <c r="L126" s="9" t="str">
        <f>HYPERLINK("https://metabase.lelefan.org/public/dashboard/53c41f3f-5644-466e-935e-897e7725f6bc?rayon=&amp;d%25C3%25A9signation=OLIVES VERTES - GRECE&amp;fournisseur=&amp;date_d%25C3%25A9but=&amp;date_fin=","19.53")</f>
        <v>19.53</v>
      </c>
      <c r="M126" s="2"/>
      <c r="N126" s="16">
        <v>888888.0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1" t="s">
        <v>303</v>
      </c>
      <c r="B127" s="7" t="str">
        <f>HYPERLINK("https://lafourche.fr/products/belle-nature-olives-noires-nature-500g","9.98")</f>
        <v>9.98</v>
      </c>
      <c r="C127" s="8" t="s">
        <v>304</v>
      </c>
      <c r="D127" s="9" t="str">
        <f>HYPERLINK("https://www.biocoop.fr/magasin-biocoop_champollion/olive-noire-nature-410g-net-egoutte-oi5062-000.html","11.95")</f>
        <v>11.95</v>
      </c>
      <c r="E127" s="10">
        <v>0.0</v>
      </c>
      <c r="F127" s="9" t="str">
        <f>HYPERLINK("https://www.biocoop.fr/magasin-biocoop_fontaine/olive-noire-nature-410g-net-egoutte-oi5062-000.html","12.07")</f>
        <v>12.07</v>
      </c>
      <c r="G127" s="11" t="s">
        <v>305</v>
      </c>
      <c r="H127" s="9" t="str">
        <f>HYPERLINK("https://satoriz-comboire.bio/products/re44555","10.7")</f>
        <v>10.7</v>
      </c>
      <c r="I127" s="10">
        <v>0.0</v>
      </c>
      <c r="J127" s="9" t="str">
        <f>HYPERLINK("https://www.greenweez.com/produit/olives-noires-au-naturel-500g/2EMIL0096","16.96")</f>
        <v>16.96</v>
      </c>
      <c r="K127" s="11" t="s">
        <v>306</v>
      </c>
      <c r="L127" s="9" t="str">
        <f>HYPERLINK("https://metabase.lelefan.org/public/dashboard/53c41f3f-5644-466e-935e-897e7725f6bc?rayon=&amp;d%25C3%25A9signation=OLIVES NOIRES&amp;fournisseur=&amp;date_d%25C3%25A9but=&amp;date_fin=","888888")</f>
        <v>888888</v>
      </c>
      <c r="M127" s="2"/>
      <c r="N127" s="16">
        <v>888888.0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1" t="s">
        <v>307</v>
      </c>
      <c r="B128" s="9" t="str">
        <f>HYPERLINK("https://lafourche.fr/products/nefeli-olives-vertes-denoyautees-bio-0-98kg","15.63")</f>
        <v>15.63</v>
      </c>
      <c r="C128" s="11" t="s">
        <v>308</v>
      </c>
      <c r="D128" s="9" t="str">
        <f>HYPERLINK("https://www.biocoop.fr/magasin-biocoop_champollion/olive-verte-denoyautee-370g-net-egoutte-oi5066-000.html","888888")</f>
        <v>888888</v>
      </c>
      <c r="E128" s="17">
        <v>0.0</v>
      </c>
      <c r="F128" s="9" t="str">
        <f>HYPERLINK("https://www.biocoop.fr/magasin-biocoop_fontaine/olive-noire-denoyautee-370g-net-egoutte-oi5060-000.html","16.49")</f>
        <v>16.49</v>
      </c>
      <c r="G128" s="11" t="s">
        <v>309</v>
      </c>
      <c r="H128" s="9" t="str">
        <f t="shared" ref="H128:H129" si="75">HYPERLINK("https://satoriz-comboire.bio/products/igovsd01","16.67")</f>
        <v>16.67</v>
      </c>
      <c r="I128" s="10">
        <v>0.0</v>
      </c>
      <c r="J128" s="9" t="str">
        <f t="shared" ref="J128:J129" si="76">HYPERLINK("https://www.greenweez.com/produit/olives-vertes-denoyautees-au-naturel-bio-de-grece-160g/2WEEZ0541","888888")</f>
        <v>888888</v>
      </c>
      <c r="K128" s="18" t="s">
        <v>56</v>
      </c>
      <c r="L128" s="7" t="str">
        <f>HYPERLINK("https://metabase.lelefan.org/public/dashboard/53c41f3f-5644-466e-935e-897e7725f6bc?rayon=&amp;d%25C3%25A9signation=OLIVES VERTES DENOYAUTEES - ESPAGNE&amp;fournisseur=&amp;date_d%25C3%25A9but=&amp;date_fin=","6.23")</f>
        <v>6.23</v>
      </c>
      <c r="M128" s="2"/>
      <c r="N128" s="16">
        <v>888888.0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1" t="s">
        <v>310</v>
      </c>
      <c r="B129" s="9" t="str">
        <f>HYPERLINK("https://lafourche.fr/products/la-fourche-olives-vertes-denoyautees-0-16kg","17.44")</f>
        <v>17.44</v>
      </c>
      <c r="C129" s="11" t="s">
        <v>311</v>
      </c>
      <c r="D129" s="9" t="str">
        <f>HYPERLINK("https://www.biocoop.fr/magasin-biocoop_champollion/olives-vertes-denoyautees-150g-net-egoutte-oi5056-000.html","888888")</f>
        <v>888888</v>
      </c>
      <c r="E129" s="17">
        <v>0.0</v>
      </c>
      <c r="F129" s="9" t="str">
        <f>HYPERLINK("https://www.biocoop.fr/magasin-biocoop_fontaine/olives-vertes-denoyautees-150g-net-egoutte-oi5056-000.html","23.0")</f>
        <v>23.0</v>
      </c>
      <c r="G129" s="11" t="s">
        <v>312</v>
      </c>
      <c r="H129" s="7" t="str">
        <f t="shared" si="75"/>
        <v>16.67</v>
      </c>
      <c r="I129" s="10">
        <v>0.0</v>
      </c>
      <c r="J129" s="9" t="str">
        <f t="shared" si="76"/>
        <v>888888</v>
      </c>
      <c r="K129" s="18" t="s">
        <v>56</v>
      </c>
      <c r="L129" s="16">
        <v>888888.0</v>
      </c>
      <c r="M129" s="2"/>
      <c r="N129" s="16">
        <v>888888.0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1" t="s">
        <v>313</v>
      </c>
      <c r="B130" s="9" t="str">
        <f>HYPERLINK("https://lafourche.fr/products/nefeli-olives-kalamata-denoyautes-bio-0-97kg","17.22")</f>
        <v>17.22</v>
      </c>
      <c r="C130" s="10">
        <v>0.0</v>
      </c>
      <c r="D130" s="9" t="str">
        <f>HYPERLINK("https://www.biocoop.fr/magasin-biocoop_champollion/olive-noire-denoyautee-370g-net-egoutte-oi5060-000.html","888888")</f>
        <v>888888</v>
      </c>
      <c r="E130" s="17">
        <v>0.0</v>
      </c>
      <c r="F130" s="9" t="str">
        <f>HYPERLINK("https://www.biocoop.fr/magasin-biocoop_fontaine/olive-noire-denoyautee-370g-net-egoutte-oi5060-000.html","16.49")</f>
        <v>16.49</v>
      </c>
      <c r="G130" s="8" t="s">
        <v>314</v>
      </c>
      <c r="H130" s="7" t="str">
        <f t="shared" ref="H130:H131" si="77">HYPERLINK("https://satoriz-comboire.bio/products/igondevo02","15.0")</f>
        <v>15.0</v>
      </c>
      <c r="I130" s="10">
        <v>0.0</v>
      </c>
      <c r="J130" s="9" t="str">
        <f t="shared" ref="J130:J131" si="78">HYPERLINK("https://www.greenweez.com/produit/olives-noires-kalamata-denoyautees-bio-de-grece-160g/2WEEZ0540","19.94")</f>
        <v>19.94</v>
      </c>
      <c r="K130" s="11" t="s">
        <v>315</v>
      </c>
      <c r="L130" s="16">
        <v>888888.0</v>
      </c>
      <c r="M130" s="2"/>
      <c r="N130" s="16">
        <v>888888.0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1" t="s">
        <v>316</v>
      </c>
      <c r="B131" s="9" t="str">
        <f>HYPERLINK("https://lafourche.fr/products/la-fourche-olives-kalamata-denoyautees-0-16kg","18.69")</f>
        <v>18.69</v>
      </c>
      <c r="C131" s="11" t="s">
        <v>317</v>
      </c>
      <c r="D131" s="9" t="str">
        <f>HYPERLINK("https://www.biocoop.fr/magasin-biocoop_champollion/olive-noire-denoyautee-150g-net-egoutte-oi5079-000.html","888888")</f>
        <v>888888</v>
      </c>
      <c r="E131" s="17">
        <v>0.0</v>
      </c>
      <c r="F131" s="9" t="str">
        <f>HYPERLINK("https://www.biocoop.fr/magasin-biocoop_fontaine/olive-noire-denoyautee-150g-net-egoutte-oi5079-000.html","21.33")</f>
        <v>21.33</v>
      </c>
      <c r="G131" s="11" t="s">
        <v>318</v>
      </c>
      <c r="H131" s="7" t="str">
        <f t="shared" si="77"/>
        <v>15.0</v>
      </c>
      <c r="I131" s="10">
        <v>0.0</v>
      </c>
      <c r="J131" s="9" t="str">
        <f t="shared" si="78"/>
        <v>19.94</v>
      </c>
      <c r="K131" s="11" t="s">
        <v>315</v>
      </c>
      <c r="L131" s="16">
        <v>888888.0</v>
      </c>
      <c r="M131" s="2"/>
      <c r="N131" s="16">
        <v>888888.0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1" t="s">
        <v>319</v>
      </c>
      <c r="B132" s="9" t="str">
        <f>HYPERLINK("https://lafourche.fr/products/terra-sana-cornichons-aigre-doux-bio-0-67kg","12.75")</f>
        <v>12.75</v>
      </c>
      <c r="C132" s="11" t="s">
        <v>320</v>
      </c>
      <c r="D132" s="9" t="str">
        <f>HYPERLINK("https://www.biocoop.fr/magasin-biocoop_champollion/cornichons-mi-fins-180g-net-egoutte-bs4006-000.html","19.17")</f>
        <v>19.17</v>
      </c>
      <c r="E132" s="11" t="s">
        <v>321</v>
      </c>
      <c r="F132" s="9" t="str">
        <f>HYPERLINK("https://www.biocoop.fr/magasin-biocoop_fontaine/cornichon-aigre-doux-aneth-360g-net-egoutte-ch0048-000.html","18.75")</f>
        <v>18.75</v>
      </c>
      <c r="G132" s="11" t="s">
        <v>187</v>
      </c>
      <c r="H132" s="9" t="str">
        <f>HYPERLINK("https://satoriz-comboire.bio/products/re22746","13.75")</f>
        <v>13.75</v>
      </c>
      <c r="I132" s="10">
        <v>0.0</v>
      </c>
      <c r="J132" s="9" t="str">
        <f>HYPERLINK("https://www.greenweez.com/produit/cornichons-aigres-doux-bio-entiers-72cl/2WEEZ0494","13.31")</f>
        <v>13.31</v>
      </c>
      <c r="K132" s="11" t="s">
        <v>322</v>
      </c>
      <c r="L132" s="7" t="str">
        <f>HYPERLINK("https://metabase.lelefan.org/public/dashboard/53c41f3f-5644-466e-935e-897e7725f6bc?rayon=&amp;d%25C3%25A9signation=CORNICHONS MI FINS AIGRE DOUX&amp;fournisseur=&amp;date_d%25C3%25A9but=&amp;date_fin=","11.33")</f>
        <v>11.33</v>
      </c>
      <c r="M132" s="2"/>
      <c r="N132" s="9" t="str">
        <f>HYPERLINK("https://fd11-courses.leclercdrive.fr/magasin-063801-063801-Echirolles---Comboire/fiche-produits-103377-Cornichons-bio-Bio-Village.aspx","12.97")</f>
        <v>12.97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1" t="s">
        <v>323</v>
      </c>
      <c r="B133" s="7" t="str">
        <f>HYPERLINK("https://lafourche.fr/products/philia-capres-bio-au-vinaigre-90g","21.2")</f>
        <v>21.2</v>
      </c>
      <c r="C133" s="8" t="s">
        <v>324</v>
      </c>
      <c r="D133" s="9" t="str">
        <f>HYPERLINK("https://www.biocoop.fr/magasin-biocoop_champollion/capres-huile-d-olive-oi5030-000.html","29.44")</f>
        <v>29.44</v>
      </c>
      <c r="E133" s="10">
        <v>0.0</v>
      </c>
      <c r="F133" s="9" t="str">
        <f>HYPERLINK("https://www.biocoop.fr/magasin-biocoop_fontaine/capres-au-vinaigre-90g-net-egoutte-oi5002-000.html","32.22")</f>
        <v>32.22</v>
      </c>
      <c r="G133" s="10">
        <v>0.0</v>
      </c>
      <c r="H133" s="9" t="str">
        <f>HYPERLINK("https://satoriz-comboire.bio/products/igcaac06","21.67")</f>
        <v>21.67</v>
      </c>
      <c r="I133" s="10">
        <v>0.0</v>
      </c>
      <c r="J133" s="9" t="str">
        <f>HYPERLINK("https://www.greenweez.com/produit/capres-surfines-a-lestragon-22-8cl/1BRAV0002","28.32")</f>
        <v>28.32</v>
      </c>
      <c r="K133" s="11" t="s">
        <v>325</v>
      </c>
      <c r="L133" s="9" t="str">
        <f>HYPERLINK("https://metabase.lelefan.org/public/dashboard/53c41f3f-5644-466e-935e-897e7725f6bc?rayon=&amp;d%25C3%25A9signation=CAPRES AU VINAIGRE&amp;fournisseur=&amp;date_d%25C3%25A9but=&amp;date_fin=","34.33")</f>
        <v>34.33</v>
      </c>
      <c r="M133" s="2"/>
      <c r="N133" s="16">
        <v>888888.0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1" t="s">
        <v>326</v>
      </c>
      <c r="B134" s="7" t="str">
        <f>HYPERLINK("https://lafourche.fr/products/biodyssee-poivre-noir-moulu-bio-0-5kg","26.2")</f>
        <v>26.2</v>
      </c>
      <c r="C134" s="11" t="s">
        <v>327</v>
      </c>
      <c r="D134" s="9" t="str">
        <f t="shared" ref="D134:D135" si="79">HYPERLINK("https://www.biocoop.fr/magasin-biocoop_champollion/poivre-noir-moulu-45g-ck1425-000.html","87.78")</f>
        <v>87.78</v>
      </c>
      <c r="E134" s="10">
        <v>0.0</v>
      </c>
      <c r="F134" s="9" t="str">
        <f t="shared" ref="F134:F135" si="80">HYPERLINK("https://www.biocoop.fr/magasin-biocoop_fontaine/poivre-noir-poudre-bio-ck2103-000.html","36.35")</f>
        <v>36.35</v>
      </c>
      <c r="G134" s="10">
        <v>0.0</v>
      </c>
      <c r="H134" s="9" t="str">
        <f>HYPERLINK("https://satoriz-comboire.bio/products/coponpse","45.0")</f>
        <v>45.0</v>
      </c>
      <c r="I134" s="8" t="s">
        <v>328</v>
      </c>
      <c r="J134" s="9" t="str">
        <f>HYPERLINK("https://www.greenweez.com/produit/poivre-noir-moulu-220g/1COOK0090","53.27")</f>
        <v>53.27</v>
      </c>
      <c r="K134" s="11" t="s">
        <v>329</v>
      </c>
      <c r="L134" s="9" t="str">
        <f>HYPERLINK("https://metabase.lelefan.org/public/dashboard/53c41f3f-5644-466e-935e-897e7725f6bc?rayon=&amp;d%25C3%25A9signation=POIVRE NOIR POUDRE VRAC&amp;fournisseur=&amp;date_d%25C3%25A9but=&amp;date_fin=","34.16")</f>
        <v>34.16</v>
      </c>
      <c r="M134" s="2"/>
      <c r="N134" s="9" t="str">
        <f t="shared" ref="N134:N135" si="81">HYPERLINK("https://fd11-courses.leclercdrive.fr/magasin-063801-063801-Echirolles---Comboire/fiche-produits-67651-Poivre-Noir-moulu-Bio-Village.aspx","52.37")</f>
        <v>52.37</v>
      </c>
      <c r="O134" s="2"/>
      <c r="P134" s="1" t="s">
        <v>198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1" t="s">
        <v>330</v>
      </c>
      <c r="B135" s="9" t="str">
        <f>HYPERLINK("https://lafourche.fr/products/biodyssee-poivre-noir-moulu-bio-0-04kg","66")</f>
        <v>66</v>
      </c>
      <c r="C135" s="11" t="s">
        <v>331</v>
      </c>
      <c r="D135" s="9" t="str">
        <f t="shared" si="79"/>
        <v>87.78</v>
      </c>
      <c r="E135" s="10">
        <v>0.0</v>
      </c>
      <c r="F135" s="7" t="str">
        <f t="shared" si="80"/>
        <v>36.35</v>
      </c>
      <c r="G135" s="10">
        <v>0.0</v>
      </c>
      <c r="H135" s="9" t="str">
        <f>HYPERLINK("https://satoriz-comboire.bio/products/copoivre","72.22")</f>
        <v>72.22</v>
      </c>
      <c r="I135" s="11" t="s">
        <v>332</v>
      </c>
      <c r="J135" s="9" t="str">
        <f>HYPERLINK("https://www.greenweez.com/produit/poivre-noir-moulu-40g/2BIOD0061","888888")</f>
        <v>888888</v>
      </c>
      <c r="K135" s="18" t="s">
        <v>56</v>
      </c>
      <c r="L135" s="16">
        <v>888888.0</v>
      </c>
      <c r="M135" s="2"/>
      <c r="N135" s="9" t="str">
        <f t="shared" si="81"/>
        <v>52.37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1" t="s">
        <v>333</v>
      </c>
      <c r="B136" s="9" t="str">
        <f>HYPERLINK("https://lafourche.fr/products/la-fourche-poivre-noir-en-grains-bio-0-25kg","37.8")</f>
        <v>37.8</v>
      </c>
      <c r="C136" s="11" t="s">
        <v>334</v>
      </c>
      <c r="D136" s="9" t="str">
        <f>HYPERLINK("https://www.biocoop.fr/magasin-biocoop_champollion/poivre-noir-grains-150g-ck2145-000.html","59.33")</f>
        <v>59.33</v>
      </c>
      <c r="E136" s="8" t="s">
        <v>335</v>
      </c>
      <c r="F136" s="9" t="str">
        <f t="shared" ref="F136:F137" si="82">HYPERLINK("https://www.biocoop.fr/magasin-biocoop_fontaine/poivre-noir-en-grains-50g-ck0912-000.html","81.0")</f>
        <v>81.0</v>
      </c>
      <c r="G136" s="11">
        <v>0.44</v>
      </c>
      <c r="H136" s="9" t="str">
        <f>HYPERLINK("https://satoriz-comboire.bio/products/copovngrec","33.9")</f>
        <v>33.9</v>
      </c>
      <c r="I136" s="10">
        <v>0.0</v>
      </c>
      <c r="J136" s="7" t="str">
        <f>HYPERLINK("https://www.greenweez.com/produit/poivre-noir-en-grains-bio-200g/2WEEZ0164","27.9")</f>
        <v>27.9</v>
      </c>
      <c r="K136" s="8">
        <v>-0.1</v>
      </c>
      <c r="L136" s="9" t="str">
        <f>HYPERLINK("https://metabase.lelefan.org/public/dashboard/53c41f3f-5644-466e-935e-897e7725f6bc?rayon=&amp;d%25C3%25A9signation=POIVRE NOIR GRAIN&amp;fournisseur=&amp;date_d%25C3%25A9but=&amp;date_fin=","59.56")</f>
        <v>59.56</v>
      </c>
      <c r="M136" s="2"/>
      <c r="N136" s="16">
        <v>888888.0</v>
      </c>
      <c r="O136" s="2"/>
      <c r="P136" s="1" t="s">
        <v>198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1" t="s">
        <v>336</v>
      </c>
      <c r="B137" s="7" t="str">
        <f>HYPERLINK("https://lafourche.fr/products/cook-ecorecharge-poivre-noir-en-grains-bio-0-05kg","58.2")</f>
        <v>58.2</v>
      </c>
      <c r="C137" s="11" t="s">
        <v>337</v>
      </c>
      <c r="D137" s="9" t="str">
        <f>HYPERLINK("https://www.biocoop.fr/magasin-biocoop_champollion/poivre-noir-en-grains-50g-ck0912-000.html","81.0")</f>
        <v>81.0</v>
      </c>
      <c r="E137" s="11" t="s">
        <v>338</v>
      </c>
      <c r="F137" s="9" t="str">
        <f t="shared" si="82"/>
        <v>81.0</v>
      </c>
      <c r="G137" s="11">
        <v>0.44</v>
      </c>
      <c r="H137" s="9" t="str">
        <f>HYPERLINK("https://satoriz-comboire.bio/products/copovngrer?_pos=3&amp;_sid=2e3588fdf&amp;_ss=r","59.0")</f>
        <v>59.0</v>
      </c>
      <c r="I137" s="11" t="s">
        <v>339</v>
      </c>
      <c r="J137" s="9" t="str">
        <f>HYPERLINK("https://www.greenweez.com/produit/poivre-noir-grains-bio-cook-50-g/1COOK0044","888888")</f>
        <v>888888</v>
      </c>
      <c r="K137" s="18" t="s">
        <v>56</v>
      </c>
      <c r="L137" s="16">
        <v>888888.0</v>
      </c>
      <c r="M137" s="2"/>
      <c r="N137" s="16">
        <v>888888.0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1" t="s">
        <v>340</v>
      </c>
      <c r="B138" s="9" t="str">
        <f>HYPERLINK("https://lafourche.fr/products/cook-poivre-blanc-en-grains-bio-0-05kg","106")</f>
        <v>106</v>
      </c>
      <c r="C138" s="11" t="s">
        <v>341</v>
      </c>
      <c r="D138" s="7" t="str">
        <f>HYPERLINK("https://www.biocoop.fr/magasin-biocoop_champollion/poivre-blanc-moulin-50g-sm0364-000.html","102.4")</f>
        <v>102.4</v>
      </c>
      <c r="E138" s="11" t="s">
        <v>342</v>
      </c>
      <c r="F138" s="9" t="str">
        <f>HYPERLINK("https://www.biocoop.fr/magasin-biocoop_fontaine/poivre-blanc-moulin-50g-sm0364-000.html","888888")</f>
        <v>888888</v>
      </c>
      <c r="G138" s="17">
        <v>0.0</v>
      </c>
      <c r="H138" s="9" t="str">
        <f>HYPERLINK("https://satoriz-comboire.bio/products/copobgc","113.0")</f>
        <v>113.0</v>
      </c>
      <c r="I138" s="10">
        <v>0.0</v>
      </c>
      <c r="J138" s="9" t="str">
        <f>HYPERLINK("https://www.greenweez.com/produit/poivre-blanc-entier-moulin-rechargeable-50g/2BIOD0036","119.8")</f>
        <v>119.8</v>
      </c>
      <c r="K138" s="11" t="s">
        <v>343</v>
      </c>
      <c r="L138" s="16">
        <v>888888.0</v>
      </c>
      <c r="M138" s="2"/>
      <c r="N138" s="16">
        <v>888888.0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1" t="s">
        <v>344</v>
      </c>
      <c r="B139" s="9" t="str">
        <f>HYPERLINK("https://lafourche.fr/products/cook-melange-3-baies-bio-45g","102.22")</f>
        <v>102.22</v>
      </c>
      <c r="C139" s="8" t="s">
        <v>345</v>
      </c>
      <c r="D139" s="9" t="str">
        <f>HYPERLINK("https://www.biocoop.fr/magasin-biocoop_champollion/poivre-melange-3-baies-45g-ck1224-000.html","127.78")</f>
        <v>127.78</v>
      </c>
      <c r="E139" s="10">
        <v>0.0</v>
      </c>
      <c r="F139" s="9" t="str">
        <f>HYPERLINK("https://www.biocoop.fr/magasin-biocoop_fontaine/poivre-melange-3-baies-45g-ck1224-000.html","127.78")</f>
        <v>127.78</v>
      </c>
      <c r="G139" s="10">
        <v>0.0</v>
      </c>
      <c r="H139" s="9" t="str">
        <f>HYPERLINK("https://satoriz-comboire.bio/products/co3b","106.67")</f>
        <v>106.67</v>
      </c>
      <c r="I139" s="10">
        <v>0.0</v>
      </c>
      <c r="J139" s="7" t="str">
        <f>HYPERLINK("https://www.greenweez.com/produit/melange-de-poivres-50g/1LEBE0023","73.6")</f>
        <v>73.6</v>
      </c>
      <c r="K139" s="11" t="s">
        <v>346</v>
      </c>
      <c r="L139" s="16">
        <v>888888.0</v>
      </c>
      <c r="M139" s="2"/>
      <c r="N139" s="16">
        <v>888888.0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1" t="s">
        <v>347</v>
      </c>
      <c r="B140" s="7" t="str">
        <f>HYPERLINK("https://lafourche.fr/products/cook-baies-de-genievre-bio-0-025kg","93.2")</f>
        <v>93.2</v>
      </c>
      <c r="C140" s="10">
        <v>0.0</v>
      </c>
      <c r="D140" s="9" t="str">
        <f>HYPERLINK("https://www.biocoop.fr/magasin-biocoop_champollion/baies-de-genievre-25g-ck1210-000.html","104.0")</f>
        <v>104.0</v>
      </c>
      <c r="E140" s="10">
        <v>0.0</v>
      </c>
      <c r="F140" s="9" t="str">
        <f>HYPERLINK("https://www.biocoop.fr/magasin-biocoop_fontaine/baies-de-genievre-25g-ck1210-000.html","110.0")</f>
        <v>110.0</v>
      </c>
      <c r="G140" s="10">
        <v>0.0</v>
      </c>
      <c r="H140" s="9" t="str">
        <f>HYPERLINK("https://satoriz-comboire.bio/products/cogen","102.0")</f>
        <v>102.0</v>
      </c>
      <c r="I140" s="10">
        <v>0.0</v>
      </c>
      <c r="J140" s="9" t="str">
        <f>HYPERLINK("https://www.greenweez.com/produit/genievre-baies-bio-50g/1LACA0017","888888")</f>
        <v>888888</v>
      </c>
      <c r="K140" s="17">
        <v>0.0</v>
      </c>
      <c r="L140" s="16">
        <v>888888.0</v>
      </c>
      <c r="M140" s="2"/>
      <c r="N140" s="16">
        <v>888888.0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1" t="s">
        <v>348</v>
      </c>
      <c r="B141" s="9" t="str">
        <f>HYPERLINK("https://lafourche.fr/products/danival-sel-gros-atlantique-1kg","1.49")</f>
        <v>1.49</v>
      </c>
      <c r="C141" s="10">
        <v>0.0</v>
      </c>
      <c r="D141" s="9" t="str">
        <f>HYPERLINK("https://www.biocoop.fr/magasin-biocoop_champollion/gros-sel-de-guerande-gu0133-000.html","2.7")</f>
        <v>2.7</v>
      </c>
      <c r="E141" s="10">
        <v>0.0</v>
      </c>
      <c r="F141" s="9" t="str">
        <f>HYPERLINK("https://www.biocoop.fr/magasin-biocoop_fontaine/gros-sel-de-guerande-gu0133-000.html","2.7")</f>
        <v>2.7</v>
      </c>
      <c r="G141" s="10">
        <v>0.0</v>
      </c>
      <c r="H141" s="9" t="str">
        <f>HYPERLINK("https://satoriz-comboire.bio/collections/epicerie-salee/products/da0052","1.55")</f>
        <v>1.55</v>
      </c>
      <c r="I141" s="10">
        <v>0.0</v>
      </c>
      <c r="J141" s="7" t="str">
        <f>HYPERLINK("https://www.greenweez.com/produit/sel-gros-de-latlantique-1kg/1DANI0333","1.0")</f>
        <v>1.0</v>
      </c>
      <c r="K141" s="8" t="s">
        <v>349</v>
      </c>
      <c r="L141" s="9" t="str">
        <f>HYPERLINK("https://metabase.lelefan.org/public/dashboard/53c41f3f-5644-466e-935e-897e7725f6bc?rayon=&amp;d%25C3%25A9signation=SEL GROS VRAC&amp;fournisseur=&amp;date_d%25C3%25A9but=&amp;date_fin=","1.52")</f>
        <v>1.52</v>
      </c>
      <c r="M141" s="2"/>
      <c r="N141" s="16">
        <v>888888.0</v>
      </c>
      <c r="O141" s="2"/>
      <c r="P141" s="1" t="s">
        <v>350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1" t="s">
        <v>351</v>
      </c>
      <c r="B142" s="9" t="str">
        <f>HYPERLINK("https://lafourche.fr/products/danival-sel-fin-atlantique-1kg","1.86")</f>
        <v>1.86</v>
      </c>
      <c r="C142" s="11" t="s">
        <v>352</v>
      </c>
      <c r="D142" s="9" t="str">
        <f>HYPERLINK("https://www.biocoop.fr/magasin-biocoop_champollion/sel-fin-de-guerande-gu0105-000.html","5.0")</f>
        <v>5.0</v>
      </c>
      <c r="E142" s="10">
        <v>0.0</v>
      </c>
      <c r="F142" s="9" t="str">
        <f>HYPERLINK("https://www.biocoop.fr/magasin-biocoop_fontaine/sel-fin-de-guerande-gu0105-000.html","5.0")</f>
        <v>5.0</v>
      </c>
      <c r="G142" s="10">
        <v>0.0</v>
      </c>
      <c r="H142" s="7" t="str">
        <f>HYPERLINK("https://satoriz-comboire.bio/collections/epicerie-salee/products/da0021","1.85")</f>
        <v>1.85</v>
      </c>
      <c r="I142" s="10">
        <v>0.0</v>
      </c>
      <c r="J142" s="9" t="str">
        <f>HYPERLINK("https://www.greenweez.com/produit/sel-fin-de-guerande-500g/1LEGU0004","7.08")</f>
        <v>7.08</v>
      </c>
      <c r="K142" s="10">
        <v>0.0</v>
      </c>
      <c r="L142" s="9" t="str">
        <f>HYPERLINK("https://metabase.lelefan.org/public/dashboard/53c41f3f-5644-466e-935e-897e7725f6bc?rayon=&amp;d%25C3%25A9signation=SEL FIN - BOITE 250 G&amp;fournisseur=&amp;date_d%25C3%25A9but=&amp;date_fin=","9.76")</f>
        <v>9.76</v>
      </c>
      <c r="M142" s="2"/>
      <c r="N142" s="16">
        <v>888888.0</v>
      </c>
      <c r="O142" s="2"/>
      <c r="P142" s="1" t="s">
        <v>350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5" t="s">
        <v>353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1" t="s">
        <v>354</v>
      </c>
      <c r="B144" s="7" t="str">
        <f>HYPERLINK("https://lafourche.fr/products/luce-champignons-de-paris-eminces-400g","16.91")</f>
        <v>16.91</v>
      </c>
      <c r="C144" s="2"/>
      <c r="D144" s="16">
        <v>888888.0</v>
      </c>
      <c r="E144" s="2"/>
      <c r="F144" s="16">
        <v>888888.0</v>
      </c>
      <c r="G144" s="2"/>
      <c r="H144" s="9" t="str">
        <f>HYPERLINK("https://satoriz-comboire.bio/products/ma00623","19.78")</f>
        <v>19.78</v>
      </c>
      <c r="I144" s="2"/>
      <c r="J144" s="9" t="str">
        <f>HYPERLINK("https://www.greenweez.com/produit/champignons-de-paris-eminces-400g/1LUCE0023","19.96")</f>
        <v>19.96</v>
      </c>
      <c r="K144" s="2"/>
      <c r="L144" s="9" t="str">
        <f>HYPERLINK("https://metabase.lelefan.org/public/dashboard/53c41f3f-5644-466e-935e-897e7725f6bc?rayon=&amp;d%25C3%25A9signation=CHAMPIGNONS DE PARIS EMINCES BOCAL&amp;fournisseur=&amp;date_d%25C3%25A9but=&amp;date_fin=","19.76")</f>
        <v>19.76</v>
      </c>
      <c r="M144" s="2"/>
      <c r="N144" s="7" t="str">
        <f>HYPERLINK("https://fd11-courses.leclercdrive.fr/magasin-063801-063801-Echirolles---Comboire/fiche-produits-68090-Champignons-Bio-Village.aspx","12.76")</f>
        <v>12.76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1" t="s">
        <v>355</v>
      </c>
      <c r="B145" s="7" t="str">
        <f>HYPERLINK("https://lafourche.fr/products/naturavenir-chataignes-entieres-pelees-bio-0-42kg","18.21")</f>
        <v>18.21</v>
      </c>
      <c r="C145" s="2"/>
      <c r="D145" s="9" t="str">
        <f>HYPERLINK("https://www.biocoop.fr/magasin-biocoop_champollion/chataignes-cuites-pelees-200g-iv1000-000.html","31.25")</f>
        <v>31.25</v>
      </c>
      <c r="E145" s="2"/>
      <c r="F145" s="9" t="str">
        <f>HYPERLINK("https://www.biocoop.fr/magasin-biocoop_fontaine/marrons-cuits-entiers-420g-cf6000-000.html","23.79")</f>
        <v>23.79</v>
      </c>
      <c r="G145" s="2"/>
      <c r="H145" s="9" t="str">
        <f>HYPERLINK("https://satoriz-comboire.bio/products/fru162","22.5")</f>
        <v>22.5</v>
      </c>
      <c r="I145" s="2"/>
      <c r="J145" s="9" t="str">
        <f>HYPERLINK("https://www.greenweez.com/produit/chataignes-entieres-pelees-420g/1NATA0067","888888")</f>
        <v>888888</v>
      </c>
      <c r="K145" s="2"/>
      <c r="L145" s="9" t="str">
        <f>HYPERLINK("https://metabase.lelefan.org/public/dashboard/53c41f3f-5644-466e-935e-897e7725f6bc?rayon=&amp;d%25C3%25A9signation=MARRONS AU NATUREL 250 GR&amp;fournisseur=&amp;date_d%25C3%25A9but=&amp;date_fin=","23.52")</f>
        <v>23.52</v>
      </c>
      <c r="M145" s="2"/>
      <c r="N145" s="7" t="str">
        <f>HYPERLINK("https://fd11-courses.leclercdrive.fr/magasin-063801-063801-Echirolles---Comboire/fiche-produits-217611-Chataigne-Bio-Village.aspx","20.26")</f>
        <v>20.26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1" t="s">
        <v>356</v>
      </c>
      <c r="B146" s="9" t="str">
        <f>HYPERLINK("https://lafourche.fr/products/waini-river-coeurs-de-palmier-220g-bio","20.45")</f>
        <v>20.45</v>
      </c>
      <c r="C146" s="2"/>
      <c r="D146" s="9" t="str">
        <f>HYPERLINK("https://www.biocoop.fr/magasin-biocoop_champollion/coeurs-de-palmier-sauvage-205g-net-egoutte-wr0011-000.html","888888")</f>
        <v>888888</v>
      </c>
      <c r="E146" s="2"/>
      <c r="F146" s="9" t="str">
        <f>HYPERLINK("https://www.biocoop.fr/magasin-biocoop_fontaine/coeurs-de-palmier-sauvage-205g-net-egoutte-wr0011-000.html","23.66")</f>
        <v>23.66</v>
      </c>
      <c r="G146" s="2"/>
      <c r="H146" s="7" t="str">
        <f>HYPERLINK("https://satoriz-comboire.bio/products/su021","18.64")</f>
        <v>18.64</v>
      </c>
      <c r="I146" s="2"/>
      <c r="J146" s="9" t="str">
        <f>HYPERLINK("https://www.greenweez.com/produit/coeurs-de-palmier-sauvage-bio-400g/1WAIN0001","25.0")</f>
        <v>25.0</v>
      </c>
      <c r="K146" s="2"/>
      <c r="L146" s="16">
        <v>888888.0</v>
      </c>
      <c r="M146" s="2"/>
      <c r="N146" s="7" t="str">
        <f>HYPERLINK("https://fd11-courses.leclercdrive.fr/magasin-063801-063801-Echirolles---Comboire/fiche-produits-61976-Coeurs-de-palmiers-Bio-Village.aspx","15.68")</f>
        <v>15.68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1" t="s">
        <v>357</v>
      </c>
      <c r="B147" s="9" t="str">
        <f>HYPERLINK("https://lafourche.fr/products/la-fourche-petits-pois-bio-0-265kg","5.47")</f>
        <v>5.47</v>
      </c>
      <c r="C147" s="11" t="s">
        <v>358</v>
      </c>
      <c r="D147" s="9" t="str">
        <f>HYPERLINK("https://www.biocoop.fr/magasin-biocoop_champollion/petits-pois-extra-fins-sans-sel-240g-net-egoutte-pr5177-000.html","15.0")</f>
        <v>15.0</v>
      </c>
      <c r="E147" s="10">
        <v>0.0</v>
      </c>
      <c r="F147" s="9" t="str">
        <f>HYPERLINK("https://www.biocoop.fr/magasin-biocoop_fontaine/petits-pois-530g-net-egoutte-mg5035-000.html","7.17")</f>
        <v>7.17</v>
      </c>
      <c r="G147" s="10">
        <v>0.0</v>
      </c>
      <c r="H147" s="9" t="str">
        <f>HYPERLINK("https://satoriz-comboire.bio/products/re44454","5.54")</f>
        <v>5.54</v>
      </c>
      <c r="I147" s="8" t="s">
        <v>359</v>
      </c>
      <c r="J147" s="9" t="str">
        <f>HYPERLINK("https://www.greenweez.com/produit/petits-pois-a-letuvee-400g/1LUCE0019","9.21")</f>
        <v>9.21</v>
      </c>
      <c r="K147" s="11" t="s">
        <v>360</v>
      </c>
      <c r="L147" s="7" t="str">
        <f>HYPERLINK("https://metabase.lelefan.org/public/dashboard/53c41f3f-5644-466e-935e-897e7725f6bc?rayon=&amp;d%25C3%25A9signation=PETITS POIS 400G - FRANCE&amp;fournisseur=&amp;date_d%25C3%25A9but=&amp;date_fin=","3.82")</f>
        <v>3.82</v>
      </c>
      <c r="M147" s="2"/>
      <c r="N147" s="9" t="str">
        <f>HYPERLINK("https://fd11-courses.leclercdrive.fr/magasin-063801-063801-Echirolles---Comboire/fiche-produits-137070-Petits-pois-Bio-Village.aspx","5.6")</f>
        <v>5.6</v>
      </c>
      <c r="O147" s="2"/>
      <c r="P147" s="1" t="s">
        <v>361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1" t="s">
        <v>362</v>
      </c>
      <c r="B148" s="7" t="str">
        <f>HYPERLINK("https://lafourche.fr/products/la-fourche-mais-bio-0-285kg","4.88")</f>
        <v>4.88</v>
      </c>
      <c r="C148" s="8" t="s">
        <v>363</v>
      </c>
      <c r="D148" s="9" t="str">
        <f>HYPERLINK("https://www.biocoop.fr/magasin-biocoop_champollion/mais-doux-285g-net-egoutte-cf7000-000.html","6.32")</f>
        <v>6.32</v>
      </c>
      <c r="E148" s="10">
        <v>0.0</v>
      </c>
      <c r="F148" s="9" t="str">
        <f>HYPERLINK("https://www.biocoop.fr/magasin-biocoop_fontaine/mais-doux-285g-net-egoutte-cf7000-000.html","5.79")</f>
        <v>5.79</v>
      </c>
      <c r="G148" s="8" t="s">
        <v>364</v>
      </c>
      <c r="H148" s="9" t="str">
        <f>HYPERLINK("https://satoriz-comboire.bio/products/re44453","5.26")</f>
        <v>5.26</v>
      </c>
      <c r="I148" s="8" t="s">
        <v>365</v>
      </c>
      <c r="J148" s="9" t="str">
        <f>HYPERLINK("https://www.greenweez.com/produit/lot-de-3-mais-bio-origine-france-300g/1PACK3606","5.9")</f>
        <v>5.9</v>
      </c>
      <c r="K148" s="11" t="s">
        <v>366</v>
      </c>
      <c r="L148" s="9" t="str">
        <f>HYPERLINK("https://metabase.lelefan.org/public/dashboard/53c41f3f-5644-466e-935e-897e7725f6bc?rayon=&amp;d%25C3%25A9signation=MAIS DOUX 300G - FRANCE&amp;fournisseur=&amp;date_d%25C3%25A9but=&amp;date_fin=","4.93")</f>
        <v>4.93</v>
      </c>
      <c r="M148" s="2"/>
      <c r="N148" s="7" t="str">
        <f>HYPERLINK("https://fd11-courses.leclercdrive.fr/magasin-063801-063801-Echirolles---Comboire/fiche-produits-204061-Mais-Bio-Village.aspx","4.18")</f>
        <v>4.18</v>
      </c>
      <c r="O148" s="2"/>
      <c r="P148" s="1" t="s">
        <v>361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1" t="s">
        <v>367</v>
      </c>
      <c r="B149" s="9" t="str">
        <f>HYPERLINK("https://lafourche.fr/products/la-fourche-haricots-verts-bio-0-44kg","4.84")</f>
        <v>4.84</v>
      </c>
      <c r="C149" s="8" t="s">
        <v>368</v>
      </c>
      <c r="D149" s="9" t="str">
        <f>HYPERLINK("https://www.biocoop.fr/magasin-biocoop_champollion/haricots-verts-extra-fins-220g-net-egoutte-cf7001-000.html","10.91")</f>
        <v>10.91</v>
      </c>
      <c r="E149" s="10">
        <v>0.0</v>
      </c>
      <c r="F149" s="9" t="str">
        <f>HYPERLINK("https://www.biocoop.fr/magasin-biocoop_fontaine/haricots-verts-extra-fins-440g-net-egoutte-mg5033-000.html","8.87")</f>
        <v>8.87</v>
      </c>
      <c r="G149" s="10">
        <v>0.0</v>
      </c>
      <c r="H149" s="9" t="str">
        <f>HYPERLINK("https://satoriz-comboire.bio/products/re44456","5.68")</f>
        <v>5.68</v>
      </c>
      <c r="I149" s="8" t="s">
        <v>369</v>
      </c>
      <c r="J149" s="9" t="str">
        <f>HYPERLINK("https://www.greenweez.com/produit/lot-de-2-haricots-verts-bio-origine-france-800g/1PACK3593","888888")</f>
        <v>888888</v>
      </c>
      <c r="K149" s="18" t="s">
        <v>56</v>
      </c>
      <c r="L149" s="7" t="str">
        <f>HYPERLINK("https://metabase.lelefan.org/public/dashboard/53c41f3f-5644-466e-935e-897e7725f6bc?rayon=&amp;d%25C3%25A9signation=HARICOTS VERTS 800G - FRANCE&amp;fournisseur=&amp;date_d%25C3%25A9but=&amp;date_fin=","3.04")</f>
        <v>3.04</v>
      </c>
      <c r="M149" s="2"/>
      <c r="N149" s="9" t="str">
        <f>HYPERLINK("https://fd11-courses.leclercdrive.fr/magasin-063801-063801-Echirolles---Comboire/fiche-produits-39388-Haricots-verts-Bio-Village.aspx","5.54")</f>
        <v>5.54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1" t="s">
        <v>370</v>
      </c>
      <c r="B150" s="9" t="str">
        <f>HYPERLINK("https://lafourche.fr/products/macedoine","11.09")</f>
        <v>11.09</v>
      </c>
      <c r="C150" s="10">
        <v>0.0</v>
      </c>
      <c r="D150" s="9" t="str">
        <f>HYPERLINK("https://www.biocoop.fr/magasin-biocoop_champollion/macedoine-de-legumes-445g-rc0863-000.html","8.43")</f>
        <v>8.43</v>
      </c>
      <c r="E150" s="10">
        <v>0.0</v>
      </c>
      <c r="F150" s="9" t="str">
        <f>HYPERLINK("https://www.biocoop.fr/magasin-biocoop_fontaine/macedoine-de-legumes-240g-net-egoutte-rc0864-000.html","12.46")</f>
        <v>12.46</v>
      </c>
      <c r="G150" s="10">
        <v>0.0</v>
      </c>
      <c r="H150" s="7" t="str">
        <f>HYPERLINK("https://satoriz-comboire.bio/products/ch720","7.64")</f>
        <v>7.64</v>
      </c>
      <c r="I150" s="10">
        <v>0.0</v>
      </c>
      <c r="J150" s="9" t="str">
        <f>HYPERLINK("https://www.greenweez.com/produit/macedoine-de-legumes-370ml/1PRIM0832","888888")</f>
        <v>888888</v>
      </c>
      <c r="K150" s="18" t="s">
        <v>56</v>
      </c>
      <c r="L150" s="9" t="str">
        <f>HYPERLINK("https://metabase.lelefan.org/public/dashboard/53c41f3f-5644-466e-935e-897e7725f6bc?rayon=&amp;d%25C3%25A9signation=MACEDOINE BOCAL&amp;fournisseur=&amp;date_d%25C3%25A9but=&amp;date_fin=","8.98")</f>
        <v>8.98</v>
      </c>
      <c r="M150" s="2"/>
      <c r="N150" s="16">
        <v>888888.0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1" t="s">
        <v>371</v>
      </c>
      <c r="B151" s="7" t="str">
        <f>HYPERLINK("https://lafourche.fr/products/luce-haricots-rouges-bio-3x-230g-0-69kg","6.9")</f>
        <v>6.9</v>
      </c>
      <c r="C151" s="2"/>
      <c r="D151" s="9" t="str">
        <f>HYPERLINK("https://www.biocoop.fr/magasin-biocoop_champollion/haricots-rouges-au-naturel-520g-net-egoutte-rc1037-000.html","10.19")</f>
        <v>10.19</v>
      </c>
      <c r="E151" s="2"/>
      <c r="F151" s="9" t="str">
        <f>HYPERLINK("https://www.biocoop.fr/magasin-biocoop_fontaine/haricots-rouges-au-naturel-520g-net-egoutte-rc1037-000.html","9.9")</f>
        <v>9.9</v>
      </c>
      <c r="G151" s="2"/>
      <c r="H151" s="9" t="str">
        <f>HYPERLINK("https://satoriz-comboire.bio/products/chhr720","8.46")</f>
        <v>8.46</v>
      </c>
      <c r="I151" s="2"/>
      <c r="J151" s="9" t="str">
        <f t="shared" ref="J151:J152" si="83">HYPERLINK("https://www.greenweez.com/produit/haricots-rouges-400g/1LUCE0007","7.42")</f>
        <v>7.42</v>
      </c>
      <c r="K151" s="2"/>
      <c r="L151" s="9" t="str">
        <f t="shared" ref="L151:L152" si="84">HYPERLINK("https://metabase.lelefan.org/public/dashboard/53c41f3f-5644-466e-935e-897e7725f6bc?rayon=&amp;d%25C3%25A9signation=HARICOTS ROUGES KIDNEY CONSERVE&amp;fournisseur=&amp;date_d%25C3%25A9but=&amp;date_fin=","7.96")</f>
        <v>7.96</v>
      </c>
      <c r="M151" s="2"/>
      <c r="N151" s="16">
        <v>888888.0</v>
      </c>
      <c r="O151" s="2"/>
      <c r="P151" s="1" t="s">
        <v>372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1" t="s">
        <v>373</v>
      </c>
      <c r="B152" s="9" t="str">
        <f>HYPERLINK("https://lafourche.fr/products/haricots-rouges-france-bio-345g","10.98")</f>
        <v>10.98</v>
      </c>
      <c r="C152" s="2"/>
      <c r="D152" s="9" t="str">
        <f>HYPERLINK("https://www.biocoop.fr/magasin-biocoop_champollion/haricots-rouges-280g-net-egoutte-rc1006-000.html","13.04")</f>
        <v>13.04</v>
      </c>
      <c r="E152" s="2"/>
      <c r="F152" s="9" t="str">
        <f>HYPERLINK("https://www.biocoop.fr/magasin-biocoop_fontaine/haricots-rouges-280g-net-egoutte-rc1006-000.html","12.86")</f>
        <v>12.86</v>
      </c>
      <c r="G152" s="2"/>
      <c r="H152" s="9" t="str">
        <f>HYPERLINK("https://satoriz-comboire.bio/products/ch380","10.54")</f>
        <v>10.54</v>
      </c>
      <c r="I152" s="2"/>
      <c r="J152" s="7" t="str">
        <f t="shared" si="83"/>
        <v>7.42</v>
      </c>
      <c r="K152" s="2"/>
      <c r="L152" s="9" t="str">
        <f t="shared" si="84"/>
        <v>7.96</v>
      </c>
      <c r="M152" s="2"/>
      <c r="N152" s="9" t="str">
        <f>HYPERLINK("https://fd11-courses.leclercdrive.fr/magasin-063801-063801-Echirolles---Comboire/fiche-produits-99547-Haricots-rouge-Bio-Village.aspx","14.59")</f>
        <v>14.59</v>
      </c>
      <c r="O152" s="2"/>
      <c r="P152" s="1" t="s">
        <v>372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1" t="s">
        <v>374</v>
      </c>
      <c r="B153" s="9" t="str">
        <f>HYPERLINK("https://lafourche.fr/products/prosain-haricots-lingots-origine-france-bio-660g","8.87")</f>
        <v>8.87</v>
      </c>
      <c r="C153" s="2"/>
      <c r="D153" s="9" t="str">
        <f>HYPERLINK("https://www.biocoop.fr/magasin-biocoop_champollion/haricots-blancs-280g-net-egoutte-rc0833-000.html","10.86")</f>
        <v>10.86</v>
      </c>
      <c r="E153" s="2"/>
      <c r="F153" s="9" t="str">
        <f>HYPERLINK("https://www.biocoop.fr/magasin-biocoop_fontaine/haricots-blancs-280g-net-egoutte-rc0833-000.html","10.54")</f>
        <v>10.54</v>
      </c>
      <c r="G153" s="2"/>
      <c r="H153" s="9" t="str">
        <f>HYPERLINK("https://satoriz-comboire.bio/products/fd000431","15.35")</f>
        <v>15.35</v>
      </c>
      <c r="I153" s="2"/>
      <c r="J153" s="7" t="str">
        <f>HYPERLINK("https://www.greenweez.com/produit/gros-haricots-blancs-400g/1LUCE0009","7.42")</f>
        <v>7.42</v>
      </c>
      <c r="K153" s="2"/>
      <c r="L153" s="16">
        <v>888888.0</v>
      </c>
      <c r="M153" s="2"/>
      <c r="N153" s="7" t="str">
        <f>HYPERLINK("https://fd11-courses.leclercdrive.fr/magasin-063801-063801-Echirolles---Comboire/fiche-produits-129049-Haricots-coco-bio-Jardin-Bio.aspx","5.19")</f>
        <v>5.19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1" t="s">
        <v>375</v>
      </c>
      <c r="B154" s="7" t="str">
        <f>HYPERLINK("https://lafourche.fr/products/la-fourche-flageolet-france-660g","7.12")</f>
        <v>7.12</v>
      </c>
      <c r="C154" s="2"/>
      <c r="D154" s="9" t="str">
        <f t="shared" ref="D154:D155" si="85">HYPERLINK("https://www.biocoop.fr/magasin-biocoop_champollion/flageolets-verts-280g-net-egoutte-rc0831-000.html","12.04")</f>
        <v>12.04</v>
      </c>
      <c r="E154" s="2"/>
      <c r="F154" s="9" t="str">
        <f t="shared" ref="F154:F155" si="86">HYPERLINK("https://www.biocoop.fr/magasin-biocoop_fontaine/flageolets-verts-280g-net-egoutte-rc0831-000.html","11.96")</f>
        <v>11.96</v>
      </c>
      <c r="G154" s="2"/>
      <c r="H154" s="9" t="str">
        <f>HYPERLINK("https://satoriz-comboire.bio/products/chfv720","8.56")</f>
        <v>8.56</v>
      </c>
      <c r="I154" s="2"/>
      <c r="J154" s="9" t="str">
        <f>HYPERLINK("https://www.greenweez.com/produit/flageolets-prepares-660g/1PROS0025#description","10.54")</f>
        <v>10.54</v>
      </c>
      <c r="K154" s="2"/>
      <c r="L154" s="16">
        <v>888888.0</v>
      </c>
      <c r="M154" s="2"/>
      <c r="N154" s="7" t="str">
        <f>HYPERLINK("https://fd11-courses.leclercdrive.fr/magasin-063801-063801-Echirolles---Comboire/fiche-produits-45213-Flageolets-Jardin-Bio-.aspx","4.47")</f>
        <v>4.47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1" t="s">
        <v>376</v>
      </c>
      <c r="B155" s="16">
        <v>888888.0</v>
      </c>
      <c r="C155" s="2"/>
      <c r="D155" s="9" t="str">
        <f t="shared" si="85"/>
        <v>12.04</v>
      </c>
      <c r="E155" s="2"/>
      <c r="F155" s="9" t="str">
        <f t="shared" si="86"/>
        <v>11.96</v>
      </c>
      <c r="G155" s="2"/>
      <c r="H155" s="7" t="str">
        <f>HYPERLINK("https://satoriz-comboire.bio/products/ch387","10.54")</f>
        <v>10.54</v>
      </c>
      <c r="I155" s="2"/>
      <c r="J155" s="9" t="str">
        <f>HYPERLINK("https://www.greenweez.com/produit/flageolets-370ml/1PRIM0588","13.58")</f>
        <v>13.58</v>
      </c>
      <c r="K155" s="2"/>
      <c r="L155" s="16">
        <v>888888.0</v>
      </c>
      <c r="M155" s="2"/>
      <c r="N155" s="16">
        <v>888888.0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1" t="s">
        <v>377</v>
      </c>
      <c r="B156" s="9" t="str">
        <f>HYPERLINK("https://lafourche.fr/products/la-fourche-lentilles-vertes-sud-ouest-bio-660g","7.12")</f>
        <v>7.12</v>
      </c>
      <c r="C156" s="2"/>
      <c r="D156" s="9" t="str">
        <f>HYPERLINK("https://www.biocoop.fr/magasin-biocoop_champollion/lentilles-vertes-450g-net-egoutte-rc0834-000.html","9.31")</f>
        <v>9.31</v>
      </c>
      <c r="E156" s="2"/>
      <c r="F156" s="9" t="str">
        <f>HYPERLINK("https://www.biocoop.fr/magasin-biocoop_fontaine/lentilles-vertes-450g-net-egoutte-rc0834-000.html","8.78")</f>
        <v>8.78</v>
      </c>
      <c r="G156" s="2"/>
      <c r="H156" s="9" t="str">
        <f>HYPERLINK("https://satoriz-comboire.bio/products/re40670","8.69")</f>
        <v>8.69</v>
      </c>
      <c r="I156" s="2"/>
      <c r="J156" s="9" t="str">
        <f>HYPERLINK("https://www.greenweez.com/produit/lentilles-vertes-origine-france-720ml/1PRIM0758","888888")</f>
        <v>888888</v>
      </c>
      <c r="K156" s="2"/>
      <c r="L156" s="7" t="str">
        <f t="shared" ref="L156:L157" si="87">HYPERLINK("https://metabase.lelefan.org/public/dashboard/53c41f3f-5644-466e-935e-897e7725f6bc?rayon=&amp;d%25C3%25A9signation=LENTILLES EN CONSERVE&amp;fournisseur=&amp;date_d%25C3%25A9but=&amp;date_fin=","7.08")</f>
        <v>7.08</v>
      </c>
      <c r="M156" s="2"/>
      <c r="N156" s="9" t="str">
        <f t="shared" ref="N156:N157" si="88">HYPERLINK("https://fd11-courses.leclercdrive.fr/magasin-063801-063801-Echirolles---Comboire/fiche-produits-99555-Lentilles-Bio-Village.aspx","8.98")</f>
        <v>8.98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1" t="s">
        <v>378</v>
      </c>
      <c r="B157" s="7" t="str">
        <f>HYPERLINK("https://lafourche.fr/products/la-fourche-lentilles-0-265kg","6")</f>
        <v>6</v>
      </c>
      <c r="C157" s="2"/>
      <c r="D157" s="9" t="str">
        <f>HYPERLINK("https://www.biocoop.fr/magasin-biocoop_champollion/lentilles-vertes-240g-net-egoutte-rc0835-000.html","11.67")</f>
        <v>11.67</v>
      </c>
      <c r="E157" s="2"/>
      <c r="F157" s="9" t="str">
        <f>HYPERLINK("https://www.biocoop.fr/magasin-biocoop_fontaine/lentilles-vertes-240g-net-egoutte-rc0835-000.html","11.88")</f>
        <v>11.88</v>
      </c>
      <c r="G157" s="2"/>
      <c r="H157" s="9" t="str">
        <f>HYPERLINK("https://satoriz-comboire.bio/products/rv720","12.08")</f>
        <v>12.08</v>
      </c>
      <c r="I157" s="2"/>
      <c r="J157" s="9" t="str">
        <f>HYPERLINK("https://www.greenweez.com/produit/lentilles-vertes-au-naturel-370ml/1PRIM0867","888888")</f>
        <v>888888</v>
      </c>
      <c r="K157" s="2"/>
      <c r="L157" s="9" t="str">
        <f t="shared" si="87"/>
        <v>7.08</v>
      </c>
      <c r="M157" s="2"/>
      <c r="N157" s="9" t="str">
        <f t="shared" si="88"/>
        <v>8.98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1" t="s">
        <v>379</v>
      </c>
      <c r="B158" s="9" t="str">
        <f t="shared" ref="B158:B159" si="89">HYPERLINK("https://lafourche.fr/products/la-fourche-pois-chiches-bio-0-265kg","5.58")</f>
        <v>5.58</v>
      </c>
      <c r="C158" s="2"/>
      <c r="D158" s="9" t="str">
        <f>HYPERLINK("https://www.biocoop.fr/magasin-biocoop_champollion/pois-chiche-au-naturel-500g-net-egoutte-lb6001-000.html","9.9")</f>
        <v>9.9</v>
      </c>
      <c r="E158" s="2"/>
      <c r="F158" s="9" t="str">
        <f>HYPERLINK("https://www.biocoop.fr/magasin-biocoop_fontaine/pois-chiches-450g-net-egoutte-rc0870-000.html","10.67")</f>
        <v>10.67</v>
      </c>
      <c r="G158" s="2"/>
      <c r="H158" s="9" t="str">
        <f t="shared" ref="H158:H159" si="90">HYPERLINK("https://satoriz-comboire.bio/products/re44090","4.79")</f>
        <v>4.79</v>
      </c>
      <c r="I158" s="2"/>
      <c r="J158" s="9" t="str">
        <f>HYPERLINK("https://www.greenweez.com/produit/lot-de-3-pois-chiches-bio-origine-italie-400g/1PACK3604","5.56")</f>
        <v>5.56</v>
      </c>
      <c r="K158" s="2"/>
      <c r="L158" s="7" t="str">
        <f t="shared" ref="L158:L159" si="91">HYPERLINK("https://metabase.lelefan.org/public/dashboard/53c41f3f-5644-466e-935e-897e7725f6bc?rayon=&amp;d%25C3%25A9signation=POIS CHICHES - ITALIE&amp;fournisseur=&amp;date_d%25C3%25A9but=&amp;date_fin=","4.74")</f>
        <v>4.74</v>
      </c>
      <c r="M158" s="2"/>
      <c r="N158" s="9" t="str">
        <f>HYPERLINK("https://fd11-courses.leclercdrive.fr/magasin-063801-063801-Echirolles---Comboire/fiche-produits-99967-Pois-chiches-bio-Jardin-Bio.aspx","6.21")</f>
        <v>6.21</v>
      </c>
      <c r="O158" s="2"/>
      <c r="P158" s="1" t="s">
        <v>372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1" t="s">
        <v>380</v>
      </c>
      <c r="B159" s="9" t="str">
        <f t="shared" si="89"/>
        <v>5.58</v>
      </c>
      <c r="C159" s="2"/>
      <c r="D159" s="9" t="str">
        <f>HYPERLINK("https://www.biocoop.fr/magasin-biocoop_champollion/pois-chiche-au-naturel-260g-net-egoutte-lb6000-000.html","12.88")</f>
        <v>12.88</v>
      </c>
      <c r="E159" s="2"/>
      <c r="F159" s="9" t="str">
        <f>HYPERLINK("https://www.biocoop.fr/magasin-biocoop_fontaine/pois-chiches-tetra-recart-230g-net-egoutte-cf7007-000.html","11.74")</f>
        <v>11.74</v>
      </c>
      <c r="G159" s="2"/>
      <c r="H159" s="9" t="str">
        <f t="shared" si="90"/>
        <v>4.79</v>
      </c>
      <c r="I159" s="2"/>
      <c r="J159" s="9" t="str">
        <f>HYPERLINK("https://www.greenweez.com/produit/pois-chiches-bio-origine-italie-400g/2WEEZ0245","5.62")</f>
        <v>5.62</v>
      </c>
      <c r="K159" s="2"/>
      <c r="L159" s="7" t="str">
        <f t="shared" si="91"/>
        <v>4.74</v>
      </c>
      <c r="M159" s="2"/>
      <c r="N159" s="9" t="str">
        <f>HYPERLINK("https://fd11-courses.leclercdrive.fr/magasin-063801-063801-Echirolles---Comboire/fiche-produits-99553-Pois-chiche-Bio-VIllage.aspx","9.77")</f>
        <v>9.77</v>
      </c>
      <c r="O159" s="2"/>
      <c r="P159" s="1" t="s">
        <v>372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1" t="s">
        <v>381</v>
      </c>
      <c r="B160" s="7" t="str">
        <f>HYPERLINK("https://lafourche.fr/products/prosain-couscous-aux-7-legumes-bio-1kg","5.98")</f>
        <v>5.98</v>
      </c>
      <c r="C160" s="10">
        <v>0.0</v>
      </c>
      <c r="D160" s="9" t="str">
        <f>HYPERLINK("https://www.biocoop.fr/magasin-biocoop_champollion/couscous-7-legumes-pr5174-000.html","5.99")</f>
        <v>5.99</v>
      </c>
      <c r="E160" s="10">
        <v>0.0</v>
      </c>
      <c r="F160" s="9" t="str">
        <f>HYPERLINK("https://www.biocoop.fr/magasin-biocoop_fontaine/couscous-7-legumes-pr5174-000.html","5.99")</f>
        <v>5.99</v>
      </c>
      <c r="G160" s="10">
        <v>0.0</v>
      </c>
      <c r="H160" s="9" t="str">
        <f>HYPERLINK("https://satoriz-comboire.bio/products/fd000623","6.95")</f>
        <v>6.95</v>
      </c>
      <c r="I160" s="8" t="s">
        <v>382</v>
      </c>
      <c r="J160" s="9" t="str">
        <f>HYPERLINK("https://www.greenweez.com/produit/couscous-aux-7-legumes-1kg/1PROS0058","7.99")</f>
        <v>7.99</v>
      </c>
      <c r="K160" s="11" t="s">
        <v>383</v>
      </c>
      <c r="L160" s="9" t="str">
        <f>HYPERLINK("https://metabase.lelefan.org/public/dashboard/53c41f3f-5644-466e-935e-897e7725f6bc?rayon=&amp;d%25C3%25A9signation=COUSCOUS AUX LEGUMES DU SOLEIL&amp;fournisseur=&amp;date_d%25C3%25A9but=&amp;date_fin=","11.41")</f>
        <v>11.41</v>
      </c>
      <c r="M160" s="2"/>
      <c r="N160" s="7" t="str">
        <f>HYPERLINK("https://fd11-courses.leclercdrive.fr/magasin-063801-063801-Echirolles---Comboire/fiche-produits-16492-Legumes-pour-couscous-bio.aspx","3.57")</f>
        <v>3.57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1" t="s">
        <v>384</v>
      </c>
      <c r="B161" s="9" t="str">
        <f>HYPERLINK("https://lafourche.fr/products/primeal-mouline-8-legumes-bio-1l","3.05")</f>
        <v>3.05</v>
      </c>
      <c r="C161" s="2"/>
      <c r="D161" s="7" t="str">
        <f>HYPERLINK("https://www.biocoop.fr/magasin-biocoop_champollion/mouline-legumes-varies-france-1l-mo0035-000.html","2.95")</f>
        <v>2.95</v>
      </c>
      <c r="E161" s="2"/>
      <c r="F161" s="7" t="str">
        <f>HYPERLINK("https://www.biocoop.fr/magasin-biocoop_fontaine/mouline-legumes-varies-france-1l-mo0035-000.html","2.95")</f>
        <v>2.95</v>
      </c>
      <c r="G161" s="2"/>
      <c r="H161" s="9" t="str">
        <f>HYPERLINK("https://satoriz-comboire.bio/collections/epicerie-salee/products/eu8998","3.1")</f>
        <v>3.1</v>
      </c>
      <c r="I161" s="2"/>
      <c r="J161" s="9" t="str">
        <f>HYPERLINK("https://www.greenweez.com/produit/mouline-8-legumes-1l/1PRIM0694","3.58")</f>
        <v>3.58</v>
      </c>
      <c r="K161" s="2"/>
      <c r="L161" s="9" t="str">
        <f>HYPERLINK("https://metabase.lelefan.org/public/dashboard/53c41f3f-5644-466e-935e-897e7725f6bc?rayon=&amp;d%25C3%25A9signation=SOUPE DOUCEUR 9 LEGUMES&amp;fournisseur=&amp;date_d%25C3%25A9but=&amp;date_fin=","3.11")</f>
        <v>3.11</v>
      </c>
      <c r="M161" s="2"/>
      <c r="N161" s="7" t="str">
        <f>HYPERLINK("https://fd11-courses.leclercdrive.fr/magasin-063801-063801-Echirolles---Comboire/fiche-produits-44884-Soupe-Mouline-Bio-Village.aspx","2.28")</f>
        <v>2.28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1" t="s">
        <v>385</v>
      </c>
      <c r="B162" s="9" t="str">
        <f>HYPERLINK("https://lafourche.fr/products/grandeur-nature-mouline-du-potager-legumes-verts-francais-bio-1l","3.59")</f>
        <v>3.59</v>
      </c>
      <c r="C162" s="2"/>
      <c r="D162" s="9" t="str">
        <f>HYPERLINK("https://www.biocoop.fr/magasin-biocoop_champollion/mouline-legumes-verts-france-1l-mo0036-000.html","3.15")</f>
        <v>3.15</v>
      </c>
      <c r="E162" s="2"/>
      <c r="F162" s="9" t="str">
        <f>HYPERLINK("https://www.biocoop.fr/magasin-biocoop_fontaine/mouline-legumes-verts-france-1l-mo0036-000.html","3.15")</f>
        <v>3.15</v>
      </c>
      <c r="G162" s="2"/>
      <c r="H162" s="7" t="str">
        <f>HYPERLINK("https://satoriz-comboire.bio/collections/epicerie-salee/products/eu2291","3.1")</f>
        <v>3.1</v>
      </c>
      <c r="I162" s="2"/>
      <c r="J162" s="9" t="str">
        <f>HYPERLINK("https://www.greenweez.com/produit/veloute-legumes-verts-1l/1PRIM0501","3.48")</f>
        <v>3.48</v>
      </c>
      <c r="K162" s="2"/>
      <c r="L162" s="16">
        <v>888888.0</v>
      </c>
      <c r="M162" s="2"/>
      <c r="N162" s="7" t="str">
        <f>HYPERLINK("https://fd11-courses.leclercdrive.fr/magasin-063801-063801-Echirolles---Comboire/fiche-produits-225971-Mouline-Jardin-Bio.aspx","2.69")</f>
        <v>2.69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1" t="s">
        <v>386</v>
      </c>
      <c r="B163" s="7" t="str">
        <f>HYPERLINK("https://lafourche.fr/products/primeal-soupe-thai-bio-1l","3.1")</f>
        <v>3.1</v>
      </c>
      <c r="C163" s="2"/>
      <c r="D163" s="16">
        <v>888888.0</v>
      </c>
      <c r="E163" s="2"/>
      <c r="F163" s="16">
        <v>888888.0</v>
      </c>
      <c r="G163" s="2"/>
      <c r="H163" s="9" t="str">
        <f>HYPERLINK("https://satoriz-comboire.bio/collections/epicerie-salee/products/eu9410","3.35")</f>
        <v>3.35</v>
      </c>
      <c r="I163" s="2"/>
      <c r="J163" s="16">
        <v>888888.0</v>
      </c>
      <c r="K163" s="2"/>
      <c r="L163" s="16">
        <v>888888.0</v>
      </c>
      <c r="M163" s="2"/>
      <c r="N163" s="16">
        <v>888888.0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1" t="s">
        <v>387</v>
      </c>
      <c r="B164" s="9" t="str">
        <f>HYPERLINK("https://lafourche.fr/products/grandeur-nature-gaspacho-andalou-bio-1l","4.61")</f>
        <v>4.61</v>
      </c>
      <c r="C164" s="2"/>
      <c r="D164" s="9" t="str">
        <f>HYPERLINK("https://www.biocoop.fr/magasin-biocoop_champollion/gaspacho-1l-aa0427-000.html","3.95")</f>
        <v>3.95</v>
      </c>
      <c r="E164" s="2"/>
      <c r="F164" s="9" t="str">
        <f>HYPERLINK("https://www.biocoop.fr/magasin-biocoop_fontaine/gaspacho-1l-gl5024-000.html","6.15")</f>
        <v>6.15</v>
      </c>
      <c r="G164" s="2"/>
      <c r="H164" s="7" t="str">
        <f>HYPERLINK("https://satoriz-comboire.bio/collections/epicerie-salee/products/eu9100","3.75")</f>
        <v>3.75</v>
      </c>
      <c r="I164" s="2"/>
      <c r="J164" s="9" t="str">
        <f>HYPERLINK("https://www.greenweez.com/produit/gaspacho-1l/1LUCE0024","4.28")</f>
        <v>4.28</v>
      </c>
      <c r="K164" s="2"/>
      <c r="L164" s="9" t="str">
        <f>HYPERLINK("https://metabase.lelefan.org/public/dashboard/53c41f3f-5644-466e-935e-897e7725f6bc?rayon=&amp;d%25C3%25A9signation=GASPACHO 1L&amp;fournisseur=&amp;date_d%25C3%25A9but=&amp;date_fin=","4.14")</f>
        <v>4.14</v>
      </c>
      <c r="M164" s="2"/>
      <c r="N164" s="16">
        <v>888888.0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1" t="s">
        <v>388</v>
      </c>
      <c r="B165" s="9" t="str">
        <f>HYPERLINK("https://lafourche.fr/products/primeal-veloute-champignons-bio-1l","3.26")</f>
        <v>3.26</v>
      </c>
      <c r="C165" s="2"/>
      <c r="D165" s="16">
        <v>888888.0</v>
      </c>
      <c r="E165" s="2"/>
      <c r="F165" s="16">
        <v>888888.0</v>
      </c>
      <c r="G165" s="2"/>
      <c r="H165" s="7" t="str">
        <f>HYPERLINK("https://satoriz-comboire.bio/collections/epicerie-salee/products/eu7459","3.1")</f>
        <v>3.1</v>
      </c>
      <c r="I165" s="2"/>
      <c r="J165" s="9" t="str">
        <f>HYPERLINK("https://www.greenweez.com/produit/veloute-champignons-1l/1PRIM0515","888888")</f>
        <v>888888</v>
      </c>
      <c r="K165" s="2"/>
      <c r="L165" s="9" t="str">
        <f>HYPERLINK("https://metabase.lelefan.org/public/dashboard/53c41f3f-5644-466e-935e-897e7725f6bc?rayon=&amp;d%25C3%25A9signation=VELOUTE DE PETITS CHAMPIGNONS&amp;fournisseur=&amp;date_d%25C3%25A9but=&amp;date_fin=","888888")</f>
        <v>888888</v>
      </c>
      <c r="M165" s="2"/>
      <c r="N165" s="16">
        <v>888888.0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1" t="s">
        <v>389</v>
      </c>
      <c r="B166" s="7" t="str">
        <f>HYPERLINK("https://lafourche.fr/products/primeal-soupe-indienne-bio-1l","3.1")</f>
        <v>3.1</v>
      </c>
      <c r="C166" s="2"/>
      <c r="D166" s="16">
        <v>888888.0</v>
      </c>
      <c r="E166" s="2"/>
      <c r="F166" s="16">
        <v>888888.0</v>
      </c>
      <c r="G166" s="2"/>
      <c r="H166" s="9" t="str">
        <f>HYPERLINK("https://satoriz-comboire.bio/collections/epicerie-salee/products/eu8997","3.2")</f>
        <v>3.2</v>
      </c>
      <c r="I166" s="2"/>
      <c r="J166" s="9" t="str">
        <f>HYPERLINK("https://www.greenweez.com/produit/veloute-lentilles-corail-coco-curry-1l/1PRIM0692","888888")</f>
        <v>888888</v>
      </c>
      <c r="K166" s="2"/>
      <c r="L166" s="9" t="str">
        <f>HYPERLINK("https://metabase.lelefan.org/public/dashboard/53c41f3f-5644-466e-935e-897e7725f6bc?rayon=&amp;d%25C3%25A9signation=VELOUTE LEGUMES ET LENTILLES CORAIL COCO&amp;fournisseur=&amp;date_d%25C3%25A9but=&amp;date_fin=","3.44")</f>
        <v>3.44</v>
      </c>
      <c r="M166" s="2"/>
      <c r="N166" s="16">
        <v>888888.0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1" t="s">
        <v>390</v>
      </c>
      <c r="B167" s="7" t="str">
        <f>HYPERLINK("https://lafourche.fr/products/primeal-veloute-potiron-chataigne-bio-1l","2.99")</f>
        <v>2.99</v>
      </c>
      <c r="C167" s="2"/>
      <c r="D167" s="9" t="str">
        <f>HYPERLINK("https://www.biocoop.fr/magasin-biocoop_champollion/soupe-potimarron-chataigne-75cl-is3020-000.html","6.07")</f>
        <v>6.07</v>
      </c>
      <c r="E167" s="2"/>
      <c r="F167" s="9" t="str">
        <f>HYPERLINK("https://www.biocoop.fr/magasin-biocoop_fontaine/soupe-potimarron-chataigne-75cl-is3020-000.html","888888")</f>
        <v>888888</v>
      </c>
      <c r="G167" s="2"/>
      <c r="H167" s="9" t="str">
        <f>HYPERLINK("https://satoriz-comboire.bio/collections/epicerie-salee/products/eu7231","3.1")</f>
        <v>3.1</v>
      </c>
      <c r="I167" s="2"/>
      <c r="J167" s="9" t="str">
        <f>HYPERLINK("https://www.greenweez.com/produit/veloute-potiron-et-chataigne-1l/1PRIM0502","3.48")</f>
        <v>3.48</v>
      </c>
      <c r="K167" s="2"/>
      <c r="L167" s="9" t="str">
        <f>HYPERLINK("https://metabase.lelefan.org/public/dashboard/53c41f3f-5644-466e-935e-897e7725f6bc?rayon=&amp;d%25C3%25A9signation=VELOUTE POTIRON CHATAIGNE&amp;fournisseur=&amp;date_d%25C3%25A9but=&amp;date_fin=","3.44")</f>
        <v>3.44</v>
      </c>
      <c r="M167" s="2"/>
      <c r="N167" s="16">
        <v>888888.0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5" t="s">
        <v>391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1" t="s">
        <v>392</v>
      </c>
      <c r="B169" s="9" t="str">
        <f>HYPERLINK("https://lafourche.fr/products/la-fourche-huile-d-olive-vierge-extra-origine-espagne-tunisie-bio-3l","11.87")</f>
        <v>11.87</v>
      </c>
      <c r="C169" s="8" t="s">
        <v>393</v>
      </c>
      <c r="D169" s="7" t="str">
        <f t="shared" ref="D169:D170" si="92">HYPERLINK("https://www.biocoop.fr/magasin-biocoop_champollion/huile-d-olive-1l-co7008-000.html","10.99")</f>
        <v>10.99</v>
      </c>
      <c r="E169" s="11" t="s">
        <v>394</v>
      </c>
      <c r="F169" s="7" t="str">
        <f t="shared" ref="F169:F170" si="93">HYPERLINK("https://www.biocoop.fr/magasin-biocoop_fontaine/huile-d-olive-1l-co7008-000.html","10.99")</f>
        <v>10.99</v>
      </c>
      <c r="G169" s="10">
        <v>0.0</v>
      </c>
      <c r="H169" s="9" t="str">
        <f t="shared" ref="H169:H170" si="94">HYPERLINK("https://satoriz-comboire.bio/collections/epicerie-salee/products/jbh","13.95")</f>
        <v>13.95</v>
      </c>
      <c r="I169" s="8" t="s">
        <v>395</v>
      </c>
      <c r="J169" s="9" t="str">
        <f>HYPERLINK("https://www.greenweez.com/produit/huile-dolive-vierge-extra-bio-3l/2WEEZ0211","12.98")</f>
        <v>12.98</v>
      </c>
      <c r="K169" s="8" t="s">
        <v>396</v>
      </c>
      <c r="L169" s="9" t="str">
        <f>HYPERLINK("https://metabase.lelefan.org/public/dashboard/53c41f3f-5644-466e-935e-897e7725f6bc?rayon=&amp;d%25C3%25A9signation=HUILE D OLIVE BIO CRETE-GRECE 1L&amp;fournisseur=&amp;date_d%25C3%25A9but=&amp;date_fin=","18.47")</f>
        <v>18.47</v>
      </c>
      <c r="M169" s="2"/>
      <c r="N169" s="9" t="str">
        <f>HYPERLINK("https://fd11-courses.leclercdrive.fr/magasin-063801-063801-Echirolles---Comboire/fiche-produits-6067-Huile-dolive-Bio-Village.aspx","10.52")</f>
        <v>10.52</v>
      </c>
      <c r="O169" s="2"/>
      <c r="P169" s="1" t="s">
        <v>175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1" t="s">
        <v>397</v>
      </c>
      <c r="B170" s="9" t="str">
        <f>HYPERLINK("https://lafourche.fr/products/la-fourche-huile-d-olive-vierge-extra-origine-espagne-tunisie-bio-1l","11.99")</f>
        <v>11.99</v>
      </c>
      <c r="C170" s="11" t="s">
        <v>398</v>
      </c>
      <c r="D170" s="7" t="str">
        <f t="shared" si="92"/>
        <v>10.99</v>
      </c>
      <c r="E170" s="11" t="s">
        <v>394</v>
      </c>
      <c r="F170" s="7" t="str">
        <f t="shared" si="93"/>
        <v>10.99</v>
      </c>
      <c r="G170" s="10">
        <v>0.0</v>
      </c>
      <c r="H170" s="9" t="str">
        <f t="shared" si="94"/>
        <v>13.95</v>
      </c>
      <c r="I170" s="8" t="s">
        <v>395</v>
      </c>
      <c r="J170" s="9" t="str">
        <f>HYPERLINK("https://www.greenweez.com/produit/huile-dolive-vierge-extra-bio-1l/2WEEZ0210","12.99")</f>
        <v>12.99</v>
      </c>
      <c r="K170" s="8" t="s">
        <v>399</v>
      </c>
      <c r="L170" s="16">
        <v>888888.0</v>
      </c>
      <c r="M170" s="2"/>
      <c r="N170" s="16">
        <v>888888.0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1" t="s">
        <v>400</v>
      </c>
      <c r="B171" s="9" t="str">
        <f>HYPERLINK("https://lafourche.fr/products/la-fourche-huile-de-tournesol-vierge-origine-france-bio-3l","4.31")</f>
        <v>4.31</v>
      </c>
      <c r="C171" s="11" t="s">
        <v>401</v>
      </c>
      <c r="D171" s="9" t="str">
        <f t="shared" ref="D171:D172" si="95">HYPERLINK("https://www.biocoop.fr/magasin-biocoop_champollion/huile-de-tournesol-france-1l-mg1154-000.html","5.25")</f>
        <v>5.25</v>
      </c>
      <c r="E171" s="11" t="s">
        <v>402</v>
      </c>
      <c r="F171" s="9" t="str">
        <f t="shared" ref="F171:F172" si="96">HYPERLINK("https://www.biocoop.fr/magasin-biocoop_fontaine/huile-de-tournesol-france-1l-mg1154-000.html","5.25")</f>
        <v>5.25</v>
      </c>
      <c r="G171" s="11" t="s">
        <v>403</v>
      </c>
      <c r="H171" s="7" t="str">
        <f t="shared" ref="H171:H172" si="97">HYPERLINK("https://satoriz-comboire.bio/collections/epicerie-salee/products/re38671","3.9")</f>
        <v>3.9</v>
      </c>
      <c r="I171" s="11" t="s">
        <v>404</v>
      </c>
      <c r="J171" s="9" t="str">
        <f t="shared" ref="J171:J172" si="98">HYPERLINK("https://www.greenweez.com/produit/huile-de-tournesol-vierge-france-bio-1l/2WEEZ0241","4.95")</f>
        <v>4.95</v>
      </c>
      <c r="K171" s="8" t="s">
        <v>405</v>
      </c>
      <c r="L171" s="9" t="str">
        <f>HYPERLINK("https://metabase.lelefan.org/public/dashboard/53c41f3f-5644-466e-935e-897e7725f6bc?rayon=&amp;d%25C3%25A9signation=HUILE DE CUISSON DESODORISEE TOURNESOL&amp;fournisseur=&amp;date_d%25C3%25A9but=&amp;date_fin=","4.3")</f>
        <v>4.3</v>
      </c>
      <c r="M171" s="2"/>
      <c r="N171" s="9" t="str">
        <f>HYPERLINK("https://fd11-courses.leclercdrive.fr/magasin-063801-063801-Echirolles---Comboire/fiche-produits-7294-Huile-de-tournesol-Bio-Village.aspx","4.79")</f>
        <v>4.79</v>
      </c>
      <c r="O171" s="2"/>
      <c r="P171" s="1" t="s">
        <v>175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1" t="s">
        <v>406</v>
      </c>
      <c r="B172" s="9" t="str">
        <f>HYPERLINK("https://lafourche.fr/products/la-fourche-huile-de-tournesol-vierge-origine-france-bio-1l-codefa","3.99")</f>
        <v>3.99</v>
      </c>
      <c r="C172" s="11">
        <v>0.14</v>
      </c>
      <c r="D172" s="9" t="str">
        <f t="shared" si="95"/>
        <v>5.25</v>
      </c>
      <c r="E172" s="11" t="s">
        <v>402</v>
      </c>
      <c r="F172" s="9" t="str">
        <f t="shared" si="96"/>
        <v>5.25</v>
      </c>
      <c r="G172" s="11" t="s">
        <v>403</v>
      </c>
      <c r="H172" s="7" t="str">
        <f t="shared" si="97"/>
        <v>3.9</v>
      </c>
      <c r="I172" s="11" t="s">
        <v>404</v>
      </c>
      <c r="J172" s="9" t="str">
        <f t="shared" si="98"/>
        <v>4.95</v>
      </c>
      <c r="K172" s="8" t="s">
        <v>405</v>
      </c>
      <c r="L172" s="16">
        <v>888888.0</v>
      </c>
      <c r="M172" s="2"/>
      <c r="N172" s="16">
        <v>888888.0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1" t="s">
        <v>407</v>
      </c>
      <c r="B173" s="9" t="str">
        <f>HYPERLINK("https://lafourche.fr/products/la-fourche-huile-de-colza-vierge-origine-france-bio-3l","4.63")</f>
        <v>4.63</v>
      </c>
      <c r="C173" s="8" t="s">
        <v>408</v>
      </c>
      <c r="D173" s="9" t="str">
        <f t="shared" ref="D173:D174" si="99">HYPERLINK("https://www.biocoop.fr/magasin-biocoop_champollion/huile-colza-1l-co7002-000.html","4.99")</f>
        <v>4.99</v>
      </c>
      <c r="E173" s="8" t="s">
        <v>409</v>
      </c>
      <c r="F173" s="9" t="str">
        <f t="shared" ref="F173:F174" si="100">HYPERLINK("https://www.biocoop.fr/magasin-biocoop_fontaine/huile-colza-1l-co7002-000.html","4.99")</f>
        <v>4.99</v>
      </c>
      <c r="G173" s="8" t="s">
        <v>410</v>
      </c>
      <c r="H173" s="7" t="str">
        <f t="shared" ref="H173:H174" si="101">HYPERLINK("https://satoriz-comboire.bio/collections/epicerie-salee/products/re42186","3.95")</f>
        <v>3.95</v>
      </c>
      <c r="I173" s="8" t="s">
        <v>411</v>
      </c>
      <c r="J173" s="9" t="str">
        <f t="shared" ref="J173:J174" si="102">HYPERLINK("https://www.greenweez.com/produit/huile-de-colza-vierge-bio-1l/2WEEZ0242","5.18")</f>
        <v>5.18</v>
      </c>
      <c r="K173" s="8" t="s">
        <v>412</v>
      </c>
      <c r="L173" s="9" t="str">
        <f>HYPERLINK("https://metabase.lelefan.org/public/dashboard/53c41f3f-5644-466e-935e-897e7725f6bc?rayon=&amp;d%25C3%25A9signation=HUILE DE COLZA VITAL 0.75L&amp;fournisseur=&amp;date_d%25C3%25A9but=&amp;date_fin=","6.4")</f>
        <v>6.4</v>
      </c>
      <c r="M173" s="2"/>
      <c r="N173" s="9" t="str">
        <f>HYPERLINK("https://fd11-courses.leclercdrive.fr/magasin-063801-063801-Echirolles---Comboire/fiche-produits-10787-Huile-de-colza-Bio-Village.aspx","5.05")</f>
        <v>5.05</v>
      </c>
      <c r="O173" s="2"/>
      <c r="P173" s="1" t="s">
        <v>175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1" t="s">
        <v>413</v>
      </c>
      <c r="B174" s="9" t="str">
        <f>HYPERLINK("https://lafourche.fr/products/la-fourche-huile-de-colza-vierge-origine-france-bio-1l","4.29")</f>
        <v>4.29</v>
      </c>
      <c r="C174" s="8" t="s">
        <v>414</v>
      </c>
      <c r="D174" s="9" t="str">
        <f t="shared" si="99"/>
        <v>4.99</v>
      </c>
      <c r="E174" s="8" t="s">
        <v>409</v>
      </c>
      <c r="F174" s="9" t="str">
        <f t="shared" si="100"/>
        <v>4.99</v>
      </c>
      <c r="G174" s="8" t="s">
        <v>410</v>
      </c>
      <c r="H174" s="7" t="str">
        <f t="shared" si="101"/>
        <v>3.95</v>
      </c>
      <c r="I174" s="8" t="s">
        <v>411</v>
      </c>
      <c r="J174" s="9" t="str">
        <f t="shared" si="102"/>
        <v>5.18</v>
      </c>
      <c r="K174" s="8" t="s">
        <v>412</v>
      </c>
      <c r="L174" s="16">
        <v>888888.0</v>
      </c>
      <c r="M174" s="2"/>
      <c r="N174" s="16">
        <v>888888.0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1" t="s">
        <v>415</v>
      </c>
      <c r="B175" s="19">
        <f>HYPERLINK("https://lafourche.fr/products/la-fourche-huile-de-coco-vierge-bio-et-equitable-1l",7.29)</f>
        <v>7.29</v>
      </c>
      <c r="C175" s="18" t="s">
        <v>56</v>
      </c>
      <c r="D175" s="9" t="str">
        <f>HYPERLINK("https://www.biocoop.fr/magasin-biocoop_champollion/huile-de-coco-desodorisee-950ml-mg1141-000.html","14.89")</f>
        <v>14.89</v>
      </c>
      <c r="E175" s="10">
        <v>0.0</v>
      </c>
      <c r="F175" s="9" t="str">
        <f>HYPERLINK("https://www.biocoop.fr/magasin-biocoop_fontaine/huile-de-coco-desodorisee-950ml-mg1141-000.html","12.89")</f>
        <v>12.89</v>
      </c>
      <c r="G175" s="10">
        <v>0.0</v>
      </c>
      <c r="H175" s="20" t="str">
        <f>HYPERLINK("https://satoriz-comboire.bio/collections/epicerie-salee/products/pr1424","11.7")</f>
        <v>11.7</v>
      </c>
      <c r="I175" s="10">
        <v>0.0</v>
      </c>
      <c r="J175" s="9" t="str">
        <f>HYPERLINK("https://www.greenweez.com/produit/huile-de-coco-du-sri-lanka-1l/1BASE0016","888888")</f>
        <v>888888</v>
      </c>
      <c r="K175" s="18" t="s">
        <v>56</v>
      </c>
      <c r="L175" s="9" t="str">
        <f>HYPERLINK("https://metabase.lelefan.org/public/dashboard/53c41f3f-5644-466e-935e-897e7725f6bc?rayon=&amp;d%25C3%25A9signation=HUILE DE COCO VIERGE 500ML&amp;fournisseur=&amp;date_d%25C3%25A9but=&amp;date_fin=","19.1")</f>
        <v>19.1</v>
      </c>
      <c r="M175" s="2"/>
      <c r="N175" s="7" t="str">
        <f>HYPERLINK("https://fd11-courses.leclercdrive.fr/magasin-063801-063801-Echirolles---Comboire/fiche-produits-69227-Huile-vierge-Bio-Village.aspx","11.65")</f>
        <v>11.65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1" t="s">
        <v>416</v>
      </c>
      <c r="B176" s="16">
        <v>888888.0</v>
      </c>
      <c r="C176" s="2"/>
      <c r="D176" s="9" t="str">
        <f>HYPERLINK("https://www.biocoop.fr/magasin-biocoop_champollion/vinaigrette-curcuma-gingembre-citron-36cl-bq0007-000.html","19.31")</f>
        <v>19.31</v>
      </c>
      <c r="E176" s="10">
        <v>0.0</v>
      </c>
      <c r="F176" s="9" t="str">
        <f>HYPERLINK("https://www.biocoop.fr/magasin-biocoop_fontaine/vinaigrette-curcuma-gingembre-citron-36cl-bq0007-000.html","19.31")</f>
        <v>19.31</v>
      </c>
      <c r="G176" s="10">
        <v>0.0</v>
      </c>
      <c r="H176" s="9" t="str">
        <f>HYPERLINK("https://satoriz-comboire.bio/products/re21497","18.61")</f>
        <v>18.61</v>
      </c>
      <c r="I176" s="10">
        <v>0.0</v>
      </c>
      <c r="J176" s="7" t="str">
        <f>HYPERLINK("https://www.greenweez.com/produit/vinaigrette-assaisonnette-la-tonique-36cl/3QUIN0011","18.47")</f>
        <v>18.47</v>
      </c>
      <c r="K176" s="10">
        <v>0.0</v>
      </c>
      <c r="L176" s="16">
        <v>888888.0</v>
      </c>
      <c r="M176" s="2"/>
      <c r="N176" s="16">
        <v>888888.0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1" t="s">
        <v>417</v>
      </c>
      <c r="B177" s="9" t="str">
        <f>HYPERLINK("https://lafourche.fr/products/emile-noel-huile-vierge-de-sesame-equitable-et-bio-1l","13.94")</f>
        <v>13.94</v>
      </c>
      <c r="C177" s="2"/>
      <c r="D177" s="9" t="str">
        <f>HYPERLINK("https://www.biocoop.fr/magasin-biocoop_champollion/huile-cuisson-sesame-50cl-mg1173-000.html","14.8")</f>
        <v>14.8</v>
      </c>
      <c r="E177" s="2"/>
      <c r="F177" s="9" t="str">
        <f>HYPERLINK("https://www.biocoop.fr/magasin-biocoop_fontaine/huile-sesame-1l-vi1001-000.html","19.55")</f>
        <v>19.55</v>
      </c>
      <c r="G177" s="2"/>
      <c r="H177" s="7" t="str">
        <f>HYPERLINK("https://satoriz-comboire.bio/products/re42656","11.55")</f>
        <v>11.55</v>
      </c>
      <c r="I177" s="2"/>
      <c r="J177" s="9" t="str">
        <f>HYPERLINK("https://www.greenweez.com/produit/huile-de-sesame-vierge-bio-1l/2WEEZ0243","12.94")</f>
        <v>12.94</v>
      </c>
      <c r="K177" s="2"/>
      <c r="L177" s="9" t="str">
        <f>HYPERLINK("https://metabase.lelefan.org/public/dashboard/53c41f3f-5644-466e-935e-897e7725f6bc?rayon=&amp;d%25C3%25A9signation=HUILE DE SESAME&amp;fournisseur=&amp;date_d%25C3%25A9but=&amp;date_fin=","18.72")</f>
        <v>18.72</v>
      </c>
      <c r="M177" s="2"/>
      <c r="N177" s="16">
        <v>888888.0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1" t="s">
        <v>418</v>
      </c>
      <c r="B178" s="7" t="str">
        <f>HYPERLINK("https://lafourche.fr/products/la-fourche-huile-vierge-de-sesame-toaste-bio-1l","10.2")</f>
        <v>10.2</v>
      </c>
      <c r="C178" s="2"/>
      <c r="D178" s="16">
        <v>888888.0</v>
      </c>
      <c r="E178" s="2"/>
      <c r="F178" s="16">
        <v>888888.0</v>
      </c>
      <c r="G178" s="2"/>
      <c r="H178" s="9" t="str">
        <f>HYPERLINK("https://satoriz-comboire.bio/products/pr989","21.2")</f>
        <v>21.2</v>
      </c>
      <c r="I178" s="2"/>
      <c r="J178" s="9" t="str">
        <f>HYPERLINK("https://www.greenweez.com/produit/huile-de-sesame-vierge-toastee-equitable-50cl/2EMIL0162","22.98")</f>
        <v>22.98</v>
      </c>
      <c r="K178" s="2"/>
      <c r="L178" s="9" t="str">
        <f>HYPERLINK("https://metabase.lelefan.org/public/dashboard/53c41f3f-5644-466e-935e-897e7725f6bc?rayon=&amp;d%25C3%25A9signation=HUILE DE SESAME GRILLE&amp;fournisseur=&amp;date_d%25C3%25A9but=&amp;date_fin=","20.24")</f>
        <v>20.24</v>
      </c>
      <c r="M178" s="2"/>
      <c r="N178" s="9" t="str">
        <f>HYPERLINK("https://fd11-courses.leclercdrive.fr/magasin-063801-063801-Echirolles---Comboire/fiche-produits-86669-Huile-vierge-Bio-village-.aspx","10.92")</f>
        <v>10.92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1" t="s">
        <v>419</v>
      </c>
      <c r="B179" s="9" t="str">
        <f>HYPERLINK("https://lafourche.fr/products/la-fourche-huile-vierge-de-noix-bio-0-5l","21.8")</f>
        <v>21.8</v>
      </c>
      <c r="C179" s="2"/>
      <c r="D179" s="16">
        <v>888888.0</v>
      </c>
      <c r="E179" s="2"/>
      <c r="F179" s="16">
        <v>888888.0</v>
      </c>
      <c r="G179" s="2"/>
      <c r="H179" s="9" t="str">
        <f>HYPERLINK("https://satoriz-comboire.bio/products/talan50","23.6")</f>
        <v>23.6</v>
      </c>
      <c r="I179" s="2"/>
      <c r="J179" s="9" t="str">
        <f>HYPERLINK("https://www.greenweez.com/produit/huile-de-noix-vierge-50cl/2EMIL0026","28.7")</f>
        <v>28.7</v>
      </c>
      <c r="K179" s="2"/>
      <c r="L179" s="7" t="str">
        <f>HYPERLINK("https://metabase.lelefan.org/public/dashboard/53c41f3f-5644-466e-935e-897e7725f6bc?rayon=&amp;d%25C3%25A9signation=HUILE NOIX TRUCS A LA NOIX 1L&amp;fournisseur=&amp;date_d%25C3%25A9but=&amp;date_fin=","19.79")</f>
        <v>19.79</v>
      </c>
      <c r="M179" s="2"/>
      <c r="N179" s="16">
        <v>888888.0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1" t="s">
        <v>420</v>
      </c>
      <c r="B180" s="9" t="str">
        <f>HYPERLINK("https://lafourche.fr/products/la-fourche-vinaigre-de-cidre-bio-1l","2.79")</f>
        <v>2.79</v>
      </c>
      <c r="C180" s="11">
        <v>0.0333</v>
      </c>
      <c r="D180" s="9" t="str">
        <f>HYPERLINK("https://www.biocoop.fr/magasin-biocoop_champollion/vinaigre-de-cidre-75cl-cn0222-000.html","3.99")</f>
        <v>3.99</v>
      </c>
      <c r="E180" s="8">
        <v>-0.0785</v>
      </c>
      <c r="F180" s="9" t="str">
        <f>HYPERLINK("https://www.biocoop.fr/magasin-biocoop_fontaine/vinaigre-de-cidre-75cl-cn0222-000.html","3.99")</f>
        <v>3.99</v>
      </c>
      <c r="G180" s="8">
        <v>-0.0785</v>
      </c>
      <c r="H180" s="9" t="str">
        <f>HYPERLINK("https://satoriz-comboire.bio/collections/epicerie-salee/products/re38988","3.4")</f>
        <v>3.4</v>
      </c>
      <c r="I180" s="10">
        <v>0.0</v>
      </c>
      <c r="J180" s="9" t="str">
        <f>HYPERLINK("https://www.greenweez.com/produit/vinaigre-de-cidre-bio-75cl/2WEEZ0409","3.84")</f>
        <v>3.84</v>
      </c>
      <c r="K180" s="11">
        <v>0.1163</v>
      </c>
      <c r="L180" s="7" t="str">
        <f>HYPERLINK("https://metabase.lelefan.org/public/dashboard/53c41f3f-5644-466e-935e-897e7725f6bc?rayon=&amp;d%25C3%25A9signation=VINAIGRE DE CIDRE 5% POMME - FRANCE&amp;fournisseur=&amp;date_d%25C3%25A9but=&amp;date_fin=","2.36")</f>
        <v>2.36</v>
      </c>
      <c r="M180" s="2"/>
      <c r="N180" s="9" t="str">
        <f>HYPERLINK("https://fd11-courses.leclercdrive.fr/magasin-063801-063801-Echirolles---Comboire/fiche-produits-56418-Vinaigre-de-cidre-Bio-Village.aspx","2.79")</f>
        <v>2.79</v>
      </c>
      <c r="O180" s="2"/>
      <c r="P180" s="1" t="s">
        <v>91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1" t="s">
        <v>421</v>
      </c>
      <c r="B181" s="7" t="str">
        <f>HYPERLINK("https://lafourche.fr/products/la-fourche-vinaigre-balsamique-de-modene-bio-1l","6.39")</f>
        <v>6.39</v>
      </c>
      <c r="C181" s="11">
        <v>0.0739</v>
      </c>
      <c r="D181" s="9" t="str">
        <f>HYPERLINK("https://www.biocoop.fr/magasin-biocoop_champollion/vinaigre-balsamique-de-modene-50cl-po2022-000.html","888888")</f>
        <v>888888</v>
      </c>
      <c r="E181" s="17">
        <v>0.0</v>
      </c>
      <c r="F181" s="9" t="str">
        <f>HYPERLINK("https://www.biocoop.fr/magasin-biocoop_fontaine/vinaigre-balsamique-de-modene-50cl-po2022-000.html","7.98")</f>
        <v>7.98</v>
      </c>
      <c r="G181" s="8">
        <v>-0.1231</v>
      </c>
      <c r="H181" s="9" t="str">
        <f>HYPERLINK("https://satoriz-comboire.bio/collections/epicerie-salee/products/re38990","7.27")</f>
        <v>7.27</v>
      </c>
      <c r="I181" s="10">
        <v>0.0</v>
      </c>
      <c r="J181" s="9" t="str">
        <f>HYPERLINK("https://www.greenweez.com/produit/vinaigre-balsamique-de-modene-bio-50cl/2WEEZ0408","7.76")</f>
        <v>7.76</v>
      </c>
      <c r="K181" s="11">
        <v>0.1149</v>
      </c>
      <c r="L181" s="9" t="str">
        <f>HYPERLINK("https://metabase.lelefan.org/public/dashboard/53c41f3f-5644-466e-935e-897e7725f6bc?rayon=&amp;d%25C3%25A9signation=VINAIGRE BALSAMIQUE VRAC&amp;fournisseur=&amp;date_d%25C3%25A9but=&amp;date_fin=","6.73")</f>
        <v>6.73</v>
      </c>
      <c r="M181" s="2"/>
      <c r="N181" s="9" t="str">
        <f>HYPERLINK("https://fd11-courses.leclercdrive.fr/magasin-063801-063801-Echirolles---Comboire/fiche-produits-24162-Vinaigre-balsamique-Bio-Village.aspx","6.98")</f>
        <v>6.98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1" t="s">
        <v>422</v>
      </c>
      <c r="B182" s="9" t="str">
        <f>HYPERLINK("https://lafourche.fr/products/laselva-vinaigre-balsamique-blanc-500ml-bio","9.98")</f>
        <v>9.98</v>
      </c>
      <c r="C182" s="11">
        <v>0.1089</v>
      </c>
      <c r="D182" s="16">
        <v>888888.0</v>
      </c>
      <c r="E182" s="2"/>
      <c r="F182" s="16">
        <v>888888.0</v>
      </c>
      <c r="G182" s="2"/>
      <c r="H182" s="7" t="str">
        <f>HYPERLINK("https://satoriz-comboire.bio/collections/epicerie-salee/products/sd09327118331","6.6")</f>
        <v>6.6</v>
      </c>
      <c r="I182" s="10">
        <v>0.0</v>
      </c>
      <c r="J182" s="9" t="str">
        <f>HYPERLINK("https://www.greenweez.com/produit/vinaigre-balsamique-blanc-500ml/1SELV0040","12.6")</f>
        <v>12.6</v>
      </c>
      <c r="K182" s="11">
        <v>0.125</v>
      </c>
      <c r="L182" s="9" t="str">
        <f>HYPERLINK("https://metabase.lelefan.org/public/dashboard/53c41f3f-5644-466e-935e-897e7725f6bc?rayon=&amp;d%25C3%25A9signation=VINAIGRE DE VIN BLANC&amp;fournisseur=&amp;date_d%25C3%25A9but=&amp;date_fin=","7.12")</f>
        <v>7.12</v>
      </c>
      <c r="M182" s="2"/>
      <c r="N182" s="16">
        <v>888888.0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5" t="s">
        <v>423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1" t="s">
        <v>424</v>
      </c>
      <c r="B184" s="7" t="str">
        <f>HYPERLINK("https://lafourche.fr/products/la-fourche-petit-epeautre-bio-en-vrac-1kg","4.29")</f>
        <v>4.29</v>
      </c>
      <c r="C184" s="10">
        <v>0.0</v>
      </c>
      <c r="D184" s="9" t="str">
        <f>HYPERLINK("https://www.biocoop.fr/magasin-biocoop_champollion/petit-epeautre-decortique-500g-br0273-000.html","6.9")</f>
        <v>6.9</v>
      </c>
      <c r="E184" s="10">
        <v>0.0</v>
      </c>
      <c r="F184" s="9" t="str">
        <f>HYPERLINK("https://www.biocoop.fr/magasin-biocoop_fontaine/petit-epeautre-decortique-500g-br0273-000.html","888888")</f>
        <v>888888</v>
      </c>
      <c r="G184" s="17">
        <v>0.0</v>
      </c>
      <c r="H184" s="9" t="str">
        <f>HYPERLINK("https://satoriz-comboire.bio/collections/vrac/products/re42050","4.55")</f>
        <v>4.55</v>
      </c>
      <c r="I184" s="10">
        <v>0.0</v>
      </c>
      <c r="J184" s="9" t="str">
        <f>HYPERLINK("https://www.greenweez.com/produit/petit-epeautre-500g/1MKAL0113","5.42")</f>
        <v>5.42</v>
      </c>
      <c r="K184" s="11">
        <v>0.0586</v>
      </c>
      <c r="L184" s="9" t="str">
        <f>HYPERLINK("https://metabase.lelefan.org/public/dashboard/53c41f3f-5644-466e-935e-897e7725f6bc?rayon=&amp;d%25C3%25A9signation=PETIT EPEAUTRE VRAC&amp;fournisseur=&amp;date_d%25C3%25A9but=&amp;date_fin=","6.75")</f>
        <v>6.75</v>
      </c>
      <c r="M184" s="2"/>
      <c r="N184" s="16">
        <v>888888.0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1" t="s">
        <v>425</v>
      </c>
      <c r="B185" s="19">
        <f t="shared" ref="B185:B186" si="103">HYPERLINK("https://lafourche.fr/products/la-fourche-sarrasin-decortique-bio-en-vrac-1kg",3.9)</f>
        <v>3.9</v>
      </c>
      <c r="C185" s="18" t="s">
        <v>56</v>
      </c>
      <c r="D185" s="9" t="str">
        <f t="shared" ref="D185:D186" si="104">HYPERLINK("https://www.biocoop.fr/magasin-biocoop_champollion/sarrasin-decortique-bio-ra6027-000.html","5.99")</f>
        <v>5.99</v>
      </c>
      <c r="E185" s="10">
        <v>0.0</v>
      </c>
      <c r="F185" s="9" t="str">
        <f t="shared" ref="F185:F186" si="105">HYPERLINK("https://www.biocoop.fr/magasin-biocoop_fontaine/sarrasin-decortique-bio-ra6027-000.html","6.99")</f>
        <v>6.99</v>
      </c>
      <c r="G185" s="10">
        <v>0.0</v>
      </c>
      <c r="H185" s="9" t="str">
        <f t="shared" ref="H185:H186" si="106">HYPERLINK("https://satoriz-comboire.bio/collections/vrac/products/eco759","7.05")</f>
        <v>7.05</v>
      </c>
      <c r="I185" s="10">
        <v>0.0</v>
      </c>
      <c r="J185" s="21" t="str">
        <f>HYPERLINK("https://www.greenweez.com/produit/sarrasin-bio-2-5kg/2WEEZ0529","4.78")</f>
        <v>4.78</v>
      </c>
      <c r="K185" s="8">
        <v>-0.1032</v>
      </c>
      <c r="L185" s="9" t="str">
        <f t="shared" ref="L185:L186" si="107">HYPERLINK("https://metabase.lelefan.org/public/dashboard/53c41f3f-5644-466e-935e-897e7725f6bc?rayon=&amp;d%25C3%25A9signation=GRAINE DE SARRASIN DECORTIQUEE VRAC&amp;fournisseur=&amp;date_d%25C3%25A9but=&amp;date_fin=","7.37")</f>
        <v>7.37</v>
      </c>
      <c r="M185" s="2"/>
      <c r="N185" s="16">
        <v>888888.0</v>
      </c>
      <c r="O185" s="2"/>
      <c r="P185" s="1" t="s">
        <v>361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1" t="s">
        <v>426</v>
      </c>
      <c r="B186" s="19">
        <f t="shared" si="103"/>
        <v>3.9</v>
      </c>
      <c r="C186" s="18" t="s">
        <v>56</v>
      </c>
      <c r="D186" s="9" t="str">
        <f t="shared" si="104"/>
        <v>5.99</v>
      </c>
      <c r="E186" s="10">
        <v>0.0</v>
      </c>
      <c r="F186" s="9" t="str">
        <f t="shared" si="105"/>
        <v>6.99</v>
      </c>
      <c r="G186" s="10">
        <v>0.0</v>
      </c>
      <c r="H186" s="9" t="str">
        <f t="shared" si="106"/>
        <v>7.05</v>
      </c>
      <c r="I186" s="10">
        <v>0.0</v>
      </c>
      <c r="J186" s="20" t="str">
        <f>HYPERLINK("https://www.greenweez.com/produit/sarrasin-bio-500g/2WEEZ0116","5.16")</f>
        <v>5.16</v>
      </c>
      <c r="K186" s="8">
        <v>-0.0319</v>
      </c>
      <c r="L186" s="9" t="str">
        <f t="shared" si="107"/>
        <v>7.37</v>
      </c>
      <c r="M186" s="2"/>
      <c r="N186" s="16">
        <v>888888.0</v>
      </c>
      <c r="O186" s="2"/>
      <c r="P186" s="1" t="s">
        <v>361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1" t="s">
        <v>427</v>
      </c>
      <c r="B187" s="7" t="str">
        <f>HYPERLINK("https://lafourche.fr/products/solid-food-1kg-de-quinoa-blanc-en-vrac-bio","7.95")</f>
        <v>7.95</v>
      </c>
      <c r="C187" s="11">
        <v>0.2619</v>
      </c>
      <c r="D187" s="9" t="str">
        <f>HYPERLINK("https://www.biocoop.fr/magasin-biocoop_champollion/quinoa-france-bio-br0263-000.html","8.4")</f>
        <v>8.4</v>
      </c>
      <c r="E187" s="10">
        <v>0.0</v>
      </c>
      <c r="F187" s="9" t="str">
        <f>HYPERLINK("https://www.biocoop.fr/magasin-biocoop_fontaine/quinoa-france-bio-br0263-000.html","8.4")</f>
        <v>8.4</v>
      </c>
      <c r="G187" s="10">
        <v>0.0</v>
      </c>
      <c r="H187" s="9" t="str">
        <f>HYPERLINK("https://satoriz-comboire.bio/collections/vrac/products/bg1","8.8")</f>
        <v>8.8</v>
      </c>
      <c r="I187" s="10">
        <v>0.0</v>
      </c>
      <c r="J187" s="9" t="str">
        <f>HYPERLINK("https://www.greenweez.com/produit/quinoa-real-blanc-1kg/1MKAL0120","9.48")</f>
        <v>9.48</v>
      </c>
      <c r="K187" s="11">
        <v>0.0395</v>
      </c>
      <c r="L187" s="9" t="str">
        <f>HYPERLINK("https://metabase.lelefan.org/public/dashboard/53c41f3f-5644-466e-935e-897e7725f6bc?rayon=&amp;d%25C3%25A9signation=QUINOA BLANC D ANJOU VRAC&amp;fournisseur=&amp;date_d%25C3%25A9but=&amp;date_fin=","8.57")</f>
        <v>8.57</v>
      </c>
      <c r="M187" s="2"/>
      <c r="N187" s="7" t="str">
        <f>HYPERLINK("https://fd11-courses.leclercdrive.fr/magasin-063801-063801-Echirolles---Comboire/fiche-produits-6075-Quinoa-Bio-Village.aspx","6.18")</f>
        <v>6.18</v>
      </c>
      <c r="O187" s="2"/>
      <c r="P187" s="1" t="s">
        <v>361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1" t="s">
        <v>428</v>
      </c>
      <c r="B188" s="9" t="str">
        <f>HYPERLINK("https://lafourche.fr/products/la-fourche-quinoa-tricolore-bio-en-vrac-1kg","8.7")</f>
        <v>8.7</v>
      </c>
      <c r="C188" s="11">
        <v>0.2518</v>
      </c>
      <c r="D188" s="9" t="str">
        <f>HYPERLINK("https://www.biocoop.fr/magasin-biocoop_champollion/quinoa-real-bolivie-3-couleurs-bio-sm0366-000.html","8.9")</f>
        <v>8.9</v>
      </c>
      <c r="E188" s="10">
        <v>0.0</v>
      </c>
      <c r="F188" s="9" t="str">
        <f>HYPERLINK("https://www.biocoop.fr/magasin-biocoop_fontaine/quinoa-real-bolivie-3-couleurs-bio-sm0366-000.html","8.6")</f>
        <v>8.6</v>
      </c>
      <c r="G188" s="10">
        <v>0.0</v>
      </c>
      <c r="H188" s="7" t="str">
        <f>HYPERLINK("https://satoriz-comboire.bio/products/eu7921","7.2")</f>
        <v>7.2</v>
      </c>
      <c r="I188" s="10">
        <v>0.0</v>
      </c>
      <c r="J188" s="9" t="str">
        <f>HYPERLINK("https://www.greenweez.com/produit/quinoa-tricolore-bio-500g/2WEEZ0157","9.9")</f>
        <v>9.9</v>
      </c>
      <c r="K188" s="10">
        <v>0.0</v>
      </c>
      <c r="L188" s="16">
        <v>888888.0</v>
      </c>
      <c r="M188" s="2"/>
      <c r="N188" s="16">
        <v>888888.0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1" t="s">
        <v>429</v>
      </c>
      <c r="B189" s="7" t="str">
        <f t="shared" ref="B189:B190" si="108">HYPERLINK("https://lafourche.fr/products/la-fourche-1kg-de-boulgour-gros-bio-en-vrac","3.15")</f>
        <v>3.15</v>
      </c>
      <c r="C189" s="11">
        <v>0.129</v>
      </c>
      <c r="D189" s="9" t="str">
        <f t="shared" ref="D189:D190" si="109">HYPERLINK("https://www.biocoop.fr/magasin-biocoop_champollion/boulgour-ble-gros-france-1kg-ma8005-000.html","3.99")</f>
        <v>3.99</v>
      </c>
      <c r="E189" s="10">
        <v>0.0</v>
      </c>
      <c r="F189" s="9" t="str">
        <f t="shared" ref="F189:F190" si="110">HYPERLINK("https://www.biocoop.fr/magasin-biocoop_fontaine/boulgour-ble-gros-france-1kg-ma8005-000.html","3.6")</f>
        <v>3.6</v>
      </c>
      <c r="G189" s="10">
        <v>0.0</v>
      </c>
      <c r="H189" s="9" t="str">
        <f t="shared" ref="H189:H190" si="111">HYPERLINK("https://satoriz-comboire.bio/collections/vrac/products/ma11050","3.5")</f>
        <v>3.5</v>
      </c>
      <c r="I189" s="10">
        <v>0.0</v>
      </c>
      <c r="J189" s="9" t="str">
        <f>HYPERLINK("https://www.greenweez.com/produit/boulgour-traditionnel-bio-2-5kg/2WEEZ0215","3.79")</f>
        <v>3.79</v>
      </c>
      <c r="K189" s="11">
        <v>0.0587</v>
      </c>
      <c r="L189" s="9" t="str">
        <f t="shared" ref="L189:L190" si="112">HYPERLINK("https://metabase.lelefan.org/public/dashboard/53c41f3f-5644-466e-935e-897e7725f6bc?rayon=&amp;d%25C3%25A9signation=BOULGOUR VRAC&amp;fournisseur=&amp;date_d%25C3%25A9but=&amp;date_fin=","4.15")</f>
        <v>4.15</v>
      </c>
      <c r="M189" s="2"/>
      <c r="N189" s="16">
        <v>888888.0</v>
      </c>
      <c r="O189" s="2"/>
      <c r="P189" s="1" t="s">
        <v>91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1" t="s">
        <v>430</v>
      </c>
      <c r="B190" s="7" t="str">
        <f t="shared" si="108"/>
        <v>3.15</v>
      </c>
      <c r="C190" s="11">
        <v>0.129</v>
      </c>
      <c r="D190" s="9" t="str">
        <f t="shared" si="109"/>
        <v>3.99</v>
      </c>
      <c r="E190" s="10">
        <v>0.0</v>
      </c>
      <c r="F190" s="9" t="str">
        <f t="shared" si="110"/>
        <v>3.6</v>
      </c>
      <c r="G190" s="10">
        <v>0.0</v>
      </c>
      <c r="H190" s="9" t="str">
        <f t="shared" si="111"/>
        <v>3.5</v>
      </c>
      <c r="I190" s="10">
        <v>0.0</v>
      </c>
      <c r="J190" s="9" t="str">
        <f>HYPERLINK("https://www.greenweez.com/produit/boulgour-traditionnel-500-g/1PRIM0085","3.88")</f>
        <v>3.88</v>
      </c>
      <c r="K190" s="11">
        <v>0.0838</v>
      </c>
      <c r="L190" s="9" t="str">
        <f t="shared" si="112"/>
        <v>4.15</v>
      </c>
      <c r="M190" s="2"/>
      <c r="N190" s="16">
        <v>888888.0</v>
      </c>
      <c r="O190" s="2"/>
      <c r="P190" s="1" t="s">
        <v>91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1" t="s">
        <v>431</v>
      </c>
      <c r="B191" s="7" t="str">
        <f t="shared" ref="B191:B192" si="113">HYPERLINK("https://lafourche.fr/products/la-fourche-1kg-de-graines-de-millet-bio-en-vrac","3.5")</f>
        <v>3.5</v>
      </c>
      <c r="C191" s="10">
        <v>0.0</v>
      </c>
      <c r="D191" s="9" t="str">
        <f t="shared" ref="D191:D192" si="114">HYPERLINK("https://www.biocoop.fr/magasin-biocoop_champollion/millet-decortique-bio-md1001-000.html","4.3")</f>
        <v>4.3</v>
      </c>
      <c r="E191" s="10">
        <v>0.0</v>
      </c>
      <c r="F191" s="9" t="str">
        <f t="shared" ref="F191:F192" si="115">HYPERLINK("https://www.biocoop.fr/magasin-biocoop_fontaine/millet-decortique-france-500g-al8046-000.html","5.8")</f>
        <v>5.8</v>
      </c>
      <c r="G191" s="10">
        <v>0.0</v>
      </c>
      <c r="H191" s="7" t="str">
        <f t="shared" ref="H191:H192" si="116">HYPERLINK("https://satoriz-comboire.bio/collections/vrac/products/re39809","3.5")</f>
        <v>3.5</v>
      </c>
      <c r="I191" s="10">
        <v>0.0</v>
      </c>
      <c r="J191" s="9" t="str">
        <f>HYPERLINK("https://www.greenweez.com/produit/millet-bio-2-5kg/2WEEZ0528","3.6")</f>
        <v>3.6</v>
      </c>
      <c r="K191" s="11">
        <v>0.0112</v>
      </c>
      <c r="L191" s="16">
        <v>888888.0</v>
      </c>
      <c r="M191" s="2"/>
      <c r="N191" s="16">
        <v>888888.0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1" t="s">
        <v>432</v>
      </c>
      <c r="B192" s="7" t="str">
        <f t="shared" si="113"/>
        <v>3.5</v>
      </c>
      <c r="C192" s="10">
        <v>0.0</v>
      </c>
      <c r="D192" s="9" t="str">
        <f t="shared" si="114"/>
        <v>4.3</v>
      </c>
      <c r="E192" s="10">
        <v>0.0</v>
      </c>
      <c r="F192" s="9" t="str">
        <f t="shared" si="115"/>
        <v>5.8</v>
      </c>
      <c r="G192" s="10">
        <v>0.0</v>
      </c>
      <c r="H192" s="7" t="str">
        <f t="shared" si="116"/>
        <v>3.5</v>
      </c>
      <c r="I192" s="10">
        <v>0.0</v>
      </c>
      <c r="J192" s="9" t="str">
        <f>HYPERLINK("https://www.greenweez.com/produit/millet-decortique-1kg/1MKAL0092","3.79")</f>
        <v>3.79</v>
      </c>
      <c r="K192" s="11">
        <v>0.0646</v>
      </c>
      <c r="L192" s="16">
        <v>888888.0</v>
      </c>
      <c r="M192" s="2"/>
      <c r="N192" s="16">
        <v>888888.0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1" t="s">
        <v>433</v>
      </c>
      <c r="B193" s="7" t="str">
        <f t="shared" ref="B193:B194" si="117">HYPERLINK("https://lafourche.fr/products/la-fourche-1kg-de-couscous-complet-bio-en-vrac","2.3")</f>
        <v>2.3</v>
      </c>
      <c r="C193" s="10">
        <v>0.0</v>
      </c>
      <c r="D193" s="9" t="str">
        <f t="shared" ref="D193:D194" si="118">HYPERLINK("https://www.biocoop.fr/magasin-biocoop_champollion/couscous-ble-dur-complet-bio-bi9030-000.html","3.15")</f>
        <v>3.15</v>
      </c>
      <c r="E193" s="8">
        <v>-0.0308</v>
      </c>
      <c r="F193" s="9" t="str">
        <f t="shared" ref="F193:F194" si="119">HYPERLINK("https://www.biocoop.fr/magasin-biocoop_fontaine/couscous-ble-dur-complet-500g-bi9019-000.html","4.3")</f>
        <v>4.3</v>
      </c>
      <c r="G193" s="8">
        <v>-0.0227</v>
      </c>
      <c r="H193" s="9" t="str">
        <f t="shared" ref="H193:H194" si="120">HYPERLINK("https://satoriz-comboire.bio/collections/vrac/products/re40833","2.55")</f>
        <v>2.55</v>
      </c>
      <c r="I193" s="10">
        <v>0.0</v>
      </c>
      <c r="J193" s="9" t="str">
        <f>HYPERLINK("https://www.greenweez.com/produit/couscous-complet-bio-2-5kg/2WEEZ0216","3.98")</f>
        <v>3.98</v>
      </c>
      <c r="K193" s="11">
        <v>0.0501</v>
      </c>
      <c r="L193" s="9" t="str">
        <f t="shared" ref="L193:L194" si="121">HYPERLINK("https://metabase.lelefan.org/public/dashboard/53c41f3f-5644-466e-935e-897e7725f6bc?rayon=&amp;d%25C3%25A9signation=COUSCOUS DEMI-COMPLET SACHET&amp;fournisseur=&amp;date_d%25C3%25A9but=&amp;date_fin=","888888")</f>
        <v>888888</v>
      </c>
      <c r="M193" s="2"/>
      <c r="N193" s="9" t="str">
        <f t="shared" ref="N193:N194" si="122">HYPERLINK("https://fd11-courses.leclercdrive.fr/magasin-063801-063801-Echirolles---Comboire/fiche-produits-19138-Semoule-Couscous-Bio-Village.aspx","3.78")</f>
        <v>3.78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1" t="s">
        <v>434</v>
      </c>
      <c r="B194" s="7" t="str">
        <f t="shared" si="117"/>
        <v>2.3</v>
      </c>
      <c r="C194" s="10">
        <v>0.0</v>
      </c>
      <c r="D194" s="9" t="str">
        <f t="shared" si="118"/>
        <v>3.15</v>
      </c>
      <c r="E194" s="8">
        <v>-0.0308</v>
      </c>
      <c r="F194" s="9" t="str">
        <f t="shared" si="119"/>
        <v>4.3</v>
      </c>
      <c r="G194" s="8">
        <v>-0.0227</v>
      </c>
      <c r="H194" s="9" t="str">
        <f t="shared" si="120"/>
        <v>2.55</v>
      </c>
      <c r="I194" s="10">
        <v>0.0</v>
      </c>
      <c r="J194" s="9" t="str">
        <f>HYPERLINK("https://www.greenweez.com/produit/couscous-complet-bio-500g/2WEEZ0219","4.36")</f>
        <v>4.36</v>
      </c>
      <c r="K194" s="11">
        <v>0.1504</v>
      </c>
      <c r="L194" s="9" t="str">
        <f t="shared" si="121"/>
        <v>888888</v>
      </c>
      <c r="M194" s="2"/>
      <c r="N194" s="9" t="str">
        <f t="shared" si="122"/>
        <v>3.78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1" t="s">
        <v>435</v>
      </c>
      <c r="B195" s="7" t="str">
        <f>HYPERLINK("https://lafourche.fr/products/la-fourche-ble-tendre-complet-bio-en-vrac-1kg","1.64")</f>
        <v>1.64</v>
      </c>
      <c r="C195" s="11">
        <v>0.0314</v>
      </c>
      <c r="D195" s="16">
        <v>888888.0</v>
      </c>
      <c r="E195" s="2"/>
      <c r="F195" s="16">
        <v>888888.0</v>
      </c>
      <c r="G195" s="2"/>
      <c r="H195" s="9" t="str">
        <f>HYPERLINK("https://satoriz-comboire.bio/products/eco608","1.65")</f>
        <v>1.65</v>
      </c>
      <c r="I195" s="10">
        <v>0.0</v>
      </c>
      <c r="J195" s="9" t="str">
        <f>HYPERLINK("https://www.greenweez.com/produit/ble-tendre-complet-500g/1MKAL0007","2.76")</f>
        <v>2.76</v>
      </c>
      <c r="K195" s="11">
        <v>0.0781</v>
      </c>
      <c r="L195" s="16">
        <v>888888.0</v>
      </c>
      <c r="M195" s="2"/>
      <c r="N195" s="16">
        <v>888888.0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1" t="s">
        <v>436</v>
      </c>
      <c r="B196" s="7" t="str">
        <f>HYPERLINK("https://lafourche.fr/products/la-fourche-polenta-bio-en-vrac-1kg","3.55")</f>
        <v>3.55</v>
      </c>
      <c r="C196" s="10">
        <v>0.0</v>
      </c>
      <c r="D196" s="9" t="str">
        <f>HYPERLINK("https://www.biocoop.fr/magasin-biocoop_champollion/semoule-de-mais-instantanee-polenta-bio-ma8079-000.html","3.65")</f>
        <v>3.65</v>
      </c>
      <c r="E196" s="8">
        <v>-0.0519</v>
      </c>
      <c r="F196" s="9" t="str">
        <f>HYPERLINK("https://www.biocoop.fr/magasin-biocoop_fontaine/semoule-de-mais-instantanee-polenta-bio-ma8079-000.html","3.6")</f>
        <v>3.6</v>
      </c>
      <c r="G196" s="10">
        <v>0.0</v>
      </c>
      <c r="H196" s="9" t="str">
        <f>HYPERLINK("https://satoriz-comboire.bio/products/ma71051","3.6")</f>
        <v>3.6</v>
      </c>
      <c r="I196" s="10">
        <v>0.0</v>
      </c>
      <c r="J196" s="9" t="str">
        <f>HYPERLINK("https://www.greenweez.com/produit/semoule-mais-fine-1kg/1MKAL0272","3.59")</f>
        <v>3.59</v>
      </c>
      <c r="K196" s="11">
        <v>0.0466</v>
      </c>
      <c r="L196" s="9" t="str">
        <f>HYPERLINK("https://metabase.lelefan.org/public/dashboard/53c41f3f-5644-466e-935e-897e7725f6bc?rayon=&amp;d%25C3%25A9signation=POLENTA VRAC&amp;fournisseur=&amp;date_d%25C3%25A9but=&amp;date_fin=","3.93")</f>
        <v>3.93</v>
      </c>
      <c r="M196" s="2"/>
      <c r="N196" s="16">
        <v>888888.0</v>
      </c>
      <c r="O196" s="2"/>
      <c r="P196" s="1" t="s">
        <v>91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1" t="s">
        <v>437</v>
      </c>
      <c r="B197" s="7" t="str">
        <f>HYPERLINK("https://lafourche.fr/products/la-fourche-500g-de-graines-de-tournesol-en-vrac-bio","3.98")</f>
        <v>3.98</v>
      </c>
      <c r="C197" s="11">
        <v>0.0757</v>
      </c>
      <c r="D197" s="9" t="str">
        <f>HYPERLINK("https://www.biocoop.fr/magasin-biocoop_champollion/tournesol-decortique-bio-al8034-000.html","10.35")</f>
        <v>10.35</v>
      </c>
      <c r="E197" s="10">
        <v>0.0</v>
      </c>
      <c r="F197" s="9" t="str">
        <f>HYPERLINK("https://www.biocoop.fr/magasin-biocoop_fontaine/tournesol-decortique-250g-al8033-000.html","11.96")</f>
        <v>11.96</v>
      </c>
      <c r="G197" s="10">
        <v>0.0</v>
      </c>
      <c r="H197" s="9" t="str">
        <f>HYPERLINK("https://satoriz-comboire.bio/products/senfgtv","6.2")</f>
        <v>6.2</v>
      </c>
      <c r="I197" s="8">
        <v>-0.1948</v>
      </c>
      <c r="J197" s="9" t="str">
        <f>HYPERLINK("https://www.greenweez.com/produit/graines-de-tournesol-decortiquees-bio-500g/2WEEZ0020","888888")</f>
        <v>888888</v>
      </c>
      <c r="K197" s="18" t="s">
        <v>56</v>
      </c>
      <c r="L197" s="9" t="str">
        <f>HYPERLINK("https://metabase.lelefan.org/public/dashboard/53c41f3f-5644-466e-935e-897e7725f6bc?rayon=&amp;d%25C3%25A9signation=TOURNESOL DECORTIQUE VRAC&amp;fournisseur=&amp;date_d%25C3%25A9but=&amp;date_fin=","4.55")</f>
        <v>4.55</v>
      </c>
      <c r="M197" s="2"/>
      <c r="N197" s="9" t="str">
        <f>HYPERLINK("https://fd11-courses.leclercdrive.fr/magasin-063801-063801-Echirolles---Comboire/fiche-produits-80232-Graines-Bio-Village.aspx","7.95")</f>
        <v>7.95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1" t="s">
        <v>438</v>
      </c>
      <c r="B198" s="9" t="str">
        <f>HYPERLINK("https://lafourche.fr/products/la-fourche-500g-de-graines-de-lin-bio-en-vrac","4.78")</f>
        <v>4.78</v>
      </c>
      <c r="C198" s="11">
        <v>0.0042</v>
      </c>
      <c r="D198" s="9" t="str">
        <f>HYPERLINK("https://www.biocoop.fr/magasin-biocoop_champollion/graine-de-lin-brun-bio-br0236-000.html","6.15")</f>
        <v>6.15</v>
      </c>
      <c r="E198" s="11">
        <v>0.1121</v>
      </c>
      <c r="F198" s="9" t="str">
        <f>HYPERLINK("https://www.biocoop.fr/magasin-biocoop_fontaine/graine-de-lin-brun-bio-br0236-000.html","5.8")</f>
        <v>5.8</v>
      </c>
      <c r="G198" s="10">
        <v>0.0</v>
      </c>
      <c r="H198" s="7" t="str">
        <f>HYPERLINK("https://satoriz-comboire.bio/products/re39808","4.75")</f>
        <v>4.75</v>
      </c>
      <c r="I198" s="10">
        <v>0.0</v>
      </c>
      <c r="J198" s="9" t="str">
        <f>HYPERLINK("https://www.greenweez.com/produit/graines-de-lin-brun-bio-500g/2WEEZ0019","4.98")</f>
        <v>4.98</v>
      </c>
      <c r="K198" s="11">
        <v>0.0462</v>
      </c>
      <c r="L198" s="9" t="str">
        <f>HYPERLINK("https://metabase.lelefan.org/public/dashboard/53c41f3f-5644-466e-935e-897e7725f6bc?rayon=&amp;d%25C3%25A9signation=LIN BRUN&amp;fournisseur=&amp;date_d%25C3%25A9but=&amp;date_fin=","888888")</f>
        <v>888888</v>
      </c>
      <c r="M198" s="2"/>
      <c r="N198" s="9" t="str">
        <f>HYPERLINK("https://fd11-courses.leclercdrive.fr/magasin-063801-063801-Echirolles---Comboire/fiche-produits-80229-Graines-de-lin-brun-Bio-Village.aspx","8.45")</f>
        <v>8.45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1" t="s">
        <v>439</v>
      </c>
      <c r="B199" s="9" t="str">
        <f>HYPERLINK("https://lafourche.fr/products/la-fourche-500g-de-graines-de-sesames-bio-en-vrac","5.94")</f>
        <v>5.94</v>
      </c>
      <c r="C199" s="11">
        <v>0.1</v>
      </c>
      <c r="D199" s="16">
        <v>888888.0</v>
      </c>
      <c r="E199" s="2"/>
      <c r="F199" s="16">
        <v>888888.0</v>
      </c>
      <c r="G199" s="2"/>
      <c r="H199" s="9" t="str">
        <f>HYPERLINK("https://satoriz-comboire.bio/products/eu203","5.95")</f>
        <v>5.95</v>
      </c>
      <c r="I199" s="10">
        <v>0.0</v>
      </c>
      <c r="J199" s="9" t="str">
        <f>HYPERLINK("https://www.greenweez.com/produit/sesame-complet-bio-500g/2WEEZ0028","8.38")</f>
        <v>8.38</v>
      </c>
      <c r="K199" s="11">
        <v>0.0608</v>
      </c>
      <c r="L199" s="7" t="str">
        <f>HYPERLINK("https://metabase.lelefan.org/public/dashboard/53c41f3f-5644-466e-935e-897e7725f6bc?rayon=&amp;d%25C3%25A9signation=SESAME NON DECORTIQUE VRAC&amp;fournisseur=&amp;date_d%25C3%25A9but=&amp;date_fin=","5.82")</f>
        <v>5.82</v>
      </c>
      <c r="M199" s="2"/>
      <c r="N199" s="9" t="str">
        <f>HYPERLINK("https://fd11-courses.leclercdrive.fr/magasin-063801-063801-Echirolles---Comboire/fiche-produits-80230-Graines-de-sesame-Bio-Village.aspx","9.95")</f>
        <v>9.95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1" t="s">
        <v>440</v>
      </c>
      <c r="B200" s="7" t="str">
        <f>HYPERLINK("https://lafourche.fr/products/la-fourche-500g-de-graines-de-chia-bio-en-vrac","6.8")</f>
        <v>6.8</v>
      </c>
      <c r="C200" s="10">
        <v>0.0</v>
      </c>
      <c r="D200" s="9" t="str">
        <f>HYPERLINK("https://www.biocoop.fr/magasin-biocoop_champollion/graine-de-chia-noire-france-bio-qu1028-000.html","888888")</f>
        <v>888888</v>
      </c>
      <c r="E200" s="17">
        <v>0.0</v>
      </c>
      <c r="F200" s="9" t="str">
        <f>HYPERLINK("https://www.biocoop.fr/magasin-biocoop_fontaine/graine-de-chia-noire-france-bio-qu1028-000.html","18.9")</f>
        <v>18.9</v>
      </c>
      <c r="G200" s="17">
        <v>-1.0</v>
      </c>
      <c r="H200" s="7" t="str">
        <f>HYPERLINK("https://satoriz-comboire.bio/products/bofchia","6.8")</f>
        <v>6.8</v>
      </c>
      <c r="I200" s="10">
        <v>0.0</v>
      </c>
      <c r="J200" s="9" t="str">
        <f>HYPERLINK("https://www.greenweez.com/produit/graines-de-chia-bio-500g/2WEEZ0337","8.78")</f>
        <v>8.78</v>
      </c>
      <c r="K200" s="8">
        <v>-0.1185</v>
      </c>
      <c r="L200" s="9" t="str">
        <f>HYPERLINK("https://metabase.lelefan.org/public/dashboard/53c41f3f-5644-466e-935e-897e7725f6bc?rayon=&amp;d%25C3%25A9signation=GRAINE DE CHIA VRAC&amp;fournisseur=&amp;date_d%25C3%25A9but=&amp;date_fin=","16.82")</f>
        <v>16.82</v>
      </c>
      <c r="M200" s="2"/>
      <c r="N200" s="16">
        <v>888888.0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1" t="s">
        <v>441</v>
      </c>
      <c r="B201" s="9" t="str">
        <f>HYPERLINK("https://lafourche.fr/products/la-fourche-500g-de-graines-de-courge-en-vrac-bio","12.7")</f>
        <v>12.7</v>
      </c>
      <c r="C201" s="11">
        <v>0.0079</v>
      </c>
      <c r="D201" s="9" t="str">
        <f>HYPERLINK("https://www.biocoop.fr/magasin-biocoop_champollion/graine-de-courge-france-250g-al8045-000.html","22.76")</f>
        <v>22.76</v>
      </c>
      <c r="E201" s="2"/>
      <c r="F201" s="9" t="str">
        <f>HYPERLINK("https://www.biocoop.fr/magasin-biocoop_fontaine/graine-de-courge-france-250g-al8045-000.html","20.8")</f>
        <v>20.8</v>
      </c>
      <c r="G201" s="10">
        <v>0.0</v>
      </c>
      <c r="H201" s="9" t="str">
        <f>HYPERLINK("https://satoriz-comboire.bio/products/ec008","14.95")</f>
        <v>14.95</v>
      </c>
      <c r="I201" s="10">
        <v>0.0</v>
      </c>
      <c r="J201" s="9" t="str">
        <f>HYPERLINK("https://www.greenweez.com/produit/graines-de-courge-bio-500g/2WEEZ0530","888888")</f>
        <v>888888</v>
      </c>
      <c r="K201" s="18" t="s">
        <v>56</v>
      </c>
      <c r="L201" s="7" t="str">
        <f>HYPERLINK("https://metabase.lelefan.org/public/dashboard/53c41f3f-5644-466e-935e-897e7725f6bc?rayon=&amp;d%25C3%25A9signation=GRAINE DE COURGE VRAC&amp;fournisseur=&amp;date_d%25C3%25A9but=&amp;date_fin=","10.29")</f>
        <v>10.29</v>
      </c>
      <c r="M201" s="2"/>
      <c r="N201" s="9" t="str">
        <f>HYPERLINK("https://fd11-courses.leclercdrive.fr/magasin-063801-063801-Echirolles---Comboire/fiche-produits-80231-Graines-de-courge-bio.aspx","15.45")</f>
        <v>15.45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1" t="s">
        <v>442</v>
      </c>
      <c r="B202" s="9" t="str">
        <f>HYPERLINK("https://lafourche.fr/products/la-fourche-250g-de-pignons-de-cedre-en-vrac-bio","43.6")</f>
        <v>43.6</v>
      </c>
      <c r="C202" s="10">
        <v>0.0</v>
      </c>
      <c r="D202" s="16">
        <v>888888.0</v>
      </c>
      <c r="E202" s="2"/>
      <c r="F202" s="16">
        <v>888888.0</v>
      </c>
      <c r="G202" s="2"/>
      <c r="H202" s="7" t="str">
        <f>HYPERLINK("https://satoriz-comboire.bio/products/bof3007","41.4")</f>
        <v>41.4</v>
      </c>
      <c r="I202" s="10">
        <v>0.0</v>
      </c>
      <c r="J202" s="9" t="str">
        <f>HYPERLINK("https://www.greenweez.com/produit/pignons-de-cedre-500g/2WEEZ0403","45.9")</f>
        <v>45.9</v>
      </c>
      <c r="K202" s="8">
        <v>-0.0418</v>
      </c>
      <c r="L202" s="16">
        <v>888888.0</v>
      </c>
      <c r="M202" s="2"/>
      <c r="N202" s="16">
        <v>888888.0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1" t="s">
        <v>443</v>
      </c>
      <c r="B203" s="7" t="str">
        <f>HYPERLINK("https://lafourche.fr/products/la-fourche-pignons-de-pin-bio-0-25kg","57.92")</f>
        <v>57.92</v>
      </c>
      <c r="C203" s="10">
        <v>0.0</v>
      </c>
      <c r="D203" s="16">
        <v>888888.0</v>
      </c>
      <c r="E203" s="2"/>
      <c r="F203" s="16">
        <v>888888.0</v>
      </c>
      <c r="G203" s="2"/>
      <c r="H203" s="9" t="str">
        <f>HYPERLINK("https://satoriz-comboire.bio/products/ag639","83.6")</f>
        <v>83.6</v>
      </c>
      <c r="I203" s="8">
        <v>-0.1181</v>
      </c>
      <c r="J203" s="9" t="str">
        <f>HYPERLINK("https://www.greenweez.com/produit/pignons-de-pin-bio-125g/1DPFS0044","90.0")</f>
        <v>90.0</v>
      </c>
      <c r="K203" s="8">
        <v>-0.1176</v>
      </c>
      <c r="L203" s="16">
        <v>888888.0</v>
      </c>
      <c r="M203" s="2"/>
      <c r="N203" s="16">
        <v>888888.0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1" t="s">
        <v>444</v>
      </c>
      <c r="B204" s="7" t="str">
        <f t="shared" ref="B204:B205" si="123">HYPERLINK("https://lafourche.fr/products/la-fourche-1kg-de-pois-chiches-en-vrac-bio","3.61")</f>
        <v>3.61</v>
      </c>
      <c r="C204" s="10">
        <v>0.0</v>
      </c>
      <c r="D204" s="9" t="str">
        <f t="shared" ref="D204:D205" si="124">HYPERLINK("https://www.biocoop.fr/magasin-biocoop_champollion/pois-chiches-bio-al8031-000.html","4.95")</f>
        <v>4.95</v>
      </c>
      <c r="E204" s="10">
        <v>0.0</v>
      </c>
      <c r="F204" s="9" t="str">
        <f t="shared" ref="F204:F205" si="125">HYPERLINK("https://www.biocoop.fr/magasin-biocoop_fontaine/pois-chiches-bio-al8031-000.html","4.5")</f>
        <v>4.5</v>
      </c>
      <c r="G204" s="10">
        <v>0.0</v>
      </c>
      <c r="H204" s="9" t="str">
        <f t="shared" ref="H204:H205" si="126">HYPERLINK("https://satoriz-comboire.bio/collections/vrac/products/re40037","3.7")</f>
        <v>3.7</v>
      </c>
      <c r="I204" s="10">
        <v>0.0</v>
      </c>
      <c r="J204" s="9" t="str">
        <f>HYPERLINK("https://www.greenweez.com/produit/pois-chiches-bio-2-5kg/2WEEZ0213","4.38")</f>
        <v>4.38</v>
      </c>
      <c r="K204" s="8">
        <v>-0.0581</v>
      </c>
      <c r="L204" s="9" t="str">
        <f t="shared" ref="L204:L205" si="127">HYPERLINK("https://metabase.lelefan.org/public/dashboard/53c41f3f-5644-466e-935e-897e7725f6bc?rayon=&amp;d%25C3%25A9signation=POIS CHICHE VRAC&amp;fournisseur=&amp;date_d%25C3%25A9but=&amp;date_fin=","4.51")</f>
        <v>4.51</v>
      </c>
      <c r="M204" s="2"/>
      <c r="N204" s="9" t="str">
        <f t="shared" ref="N204:N205" si="128">HYPERLINK("https://fd11-courses.leclercdrive.fr/magasin-063801-063801-Echirolles---Comboire/fiche-produits-148027-Pois-chiche-Bio-Village.aspx","4.16")</f>
        <v>4.16</v>
      </c>
      <c r="O204" s="2"/>
      <c r="P204" s="1" t="s">
        <v>91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1" t="s">
        <v>445</v>
      </c>
      <c r="B205" s="7" t="str">
        <f t="shared" si="123"/>
        <v>3.61</v>
      </c>
      <c r="C205" s="10">
        <v>0.0</v>
      </c>
      <c r="D205" s="9" t="str">
        <f t="shared" si="124"/>
        <v>4.95</v>
      </c>
      <c r="E205" s="10">
        <v>0.0</v>
      </c>
      <c r="F205" s="9" t="str">
        <f t="shared" si="125"/>
        <v>4.5</v>
      </c>
      <c r="G205" s="10">
        <v>0.0</v>
      </c>
      <c r="H205" s="9" t="str">
        <f t="shared" si="126"/>
        <v>3.7</v>
      </c>
      <c r="I205" s="10">
        <v>0.0</v>
      </c>
      <c r="J205" s="9" t="str">
        <f>HYPERLINK("https://www.greenweez.com/produit/pois-chiche-bio-500g/2WEEZ0119","4.76")</f>
        <v>4.76</v>
      </c>
      <c r="K205" s="11">
        <v>0.0237</v>
      </c>
      <c r="L205" s="9" t="str">
        <f t="shared" si="127"/>
        <v>4.51</v>
      </c>
      <c r="M205" s="2"/>
      <c r="N205" s="9" t="str">
        <f t="shared" si="128"/>
        <v>4.16</v>
      </c>
      <c r="O205" s="2"/>
      <c r="P205" s="1" t="s">
        <v>91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1" t="s">
        <v>446</v>
      </c>
      <c r="B206" s="7" t="str">
        <f>HYPERLINK("https://lafourche.fr/products/la-fourche-1kg-de-lentilles-corail-bio-en-vrac","3.3")</f>
        <v>3.3</v>
      </c>
      <c r="C206" s="10">
        <v>0.0</v>
      </c>
      <c r="D206" s="9" t="str">
        <f t="shared" ref="D206:D207" si="129">HYPERLINK("https://www.biocoop.fr/magasin-biocoop_champollion/lentilles-corail-500g-al8038-000.html","8.7")</f>
        <v>8.7</v>
      </c>
      <c r="E206" s="10">
        <v>0.0</v>
      </c>
      <c r="F206" s="9" t="str">
        <f t="shared" ref="F206:F207" si="130">HYPERLINK("https://www.biocoop.fr/magasin-biocoop_fontaine/lentilles-corail-500g-al8038-000.html","8.4")</f>
        <v>8.4</v>
      </c>
      <c r="G206" s="10">
        <v>0.0</v>
      </c>
      <c r="H206" s="9" t="str">
        <f t="shared" ref="H206:H207" si="131">HYPERLINK("https://satoriz-comboire.bio/collections/vrac/products/eu1380","3.4")</f>
        <v>3.4</v>
      </c>
      <c r="I206" s="11">
        <v>0.0303</v>
      </c>
      <c r="J206" s="9" t="str">
        <f>HYPERLINK("https://www.greenweez.com/produit/lentilles-corail-3kg/5GREE0154","4.16")</f>
        <v>4.16</v>
      </c>
      <c r="K206" s="11">
        <v>0.04</v>
      </c>
      <c r="L206" s="9" t="str">
        <f t="shared" ref="L206:L207" si="132">HYPERLINK("https://metabase.lelefan.org/public/dashboard/53c41f3f-5644-466e-935e-897e7725f6bc?rayon=&amp;d%25C3%25A9signation=LENTILLE CORAIL ROUGE VRAC&amp;fournisseur=&amp;date_d%25C3%25A9but=&amp;date_fin=","4.74")</f>
        <v>4.74</v>
      </c>
      <c r="M206" s="2"/>
      <c r="N206" s="9" t="str">
        <f t="shared" ref="N206:N207" si="133">HYPERLINK("https://fd11-courses.leclercdrive.fr/magasin-063801-063801-Echirolles---Comboire/fiche-produits-58141-Lentilles-corail-Bio-Village.aspx","4.42")</f>
        <v>4.42</v>
      </c>
      <c r="O206" s="2"/>
      <c r="P206" s="1" t="s">
        <v>361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1" t="s">
        <v>447</v>
      </c>
      <c r="B207" s="9" t="str">
        <f>HYPERLINK("https://lafourche.fr/products/celnat-lentilles-corail-500g-bio","5.2")</f>
        <v>5.2</v>
      </c>
      <c r="C207" s="11">
        <v>0.5758</v>
      </c>
      <c r="D207" s="9" t="str">
        <f t="shared" si="129"/>
        <v>8.7</v>
      </c>
      <c r="E207" s="10">
        <v>0.0</v>
      </c>
      <c r="F207" s="9" t="str">
        <f t="shared" si="130"/>
        <v>8.4</v>
      </c>
      <c r="G207" s="10">
        <v>0.0</v>
      </c>
      <c r="H207" s="7" t="str">
        <f t="shared" si="131"/>
        <v>3.4</v>
      </c>
      <c r="I207" s="11">
        <v>0.0303</v>
      </c>
      <c r="J207" s="9" t="str">
        <f>HYPERLINK("https://www.greenweez.com/produit/lentilles-corail-bio-500g/2WEEZ0222","888888")</f>
        <v>888888</v>
      </c>
      <c r="K207" s="18" t="s">
        <v>56</v>
      </c>
      <c r="L207" s="9" t="str">
        <f t="shared" si="132"/>
        <v>4.74</v>
      </c>
      <c r="M207" s="2"/>
      <c r="N207" s="7" t="str">
        <f t="shared" si="133"/>
        <v>4.42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1" t="s">
        <v>448</v>
      </c>
      <c r="B208" s="9" t="str">
        <f>HYPERLINK("https://lafourche.fr/products/la-fourche-1kg-de-pois-casses-bio-en-vrac","3.99")</f>
        <v>3.99</v>
      </c>
      <c r="C208" s="10">
        <v>0.0</v>
      </c>
      <c r="D208" s="9" t="str">
        <f>HYPERLINK("https://www.biocoop.fr/magasin-biocoop_champollion/pois-casses-france-cuisson-rapide-250g-sa1122-000.html","8.32")</f>
        <v>8.32</v>
      </c>
      <c r="E208" s="10">
        <v>0.0</v>
      </c>
      <c r="F208" s="9" t="str">
        <f t="shared" ref="F208:F209" si="134">HYPERLINK("https://www.biocoop.fr/magasin-biocoop_fontaine/pois-casses-france-500g-al8048-000.html","4.94")</f>
        <v>4.94</v>
      </c>
      <c r="G208" s="10">
        <v>0.0</v>
      </c>
      <c r="H208" s="9" t="str">
        <f t="shared" ref="H208:H209" si="135">HYPERLINK("https://satoriz-comboire.bio/collections/vrac/products/eu1363","4.2")</f>
        <v>4.2</v>
      </c>
      <c r="I208" s="10">
        <v>0.0</v>
      </c>
      <c r="J208" s="9" t="str">
        <f>HYPERLINK("https://www.greenweez.com/produit/pois-casses-verts-3kg/5GREE0169","4.16")</f>
        <v>4.16</v>
      </c>
      <c r="K208" s="11">
        <v>0.0426</v>
      </c>
      <c r="L208" s="7" t="str">
        <f t="shared" ref="L208:L209" si="136">HYPERLINK("https://metabase.lelefan.org/public/dashboard/53c41f3f-5644-466e-935e-897e7725f6bc?rayon=&amp;d%25C3%25A9signation=POIS VERT CASSE VRAC&amp;fournisseur=&amp;date_d%25C3%25A9but=&amp;date_fin=","3.5")</f>
        <v>3.5</v>
      </c>
      <c r="M208" s="2"/>
      <c r="N208" s="9" t="str">
        <f t="shared" ref="N208:N209" si="137">HYPERLINK("https://fd11-courses.leclercdrive.fr/magasin-063801-063801-Echirolles---Comboire/fiche-produits-148023-Pois-casses-Bio-Village.aspx","3.98")</f>
        <v>3.98</v>
      </c>
      <c r="O208" s="2"/>
      <c r="P208" s="1" t="s">
        <v>91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1" t="s">
        <v>449</v>
      </c>
      <c r="B209" s="9" t="str">
        <f>HYPERLINK("https://lafourche.fr/products/celnat-pois-casses-verts-500g-bio","5.16")</f>
        <v>5.16</v>
      </c>
      <c r="C209" s="11">
        <v>0.2932</v>
      </c>
      <c r="D209" s="9" t="str">
        <f>HYPERLINK("https://www.biocoop.fr/magasin-biocoop_champollion/pois-casses-france-500g-al8048-000.html","888888")</f>
        <v>888888</v>
      </c>
      <c r="E209" s="18" t="s">
        <v>56</v>
      </c>
      <c r="F209" s="9" t="str">
        <f t="shared" si="134"/>
        <v>4.94</v>
      </c>
      <c r="G209" s="10">
        <v>0.0</v>
      </c>
      <c r="H209" s="9" t="str">
        <f t="shared" si="135"/>
        <v>4.2</v>
      </c>
      <c r="I209" s="10">
        <v>0.0</v>
      </c>
      <c r="J209" s="9" t="str">
        <f>HYPERLINK("https://www.greenweez.com/produit/pois-casses-verts-500g-1/5GREE0167","5.58")</f>
        <v>5.58</v>
      </c>
      <c r="K209" s="11">
        <v>0.3985</v>
      </c>
      <c r="L209" s="7" t="str">
        <f t="shared" si="136"/>
        <v>3.5</v>
      </c>
      <c r="M209" s="2"/>
      <c r="N209" s="9" t="str">
        <f t="shared" si="137"/>
        <v>3.98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1" t="s">
        <v>450</v>
      </c>
      <c r="B210" s="9" t="str">
        <f t="shared" ref="B210:B211" si="138">HYPERLINK("https://lafourche.fr/products/la-fourche-1kg-de-lentilles-vertes-bio-en-vrac","4.59")</f>
        <v>4.59</v>
      </c>
      <c r="C210" s="11">
        <v>0.0066</v>
      </c>
      <c r="D210" s="9" t="str">
        <f t="shared" ref="D210:D211" si="139">HYPERLINK("https://www.biocoop.fr/magasin-biocoop_champollion/lentilles-vertes-bio-br0278-000.html","5.25")</f>
        <v>5.25</v>
      </c>
      <c r="E210" s="10">
        <v>0.0</v>
      </c>
      <c r="F210" s="9" t="str">
        <f t="shared" ref="F210:F211" si="140">HYPERLINK("https://www.biocoop.fr/magasin-biocoop_fontaine/lentilles-vertes-bio-br0278-000.html","5.3")</f>
        <v>5.3</v>
      </c>
      <c r="G210" s="10">
        <v>0.0</v>
      </c>
      <c r="H210" s="9" t="str">
        <f t="shared" ref="H210:H211" si="141">HYPERLINK("https://satoriz-comboire.bio/collections/vrac/products/re39341","4.9")</f>
        <v>4.9</v>
      </c>
      <c r="I210" s="11">
        <v>0.0208</v>
      </c>
      <c r="J210" s="9" t="str">
        <f>HYPERLINK("https://www.greenweez.com/produit/lentilles-vertes-bio-france-2-5kg/2WEEZ0296","5.8")</f>
        <v>5.8</v>
      </c>
      <c r="K210" s="11">
        <v>0.0781</v>
      </c>
      <c r="L210" s="7" t="str">
        <f t="shared" ref="L210:L211" si="142">HYPERLINK("https://metabase.lelefan.org/public/dashboard/53c41f3f-5644-466e-935e-897e7725f6bc?rayon=&amp;d%25C3%25A9signation=LENTILLE VERTE VRAC&amp;fournisseur=&amp;date_d%25C3%25A9but=&amp;date_fin=","4.48")</f>
        <v>4.48</v>
      </c>
      <c r="M210" s="2"/>
      <c r="N210" s="7" t="str">
        <f t="shared" ref="N210:N211" si="143">HYPERLINK("https://fd11-courses.leclercdrive.fr/magasin-063801-063801-Echirolles---Comboire/fiche-produits-23797-Lentilles-vertes-Bio-Village.aspx","4.16")</f>
        <v>4.16</v>
      </c>
      <c r="O210" s="2"/>
      <c r="P210" s="1" t="s">
        <v>361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1" t="s">
        <v>451</v>
      </c>
      <c r="B211" s="9" t="str">
        <f t="shared" si="138"/>
        <v>4.59</v>
      </c>
      <c r="C211" s="11">
        <v>0.0066</v>
      </c>
      <c r="D211" s="9" t="str">
        <f t="shared" si="139"/>
        <v>5.25</v>
      </c>
      <c r="E211" s="10">
        <v>0.0</v>
      </c>
      <c r="F211" s="9" t="str">
        <f t="shared" si="140"/>
        <v>5.3</v>
      </c>
      <c r="G211" s="10">
        <v>0.0</v>
      </c>
      <c r="H211" s="9" t="str">
        <f t="shared" si="141"/>
        <v>4.9</v>
      </c>
      <c r="I211" s="11">
        <v>0.0208</v>
      </c>
      <c r="J211" s="9" t="str">
        <f>HYPERLINK("https://www.greenweez.com/produit/lentilles-vertes-de-1kg/1PRIM0090","6.0")</f>
        <v>6.0</v>
      </c>
      <c r="K211" s="11">
        <v>0.1152</v>
      </c>
      <c r="L211" s="7" t="str">
        <f t="shared" si="142"/>
        <v>4.48</v>
      </c>
      <c r="M211" s="2"/>
      <c r="N211" s="7" t="str">
        <f t="shared" si="143"/>
        <v>4.16</v>
      </c>
      <c r="O211" s="2"/>
      <c r="P211" s="1" t="s">
        <v>361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1" t="s">
        <v>452</v>
      </c>
      <c r="B212" s="7" t="str">
        <f>HYPERLINK("https://lafourche.fr/products/celnat-haricots-blancs-lingots-de-vendee-500g","6.52")</f>
        <v>6.52</v>
      </c>
      <c r="C212" s="10">
        <v>0.0</v>
      </c>
      <c r="D212" s="9" t="str">
        <f>HYPERLINK("https://www.biocoop.fr/magasin-biocoop_champollion/haricots-blancs-lingots-500g-fc1002-000.html","8.4")</f>
        <v>8.4</v>
      </c>
      <c r="E212" s="10">
        <v>0.0</v>
      </c>
      <c r="F212" s="9" t="str">
        <f>HYPERLINK("https://www.biocoop.fr/magasin-biocoop_fontaine/haricots-blancs-lingots-bio-al8036-000.html","6.9")</f>
        <v>6.9</v>
      </c>
      <c r="G212" s="10">
        <v>0.0</v>
      </c>
      <c r="H212" s="9" t="str">
        <f>HYPERLINK("https://satoriz-comboire.bio/products/ra1","6.95")</f>
        <v>6.95</v>
      </c>
      <c r="I212" s="10">
        <v>0.0</v>
      </c>
      <c r="J212" s="9" t="str">
        <f>HYPERLINK("https://www.greenweez.com/produit/haricots-lingots-blancs-de-france-500g/1PRIM0098","8.46")</f>
        <v>8.46</v>
      </c>
      <c r="K212" s="2"/>
      <c r="L212" s="16">
        <v>888888.0</v>
      </c>
      <c r="M212" s="2"/>
      <c r="N212" s="16">
        <v>888888.0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1" t="s">
        <v>453</v>
      </c>
      <c r="B213" s="7" t="str">
        <f>HYPERLINK("https://lafourche.fr/products/la-fourche-proteines-de-soja-gros-morceaux-bio-en-vrac-0-5","9.6")</f>
        <v>9.6</v>
      </c>
      <c r="C213" s="2"/>
      <c r="D213" s="9" t="str">
        <f>HYPERLINK("https://www.biocoop.fr/magasin-biocoop_champollion/proteines-de-soja-gros-bio-sb0013-000.html","10.93")</f>
        <v>10.93</v>
      </c>
      <c r="E213" s="2"/>
      <c r="F213" s="9" t="str">
        <f>HYPERLINK("https://www.biocoop.fr/magasin-biocoop_fontaine/proteines-de-soja-gros-bio-sb0013-000.html","10.1")</f>
        <v>10.1</v>
      </c>
      <c r="G213" s="2"/>
      <c r="H213" s="9" t="str">
        <f>HYPERLINK("https://satoriz-comboire.bio/products/eu2199","11.14")</f>
        <v>11.14</v>
      </c>
      <c r="I213" s="2"/>
      <c r="J213" s="9" t="str">
        <f>HYPERLINK("https://www.greenweez.com/produit/proteines-de-soja-gros-morceaux-200g/1GRIL0079","888888")</f>
        <v>888888</v>
      </c>
      <c r="K213" s="2"/>
      <c r="L213" s="9" t="str">
        <f>HYPERLINK("https://metabase.lelefan.org/public/dashboard/53c41f3f-5644-466e-935e-897e7725f6bc?rayon=&amp;d%25C3%25A9signation=PROTEINES DE SOJA GROS MORCEAUX&amp;fournisseur=&amp;date_d%25C3%25A9but=&amp;date_fin=","14.11")</f>
        <v>14.11</v>
      </c>
      <c r="M213" s="2"/>
      <c r="N213" s="16">
        <v>888888.0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1" t="s">
        <v>454</v>
      </c>
      <c r="B214" s="7" t="str">
        <f t="shared" ref="B214:B215" si="144">HYPERLINK("https://lafourche.fr/products/celnat-proteines-de-soja-emincees-300g-bio","9.97")</f>
        <v>9.97</v>
      </c>
      <c r="C214" s="2"/>
      <c r="D214" s="9" t="str">
        <f t="shared" ref="D214:D215" si="145">HYPERLINK("https://www.biocoop.fr/magasin-biocoop_champollion/proteines-de-soja-petit-300g-sb0010-000.html","15.5")</f>
        <v>15.5</v>
      </c>
      <c r="E214" s="2"/>
      <c r="F214" s="9" t="str">
        <f t="shared" ref="F214:F215" si="146">HYPERLINK("https://www.biocoop.fr/magasin-biocoop_fontaine/proteines-de-soja-petit-300g-sb0010-000.html","15.5")</f>
        <v>15.5</v>
      </c>
      <c r="G214" s="2"/>
      <c r="H214" s="9" t="str">
        <f t="shared" ref="H214:H215" si="147">HYPERLINK("https://satoriz-comboire.bio/products/eu2197","11.14")</f>
        <v>11.14</v>
      </c>
      <c r="I214" s="2"/>
      <c r="J214" s="9" t="str">
        <f>HYPERLINK("https://www.greenweez.com/produit/proteines-de-soja-fines-texturees-bio-1kg/2WEEZ0466","888888")</f>
        <v>888888</v>
      </c>
      <c r="K214" s="2"/>
      <c r="L214" s="9" t="str">
        <f t="shared" ref="L214:L215" si="148">HYPERLINK("https://metabase.lelefan.org/public/dashboard/53c41f3f-5644-466e-935e-897e7725f6bc?rayon=&amp;d%25C3%25A9signation=PROTEINES DE SOJA PETITS MORCEAUX&amp;fournisseur=&amp;date_d%25C3%25A9but=&amp;date_fin=","14.11")</f>
        <v>14.11</v>
      </c>
      <c r="M214" s="2"/>
      <c r="N214" s="16">
        <v>888888.0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1" t="s">
        <v>455</v>
      </c>
      <c r="B215" s="7" t="str">
        <f t="shared" si="144"/>
        <v>9.97</v>
      </c>
      <c r="C215" s="2"/>
      <c r="D215" s="9" t="str">
        <f t="shared" si="145"/>
        <v>15.5</v>
      </c>
      <c r="E215" s="2"/>
      <c r="F215" s="9" t="str">
        <f t="shared" si="146"/>
        <v>15.5</v>
      </c>
      <c r="G215" s="2"/>
      <c r="H215" s="9" t="str">
        <f t="shared" si="147"/>
        <v>11.14</v>
      </c>
      <c r="I215" s="2"/>
      <c r="J215" s="9" t="str">
        <f>HYPERLINK("https://www.greenweez.com/produit/proteines-de-soja-fines-texturees-bio-200g/2WEEZ0476","11.9")</f>
        <v>11.9</v>
      </c>
      <c r="K215" s="2"/>
      <c r="L215" s="9" t="str">
        <f t="shared" si="148"/>
        <v>14.11</v>
      </c>
      <c r="M215" s="2"/>
      <c r="N215" s="16">
        <v>888888.0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1" t="s">
        <v>456</v>
      </c>
      <c r="B216" s="7" t="str">
        <f>HYPERLINK("https://lafourche.fr/products/celnat-proteines-de-pois-france-bio-0-2kg","19.4")</f>
        <v>19.4</v>
      </c>
      <c r="C216" s="2"/>
      <c r="D216" s="16">
        <v>888888.0</v>
      </c>
      <c r="E216" s="2"/>
      <c r="F216" s="16">
        <v>888888.0</v>
      </c>
      <c r="G216" s="2"/>
      <c r="H216" s="9" t="str">
        <f>HYPERLINK("https://satoriz-comboire.bio/products/cebpp","20.75")</f>
        <v>20.75</v>
      </c>
      <c r="I216" s="2"/>
      <c r="J216" s="9" t="str">
        <f>HYPERLINK("https://www.greenweez.com/produit/proteines-de-pois-origine-france-200g/5GREE0441","21.95")</f>
        <v>21.95</v>
      </c>
      <c r="K216" s="2"/>
      <c r="L216" s="16">
        <v>888888.0</v>
      </c>
      <c r="M216" s="2"/>
      <c r="N216" s="16">
        <v>888888.0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1" t="s">
        <v>457</v>
      </c>
      <c r="B217" s="9" t="str">
        <f>HYPERLINK("https://lafourche.fr/products/la-fourche-penne-blanches-bio-en-vrac-1kg","2.15")</f>
        <v>2.15</v>
      </c>
      <c r="C217" s="2"/>
      <c r="D217" s="9" t="str">
        <f>HYPERLINK("https://www.biocoop.fr/magasin-biocoop_champollion/penne-blanches-1kg-al0112-000.html","3.14")</f>
        <v>3.14</v>
      </c>
      <c r="E217" s="2"/>
      <c r="F217" s="9" t="str">
        <f>HYPERLINK("https://www.biocoop.fr/magasin-biocoop_fontaine/penne-blanches-1kg-al0112-000.html","2.65")</f>
        <v>2.65</v>
      </c>
      <c r="G217" s="2"/>
      <c r="H217" s="7" t="str">
        <f>HYPERLINK("https://satoriz-comboire.bio/products/re44775","1.99")</f>
        <v>1.99</v>
      </c>
      <c r="I217" s="2"/>
      <c r="J217" s="9" t="str">
        <f>HYPERLINK("https://www.greenweez.com/produit/pennes-blancs-500g-1/1MKAL0109","2.98")</f>
        <v>2.98</v>
      </c>
      <c r="K217" s="2"/>
      <c r="L217" s="16">
        <v>888888.0</v>
      </c>
      <c r="M217" s="2"/>
      <c r="N217" s="7" t="str">
        <f>HYPERLINK("https://fd11-courses.leclercdrive.fr/magasin-063801-063801-Echirolles---Comboire/fiche-produits-33893-Penne-Bio-Village-.aspx","1.98")</f>
        <v>1.98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1" t="s">
        <v>458</v>
      </c>
      <c r="B218" s="7" t="str">
        <f>HYPERLINK("https://lafourche.fr/products/bio-pour-tous-penne-demi-completes-bio-500g","2.3")</f>
        <v>2.3</v>
      </c>
      <c r="C218" s="2"/>
      <c r="D218" s="9" t="str">
        <f>HYPERLINK("https://www.biocoop.fr/magasin-biocoop_champollion/penne-1-2-complet-bio-la0230-000.html","2.7")</f>
        <v>2.7</v>
      </c>
      <c r="E218" s="2"/>
      <c r="F218" s="9" t="str">
        <f>HYPERLINK("https://www.biocoop.fr/magasin-biocoop_fontaine/penne-demi-completes-500g-al0073-000.html","3.0")</f>
        <v>3.0</v>
      </c>
      <c r="G218" s="2"/>
      <c r="H218" s="7" t="str">
        <f>HYPERLINK("https://satoriz-comboire.bio/products/re39045","2.3")</f>
        <v>2.3</v>
      </c>
      <c r="I218" s="2"/>
      <c r="J218" s="9" t="str">
        <f>HYPERLINK("https://www.greenweez.com/produit/penne-bio-semi-complete-500g/2WEEZ0490","2.58")</f>
        <v>2.58</v>
      </c>
      <c r="K218" s="2"/>
      <c r="L218" s="9" t="str">
        <f>HYPERLINK("https://metabase.lelefan.org/public/dashboard/53c41f3f-5644-466e-935e-897e7725f6bc?rayon=&amp;d%25C3%25A9signation=PENNE 1/2 COMPLET VRAC&amp;fournisseur=&amp;date_d%25C3%25A9but=&amp;date_fin=","3.01")</f>
        <v>3.01</v>
      </c>
      <c r="M218" s="2"/>
      <c r="N218" s="16">
        <v>888888.0</v>
      </c>
      <c r="O218" s="2"/>
      <c r="P218" s="1" t="s">
        <v>372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1" t="s">
        <v>459</v>
      </c>
      <c r="B219" s="7" t="str">
        <f>HYPERLINK("https://lafourche.fr/products/la-fourche-penne-complete-bio-en-vrac-1kg","2.2")</f>
        <v>2.2</v>
      </c>
      <c r="C219" s="2"/>
      <c r="D219" s="9" t="str">
        <f>HYPERLINK("https://www.biocoop.fr/magasin-biocoop_champollion/penne-complete-bio-al0143-000.html","3.05")</f>
        <v>3.05</v>
      </c>
      <c r="E219" s="2"/>
      <c r="F219" s="9" t="str">
        <f>HYPERLINK("https://www.biocoop.fr/magasin-biocoop_fontaine/penne-completes-500g-al0137-000.html","3.0")</f>
        <v>3.0</v>
      </c>
      <c r="G219" s="2"/>
      <c r="H219" s="9" t="str">
        <f>HYPERLINK("https://satoriz-comboire.bio/collections/epicerie-salee/products/re39046","2.3")</f>
        <v>2.3</v>
      </c>
      <c r="I219" s="2"/>
      <c r="J219" s="9" t="str">
        <f>HYPERLINK("https://www.greenweez.com/produit/pennes-completes-500g/1MKAL0110","2.98")</f>
        <v>2.98</v>
      </c>
      <c r="K219" s="2"/>
      <c r="L219" s="9" t="str">
        <f>HYPERLINK("https://metabase.lelefan.org/public/dashboard/53c41f3f-5644-466e-935e-897e7725f6bc?rayon=&amp;d%25C3%25A9signation=PENNES COMPLETES&amp;fournisseur=&amp;date_d%25C3%25A9but=&amp;date_fin=","3.42")</f>
        <v>3.42</v>
      </c>
      <c r="M219" s="2"/>
      <c r="N219" s="16">
        <v>888888.0</v>
      </c>
      <c r="O219" s="2"/>
      <c r="P219" s="1" t="s">
        <v>372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1" t="s">
        <v>460</v>
      </c>
      <c r="B220" s="9" t="str">
        <f>HYPERLINK("https://lafourche.fr/products/lori-bio-coquillettes-blanches-bio-5kg","2.16")</f>
        <v>2.16</v>
      </c>
      <c r="C220" s="2"/>
      <c r="D220" s="9" t="str">
        <f t="shared" ref="D220:D221" si="149">HYPERLINK("https://www.biocoop.fr/magasin-biocoop_champollion/coquillette-blanche-bio-al0061-000.html","2.65")</f>
        <v>2.65</v>
      </c>
      <c r="E220" s="2"/>
      <c r="F220" s="9" t="str">
        <f t="shared" ref="F220:F221" si="150">HYPERLINK("https://www.biocoop.fr/magasin-biocoop_fontaine/coquillette-blanche-bio-al0061-000.html","2.4")</f>
        <v>2.4</v>
      </c>
      <c r="G220" s="2"/>
      <c r="H220" s="7" t="str">
        <f t="shared" ref="H220:H221" si="151">HYPERLINK("https://satoriz-comboire.bio/products/re44776","1.99")</f>
        <v>1.99</v>
      </c>
      <c r="I220" s="2"/>
      <c r="J220" s="9" t="str">
        <f t="shared" ref="J220:J221" si="152">HYPERLINK("https://www.greenweez.com/produit/coquillettes-blanches-1kg/1PRIM0734","3.19")</f>
        <v>3.19</v>
      </c>
      <c r="K220" s="2"/>
      <c r="L220" s="9" t="str">
        <f t="shared" ref="L220:L221" si="153">HYPERLINK("https://metabase.lelefan.org/public/dashboard/53c41f3f-5644-466e-935e-897e7725f6bc?rayon=&amp;d%25C3%25A9signation=COQUILLETTES BLANCHES 500G&amp;fournisseur=&amp;date_d%25C3%25A9but=&amp;date_fin=","2.18")</f>
        <v>2.18</v>
      </c>
      <c r="M220" s="2"/>
      <c r="N220" s="7" t="str">
        <f t="shared" ref="N220:N221" si="154">HYPERLINK("https://fd11-courses.leclercdrive.fr/magasin-063801-063801-Echirolles---Comboire/fiche-produits-6069-Pates-Coquillettes-Bio-Village.aspx","1.7")</f>
        <v>1.7</v>
      </c>
      <c r="O220" s="2"/>
      <c r="P220" s="1" t="s">
        <v>372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1" t="s">
        <v>461</v>
      </c>
      <c r="B221" s="9" t="str">
        <f>HYPERLINK("https://lafourche.fr/products/bio-pour-tous-coquillettes-blanches-italiennes-bio-500g","2.3")</f>
        <v>2.3</v>
      </c>
      <c r="C221" s="2"/>
      <c r="D221" s="9" t="str">
        <f t="shared" si="149"/>
        <v>2.65</v>
      </c>
      <c r="E221" s="2"/>
      <c r="F221" s="9" t="str">
        <f t="shared" si="150"/>
        <v>2.4</v>
      </c>
      <c r="G221" s="2"/>
      <c r="H221" s="7" t="str">
        <f t="shared" si="151"/>
        <v>1.99</v>
      </c>
      <c r="I221" s="2"/>
      <c r="J221" s="9" t="str">
        <f t="shared" si="152"/>
        <v>3.19</v>
      </c>
      <c r="K221" s="2"/>
      <c r="L221" s="9" t="str">
        <f t="shared" si="153"/>
        <v>2.18</v>
      </c>
      <c r="M221" s="2"/>
      <c r="N221" s="7" t="str">
        <f t="shared" si="154"/>
        <v>1.7</v>
      </c>
      <c r="O221" s="2"/>
      <c r="P221" s="1" t="s">
        <v>372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1" t="s">
        <v>462</v>
      </c>
      <c r="B222" s="9" t="str">
        <f>HYPERLINK("https://lafourche.fr/products/lori-bio-coquillettes-semi-completes-bio-5kg","2.06")</f>
        <v>2.06</v>
      </c>
      <c r="C222" s="2"/>
      <c r="D222" s="9" t="str">
        <f t="shared" ref="D222:D223" si="155">HYPERLINK("https://www.biocoop.fr/magasin-biocoop_champollion/coquillettes-1-2-completes-bio-al0060-000.html","2.2")</f>
        <v>2.2</v>
      </c>
      <c r="E222" s="2"/>
      <c r="F222" s="7" t="str">
        <f t="shared" ref="F222:F223" si="156">HYPERLINK("https://www.biocoop.fr/magasin-biocoop_fontaine/coquillettes-1-2-completes-bio-al0060-000.html","1.96")</f>
        <v>1.96</v>
      </c>
      <c r="G222" s="2"/>
      <c r="H222" s="9" t="str">
        <f t="shared" ref="H222:H223" si="157">HYPERLINK("https://satoriz-comboire.bio/products/re39043","2.3")</f>
        <v>2.3</v>
      </c>
      <c r="I222" s="2"/>
      <c r="J222" s="9" t="str">
        <f t="shared" ref="J222:J223" si="158">HYPERLINK("https://www.greenweez.com/produit/coquillettes-bio-semi-completes-500g/2WEEZ0488","2.58")</f>
        <v>2.58</v>
      </c>
      <c r="K222" s="2"/>
      <c r="L222" s="9" t="str">
        <f t="shared" ref="L222:L223" si="159">HYPERLINK("https://metabase.lelefan.org/public/dashboard/53c41f3f-5644-466e-935e-897e7725f6bc?rayon=&amp;d%25C3%25A9signation=COQUILLETTES SEMI COMPLET 500G&amp;fournisseur=&amp;date_d%25C3%25A9but=&amp;date_fin=","2.18")</f>
        <v>2.18</v>
      </c>
      <c r="M222" s="2"/>
      <c r="N222" s="9" t="str">
        <f t="shared" ref="N222:N223" si="160">HYPERLINK("https://fd11-courses.leclercdrive.fr/magasin-063801-063801-Echirolles---Comboire/fiche-produits-45192-Pates-bio-Jardin-Bio.aspx","3.22")</f>
        <v>3.22</v>
      </c>
      <c r="O222" s="2"/>
      <c r="P222" s="1" t="s">
        <v>372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1" t="s">
        <v>463</v>
      </c>
      <c r="B223" s="9" t="str">
        <f>HYPERLINK("https://lafourche.fr/products/la-fourche-1kg-de-coquillettes-semi-completes-en-vrac","2.1")</f>
        <v>2.1</v>
      </c>
      <c r="C223" s="2"/>
      <c r="D223" s="9" t="str">
        <f t="shared" si="155"/>
        <v>2.2</v>
      </c>
      <c r="E223" s="2"/>
      <c r="F223" s="7" t="str">
        <f t="shared" si="156"/>
        <v>1.96</v>
      </c>
      <c r="G223" s="2"/>
      <c r="H223" s="9" t="str">
        <f t="shared" si="157"/>
        <v>2.3</v>
      </c>
      <c r="I223" s="2"/>
      <c r="J223" s="9" t="str">
        <f t="shared" si="158"/>
        <v>2.58</v>
      </c>
      <c r="K223" s="2"/>
      <c r="L223" s="9" t="str">
        <f t="shared" si="159"/>
        <v>2.18</v>
      </c>
      <c r="M223" s="2"/>
      <c r="N223" s="9" t="str">
        <f t="shared" si="160"/>
        <v>3.22</v>
      </c>
      <c r="O223" s="2"/>
      <c r="P223" s="1" t="s">
        <v>372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1" t="s">
        <v>464</v>
      </c>
      <c r="B224" s="7" t="str">
        <f t="shared" ref="B224:B225" si="161">HYPERLINK("https://lafourche.fr/products/la-fourche-coquillettes-completes-bio-en-vrac-1kg","1.99")</f>
        <v>1.99</v>
      </c>
      <c r="C224" s="2"/>
      <c r="D224" s="9" t="str">
        <f t="shared" ref="D224:D225" si="162">HYPERLINK("https://www.biocoop.fr/magasin-biocoop_champollion/coquillettes-completes-500g-al0028-000.html","3.46")</f>
        <v>3.46</v>
      </c>
      <c r="E224" s="2"/>
      <c r="F224" s="9" t="str">
        <f t="shared" ref="F224:F225" si="163">HYPERLINK("https://www.biocoop.fr/magasin-biocoop_fontaine/coquillettes-completes-500g-al0028-000.html","3.2")</f>
        <v>3.2</v>
      </c>
      <c r="G224" s="2"/>
      <c r="H224" s="9" t="str">
        <f t="shared" ref="H224:H225" si="164">HYPERLINK("https://satoriz-comboire.bio/collections/epicerie-salee/products/eco1190","3.4")</f>
        <v>3.4</v>
      </c>
      <c r="I224" s="2"/>
      <c r="J224" s="9" t="str">
        <f>HYPERLINK("https://www.greenweez.com/produit/coquillettes-completes-5kg/1PRIM0651","3.74")</f>
        <v>3.74</v>
      </c>
      <c r="K224" s="2"/>
      <c r="L224" s="16">
        <v>888888.0</v>
      </c>
      <c r="M224" s="2"/>
      <c r="N224" s="16">
        <v>888888.0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1" t="s">
        <v>465</v>
      </c>
      <c r="B225" s="7" t="str">
        <f t="shared" si="161"/>
        <v>1.99</v>
      </c>
      <c r="C225" s="2"/>
      <c r="D225" s="9" t="str">
        <f t="shared" si="162"/>
        <v>3.46</v>
      </c>
      <c r="E225" s="2"/>
      <c r="F225" s="9" t="str">
        <f t="shared" si="163"/>
        <v>3.2</v>
      </c>
      <c r="G225" s="2"/>
      <c r="H225" s="9" t="str">
        <f t="shared" si="164"/>
        <v>3.4</v>
      </c>
      <c r="I225" s="2"/>
      <c r="J225" s="9" t="str">
        <f>HYPERLINK("https://www.greenweez.com/produit/coquillettes-completes-500g-1/1PRIM0143","4.18")</f>
        <v>4.18</v>
      </c>
      <c r="K225" s="2"/>
      <c r="L225" s="16">
        <v>888888.0</v>
      </c>
      <c r="M225" s="2"/>
      <c r="N225" s="16">
        <v>888888.0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1" t="s">
        <v>466</v>
      </c>
      <c r="B226" s="9" t="str">
        <f>HYPERLINK("https://lafourche.fr/products/lori-bio-spaghettis-blancs-bio-5kg","2.22")</f>
        <v>2.22</v>
      </c>
      <c r="C226" s="2"/>
      <c r="D226" s="9" t="str">
        <f>HYPERLINK("https://www.biocoop.fr/magasin-biocoop_champollion/spaghettis-blancs-1kg-al0081-000.html","2.96")</f>
        <v>2.96</v>
      </c>
      <c r="E226" s="2"/>
      <c r="F226" s="9" t="str">
        <f>HYPERLINK("https://www.biocoop.fr/magasin-biocoop_fontaine/spaghettis-blancs-1kg-al0081-000.html","2.25")</f>
        <v>2.25</v>
      </c>
      <c r="G226" s="2"/>
      <c r="H226" s="7" t="str">
        <f>HYPERLINK("https://satoriz-comboire.bio/products/re44774","1.99")</f>
        <v>1.99</v>
      </c>
      <c r="I226" s="2"/>
      <c r="J226" s="9" t="str">
        <f t="shared" ref="J226:J227" si="165">HYPERLINK("https://www.greenweez.com/produit/spaghettis-blancs-500g/1MKAL0168","2.98")</f>
        <v>2.98</v>
      </c>
      <c r="K226" s="2"/>
      <c r="L226" s="9" t="str">
        <f t="shared" ref="L226:L227" si="166">HYPERLINK("https://metabase.lelefan.org/public/dashboard/53c41f3f-5644-466e-935e-897e7725f6bc?rayon=&amp;d%25C3%25A9signation=SPAGHETTI BLANCS&amp;fournisseur=&amp;date_d%25C3%25A9but=&amp;date_fin=","3.42")</f>
        <v>3.42</v>
      </c>
      <c r="M226" s="2"/>
      <c r="N226" s="7" t="str">
        <f t="shared" ref="N226:N227" si="167">HYPERLINK("https://fd11-courses.leclercdrive.fr/magasin-063801-063801-Echirolles---Comboire/fiche-produits-6068-Spaghetti-Bio-Village.aspx","1.68")</f>
        <v>1.68</v>
      </c>
      <c r="O226" s="2"/>
      <c r="P226" s="1" t="s">
        <v>372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1" t="s">
        <v>467</v>
      </c>
      <c r="B227" s="7" t="str">
        <f>HYPERLINK("https://lafourche.fr/products/bio-pour-tous-spaghetti-blanche-italienne-bio-500g","2.28")</f>
        <v>2.28</v>
      </c>
      <c r="C227" s="2"/>
      <c r="D227" s="9" t="str">
        <f>HYPERLINK("https://www.biocoop.fr/magasin-biocoop_champollion/spaghettis-blancs-500g-al0003-000.html","3.1")</f>
        <v>3.1</v>
      </c>
      <c r="E227" s="2"/>
      <c r="F227" s="9" t="str">
        <f>HYPERLINK("https://www.biocoop.fr/magasin-biocoop_fontaine/spaghettis-blancs-500g-al0003-000.html","2.3")</f>
        <v>2.3</v>
      </c>
      <c r="G227" s="2"/>
      <c r="H227" s="9" t="str">
        <f>HYPERLINK("https://satoriz-comboire.bio/products/re39039","2.3")</f>
        <v>2.3</v>
      </c>
      <c r="I227" s="2"/>
      <c r="J227" s="9" t="str">
        <f t="shared" si="165"/>
        <v>2.98</v>
      </c>
      <c r="K227" s="2"/>
      <c r="L227" s="9" t="str">
        <f t="shared" si="166"/>
        <v>3.42</v>
      </c>
      <c r="M227" s="2"/>
      <c r="N227" s="7" t="str">
        <f t="shared" si="167"/>
        <v>1.68</v>
      </c>
      <c r="O227" s="2"/>
      <c r="P227" s="1" t="s">
        <v>372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1" t="s">
        <v>468</v>
      </c>
      <c r="B228" s="9" t="str">
        <f>HYPERLINK("https://lafourche.fr/products/lori-bio-spaghettis-demi-complets-bio-5kg","2.22")</f>
        <v>2.22</v>
      </c>
      <c r="C228" s="2"/>
      <c r="D228" s="7" t="str">
        <f>HYPERLINK("https://www.biocoop.fr/magasin-biocoop_champollion/spaghettis-demi-complets-1kg-al0125-000.html","1.9")</f>
        <v>1.9</v>
      </c>
      <c r="E228" s="2"/>
      <c r="F228" s="7" t="str">
        <f>HYPERLINK("https://www.biocoop.fr/magasin-biocoop_fontaine/spaghettis-demi-complets-1kg-al0125-000.html","1.9")</f>
        <v>1.9</v>
      </c>
      <c r="G228" s="2"/>
      <c r="H228" s="9" t="str">
        <f>HYPERLINK("https://satoriz-comboire.bio/products/re44773","1.99")</f>
        <v>1.99</v>
      </c>
      <c r="I228" s="2"/>
      <c r="J228" s="9" t="str">
        <f t="shared" ref="J228:J229" si="168">HYPERLINK("https://www.greenweez.com/produit/spaghettis-bio-semi-complets-500g/2WEEZ0492","3.16")</f>
        <v>3.16</v>
      </c>
      <c r="K228" s="2"/>
      <c r="L228" s="9" t="str">
        <f t="shared" ref="L228:L229" si="169">HYPERLINK("https://metabase.lelefan.org/public/dashboard/53c41f3f-5644-466e-935e-897e7725f6bc?rayon=&amp;d%25C3%25A9signation=SPAGHETTI 1/2 COMPLET VRAC&amp;fournisseur=&amp;date_d%25C3%25A9but=&amp;date_fin=","7.44")</f>
        <v>7.44</v>
      </c>
      <c r="M228" s="2"/>
      <c r="N228" s="16">
        <v>888888.0</v>
      </c>
      <c r="O228" s="2"/>
      <c r="P228" s="1" t="s">
        <v>372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1" t="s">
        <v>469</v>
      </c>
      <c r="B229" s="7" t="str">
        <f>HYPERLINK("https://lafourche.fr/products/bio-pour-tous-spaghetti-demi-complets-bio-500g","2.3")</f>
        <v>2.3</v>
      </c>
      <c r="C229" s="2"/>
      <c r="D229" s="9" t="str">
        <f>HYPERLINK("https://www.biocoop.fr/magasin-biocoop_champollion/spaghettis-demi-complets-500g-al0002-000.html","3.4")</f>
        <v>3.4</v>
      </c>
      <c r="E229" s="2"/>
      <c r="F229" s="9" t="str">
        <f>HYPERLINK("https://www.biocoop.fr/magasin-biocoop_fontaine/spaghettis-demi-complets-500g-al0002-000.html","2.9")</f>
        <v>2.9</v>
      </c>
      <c r="G229" s="2"/>
      <c r="H229" s="7" t="str">
        <f>HYPERLINK("https://satoriz-comboire.bio/products/re39040","2.3")</f>
        <v>2.3</v>
      </c>
      <c r="I229" s="2"/>
      <c r="J229" s="9" t="str">
        <f t="shared" si="168"/>
        <v>3.16</v>
      </c>
      <c r="K229" s="2"/>
      <c r="L229" s="9" t="str">
        <f t="shared" si="169"/>
        <v>7.44</v>
      </c>
      <c r="M229" s="2"/>
      <c r="N229" s="16">
        <v>888888.0</v>
      </c>
      <c r="O229" s="2"/>
      <c r="P229" s="1" t="s">
        <v>372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1" t="s">
        <v>470</v>
      </c>
      <c r="B230" s="9" t="str">
        <f>HYPERLINK("https://lafourche.fr/products/bio-pour-tous-spaghetti-complets-bio-500g","2.3")</f>
        <v>2.3</v>
      </c>
      <c r="C230" s="8">
        <v>-0.0417</v>
      </c>
      <c r="D230" s="9" t="str">
        <f>HYPERLINK("https://www.biocoop.fr/magasin-biocoop_champollion/spaghettis-complets-500g-al0001-000.html","3.14")</f>
        <v>3.14</v>
      </c>
      <c r="E230" s="10">
        <v>0.0</v>
      </c>
      <c r="F230" s="9" t="str">
        <f>HYPERLINK("https://www.biocoop.fr/magasin-biocoop_fontaine/spaghettis-complets-500g-al0001-000.html","2.9")</f>
        <v>2.9</v>
      </c>
      <c r="G230" s="10">
        <v>0.0</v>
      </c>
      <c r="H230" s="7" t="str">
        <f>HYPERLINK("https://satoriz-comboire.bio/products/re44650","1.99")</f>
        <v>1.99</v>
      </c>
      <c r="I230" s="8">
        <v>-0.0744</v>
      </c>
      <c r="J230" s="9" t="str">
        <f>HYPERLINK("https://www.greenweez.com/produit/spaghettis-complets-bio-italie-500g/2WEEZ0029","3.56")</f>
        <v>3.56</v>
      </c>
      <c r="K230" s="11">
        <v>0.0533</v>
      </c>
      <c r="L230" s="9" t="str">
        <f>HYPERLINK("https://metabase.lelefan.org/public/dashboard/53c41f3f-5644-466e-935e-897e7725f6bc?rayon=&amp;d%25C3%25A9signation=SPAGHETTI COMPLETS&amp;fournisseur=&amp;date_d%25C3%25A9but=&amp;date_fin=","3.42")</f>
        <v>3.42</v>
      </c>
      <c r="M230" s="2"/>
      <c r="N230" s="16">
        <v>888888.0</v>
      </c>
      <c r="O230" s="2"/>
      <c r="P230" s="1" t="s">
        <v>372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1" t="s">
        <v>471</v>
      </c>
      <c r="B231" s="7" t="str">
        <f>HYPERLINK("https://lafourche.fr/products/lori-bio-fusilli-blanc-bio-5kg","2.16")</f>
        <v>2.16</v>
      </c>
      <c r="C231" s="2"/>
      <c r="D231" s="9" t="str">
        <f t="shared" ref="D231:D232" si="170">HYPERLINK("https://www.biocoop.fr/magasin-biocoop_champollion/spirales-blanches-500g-al0027-000.html","3.7")</f>
        <v>3.7</v>
      </c>
      <c r="E231" s="2"/>
      <c r="F231" s="9" t="str">
        <f t="shared" ref="F231:F232" si="171">HYPERLINK("https://www.biocoop.fr/magasin-biocoop_fontaine/spirales-blanches-500g-al0027-000.html","2.7")</f>
        <v>2.7</v>
      </c>
      <c r="G231" s="2"/>
      <c r="H231" s="9" t="str">
        <f t="shared" ref="H231:H232" si="172">HYPERLINK("https://satoriz-comboire.bio/products/re39050","2.3")</f>
        <v>2.3</v>
      </c>
      <c r="I231" s="2"/>
      <c r="J231" s="9" t="str">
        <f t="shared" ref="J231:J232" si="173">HYPERLINK("https://www.greenweez.com/produit/spirales-blanches-1kg/1PRIM0735","888888")</f>
        <v>888888</v>
      </c>
      <c r="K231" s="2"/>
      <c r="L231" s="9" t="str">
        <f t="shared" ref="L231:L232" si="174">HYPERLINK("https://metabase.lelefan.org/public/dashboard/53c41f3f-5644-466e-935e-897e7725f6bc?rayon=&amp;d%25C3%25A9signation=SPIRALES BLANCHES&amp;fournisseur=&amp;date_d%25C3%25A9but=&amp;date_fin=","888888")</f>
        <v>888888</v>
      </c>
      <c r="M231" s="2"/>
      <c r="N231" s="7" t="str">
        <f t="shared" ref="N231:N232" si="175">HYPERLINK("https://fd11-courses.leclercdrive.fr/magasin-063801-063801-Echirolles---Comboire/fiche-produits-16436-Pates-torsades-Bio-Village.aspx","1.98")</f>
        <v>1.98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1" t="s">
        <v>472</v>
      </c>
      <c r="B232" s="7" t="str">
        <f>HYPERLINK("https://lafourche.fr/products/bio-pour-tous-fusilli-blanc-bio-500g","2.2")</f>
        <v>2.2</v>
      </c>
      <c r="C232" s="2"/>
      <c r="D232" s="9" t="str">
        <f t="shared" si="170"/>
        <v>3.7</v>
      </c>
      <c r="E232" s="2"/>
      <c r="F232" s="9" t="str">
        <f t="shared" si="171"/>
        <v>2.7</v>
      </c>
      <c r="G232" s="2"/>
      <c r="H232" s="9" t="str">
        <f t="shared" si="172"/>
        <v>2.3</v>
      </c>
      <c r="I232" s="2"/>
      <c r="J232" s="9" t="str">
        <f t="shared" si="173"/>
        <v>888888</v>
      </c>
      <c r="K232" s="2"/>
      <c r="L232" s="9" t="str">
        <f t="shared" si="174"/>
        <v>888888</v>
      </c>
      <c r="M232" s="2"/>
      <c r="N232" s="7" t="str">
        <f t="shared" si="175"/>
        <v>1.98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1" t="s">
        <v>473</v>
      </c>
      <c r="B233" s="9" t="str">
        <f>HYPERLINK("https://lafourche.fr/products/bio-pour-tous-fusilli-demi-complets-bio-500g","2.3")</f>
        <v>2.3</v>
      </c>
      <c r="C233" s="2"/>
      <c r="D233" s="9" t="str">
        <f>HYPERLINK("https://www.biocoop.fr/magasin-biocoop_champollion/spirale-1-2-complete-bio-al0064-000.html","2.3")</f>
        <v>2.3</v>
      </c>
      <c r="E233" s="2"/>
      <c r="F233" s="7" t="str">
        <f>HYPERLINK("https://www.biocoop.fr/magasin-biocoop_fontaine/spirale-1-2-complete-bio-al0064-000.html","1.99")</f>
        <v>1.99</v>
      </c>
      <c r="G233" s="2"/>
      <c r="H233" s="9" t="str">
        <f>HYPERLINK("https://satoriz-comboire.bio/products/re39051","2.3")</f>
        <v>2.3</v>
      </c>
      <c r="I233" s="2"/>
      <c r="J233" s="9" t="str">
        <f>HYPERLINK("https://www.greenweez.com/produit/torsades-bio-semi-completes-500g/2WEEZ0489","2.58")</f>
        <v>2.58</v>
      </c>
      <c r="K233" s="2"/>
      <c r="L233" s="9" t="str">
        <f>HYPERLINK("https://metabase.lelefan.org/public/dashboard/53c41f3f-5644-466e-935e-897e7725f6bc?rayon=&amp;d%25C3%25A9signation=TORSADES SEMI COMPLET 500G&amp;fournisseur=&amp;date_d%25C3%25A9but=&amp;date_fin=","2.18")</f>
        <v>2.18</v>
      </c>
      <c r="M233" s="2"/>
      <c r="N233" s="9" t="str">
        <f>HYPERLINK("https://fd11-courses.leclercdrive.fr/magasin-063801-063801-Echirolles---Comboire/fiche-produits-31116-Pates-bio-Jardin-Bio.aspx","3.58")</f>
        <v>3.58</v>
      </c>
      <c r="O233" s="2"/>
      <c r="P233" s="1" t="s">
        <v>372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1" t="s">
        <v>474</v>
      </c>
      <c r="B234" s="9" t="str">
        <f>HYPERLINK("https://lafourche.fr/products/bio-pour-tous-fusilli-integrales-bio-500g","2.52")</f>
        <v>2.52</v>
      </c>
      <c r="C234" s="10">
        <v>0.0</v>
      </c>
      <c r="D234" s="9" t="str">
        <f>HYPERLINK("https://www.biocoop.fr/magasin-biocoop_champollion/spirales-completes-500g-al0025-000.html","3.24")</f>
        <v>3.24</v>
      </c>
      <c r="E234" s="10">
        <v>0.0</v>
      </c>
      <c r="F234" s="9" t="str">
        <f>HYPERLINK("https://www.biocoop.fr/magasin-biocoop_fontaine/spirales-completes-500g-al0025-000.html","3.2")</f>
        <v>3.2</v>
      </c>
      <c r="G234" s="10">
        <v>0.0</v>
      </c>
      <c r="H234" s="7" t="str">
        <f>HYPERLINK("https://satoriz-comboire.bio/products/re39052","2.3")</f>
        <v>2.3</v>
      </c>
      <c r="I234" s="10">
        <v>0.0</v>
      </c>
      <c r="J234" s="9" t="str">
        <f>HYPERLINK("https://www.greenweez.com/produit/torsades-completes-bio-italie-500g/2WEEZ0024","888888")</f>
        <v>888888</v>
      </c>
      <c r="K234" s="18" t="s">
        <v>56</v>
      </c>
      <c r="L234" s="9" t="str">
        <f>HYPERLINK("https://metabase.lelefan.org/public/dashboard/53c41f3f-5644-466e-935e-897e7725f6bc?rayon=&amp;d%25C3%25A9signation=FUSILLI 1/2 COMPLET VRAC&amp;fournisseur=&amp;date_d%25C3%25A9but=&amp;date_fin=","3.01")</f>
        <v>3.01</v>
      </c>
      <c r="M234" s="2"/>
      <c r="N234" s="16">
        <v>888888.0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1" t="s">
        <v>475</v>
      </c>
      <c r="B235" s="7" t="str">
        <f t="shared" ref="B235:B236" si="176">HYPERLINK("https://lafourche.fr/products/elibio-riz-basmati-blanc-bio-1kg","3.28")</f>
        <v>3.28</v>
      </c>
      <c r="C235" s="2"/>
      <c r="D235" s="9" t="str">
        <f t="shared" ref="D235:D236" si="177">HYPERLINK("https://www.biocoop.fr/magasin-biocoop_champollion/riz-basmati-blanc-bio-mf0080-000.html","4.5")</f>
        <v>4.5</v>
      </c>
      <c r="E235" s="2"/>
      <c r="F235" s="9" t="str">
        <f t="shared" ref="F235:F236" si="178">HYPERLINK("https://www.biocoop.fr/magasin-biocoop_fontaine/riz-basmati-blanc-bio-mf0080-000.html","4.5")</f>
        <v>4.5</v>
      </c>
      <c r="G235" s="2"/>
      <c r="H235" s="9" t="str">
        <f t="shared" ref="H235:H236" si="179">HYPERLINK("https://satoriz-comboire.bio/products/eu2296","3.85")</f>
        <v>3.85</v>
      </c>
      <c r="I235" s="2"/>
      <c r="J235" s="9" t="str">
        <f t="shared" ref="J235:J236" si="180">HYPERLINK("https://www.greenweez.com/produit/riz-basmati-blanc-bio-2-5kg/2WEEZ0218","5.39")</f>
        <v>5.39</v>
      </c>
      <c r="K235" s="2"/>
      <c r="L235" s="9" t="str">
        <f t="shared" ref="L235:L236" si="181">HYPERLINK("https://metabase.lelefan.org/public/dashboard/53c41f3f-5644-466e-935e-897e7725f6bc?rayon=&amp;d%25C3%25A9signation=RIZ BASMATI BLANC VRAC&amp;fournisseur=&amp;date_d%25C3%25A9but=&amp;date_fin=","5.55")</f>
        <v>5.55</v>
      </c>
      <c r="M235" s="2"/>
      <c r="N235" s="7" t="str">
        <f t="shared" ref="N235:N236" si="182">HYPERLINK("https://fd11-courses.leclercdrive.fr/magasin-063801-063801-Echirolles---Comboire/fiche-produits-16439-Riz-Basmati-Bio-Village.aspx","3.0")</f>
        <v>3.0</v>
      </c>
      <c r="O235" s="2"/>
      <c r="P235" s="1" t="s">
        <v>372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1" t="s">
        <v>476</v>
      </c>
      <c r="B236" s="7" t="str">
        <f t="shared" si="176"/>
        <v>3.28</v>
      </c>
      <c r="C236" s="2"/>
      <c r="D236" s="9" t="str">
        <f t="shared" si="177"/>
        <v>4.5</v>
      </c>
      <c r="E236" s="2"/>
      <c r="F236" s="9" t="str">
        <f t="shared" si="178"/>
        <v>4.5</v>
      </c>
      <c r="G236" s="2"/>
      <c r="H236" s="9" t="str">
        <f t="shared" si="179"/>
        <v>3.85</v>
      </c>
      <c r="I236" s="2"/>
      <c r="J236" s="9" t="str">
        <f t="shared" si="180"/>
        <v>5.39</v>
      </c>
      <c r="K236" s="2"/>
      <c r="L236" s="9" t="str">
        <f t="shared" si="181"/>
        <v>5.55</v>
      </c>
      <c r="M236" s="2"/>
      <c r="N236" s="7" t="str">
        <f t="shared" si="182"/>
        <v>3.0</v>
      </c>
      <c r="O236" s="2"/>
      <c r="P236" s="1" t="s">
        <v>372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1" t="s">
        <v>477</v>
      </c>
      <c r="B237" s="9" t="str">
        <f t="shared" ref="B237:B238" si="183">HYPERLINK("https://lafourche.fr/products/la-fourche-1kg-de-riz-basmati-semi-complet-en-vrac-bio","3.8")</f>
        <v>3.8</v>
      </c>
      <c r="C237" s="2"/>
      <c r="D237" s="9" t="str">
        <f t="shared" ref="D237:D238" si="184">HYPERLINK("https://www.biocoop.fr/magasin-biocoop_champollion/riz-basmati-1-2-complet-bio-mf0079-000.html","4.45")</f>
        <v>4.45</v>
      </c>
      <c r="E237" s="2"/>
      <c r="F237" s="9" t="str">
        <f t="shared" ref="F237:F238" si="185">HYPERLINK("https://www.biocoop.fr/magasin-biocoop_fontaine/riz-basmati-1-2-complet-bio-mf0079-000.html","3.95")</f>
        <v>3.95</v>
      </c>
      <c r="G237" s="2"/>
      <c r="H237" s="9" t="str">
        <f t="shared" ref="H237:H238" si="186">HYPERLINK("https://satoriz-comboire.bio/products/eu1867","3.95")</f>
        <v>3.95</v>
      </c>
      <c r="I237" s="2"/>
      <c r="J237" s="9" t="str">
        <f>HYPERLINK("https://www.greenweez.com/produit/riz-basmati-demi-complet-bio-3kg/5GREE0314","5.09")</f>
        <v>5.09</v>
      </c>
      <c r="K237" s="2"/>
      <c r="L237" s="7" t="str">
        <f t="shared" ref="L237:L240" si="187">HYPERLINK("https://metabase.lelefan.org/public/dashboard/53c41f3f-5644-466e-935e-897e7725f6bc?rayon=&amp;d%25C3%25A9signation=RIZ BASMATI DEMI COMPLET - PAKISTAN&amp;fournisseur=&amp;date_d%25C3%25A9but=&amp;date_fin=","3.11")</f>
        <v>3.11</v>
      </c>
      <c r="M237" s="2"/>
      <c r="N237" s="16">
        <v>888888.0</v>
      </c>
      <c r="O237" s="2"/>
      <c r="P237" s="1" t="s">
        <v>372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1" t="s">
        <v>478</v>
      </c>
      <c r="B238" s="9" t="str">
        <f t="shared" si="183"/>
        <v>3.8</v>
      </c>
      <c r="C238" s="2"/>
      <c r="D238" s="9" t="str">
        <f t="shared" si="184"/>
        <v>4.45</v>
      </c>
      <c r="E238" s="2"/>
      <c r="F238" s="9" t="str">
        <f t="shared" si="185"/>
        <v>3.95</v>
      </c>
      <c r="G238" s="2"/>
      <c r="H238" s="9" t="str">
        <f t="shared" si="186"/>
        <v>3.95</v>
      </c>
      <c r="I238" s="2"/>
      <c r="J238" s="9" t="str">
        <f>HYPERLINK("https://www.greenweez.com/produit/riz-basmati-demi-complet-1kg/1PRIM0048","6.38")</f>
        <v>6.38</v>
      </c>
      <c r="K238" s="2"/>
      <c r="L238" s="7" t="str">
        <f t="shared" si="187"/>
        <v>3.11</v>
      </c>
      <c r="M238" s="2"/>
      <c r="N238" s="16">
        <v>888888.0</v>
      </c>
      <c r="O238" s="2"/>
      <c r="P238" s="1" t="s">
        <v>372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1" t="s">
        <v>479</v>
      </c>
      <c r="B239" s="9" t="str">
        <f>HYPERLINK("https://lafourche.fr/products/la-fourche-1kg-de-riz-basmati-complet-en-vrac-bio","3.5")</f>
        <v>3.5</v>
      </c>
      <c r="C239" s="10">
        <v>0.0</v>
      </c>
      <c r="D239" s="9" t="str">
        <f t="shared" ref="D239:D240" si="188">HYPERLINK("https://www.biocoop.fr/magasin-biocoop_champollion/riz-basmati-complet-bio-mf0081-000.html","4.4")</f>
        <v>4.4</v>
      </c>
      <c r="E239" s="10">
        <v>0.0</v>
      </c>
      <c r="F239" s="9" t="str">
        <f t="shared" ref="F239:F240" si="189">HYPERLINK("https://www.biocoop.fr/magasin-biocoop_fontaine/riz-basmati-complet-mf0014-000.html","6.2")</f>
        <v>6.2</v>
      </c>
      <c r="G239" s="10">
        <v>0.0</v>
      </c>
      <c r="H239" s="9" t="str">
        <f t="shared" ref="H239:H240" si="190">HYPERLINK("https://satoriz-comboire.bio/collections/vrac/products/eu2292","3.7")</f>
        <v>3.7</v>
      </c>
      <c r="I239" s="10">
        <v>0.0</v>
      </c>
      <c r="J239" s="9" t="str">
        <f>HYPERLINK("https://www.greenweez.com/produit/riz-basmati-complet-bio-2-5kg/2WEEZ0124","4.6")</f>
        <v>4.6</v>
      </c>
      <c r="K239" s="11">
        <v>0.0502</v>
      </c>
      <c r="L239" s="7" t="str">
        <f t="shared" si="187"/>
        <v>3.11</v>
      </c>
      <c r="M239" s="2"/>
      <c r="N239" s="16">
        <v>888888.0</v>
      </c>
      <c r="O239" s="2"/>
      <c r="P239" s="1" t="s">
        <v>372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1" t="s">
        <v>480</v>
      </c>
      <c r="B240" s="9" t="str">
        <f>HYPERLINK("https://lafourche.fr/products/celnat-riz-basmati-complet-500g-bio","4.76")</f>
        <v>4.76</v>
      </c>
      <c r="C240" s="11">
        <v>0.36</v>
      </c>
      <c r="D240" s="9" t="str">
        <f t="shared" si="188"/>
        <v>4.4</v>
      </c>
      <c r="E240" s="10">
        <v>0.0</v>
      </c>
      <c r="F240" s="9" t="str">
        <f t="shared" si="189"/>
        <v>6.2</v>
      </c>
      <c r="G240" s="10">
        <v>0.0</v>
      </c>
      <c r="H240" s="9" t="str">
        <f t="shared" si="190"/>
        <v>3.7</v>
      </c>
      <c r="I240" s="10">
        <v>0.0</v>
      </c>
      <c r="J240" s="9" t="str">
        <f>HYPERLINK("https://www.greenweez.com/produit/riz-basmati-complet-bio-500g/2WEEZ0025","4.98")</f>
        <v>4.98</v>
      </c>
      <c r="K240" s="11">
        <v>0.137</v>
      </c>
      <c r="L240" s="7" t="str">
        <f t="shared" si="187"/>
        <v>3.11</v>
      </c>
      <c r="M240" s="2"/>
      <c r="N240" s="16">
        <v>888888.0</v>
      </c>
      <c r="O240" s="2"/>
      <c r="P240" s="1" t="s">
        <v>372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1" t="s">
        <v>481</v>
      </c>
      <c r="B241" s="9" t="str">
        <f t="shared" ref="B241:B242" si="191">HYPERLINK("https://lafourche.fr/products/celnat-riz-long-blanc-1kg","4.1")</f>
        <v>4.1</v>
      </c>
      <c r="C241" s="2"/>
      <c r="D241" s="9" t="str">
        <f t="shared" ref="D241:D242" si="192">HYPERLINK("https://www.biocoop.fr/magasin-biocoop_champollion/riz-long-blanc-camargue-1kg-bo0103-000.html","5.7")</f>
        <v>5.7</v>
      </c>
      <c r="E241" s="2"/>
      <c r="F241" s="9" t="str">
        <f t="shared" ref="F241:F242" si="193">HYPERLINK("https://www.biocoop.fr/magasin-biocoop_fontaine/riz-long-blanc-camargue-1kg-bo0103-000.html","5.65")</f>
        <v>5.65</v>
      </c>
      <c r="G241" s="2"/>
      <c r="H241" s="7" t="str">
        <f>HYPERLINK("https://satoriz-comboire.bio/products/ma00995","3.2")</f>
        <v>3.2</v>
      </c>
      <c r="I241" s="2"/>
      <c r="J241" s="9" t="str">
        <f>HYPERLINK("https://www.greenweez.com/produit/riz-blanc-long-bio-2-5kg/2WEEZ0471","4.1")</f>
        <v>4.1</v>
      </c>
      <c r="K241" s="2"/>
      <c r="L241" s="16">
        <v>888888.0</v>
      </c>
      <c r="M241" s="2"/>
      <c r="N241" s="9" t="str">
        <f t="shared" ref="N241:N242" si="194">HYPERLINK("https://fd11-courses.leclercdrive.fr/magasin-063801-063801-Echirolles---Comboire/fiche-produits-16438-Riz-long-Bio-Village.aspx","3.84")</f>
        <v>3.84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1" t="s">
        <v>482</v>
      </c>
      <c r="B242" s="9" t="str">
        <f t="shared" si="191"/>
        <v>4.1</v>
      </c>
      <c r="C242" s="2"/>
      <c r="D242" s="9" t="str">
        <f t="shared" si="192"/>
        <v>5.7</v>
      </c>
      <c r="E242" s="2"/>
      <c r="F242" s="9" t="str">
        <f t="shared" si="193"/>
        <v>5.65</v>
      </c>
      <c r="G242" s="2"/>
      <c r="H242" s="7" t="str">
        <f>HYPERLINK("https://satoriz-comboire.bio/products/eu1287","3.5")</f>
        <v>3.5</v>
      </c>
      <c r="I242" s="2"/>
      <c r="J242" s="9" t="str">
        <f>HYPERLINK("https://www.greenweez.com/produit/riz-blanc-long-bio-500g/2WEEZ0483","4.98")</f>
        <v>4.98</v>
      </c>
      <c r="K242" s="2"/>
      <c r="L242" s="16">
        <v>888888.0</v>
      </c>
      <c r="M242" s="2"/>
      <c r="N242" s="9" t="str">
        <f t="shared" si="194"/>
        <v>3.84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1" t="s">
        <v>483</v>
      </c>
      <c r="B243" s="9" t="str">
        <f t="shared" ref="B243:B244" si="195">HYPERLINK("https://lafourche.fr/products/celnat-riz-long-demi-complet-1kg-bio","4.27")</f>
        <v>4.27</v>
      </c>
      <c r="C243" s="2"/>
      <c r="D243" s="9" t="str">
        <f t="shared" ref="D243:D244" si="196">HYPERLINK("https://www.biocoop.fr/magasin-biocoop_champollion/riz-de-camargue-long-1-2-complet-1kg-bo0102-000.html","4.95")</f>
        <v>4.95</v>
      </c>
      <c r="E243" s="2"/>
      <c r="F243" s="9" t="str">
        <f t="shared" ref="F243:F244" si="197">HYPERLINK("https://www.biocoop.fr/magasin-biocoop_fontaine/riz-de-camargue-long-1-2-complet-1kg-bo0102-000.html","4.9")</f>
        <v>4.9</v>
      </c>
      <c r="G243" s="2"/>
      <c r="H243" s="7" t="str">
        <f t="shared" ref="H243:H244" si="198">HYPERLINK("https://satoriz-comboire.bio/products/eu631","3.25")</f>
        <v>3.25</v>
      </c>
      <c r="I243" s="2"/>
      <c r="J243" s="9" t="str">
        <f>HYPERLINK("https://www.greenweez.com/produit/riz-long-1-2-complet-bio-3kg/5GREE0328","4.66")</f>
        <v>4.66</v>
      </c>
      <c r="K243" s="2"/>
      <c r="L243" s="9" t="str">
        <f t="shared" ref="L243:L244" si="199">HYPERLINK("https://metabase.lelefan.org/public/dashboard/53c41f3f-5644-466e-935e-897e7725f6bc?rayon=&amp;d%25C3%25A9signation=RIZ LONG CAMARGUE 1/2 COMPLET VRAC&amp;fournisseur=&amp;date_d%25C3%25A9but=&amp;date_fin=","4.46")</f>
        <v>4.46</v>
      </c>
      <c r="M243" s="2"/>
      <c r="N243" s="9" t="str">
        <f t="shared" ref="N243:N244" si="200">HYPERLINK("https://fd11-courses.leclercdrive.fr/magasin-063801-063801-Echirolles---Comboire/fiche-produits-68868-Riz-long-Bio-Village.aspx","5.06")</f>
        <v>5.06</v>
      </c>
      <c r="O243" s="2"/>
      <c r="P243" s="1" t="s">
        <v>372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1" t="s">
        <v>484</v>
      </c>
      <c r="B244" s="9" t="str">
        <f t="shared" si="195"/>
        <v>4.27</v>
      </c>
      <c r="C244" s="2"/>
      <c r="D244" s="9" t="str">
        <f t="shared" si="196"/>
        <v>4.95</v>
      </c>
      <c r="E244" s="2"/>
      <c r="F244" s="9" t="str">
        <f t="shared" si="197"/>
        <v>4.9</v>
      </c>
      <c r="G244" s="2"/>
      <c r="H244" s="7" t="str">
        <f t="shared" si="198"/>
        <v>3.25</v>
      </c>
      <c r="I244" s="2"/>
      <c r="J244" s="9" t="str">
        <f>HYPERLINK("https://www.greenweez.com/produit/riz-long-demi-complet-camargue-1kg/1MKAL0136","5.29")</f>
        <v>5.29</v>
      </c>
      <c r="K244" s="2"/>
      <c r="L244" s="9" t="str">
        <f t="shared" si="199"/>
        <v>4.46</v>
      </c>
      <c r="M244" s="2"/>
      <c r="N244" s="9" t="str">
        <f t="shared" si="200"/>
        <v>5.06</v>
      </c>
      <c r="O244" s="2"/>
      <c r="P244" s="1" t="s">
        <v>372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1" t="s">
        <v>485</v>
      </c>
      <c r="B245" s="9" t="str">
        <f t="shared" ref="B245:B246" si="201">HYPERLINK("https://lafourche.fr/products/celnat-riz-long-complet-1kg","3.5")</f>
        <v>3.5</v>
      </c>
      <c r="C245" s="8">
        <v>-0.1803</v>
      </c>
      <c r="D245" s="9" t="str">
        <f t="shared" ref="D245:D246" si="202">HYPERLINK("https://www.biocoop.fr/magasin-biocoop_champollion/riz-long-complet-camargue-1kg-bo0100-000.html","4.61")</f>
        <v>4.61</v>
      </c>
      <c r="E245" s="10">
        <v>0.0</v>
      </c>
      <c r="F245" s="9" t="str">
        <f t="shared" ref="F245:F246" si="203">HYPERLINK("https://www.biocoop.fr/magasin-biocoop_fontaine/riz-long-complet-camargue-1kg-bo0100-000.html","4.8")</f>
        <v>4.8</v>
      </c>
      <c r="G245" s="10">
        <v>0.0</v>
      </c>
      <c r="H245" s="7" t="str">
        <f t="shared" ref="H245:H246" si="204">HYPERLINK("https://satoriz-comboire.bio/collections/vrac/products/eu629","3.1")</f>
        <v>3.1</v>
      </c>
      <c r="I245" s="10">
        <v>0.0</v>
      </c>
      <c r="J245" s="9" t="str">
        <f>HYPERLINK("https://www.greenweez.com/produit/riz-long-brun-bio-2-5kg/2WEEZ0472","3.98")</f>
        <v>3.98</v>
      </c>
      <c r="K245" s="11">
        <v>0.0258</v>
      </c>
      <c r="L245" s="16">
        <v>888888.0</v>
      </c>
      <c r="M245" s="2"/>
      <c r="N245" s="16">
        <v>888888.0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1" t="s">
        <v>486</v>
      </c>
      <c r="B246" s="9" t="str">
        <f t="shared" si="201"/>
        <v>3.5</v>
      </c>
      <c r="C246" s="8">
        <v>-0.1803</v>
      </c>
      <c r="D246" s="9" t="str">
        <f t="shared" si="202"/>
        <v>4.61</v>
      </c>
      <c r="E246" s="10">
        <v>0.0</v>
      </c>
      <c r="F246" s="9" t="str">
        <f t="shared" si="203"/>
        <v>4.8</v>
      </c>
      <c r="G246" s="10">
        <v>0.0</v>
      </c>
      <c r="H246" s="7" t="str">
        <f t="shared" si="204"/>
        <v>3.1</v>
      </c>
      <c r="I246" s="10">
        <v>0.0</v>
      </c>
      <c r="J246" s="9" t="str">
        <f>HYPERLINK("https://www.greenweez.com/produit/riz-long-brun-bio-500g/2WEEZ0484","4.76")</f>
        <v>4.76</v>
      </c>
      <c r="K246" s="11">
        <v>0.2268</v>
      </c>
      <c r="L246" s="16">
        <v>888888.0</v>
      </c>
      <c r="M246" s="2"/>
      <c r="N246" s="16">
        <v>888888.0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1" t="s">
        <v>487</v>
      </c>
      <c r="B247" s="9" t="str">
        <f>HYPERLINK("https://lafourche.fr/products/celnat-riz-rond-blanc-bio-3kg","4.42")</f>
        <v>4.42</v>
      </c>
      <c r="C247" s="2"/>
      <c r="D247" s="9" t="str">
        <f t="shared" ref="D247:D248" si="205">HYPERLINK("https://www.biocoop.fr/magasin-biocoop_champollion/riz-de-camargue-rond-blanc-1kg-bo0107-000.html","5.25")</f>
        <v>5.25</v>
      </c>
      <c r="E247" s="2"/>
      <c r="F247" s="9" t="str">
        <f t="shared" ref="F247:F248" si="206">HYPERLINK("https://www.biocoop.fr/magasin-biocoop_fontaine/riz-de-camargue-rond-blanc-1kg-bo0107-000.html","5.2")</f>
        <v>5.2</v>
      </c>
      <c r="G247" s="2"/>
      <c r="H247" s="7" t="str">
        <f t="shared" ref="H247:H248" si="207">HYPERLINK("https://satoriz-comboire.bio/products/ma1127","3.5")</f>
        <v>3.5</v>
      </c>
      <c r="I247" s="2"/>
      <c r="J247" s="9" t="str">
        <f t="shared" ref="J247:J248" si="208">HYPERLINK("https://www.greenweez.com/produit/riz-rond-blanc-ditalie-1kg/1PRIM0026","4.53")</f>
        <v>4.53</v>
      </c>
      <c r="K247" s="2"/>
      <c r="L247" s="9" t="str">
        <f t="shared" ref="L247:L248" si="209">HYPERLINK("https://metabase.lelefan.org/public/dashboard/53c41f3f-5644-466e-935e-897e7725f6bc?rayon=&amp;d%25C3%25A9signation=RIZ ROND BLANC VRAC&amp;fournisseur=&amp;date_d%25C3%25A9but=&amp;date_fin=","3.64")</f>
        <v>3.64</v>
      </c>
      <c r="M247" s="2"/>
      <c r="N247" s="16">
        <v>888888.0</v>
      </c>
      <c r="O247" s="2"/>
      <c r="P247" s="1" t="s">
        <v>372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1" t="s">
        <v>488</v>
      </c>
      <c r="B248" s="9" t="str">
        <f>HYPERLINK("https://lafourche.fr/products/celnat-riz-rond-blanc-1kg","4.69")</f>
        <v>4.69</v>
      </c>
      <c r="C248" s="2"/>
      <c r="D248" s="9" t="str">
        <f t="shared" si="205"/>
        <v>5.25</v>
      </c>
      <c r="E248" s="2"/>
      <c r="F248" s="9" t="str">
        <f t="shared" si="206"/>
        <v>5.2</v>
      </c>
      <c r="G248" s="2"/>
      <c r="H248" s="7" t="str">
        <f t="shared" si="207"/>
        <v>3.5</v>
      </c>
      <c r="I248" s="2"/>
      <c r="J248" s="9" t="str">
        <f t="shared" si="208"/>
        <v>4.53</v>
      </c>
      <c r="K248" s="2"/>
      <c r="L248" s="9" t="str">
        <f t="shared" si="209"/>
        <v>3.64</v>
      </c>
      <c r="M248" s="2"/>
      <c r="N248" s="16">
        <v>888888.0</v>
      </c>
      <c r="O248" s="2"/>
      <c r="P248" s="1" t="s">
        <v>372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1" t="s">
        <v>489</v>
      </c>
      <c r="B249" s="16">
        <v>888888.0</v>
      </c>
      <c r="C249" s="2"/>
      <c r="D249" s="9" t="str">
        <f t="shared" ref="D249:D252" si="210">HYPERLINK("https://www.biocoop.fr/magasin-biocoop_champollion/riz-de-camargue-rond-1-2-complet-1kg-bo0106-000.html","5.25")</f>
        <v>5.25</v>
      </c>
      <c r="E249" s="2"/>
      <c r="F249" s="9" t="str">
        <f t="shared" ref="F249:F252" si="211">HYPERLINK("https://www.biocoop.fr/magasin-biocoop_fontaine/riz-de-camargue-rond-1-2-complet-1kg-bo0106-000.html","4.95")</f>
        <v>4.95</v>
      </c>
      <c r="G249" s="2"/>
      <c r="H249" s="7" t="str">
        <f t="shared" ref="H249:H250" si="212">HYPERLINK("https://satoriz-comboire.bio/products/ma3060","3.45")</f>
        <v>3.45</v>
      </c>
      <c r="I249" s="2"/>
      <c r="J249" s="9" t="str">
        <f>HYPERLINK("https://www.greenweez.com/produit/riz-rond-demi-complet-bio-2-5kg/2WEEZ0127","888888")</f>
        <v>888888</v>
      </c>
      <c r="K249" s="2"/>
      <c r="L249" s="16">
        <v>888888.0</v>
      </c>
      <c r="M249" s="2"/>
      <c r="N249" s="16">
        <v>888888.0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1" t="s">
        <v>490</v>
      </c>
      <c r="B250" s="16">
        <v>888888.0</v>
      </c>
      <c r="C250" s="2"/>
      <c r="D250" s="9" t="str">
        <f t="shared" si="210"/>
        <v>5.25</v>
      </c>
      <c r="E250" s="2"/>
      <c r="F250" s="9" t="str">
        <f t="shared" si="211"/>
        <v>4.95</v>
      </c>
      <c r="G250" s="2"/>
      <c r="H250" s="7" t="str">
        <f t="shared" si="212"/>
        <v>3.45</v>
      </c>
      <c r="I250" s="2"/>
      <c r="J250" s="9" t="str">
        <f>HYPERLINK("https://www.greenweez.com/produit/riz-rond-demi-complet-bio-500g-1/2WEEZ0027","5.36")</f>
        <v>5.36</v>
      </c>
      <c r="K250" s="2"/>
      <c r="L250" s="16">
        <v>888888.0</v>
      </c>
      <c r="M250" s="2"/>
      <c r="N250" s="16">
        <v>888888.0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1" t="s">
        <v>491</v>
      </c>
      <c r="B251" s="9" t="str">
        <f t="shared" ref="B251:B252" si="213">HYPERLINK("https://lafourche.fr/products/markal-riz-de-camargue-rond-complet-bio-1kg","3.84")</f>
        <v>3.84</v>
      </c>
      <c r="C251" s="8">
        <v>-0.3069</v>
      </c>
      <c r="D251" s="9" t="str">
        <f t="shared" si="210"/>
        <v>5.25</v>
      </c>
      <c r="E251" s="10">
        <v>0.0</v>
      </c>
      <c r="F251" s="9" t="str">
        <f t="shared" si="211"/>
        <v>4.95</v>
      </c>
      <c r="G251" s="10">
        <v>0.0</v>
      </c>
      <c r="H251" s="7" t="str">
        <f t="shared" ref="H251:H252" si="214">HYPERLINK("https://satoriz-comboire.bio/collections/vrac/products/eu624","3.3")</f>
        <v>3.3</v>
      </c>
      <c r="I251" s="10">
        <v>0.0</v>
      </c>
      <c r="J251" s="9" t="str">
        <f>HYPERLINK("https://www.greenweez.com/produit/riz-rond-complet-bio-2-5kg/2WEEZ0126","4.38")</f>
        <v>4.38</v>
      </c>
      <c r="K251" s="10">
        <v>0.0</v>
      </c>
      <c r="L251" s="16">
        <v>888888.0</v>
      </c>
      <c r="M251" s="2"/>
      <c r="N251" s="16">
        <v>888888.0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1" t="s">
        <v>492</v>
      </c>
      <c r="B252" s="9" t="str">
        <f t="shared" si="213"/>
        <v>3.84</v>
      </c>
      <c r="C252" s="8">
        <v>-0.3069</v>
      </c>
      <c r="D252" s="9" t="str">
        <f t="shared" si="210"/>
        <v>5.25</v>
      </c>
      <c r="E252" s="10">
        <v>0.0</v>
      </c>
      <c r="F252" s="9" t="str">
        <f t="shared" si="211"/>
        <v>4.95</v>
      </c>
      <c r="G252" s="10">
        <v>0.0</v>
      </c>
      <c r="H252" s="7" t="str">
        <f t="shared" si="214"/>
        <v>3.3</v>
      </c>
      <c r="I252" s="10">
        <v>0.0</v>
      </c>
      <c r="J252" s="9" t="str">
        <f>HYPERLINK("https://www.greenweez.com/produit/riz-rond-complet-camargue-1kg/1MKAL0141","4.29")</f>
        <v>4.29</v>
      </c>
      <c r="K252" s="8">
        <v>-0.0205</v>
      </c>
      <c r="L252" s="16">
        <v>888888.0</v>
      </c>
      <c r="M252" s="2"/>
      <c r="N252" s="16">
        <v>888888.0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1" t="s">
        <v>493</v>
      </c>
      <c r="B253" s="9" t="str">
        <f t="shared" ref="B253:B254" si="215">HYPERLINK("https://lafourche.fr/products/elibio-riz-thai-blanc-bio-1kg","3.75")</f>
        <v>3.75</v>
      </c>
      <c r="C253" s="2"/>
      <c r="D253" s="9" t="str">
        <f t="shared" ref="D253:D254" si="216">HYPERLINK("https://www.biocoop.fr/magasin-biocoop_champollion/riz-thai-blanc-bio-mf0083-000.html","4.65")</f>
        <v>4.65</v>
      </c>
      <c r="E253" s="2"/>
      <c r="F253" s="9" t="str">
        <f t="shared" ref="F253:F254" si="217">HYPERLINK("https://www.biocoop.fr/magasin-biocoop_fontaine/riz-thai-blanc-bio-mf0083-000.html","4.65")</f>
        <v>4.65</v>
      </c>
      <c r="G253" s="2"/>
      <c r="H253" s="9" t="str">
        <f t="shared" ref="H253:H254" si="218">HYPERLINK("https://satoriz-comboire.bio/products/eu2302","4.3")</f>
        <v>4.3</v>
      </c>
      <c r="I253" s="2"/>
      <c r="J253" s="9" t="str">
        <f>HYPERLINK("https://www.greenweez.com/produit/riz-thai-blanc-3kg/5GREE0343","5.26")</f>
        <v>5.26</v>
      </c>
      <c r="K253" s="2"/>
      <c r="L253" s="7" t="str">
        <f t="shared" ref="L253:L254" si="219">HYPERLINK("https://metabase.lelefan.org/public/dashboard/53c41f3f-5644-466e-935e-897e7725f6bc?rayon=&amp;d%25C3%25A9signation=RIZ THAI BLANC - THAILANDE&amp;fournisseur=&amp;date_d%25C3%25A9but=&amp;date_fin=","3.38")</f>
        <v>3.38</v>
      </c>
      <c r="M253" s="2"/>
      <c r="N253" s="9" t="str">
        <f t="shared" ref="N253:N254" si="220">HYPERLINK("https://fd11-courses.leclercdrive.fr/magasin-063801-063801-Echirolles---Comboire/fiche-produits-16171-Riz-Thai-Bio-Village.aspx","4.98")</f>
        <v>4.98</v>
      </c>
      <c r="O253" s="2"/>
      <c r="P253" s="1" t="s">
        <v>372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1" t="s">
        <v>494</v>
      </c>
      <c r="B254" s="9" t="str">
        <f t="shared" si="215"/>
        <v>3.75</v>
      </c>
      <c r="C254" s="2"/>
      <c r="D254" s="9" t="str">
        <f t="shared" si="216"/>
        <v>4.65</v>
      </c>
      <c r="E254" s="2"/>
      <c r="F254" s="9" t="str">
        <f t="shared" si="217"/>
        <v>4.65</v>
      </c>
      <c r="G254" s="2"/>
      <c r="H254" s="9" t="str">
        <f t="shared" si="218"/>
        <v>4.3</v>
      </c>
      <c r="I254" s="2"/>
      <c r="J254" s="9" t="str">
        <f>HYPERLINK("https://www.greenweez.com/produit/riz-thai-blanc-bio-500g/5GREE0342","6.68")</f>
        <v>6.68</v>
      </c>
      <c r="K254" s="2"/>
      <c r="L254" s="7" t="str">
        <f t="shared" si="219"/>
        <v>3.38</v>
      </c>
      <c r="M254" s="2"/>
      <c r="N254" s="9" t="str">
        <f t="shared" si="220"/>
        <v>4.98</v>
      </c>
      <c r="O254" s="2"/>
      <c r="P254" s="1" t="s">
        <v>372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1" t="s">
        <v>495</v>
      </c>
      <c r="B255" s="7" t="str">
        <f t="shared" ref="B255:B256" si="221">HYPERLINK("https://lafourche.fr/products/la-fourche-1kg-de-riz-thai-demi-complet-en-vrac-bio","3.99")</f>
        <v>3.99</v>
      </c>
      <c r="C255" s="2"/>
      <c r="D255" s="9" t="str">
        <f t="shared" ref="D255:D256" si="222">HYPERLINK("https://www.biocoop.fr/magasin-biocoop_champollion/riz-thai-1-2-complet-bio-mf0082-000.html","4.55")</f>
        <v>4.55</v>
      </c>
      <c r="E255" s="2"/>
      <c r="F255" s="9" t="str">
        <f t="shared" ref="F255:F256" si="223">HYPERLINK("https://www.biocoop.fr/magasin-biocoop_fontaine/riz-thai-1-2-complet-bio-mf0082-000.html","4.55")</f>
        <v>4.55</v>
      </c>
      <c r="G255" s="2"/>
      <c r="H255" s="9" t="str">
        <f t="shared" ref="H255:H256" si="224">HYPERLINK("https://satoriz-comboire.bio/products/eu3068","4.5")</f>
        <v>4.5</v>
      </c>
      <c r="I255" s="2"/>
      <c r="J255" s="9" t="str">
        <f>HYPERLINK("https://www.greenweez.com/produit/riz-thai-demi-complet-3kg/5GREE0347","888888")</f>
        <v>888888</v>
      </c>
      <c r="K255" s="2"/>
      <c r="L255" s="16">
        <v>888888.0</v>
      </c>
      <c r="M255" s="2"/>
      <c r="N255" s="16">
        <v>888888.0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1" t="s">
        <v>496</v>
      </c>
      <c r="B256" s="7" t="str">
        <f t="shared" si="221"/>
        <v>3.99</v>
      </c>
      <c r="C256" s="2"/>
      <c r="D256" s="9" t="str">
        <f t="shared" si="222"/>
        <v>4.55</v>
      </c>
      <c r="E256" s="2"/>
      <c r="F256" s="9" t="str">
        <f t="shared" si="223"/>
        <v>4.55</v>
      </c>
      <c r="G256" s="2"/>
      <c r="H256" s="9" t="str">
        <f t="shared" si="224"/>
        <v>4.5</v>
      </c>
      <c r="I256" s="2"/>
      <c r="J256" s="9" t="str">
        <f>HYPERLINK("https://www.greenweez.com/produit/riz-thai-demi-complet-500g/1PRIM0450","888888")</f>
        <v>888888</v>
      </c>
      <c r="K256" s="2"/>
      <c r="L256" s="16">
        <v>888888.0</v>
      </c>
      <c r="M256" s="2"/>
      <c r="N256" s="16">
        <v>888888.0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1" t="s">
        <v>497</v>
      </c>
      <c r="B257" s="9" t="str">
        <f>HYPERLINK("https://lafourche.fr/products/celnat-riz-thai-complet-500g-bio","5.38")</f>
        <v>5.38</v>
      </c>
      <c r="C257" s="2"/>
      <c r="D257" s="9" t="str">
        <f>HYPERLINK("https://www.biocoop.fr/magasin-biocoop_champollion/riz-thai-complet-bio-mf0084-000.html","4.5")</f>
        <v>4.5</v>
      </c>
      <c r="E257" s="2"/>
      <c r="F257" s="9" t="str">
        <f>HYPERLINK("https://www.biocoop.fr/magasin-biocoop_fontaine/riz-thai-complet-bio-mf0084-000.html","4.85")</f>
        <v>4.85</v>
      </c>
      <c r="G257" s="2"/>
      <c r="H257" s="7" t="str">
        <f>HYPERLINK("https://satoriz-comboire.bio/products/eu2299","4.25")</f>
        <v>4.25</v>
      </c>
      <c r="I257" s="2"/>
      <c r="J257" s="9" t="str">
        <f>HYPERLINK("https://www.greenweez.com/produit/riz-thai-complet-500g/1MKAL0147","6.96")</f>
        <v>6.96</v>
      </c>
      <c r="K257" s="2"/>
      <c r="L257" s="16">
        <v>888888.0</v>
      </c>
      <c r="M257" s="2"/>
      <c r="N257" s="16">
        <v>888888.0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5" t="s">
        <v>498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1" t="s">
        <v>499</v>
      </c>
      <c r="B259" s="9" t="str">
        <f>HYPERLINK("https://lafourche.fr/products/la-fourche-creme-entiere-liquide-bio-3x20cl-0-6l","6.25")</f>
        <v>6.25</v>
      </c>
      <c r="C259" s="10">
        <v>0.0</v>
      </c>
      <c r="D259" s="9" t="str">
        <f>HYPERLINK("https://www.biocoop.fr/magasin-biocoop_champollion/creme-entiere-fluide-30-mg-ls3001-000.html","7.25")</f>
        <v>7.25</v>
      </c>
      <c r="E259" s="10">
        <v>0.0</v>
      </c>
      <c r="F259" s="9" t="str">
        <f>HYPERLINK("https://www.biocoop.fr/magasin-biocoop_fontaine/creme-entiere-fluide-30-mg-ls3001-000.html","7.25")</f>
        <v>7.25</v>
      </c>
      <c r="G259" s="10">
        <v>0.0</v>
      </c>
      <c r="H259" s="9" t="str">
        <f>HYPERLINK("https://satoriz-comboire.bio/products/re16270","6.25")</f>
        <v>6.25</v>
      </c>
      <c r="I259" s="10">
        <v>0.0</v>
      </c>
      <c r="J259" s="9" t="str">
        <f>HYPERLINK("https://www.greenweez.com/produit/creme-liquide-entiere-uht-30-mg-pf-3x20cl/1LAIP0002","888888")</f>
        <v>888888</v>
      </c>
      <c r="K259" s="18" t="s">
        <v>56</v>
      </c>
      <c r="L259" s="7" t="str">
        <f>HYPERLINK("https://metabase.lelefan.org/public/dashboard/53c41f3f-5644-466e-935e-897e7725f6bc?rayon=&amp;d%25C3%25A9signation=CREME NORMANDIE 30% UNITE&amp;fournisseur=&amp;date_d%25C3%25A9but=&amp;date_fin=","2.83")</f>
        <v>2.83</v>
      </c>
      <c r="M259" s="2"/>
      <c r="N259" s="9" t="str">
        <f>HYPERLINK("https://fd11-courses.leclercdrive.fr/magasin-063801-063801-Echirolles---Comboire/fiche-produits-27087-Creme-entiere-fluide-UHT-Bio.aspx","6.42")</f>
        <v>6.42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1" t="s">
        <v>500</v>
      </c>
      <c r="B260" s="9" t="str">
        <f t="shared" ref="B260:B261" si="225">HYPERLINK("https://lafourche.fr/products/la-fourche-lait-de-coco-bio-0-4l","4.25")</f>
        <v>4.25</v>
      </c>
      <c r="C260" s="10">
        <v>0.0</v>
      </c>
      <c r="D260" s="9" t="str">
        <f>HYPERLINK("https://www.biocoop.fr/magasin-biocoop_champollion/lait-coco-a-cuisiner-17-mg-tetra-1l-bc9029-000.html","5.14")</f>
        <v>5.14</v>
      </c>
      <c r="E260" s="10">
        <v>0.0</v>
      </c>
      <c r="F260" s="9" t="str">
        <f t="shared" ref="F260:F261" si="226">HYPERLINK("https://www.biocoop.fr/magasin-biocoop_fontaine/lait-coco-40cl-mc0002-000.html","5.25")</f>
        <v>5.25</v>
      </c>
      <c r="G260" s="10">
        <v>0.0</v>
      </c>
      <c r="H260" s="7" t="str">
        <f t="shared" ref="H260:H261" si="227">HYPERLINK("https://satoriz-comboire.bio/products/re41359","3.75")</f>
        <v>3.75</v>
      </c>
      <c r="I260" s="10">
        <v>0.0</v>
      </c>
      <c r="J260" s="9" t="str">
        <f t="shared" ref="J260:J261" si="228">HYPERLINK("https://www.greenweez.com/produit/lait-de-coco-17-mg-400ml-equitable/2WEEZ0407","4.22")</f>
        <v>4.22</v>
      </c>
      <c r="K260" s="8">
        <v>-0.0071</v>
      </c>
      <c r="L260" s="9" t="str">
        <f t="shared" ref="L260:L261" si="229">HYPERLINK("https://metabase.lelefan.org/public/dashboard/53c41f3f-5644-466e-935e-897e7725f6bc?rayon=&amp;d%25C3%25A9signation=LAIT DE COCO 15%&amp;fournisseur=&amp;date_d%25C3%25A9but=&amp;date_fin=","4.32")</f>
        <v>4.32</v>
      </c>
      <c r="M260" s="2"/>
      <c r="N260" s="9" t="str">
        <f>HYPERLINK("https://fd11-courses.leclercdrive.fr/magasin-063801-063801-Echirolles---Comboire/fiche-produits-134775-Lait-de-coco-Bio-Village.aspx","6.4")</f>
        <v>6.4</v>
      </c>
      <c r="O260" s="2"/>
      <c r="P260" s="1" t="s">
        <v>501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1" t="s">
        <v>502</v>
      </c>
      <c r="B261" s="9" t="str">
        <f t="shared" si="225"/>
        <v>4.25</v>
      </c>
      <c r="C261" s="10">
        <v>0.0</v>
      </c>
      <c r="D261" s="9" t="str">
        <f>HYPERLINK("https://www.biocoop.fr/magasin-biocoop_champollion/lait-coco-40cl-mc0002-000.html","6.38")</f>
        <v>6.38</v>
      </c>
      <c r="E261" s="11">
        <v>0.2412</v>
      </c>
      <c r="F261" s="9" t="str">
        <f t="shared" si="226"/>
        <v>5.25</v>
      </c>
      <c r="G261" s="10">
        <v>0.0</v>
      </c>
      <c r="H261" s="7" t="str">
        <f t="shared" si="227"/>
        <v>3.75</v>
      </c>
      <c r="I261" s="10">
        <v>0.0</v>
      </c>
      <c r="J261" s="9" t="str">
        <f t="shared" si="228"/>
        <v>4.22</v>
      </c>
      <c r="K261" s="8">
        <v>-0.0071</v>
      </c>
      <c r="L261" s="9" t="str">
        <f t="shared" si="229"/>
        <v>4.32</v>
      </c>
      <c r="M261" s="2"/>
      <c r="N261" s="16">
        <v>888888.0</v>
      </c>
      <c r="O261" s="2"/>
      <c r="P261" s="1" t="s">
        <v>501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1" t="s">
        <v>503</v>
      </c>
      <c r="B262" s="9" t="str">
        <f>HYPERLINK("https://lafourche.fr/products/la-fourche-creme-de-coco-22-de-mg-bio-et-equitable-0-4l","4.72")</f>
        <v>4.72</v>
      </c>
      <c r="C262" s="11">
        <v>0.0194</v>
      </c>
      <c r="D262" s="9" t="str">
        <f>HYPERLINK("https://www.biocoop.fr/magasin-biocoop_champollion/creme-coco-a-fouetter-400ml-bc9028-000.html","8.25")</f>
        <v>8.25</v>
      </c>
      <c r="E262" s="10">
        <v>0.0</v>
      </c>
      <c r="F262" s="9" t="str">
        <f>HYPERLINK("https://www.biocoop.fr/magasin-biocoop_fontaine/creme-de-coco-a-cuisiner-mc0003-000.html","6.13")</f>
        <v>6.13</v>
      </c>
      <c r="G262" s="11">
        <v>0.0661</v>
      </c>
      <c r="H262" s="7" t="str">
        <f>HYPERLINK("https://satoriz-comboire.bio/collections/produits-frais/products/re41360","4.13")</f>
        <v>4.13</v>
      </c>
      <c r="I262" s="10">
        <v>0.0</v>
      </c>
      <c r="J262" s="9" t="str">
        <f>HYPERLINK("https://www.greenweez.com/produit/creme-de-coco-22-mg-40cl/1BASE0009","5.15")</f>
        <v>5.15</v>
      </c>
      <c r="K262" s="10">
        <v>0.0</v>
      </c>
      <c r="L262" s="16">
        <v>888888.0</v>
      </c>
      <c r="M262" s="2"/>
      <c r="N262" s="16">
        <v>888888.0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1" t="s">
        <v>504</v>
      </c>
      <c r="B263" s="7" t="str">
        <f>HYPERLINK("https://lafourche.fr/products/la-fourche-soja-cuisine-bio-3x20cl-0-6l","3.8")</f>
        <v>3.8</v>
      </c>
      <c r="C263" s="10">
        <v>0.0</v>
      </c>
      <c r="D263" s="9" t="str">
        <f t="shared" ref="D263:D264" si="230">HYPERLINK("https://www.biocoop.fr/magasin-biocoop_champollion/cuisine-soja-20cl-sy1605-000.html","5.75")</f>
        <v>5.75</v>
      </c>
      <c r="E263" s="8">
        <v>-0.2484</v>
      </c>
      <c r="F263" s="9" t="str">
        <f t="shared" ref="F263:F264" si="231">HYPERLINK("https://www.biocoop.fr/magasin-biocoop_fontaine/cuisine-soja-20cl-so-soja-cuisine-ti3018-000.html","4.95")</f>
        <v>4.95</v>
      </c>
      <c r="G263" s="8">
        <v>-0.1</v>
      </c>
      <c r="H263" s="9" t="str">
        <f>HYPERLINK("https://satoriz-comboire.bio/collections/produits-frais/products/aa197367","888888")</f>
        <v>888888</v>
      </c>
      <c r="I263" s="18" t="s">
        <v>56</v>
      </c>
      <c r="J263" s="9" t="str">
        <f>HYPERLINK("https://www.greenweez.com/produit/lot-de-3-x-creme-soja-du-chef-25cl/1PACK3768","5.88")</f>
        <v>5.88</v>
      </c>
      <c r="K263" s="8">
        <v>-0.0408</v>
      </c>
      <c r="L263" s="9" t="str">
        <f t="shared" ref="L263:L264" si="232">HYPERLINK("https://metabase.lelefan.org/public/dashboard/53c41f3f-5644-466e-935e-897e7725f6bc?rayon=&amp;d%25C3%25A9signation=SOJADE SOJA CUISINE 20CL&amp;fournisseur=&amp;date_d%25C3%25A9but=&amp;date_fin=","888888")</f>
        <v>888888</v>
      </c>
      <c r="M263" s="2"/>
      <c r="N263" s="7" t="str">
        <f>HYPERLINK("https://fd11-courses.leclercdrive.fr/magasin-063801-063801-Echirolles---Comboire/fiche-produits-33304-Soja-Cuisine-Bio-Village.aspx","2.68")</f>
        <v>2.68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1" t="s">
        <v>505</v>
      </c>
      <c r="B264" s="16">
        <v>888888.0</v>
      </c>
      <c r="C264" s="18" t="s">
        <v>56</v>
      </c>
      <c r="D264" s="9" t="str">
        <f t="shared" si="230"/>
        <v>5.75</v>
      </c>
      <c r="E264" s="8">
        <v>-0.2484</v>
      </c>
      <c r="F264" s="7" t="str">
        <f t="shared" si="231"/>
        <v>4.95</v>
      </c>
      <c r="G264" s="8">
        <v>-0.1</v>
      </c>
      <c r="H264" s="9" t="str">
        <f>HYPERLINK("https://satoriz-comboire.bio/products/aa179882","5.75")</f>
        <v>5.75</v>
      </c>
      <c r="I264" s="11">
        <v>0.1979</v>
      </c>
      <c r="J264" s="9" t="str">
        <f>HYPERLINK("https://www.greenweez.com/produit/creme-soja-du-chef-25cl/1BTER0575","5.9")</f>
        <v>5.9</v>
      </c>
      <c r="K264" s="8">
        <v>-0.0375</v>
      </c>
      <c r="L264" s="9" t="str">
        <f t="shared" si="232"/>
        <v>888888</v>
      </c>
      <c r="M264" s="2"/>
      <c r="N264" s="7" t="str">
        <f>HYPERLINK("https://fd11-courses.leclercdrive.fr/magasin-063801-063801-Echirolles---Comboire/fiche-produits-66757-Soja-cuisine-Bio-Bio-Village.aspx","3.8")</f>
        <v>3.8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1" t="s">
        <v>506</v>
      </c>
      <c r="B265" s="7" t="str">
        <f t="shared" ref="B265:B266" si="233">HYPERLINK("https://lafourche.fr/products/lima-creme-cuisine-a-base-de-riz-bio-0-2kg","4.75")</f>
        <v>4.75</v>
      </c>
      <c r="C265" s="11">
        <v>0.0556</v>
      </c>
      <c r="D265" s="9" t="str">
        <f t="shared" ref="D265:D266" si="234">HYPERLINK("https://www.biocoop.fr/magasin-biocoop_champollion/cuisine-riz-liquide-20cl-ab5020-000.html","4.95")</f>
        <v>4.95</v>
      </c>
      <c r="E265" s="10">
        <v>0.0</v>
      </c>
      <c r="F265" s="9" t="str">
        <f t="shared" ref="F265:F266" si="235">HYPERLINK("https://www.biocoop.fr/magasin-biocoop_fontaine/cuisine-riz-liquide-20cl-ab5020-000.html","4.95")</f>
        <v>4.95</v>
      </c>
      <c r="G265" s="10">
        <v>0.0</v>
      </c>
      <c r="H265" s="9" t="str">
        <f>HYPERLINK("https://satoriz-comboire.bio/collections/produits-frais/products/aa212388","4.9")</f>
        <v>4.9</v>
      </c>
      <c r="I265" s="10">
        <v>0.0</v>
      </c>
      <c r="J265" s="9" t="str">
        <f t="shared" ref="J265:J266" si="236">HYPERLINK("https://www.greenweez.com/produit/preparation-de-riz-cuisine-200ml/1BRID0019","16.7")</f>
        <v>16.7</v>
      </c>
      <c r="K265" s="10">
        <v>0.0</v>
      </c>
      <c r="L265" s="9" t="str">
        <f>HYPERLINK("https://metabase.lelefan.org/public/dashboard/53c41f3f-5644-466e-935e-897e7725f6bc?rayon=&amp;d%25C3%25A9signation=CREME DE RIZ CUISINE VITARIZ&amp;fournisseur=&amp;date_d%25C3%25A9but=&amp;date_fin=","888888")</f>
        <v>888888</v>
      </c>
      <c r="M265" s="2"/>
      <c r="N265" s="7" t="str">
        <f>HYPERLINK("https://fd11-courses.leclercdrive.fr/magasin-063801-063801-Echirolles---Comboire/fiche-produits-110676-Riz-Bio-Village.aspx","4.82")</f>
        <v>4.82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1" t="s">
        <v>507</v>
      </c>
      <c r="B266" s="7" t="str">
        <f t="shared" si="233"/>
        <v>4.75</v>
      </c>
      <c r="C266" s="11">
        <v>0.0556</v>
      </c>
      <c r="D266" s="9" t="str">
        <f t="shared" si="234"/>
        <v>4.95</v>
      </c>
      <c r="E266" s="10">
        <v>0.0</v>
      </c>
      <c r="F266" s="9" t="str">
        <f t="shared" si="235"/>
        <v>4.95</v>
      </c>
      <c r="G266" s="10">
        <v>0.0</v>
      </c>
      <c r="H266" s="9" t="str">
        <f>HYPERLINK("https://satoriz-comboire.bio/products/aa203312","7.0")</f>
        <v>7.0</v>
      </c>
      <c r="I266" s="11">
        <v>0.4286</v>
      </c>
      <c r="J266" s="9" t="str">
        <f t="shared" si="236"/>
        <v>16.7</v>
      </c>
      <c r="K266" s="10">
        <v>0.0</v>
      </c>
      <c r="L266" s="16">
        <v>888888.0</v>
      </c>
      <c r="M266" s="2"/>
      <c r="N266" s="16">
        <v>888888.0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1" t="s">
        <v>508</v>
      </c>
      <c r="B267" s="9" t="str">
        <f>HYPERLINK("https://lafourche.fr/products/lima-oat-avoine-cuisine-20cl","4.75")</f>
        <v>4.75</v>
      </c>
      <c r="C267" s="11">
        <v>0.0556</v>
      </c>
      <c r="D267" s="7" t="str">
        <f>HYPERLINK("https://www.biocoop.fr/magasin-biocoop_champollion/avoine-cuisine-20cl-tb0030-000.html","4.5")</f>
        <v>4.5</v>
      </c>
      <c r="E267" s="10">
        <v>0.0</v>
      </c>
      <c r="F267" s="7" t="str">
        <f>HYPERLINK("https://www.biocoop.fr/magasin-biocoop_fontaine/avoine-cuisine-20cl-tb0030-000.html","4.5")</f>
        <v>4.5</v>
      </c>
      <c r="G267" s="10">
        <v>0.0</v>
      </c>
      <c r="H267" s="9" t="str">
        <f>HYPERLINK("https://satoriz-comboire.bio/products/bt3023973","4.95")</f>
        <v>4.95</v>
      </c>
      <c r="I267" s="8">
        <v>-0.1391</v>
      </c>
      <c r="J267" s="9" t="str">
        <f>HYPERLINK("https://www.greenweez.com/produit/puree-davoine-cuisine-200ml/1LIMA0106","5.4")</f>
        <v>5.4</v>
      </c>
      <c r="K267" s="11">
        <v>0.0693</v>
      </c>
      <c r="L267" s="9" t="str">
        <f>HYPERLINK("https://metabase.lelefan.org/public/dashboard/53c41f3f-5644-466e-935e-897e7725f6bc?rayon=&amp;d%25C3%25A9signation=CREME D AVOINE&amp;fournisseur=&amp;date_d%25C3%25A9but=&amp;date_fin=","888888")</f>
        <v>888888</v>
      </c>
      <c r="M267" s="2"/>
      <c r="N267" s="16">
        <v>888888.0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1" t="s">
        <v>509</v>
      </c>
      <c r="B268" s="7" t="str">
        <f>HYPERLINK("https://lafourche.fr/products/lima-creme-cuisine-amande-bio-0-2l","5.15")</f>
        <v>5.15</v>
      </c>
      <c r="C268" s="11">
        <v>0.051</v>
      </c>
      <c r="D268" s="9" t="str">
        <f>HYPERLINK("https://www.biocoop.fr/magasin-biocoop_champollion/cuisine-amande-20cl-hm1061-000.html","9.0")</f>
        <v>9.0</v>
      </c>
      <c r="E268" s="10">
        <v>0.0</v>
      </c>
      <c r="F268" s="9" t="str">
        <f>HYPERLINK("https://www.biocoop.fr/magasin-biocoop_fontaine/amande-cuisine-25cl-ma0021-000.html","8.8")</f>
        <v>8.8</v>
      </c>
      <c r="G268" s="10">
        <v>0.0</v>
      </c>
      <c r="H268" s="9" t="str">
        <f>HYPERLINK("https://satoriz-comboire.bio/collections/produits-frais/products/pera6902a","9.5")</f>
        <v>9.5</v>
      </c>
      <c r="I268" s="10">
        <v>0.0</v>
      </c>
      <c r="J268" s="9" t="str">
        <f>HYPERLINK("https://www.greenweez.com/produit/amande-cuisine-20cl-1/1PERL0118","10.9")</f>
        <v>10.9</v>
      </c>
      <c r="K268" s="11">
        <v>0.0739</v>
      </c>
      <c r="L268" s="9" t="str">
        <f>HYPERLINK("https://metabase.lelefan.org/public/dashboard/53c41f3f-5644-466e-935e-897e7725f6bc?rayon=&amp;d%25C3%25A9signation=AMANDE CUISINE&amp;fournisseur=&amp;date_d%25C3%25A9but=&amp;date_fin=","8.4")</f>
        <v>8.4</v>
      </c>
      <c r="M268" s="2"/>
      <c r="N268" s="9" t="str">
        <f>HYPERLINK("https://fd11-courses.leclercdrive.fr/magasin-063801-063801-Echirolles---Comboire/fiche-produits-45145-Creme-amande-cuisine-Bjorg-.aspx","8.25")</f>
        <v>8.25</v>
      </c>
      <c r="O268" s="2"/>
      <c r="P268" s="1" t="s">
        <v>91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1" t="s">
        <v>510</v>
      </c>
      <c r="B269" s="7" t="str">
        <f>HYPERLINK("https://lafourche.fr/products/la-fourche-ketchup-bio-0-56kg","5.27")</f>
        <v>5.27</v>
      </c>
      <c r="C269" s="2"/>
      <c r="D269" s="9" t="str">
        <f>HYPERLINK("https://www.biocoop.fr/magasin-biocoop_champollion/ketchup-sucre-canne-flacon-souple-560g-lm4007-000.html","6.61")</f>
        <v>6.61</v>
      </c>
      <c r="E269" s="2"/>
      <c r="F269" s="9" t="str">
        <f>HYPERLINK("https://www.biocoop.fr/magasin-biocoop_fontaine/ketchup-sucre-canne-flacon-souple-560g-dn1151-000.html","7.68")</f>
        <v>7.68</v>
      </c>
      <c r="G269" s="2"/>
      <c r="H269" s="9" t="str">
        <f>HYPERLINK("https://satoriz-comboire.bio/collections/epicerie-salee/products/eu8077","6.88")</f>
        <v>6.88</v>
      </c>
      <c r="I269" s="2"/>
      <c r="J269" s="9" t="str">
        <f>HYPERLINK("https://www.greenweez.com/produit/ketchup-500g/1LUCE0033","7.76")</f>
        <v>7.76</v>
      </c>
      <c r="K269" s="2"/>
      <c r="L269" s="9" t="str">
        <f>HYPERLINK("https://metabase.lelefan.org/public/dashboard/53c41f3f-5644-466e-935e-897e7725f6bc?rayon=&amp;d%25C3%25A9signation=KETCHUP&amp;fournisseur=&amp;date_d%25C3%25A9but=&amp;date_fin=","6.2")</f>
        <v>6.2</v>
      </c>
      <c r="M269" s="2"/>
      <c r="N269" s="7" t="str">
        <f>HYPERLINK("https://fd11-courses.leclercdrive.fr/magasin-063801-063801-Echirolles---Comboire/fiche-produits-29493-Ketchup-Bio-Heinz-.aspx","4.29")</f>
        <v>4.29</v>
      </c>
      <c r="O269" s="2"/>
      <c r="P269" s="1" t="s">
        <v>372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1" t="s">
        <v>511</v>
      </c>
      <c r="B270" s="7" t="str">
        <f>HYPERLINK("https://lafourche.fr/products/quintesens-lincroyable-ketchup-0-28kg","16.75")</f>
        <v>16.75</v>
      </c>
      <c r="C270" s="2"/>
      <c r="D270" s="9" t="str">
        <f>HYPERLINK("https://www.biocoop.fr/magasin-biocoop_champollion/l-incroyable-ketchup-280g-bq1001-000.html","16.96")</f>
        <v>16.96</v>
      </c>
      <c r="E270" s="2"/>
      <c r="F270" s="9" t="str">
        <f>HYPERLINK("https://www.biocoop.fr/magasin-biocoop_fontaine/l-incroyable-ketchup-280g-bq1001-000.html","19.29")</f>
        <v>19.29</v>
      </c>
      <c r="G270" s="2"/>
      <c r="H270" s="16">
        <v>888888.0</v>
      </c>
      <c r="I270" s="2"/>
      <c r="J270" s="9" t="str">
        <f>HYPERLINK("https://www.greenweez.com/produit/lincroyable-ketchup-280g/3QUIN0013","19.93")</f>
        <v>19.93</v>
      </c>
      <c r="K270" s="2"/>
      <c r="L270" s="16">
        <v>888888.0</v>
      </c>
      <c r="M270" s="2"/>
      <c r="N270" s="16">
        <v>888888.0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1" t="s">
        <v>512</v>
      </c>
      <c r="B271" s="9" t="str">
        <f>HYPERLINK("https://lafourche.fr/products/la-fourche-mayonnaise-bio-0-32kg","10.16")</f>
        <v>10.16</v>
      </c>
      <c r="C271" s="2"/>
      <c r="D271" s="9" t="str">
        <f>HYPERLINK("https://www.biocoop.fr/magasin-biocoop_champollion/mayonnaise-nature-325g-bi7116-000.html","11.54")</f>
        <v>11.54</v>
      </c>
      <c r="E271" s="2"/>
      <c r="F271" s="9" t="str">
        <f>HYPERLINK("https://www.biocoop.fr/magasin-biocoop_fontaine/mayonnaise-nature-325g-bi7116-000.html","11.54")</f>
        <v>11.54</v>
      </c>
      <c r="G271" s="2"/>
      <c r="H271" s="9" t="str">
        <f>HYPERLINK("https://satoriz-comboire.bio/products/sd8518","14.0")</f>
        <v>14.0</v>
      </c>
      <c r="I271" s="2"/>
      <c r="J271" s="9" t="str">
        <f>HYPERLINK("https://www.greenweez.com/produit/mayonnaise-350ml/1BIOS0011","13.11")</f>
        <v>13.11</v>
      </c>
      <c r="K271" s="2"/>
      <c r="L271" s="7" t="str">
        <f>HYPERLINK("https://metabase.lelefan.org/public/dashboard/53c41f3f-5644-466e-935e-897e7725f6bc?rayon=&amp;d%25C3%25A9signation=MAYONNAISE A LA MOUTARDE DE DIJON 325G&amp;fournisseur=&amp;date_d%25C3%25A9but=&amp;date_fin=","9.75")</f>
        <v>9.75</v>
      </c>
      <c r="M271" s="2"/>
      <c r="N271" s="9" t="str">
        <f>HYPERLINK("https://fd11-courses.leclercdrive.fr/magasin-063801-063801-Echirolles---Comboire/fiche-produits-110681-Mayonaise-Bio-Bio-Village.aspx","10.04")</f>
        <v>10.04</v>
      </c>
      <c r="O271" s="2"/>
      <c r="P271" s="1" t="s">
        <v>372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1" t="s">
        <v>513</v>
      </c>
      <c r="B272" s="9" t="str">
        <f>HYPERLINK("https://lafourche.fr/products/les-secrets-de-manou-mayonnaise-vegan-bio-130g","27.23")</f>
        <v>27.23</v>
      </c>
      <c r="C272" s="2"/>
      <c r="D272" s="7" t="str">
        <f>HYPERLINK("https://www.biocoop.fr/magasin-biocoop_champollion/sauce-veganaise-180g-bi7117-000.html","20.11")</f>
        <v>20.11</v>
      </c>
      <c r="E272" s="2"/>
      <c r="F272" s="9" t="str">
        <f>HYPERLINK("https://www.biocoop.fr/magasin-biocoop_fontaine/sauce-veganaise-180g-bi7117-000.html","20.56")</f>
        <v>20.56</v>
      </c>
      <c r="G272" s="2"/>
      <c r="H272" s="16">
        <v>888888.0</v>
      </c>
      <c r="I272" s="2"/>
      <c r="J272" s="9" t="str">
        <f>HYPERLINK("https://www.greenweez.com/produit/mayo-vegan-130g/3LESS0007","33.62")</f>
        <v>33.62</v>
      </c>
      <c r="K272" s="2"/>
      <c r="L272" s="16">
        <v>888888.0</v>
      </c>
      <c r="M272" s="2"/>
      <c r="N272" s="16">
        <v>888888.0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1" t="s">
        <v>514</v>
      </c>
      <c r="B273" s="7" t="str">
        <f>HYPERLINK("https://lafourche.fr/products/la-fourche-moutarde-de-dijon-bio-0-72kg","5.97")</f>
        <v>5.97</v>
      </c>
      <c r="C273" s="2"/>
      <c r="D273" s="9" t="str">
        <f t="shared" ref="D273:D274" si="237">HYPERLINK("https://www.biocoop.fr/magasin-biocoop_champollion/moutarde-de-dijon-350g-bi7112-000.html","7.57")</f>
        <v>7.57</v>
      </c>
      <c r="E273" s="2"/>
      <c r="F273" s="9" t="str">
        <f>HYPERLINK("https://www.biocoop.fr/magasin-biocoop_fontaine/moutarde-de-dijon-720g-bi7110-000.html","7.29")</f>
        <v>7.29</v>
      </c>
      <c r="G273" s="2"/>
      <c r="H273" s="9" t="str">
        <f t="shared" ref="H273:H274" si="238">HYPERLINK("https://satoriz-comboire.bio/collections/epicerie-salee/products/sd09955311405","6.0")</f>
        <v>6.0</v>
      </c>
      <c r="I273" s="2"/>
      <c r="J273" s="9" t="str">
        <f>HYPERLINK("https://www.greenweez.com/produit/moutarde-de-dijon-720g/1BIOS0006","9.01")</f>
        <v>9.01</v>
      </c>
      <c r="K273" s="2"/>
      <c r="L273" s="9" t="str">
        <f t="shared" ref="L273:L274" si="239">HYPERLINK("https://metabase.lelefan.org/public/dashboard/53c41f3f-5644-466e-935e-897e7725f6bc?rayon=&amp;d%25C3%25A9signation=MOUTARDE DE DIJON 350G&amp;fournisseur=&amp;date_d%25C3%25A9but=&amp;date_fin=","6.6")</f>
        <v>6.6</v>
      </c>
      <c r="M273" s="2"/>
      <c r="N273" s="9" t="str">
        <f>HYPERLINK("https://fd11-courses.leclercdrive.fr/magasin-063801-063801-Echirolles---Comboire/fiche-produits-10788-Moutarde-de-Dijon-Bio-Village.aspx","7.7")</f>
        <v>7.7</v>
      </c>
      <c r="O273" s="2"/>
      <c r="P273" s="1" t="s">
        <v>247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1" t="s">
        <v>515</v>
      </c>
      <c r="B274" s="7" t="str">
        <f>HYPERLINK("https://lafourche.fr/products/la-fourche-moutarde-de-dijon-bio-0-35kg","6")</f>
        <v>6</v>
      </c>
      <c r="C274" s="2"/>
      <c r="D274" s="9" t="str">
        <f t="shared" si="237"/>
        <v>7.57</v>
      </c>
      <c r="E274" s="2"/>
      <c r="F274" s="9" t="str">
        <f>HYPERLINK("https://www.biocoop.fr/magasin-biocoop_fontaine/moutarde-de-dijon-350g-bi7112-000.html","7.57")</f>
        <v>7.57</v>
      </c>
      <c r="G274" s="2"/>
      <c r="H274" s="7" t="str">
        <f t="shared" si="238"/>
        <v>6.0</v>
      </c>
      <c r="I274" s="2"/>
      <c r="J274" s="9" t="str">
        <f>HYPERLINK("https://www.greenweez.com/produit/moutarde-de-dijon-350g/1BIOS0005","10.26")</f>
        <v>10.26</v>
      </c>
      <c r="K274" s="2"/>
      <c r="L274" s="9" t="str">
        <f t="shared" si="239"/>
        <v>6.6</v>
      </c>
      <c r="M274" s="2"/>
      <c r="N274" s="16">
        <v>888888.0</v>
      </c>
      <c r="O274" s="2"/>
      <c r="P274" s="1" t="s">
        <v>247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1" t="s">
        <v>516</v>
      </c>
      <c r="B275" s="9" t="str">
        <f>HYPERLINK("https://lafourche.fr/products/la-fourche-moutarde-a-l-ancienne-bio-0-7kg","6.84")</f>
        <v>6.84</v>
      </c>
      <c r="C275" s="2"/>
      <c r="D275" s="9" t="str">
        <f t="shared" ref="D275:D276" si="240">HYPERLINK("https://www.biocoop.fr/magasin-biocoop_champollion/moutarde-a-l-ancienne-350g-bi7119-000.html","7.43")</f>
        <v>7.43</v>
      </c>
      <c r="E275" s="2"/>
      <c r="F275" s="9" t="str">
        <f t="shared" ref="F275:F276" si="241">HYPERLINK("https://www.biocoop.fr/magasin-biocoop_fontaine/moutarde-a-l-ancienne-350g-bi7119-000.html","7.49")</f>
        <v>7.49</v>
      </c>
      <c r="G275" s="2"/>
      <c r="H275" s="7" t="str">
        <f t="shared" ref="H275:H276" si="242">HYPERLINK("https://satoriz-comboire.bio/collections/epicerie-salee/products/sd10873311405","6.0")</f>
        <v>6.0</v>
      </c>
      <c r="I275" s="2"/>
      <c r="J275" s="9" t="str">
        <f>HYPERLINK("https://www.greenweez.com/produit/moutarde-a-lancienne-700g/1BIOS0008","8.49")</f>
        <v>8.49</v>
      </c>
      <c r="K275" s="2"/>
      <c r="L275" s="9" t="str">
        <f t="shared" ref="L275:L276" si="243">HYPERLINK("https://metabase.lelefan.org/public/dashboard/53c41f3f-5644-466e-935e-897e7725f6bc?rayon=&amp;d%25C3%25A9signation=MOUTARDE A L ANCIENNE KIVINAT&amp;fournisseur=&amp;date_d%25C3%25A9but=&amp;date_fin=","11.97")</f>
        <v>11.97</v>
      </c>
      <c r="M275" s="2"/>
      <c r="N275" s="9" t="str">
        <f>HYPERLINK("https://fd11-courses.leclercdrive.fr/magasin-063801-063801-Echirolles---Comboire/fiche-produits-69004-Moutarde-Bio-Village.aspx","7.65")</f>
        <v>7.65</v>
      </c>
      <c r="O275" s="2"/>
      <c r="P275" s="1" t="s">
        <v>247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1" t="s">
        <v>517</v>
      </c>
      <c r="B276" s="9" t="str">
        <f>HYPERLINK("https://lafourche.fr/products/la-fourche-moutarde-a-l-ancienne-bio-0-34kg","7.91")</f>
        <v>7.91</v>
      </c>
      <c r="C276" s="2"/>
      <c r="D276" s="9" t="str">
        <f t="shared" si="240"/>
        <v>7.43</v>
      </c>
      <c r="E276" s="2"/>
      <c r="F276" s="9" t="str">
        <f t="shared" si="241"/>
        <v>7.49</v>
      </c>
      <c r="G276" s="2"/>
      <c r="H276" s="7" t="str">
        <f t="shared" si="242"/>
        <v>6.0</v>
      </c>
      <c r="I276" s="2"/>
      <c r="J276" s="9" t="str">
        <f>HYPERLINK("https://www.greenweez.com/produit/moutarde-a-lancienne-350g/1BIOS0007","9.37")</f>
        <v>9.37</v>
      </c>
      <c r="K276" s="2"/>
      <c r="L276" s="9" t="str">
        <f t="shared" si="243"/>
        <v>11.97</v>
      </c>
      <c r="M276" s="2"/>
      <c r="N276" s="16">
        <v>888888.0</v>
      </c>
      <c r="O276" s="2"/>
      <c r="P276" s="1" t="s">
        <v>247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1" t="s">
        <v>518</v>
      </c>
      <c r="B277" s="7" t="str">
        <f>HYPERLINK("https://lafourche.fr/products/la-fourche-pesto-vert-bio-0-18kg-ht","16.61")</f>
        <v>16.61</v>
      </c>
      <c r="C277" s="2"/>
      <c r="D277" s="9" t="str">
        <f>HYPERLINK("https://www.biocoop.fr/magasin-biocoop_champollion/pesto-verde-185g-pr5441-000.html","22.86")</f>
        <v>22.86</v>
      </c>
      <c r="E277" s="2"/>
      <c r="F277" s="9" t="str">
        <f>HYPERLINK("https://www.biocoop.fr/magasin-biocoop_fontaine/pesto-verde-185g-pr5441-000.html","888888")</f>
        <v>888888</v>
      </c>
      <c r="G277" s="2"/>
      <c r="H277" s="9" t="str">
        <f>HYPERLINK("https://satoriz-comboire.bio/products/fd000354","19.73")</f>
        <v>19.73</v>
      </c>
      <c r="I277" s="2"/>
      <c r="J277" s="7" t="str">
        <f>HYPERLINK("https://www.greenweez.com/produit/pesto-vert-biologique-180g/2WEEZ0321","16.61")</f>
        <v>16.61</v>
      </c>
      <c r="K277" s="2"/>
      <c r="L277" s="9" t="str">
        <f>HYPERLINK("https://metabase.lelefan.org/public/dashboard/53c41f3f-5644-466e-935e-897e7725f6bc?rayon=&amp;d%25C3%25A9signation=PESTO BASILIC&amp;fournisseur=&amp;date_d%25C3%25A9but=&amp;date_fin=","30.58")</f>
        <v>30.58</v>
      </c>
      <c r="M277" s="2"/>
      <c r="N277" s="7" t="str">
        <f>HYPERLINK("https://fd11-courses.leclercdrive.fr/magasin-063801-063801-Echirolles---Comboire/fiche-produits-89424-Pesto-vert-Bio-Village.aspx","9.84")</f>
        <v>9.84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1" t="s">
        <v>519</v>
      </c>
      <c r="B278" s="9" t="str">
        <f>HYPERLINK("https://lafourche.fr/products/la-fourche-pesto-vert-vegan-bio-0-18kg-ht","16.94")</f>
        <v>16.94</v>
      </c>
      <c r="C278" s="2"/>
      <c r="D278" s="9" t="str">
        <f>HYPERLINK("https://www.biocoop.fr/magasin-biocoop_champollion/sauce-pesto-basilic-165g-is6104-000.html","26.85")</f>
        <v>26.85</v>
      </c>
      <c r="E278" s="2"/>
      <c r="F278" s="9" t="str">
        <f>HYPERLINK("https://www.biocoop.fr/magasin-biocoop_fontaine/pesto-vert-a-la-genovese-noix-cajou-140g-oi5051-000.html","22.14")</f>
        <v>22.14</v>
      </c>
      <c r="G278" s="2"/>
      <c r="H278" s="7" t="str">
        <f>HYPERLINK("https://satoriz-comboire.bio/products/igpsba01","16.07")</f>
        <v>16.07</v>
      </c>
      <c r="I278" s="2"/>
      <c r="J278" s="9" t="str">
        <f>HYPERLINK("https://www.greenweez.com/produit/pesto-vert-au-basilic-140g/1BIOO0014","23.14")</f>
        <v>23.14</v>
      </c>
      <c r="K278" s="2"/>
      <c r="L278" s="16">
        <v>888888.0</v>
      </c>
      <c r="M278" s="2"/>
      <c r="N278" s="16">
        <v>888888.0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1" t="s">
        <v>520</v>
      </c>
      <c r="B279" s="7" t="str">
        <f>HYPERLINK("https://lafourche.fr/products/la-fourche-pesto-rouge-bio-0-19kg-ht","15.53")</f>
        <v>15.53</v>
      </c>
      <c r="C279" s="2"/>
      <c r="D279" s="9" t="str">
        <f>HYPERLINK("https://www.biocoop.fr/magasin-biocoop_champollion/pesto-rosso-185g-pr5440-000.html","22.86")</f>
        <v>22.86</v>
      </c>
      <c r="E279" s="2"/>
      <c r="F279" s="9" t="str">
        <f>HYPERLINK("https://www.biocoop.fr/magasin-biocoop_fontaine/pesto-rosso-190g-vm1057-000.html","26.84")</f>
        <v>26.84</v>
      </c>
      <c r="G279" s="2"/>
      <c r="H279" s="9" t="str">
        <f>HYPERLINK("https://satoriz-comboire.bio/products/fd000355","19.73")</f>
        <v>19.73</v>
      </c>
      <c r="I279" s="2"/>
      <c r="J279" s="9" t="str">
        <f>HYPERLINK("https://www.greenweez.com/produit/pesto-rouge-biologique-180g/2WEEZ0322","16.33")</f>
        <v>16.33</v>
      </c>
      <c r="K279" s="2"/>
      <c r="L279" s="16">
        <v>888888.0</v>
      </c>
      <c r="M279" s="2"/>
      <c r="N279" s="16">
        <v>888888.0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1" t="s">
        <v>521</v>
      </c>
      <c r="B280" s="9" t="str">
        <f>HYPERLINK("https://lafourche.fr/products/la-fourche-pesto-rouge-vegan-bio-0-19kg-ht","16.26")</f>
        <v>16.26</v>
      </c>
      <c r="C280" s="2"/>
      <c r="D280" s="9" t="str">
        <f>HYPERLINK("https://www.biocoop.fr/magasin-biocoop_champollion/pesto-rosso-tomates-sechees-140g-oi5052-000.html","888888")</f>
        <v>888888</v>
      </c>
      <c r="E280" s="2"/>
      <c r="F280" s="9" t="str">
        <f>HYPERLINK("https://www.biocoop.fr/magasin-biocoop_fontaine/pesto-rosso-tomates-sechees-140g-oi5052-000.html","22.14")</f>
        <v>22.14</v>
      </c>
      <c r="G280" s="2"/>
      <c r="H280" s="7" t="str">
        <f>HYPERLINK("https://satoriz-comboire.bio/products/igpspo01","16.07")</f>
        <v>16.07</v>
      </c>
      <c r="I280" s="2"/>
      <c r="J280" s="9" t="str">
        <f>HYPERLINK("https://www.greenweez.com/produit/pesto-rouge-aux-tomates-sechees-140g/1BIOO0013","888888")</f>
        <v>888888</v>
      </c>
      <c r="K280" s="2"/>
      <c r="L280" s="16">
        <v>888888.0</v>
      </c>
      <c r="M280" s="2"/>
      <c r="N280" s="16">
        <v>888888.0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1" t="s">
        <v>522</v>
      </c>
      <c r="B281" s="9" t="str">
        <f>HYPERLINK("https://lafourche.fr/products/autour-du-riz-shoyu-sauce-soja-traditionnelle-bio-600ml","9.42")</f>
        <v>9.42</v>
      </c>
      <c r="C281" s="11">
        <v>0.0053</v>
      </c>
      <c r="D281" s="9" t="str">
        <f>HYPERLINK("https://www.biocoop.fr/magasin-biocoop_champollion/shoyu-traditionnel-sauce-soja-mf1139-000.html","9.92")</f>
        <v>9.92</v>
      </c>
      <c r="E281" s="10">
        <v>0.0</v>
      </c>
      <c r="F281" s="9" t="str">
        <f>HYPERLINK("https://www.biocoop.fr/magasin-biocoop_fontaine/shoyu-traditionnel-sauce-soja-mf1139-000.html","9.92")</f>
        <v>9.92</v>
      </c>
      <c r="G281" s="10">
        <v>0.0</v>
      </c>
      <c r="H281" s="9" t="str">
        <f>HYPERLINK("https://satoriz-comboire.bio/collections/epicerie-salee/products/re2583","11.3")</f>
        <v>11.3</v>
      </c>
      <c r="I281" s="10">
        <v>0.0</v>
      </c>
      <c r="J281" s="9" t="str">
        <f>HYPERLINK("https://www.greenweez.com/produit/sauce-soja-shoyu-traditionnel-60cl/1FITN0063","888888")</f>
        <v>888888</v>
      </c>
      <c r="K281" s="18" t="s">
        <v>56</v>
      </c>
      <c r="L281" s="7" t="str">
        <f>HYPERLINK("https://metabase.lelefan.org/public/dashboard/53c41f3f-5644-466e-935e-897e7725f6bc?rayon=&amp;d%25C3%25A9signation=SHOYU GRAND CRU VRAC&amp;fournisseur=&amp;date_d%25C3%25A9but=&amp;date_fin=","7.1")</f>
        <v>7.1</v>
      </c>
      <c r="M281" s="2"/>
      <c r="N281" s="9" t="str">
        <f>HYPERLINK("https://fd11-courses.leclercdrive.fr/magasin-063801-063801-Echirolles---Comboire/fiche-produits-118113-Sauce-soja-Bio-Village.aspx","13.93")</f>
        <v>13.93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1" t="s">
        <v>523</v>
      </c>
      <c r="B282" s="7" t="str">
        <f>HYPERLINK("https://lafourche.fr/products/autour-du-riz-veritable-sauce-tamari-bio-600ml","10.17")</f>
        <v>10.17</v>
      </c>
      <c r="C282" s="11">
        <v>0.0089</v>
      </c>
      <c r="D282" s="9" t="str">
        <f>HYPERLINK("https://www.biocoop.fr/magasin-biocoop_champollion/veritable-tamari-sauce-soja-mf1140-000.html","11.58")</f>
        <v>11.58</v>
      </c>
      <c r="E282" s="10">
        <v>0.0</v>
      </c>
      <c r="F282" s="9" t="str">
        <f>HYPERLINK("https://www.biocoop.fr/magasin-biocoop_fontaine/veritable-tamari-sauce-soja-mf1140-000.html","11.58")</f>
        <v>11.58</v>
      </c>
      <c r="G282" s="10">
        <v>0.0</v>
      </c>
      <c r="H282" s="9" t="str">
        <f>HYPERLINK("https://satoriz-comboire.bio/products/da2810","14.4")</f>
        <v>14.4</v>
      </c>
      <c r="I282" s="10">
        <v>0.0</v>
      </c>
      <c r="J282" s="9" t="str">
        <f>HYPERLINK("https://www.greenweez.com/produit/tamari-sauce-soja-60cl/1FITN0065","13.23")</f>
        <v>13.23</v>
      </c>
      <c r="K282" s="8">
        <v>-0.2431</v>
      </c>
      <c r="L282" s="9" t="str">
        <f>HYPERLINK("https://metabase.lelefan.org/public/dashboard/53c41f3f-5644-466e-935e-897e7725f6bc?rayon=&amp;d%25C3%25A9signation=TAMARI&amp;fournisseur=&amp;date_d%25C3%25A9but=&amp;date_fin=","888888")</f>
        <v>888888</v>
      </c>
      <c r="M282" s="2"/>
      <c r="N282" s="16">
        <v>888888.0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1" t="s">
        <v>524</v>
      </c>
      <c r="B283" s="9" t="str">
        <f>HYPERLINK("https://lafourche.fr/products/autour-du-riz-marinade-teriyaki-bio-200ml","17.45")</f>
        <v>17.45</v>
      </c>
      <c r="C283" s="10">
        <v>0.0</v>
      </c>
      <c r="D283" s="9" t="str">
        <f>HYPERLINK("https://www.biocoop.fr/magasin-biocoop_champollion/marinade-teriyaki-sauce-soja-douce-200ml-mf1135-000.html","18.65")</f>
        <v>18.65</v>
      </c>
      <c r="E283" s="10">
        <v>0.0</v>
      </c>
      <c r="F283" s="9" t="str">
        <f>HYPERLINK("https://www.biocoop.fr/magasin-biocoop_fontaine/marinade-teriyaki-sauce-soja-douce-200ml-mf1135-000.html","888888")</f>
        <v>888888</v>
      </c>
      <c r="G283" s="17">
        <v>0.0</v>
      </c>
      <c r="H283" s="7" t="str">
        <f>HYPERLINK("https://satoriz-comboire.bio/products/re31762","17.0")</f>
        <v>17.0</v>
      </c>
      <c r="I283" s="10">
        <v>0.0</v>
      </c>
      <c r="J283" s="9" t="str">
        <f>HYPERLINK("https://www.greenweez.com/produit/marinade-teriyaki-20cl/1FITN0068","20.4")</f>
        <v>20.4</v>
      </c>
      <c r="K283" s="11">
        <v>0.0355</v>
      </c>
      <c r="L283" s="16">
        <v>888888.0</v>
      </c>
      <c r="M283" s="2"/>
      <c r="N283" s="16">
        <v>888888.0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1" t="s">
        <v>525</v>
      </c>
      <c r="B284" s="7" t="str">
        <f>HYPERLINK("https://lafourche.fr/products/prosain-coulis-de-tomates-du-sud-ouest-bio-425ml","3.63")</f>
        <v>3.63</v>
      </c>
      <c r="C284" s="11">
        <v>0.0342</v>
      </c>
      <c r="D284" s="9" t="str">
        <f>HYPERLINK("https://www.biocoop.fr/magasin-biocoop_champollion/coulis-de-tomates-pr5266-000.html","4.27")</f>
        <v>4.27</v>
      </c>
      <c r="E284" s="10">
        <v>0.0</v>
      </c>
      <c r="F284" s="9" t="str">
        <f>HYPERLINK("https://www.biocoop.fr/magasin-biocoop_fontaine/coulis-de-tomates-pr5266-000.html","3.9")</f>
        <v>3.9</v>
      </c>
      <c r="G284" s="8">
        <v>-0.0867</v>
      </c>
      <c r="H284" s="9" t="str">
        <f>HYPERLINK("https://satoriz-comboire.bio/products/fd000960","3.9")</f>
        <v>3.9</v>
      </c>
      <c r="I284" s="8">
        <v>-0.0534</v>
      </c>
      <c r="J284" s="9" t="str">
        <f>HYPERLINK("https://www.greenweez.com/produit/coulis-de-tomates-bio-500g/2WEEZ0415","888888")</f>
        <v>888888</v>
      </c>
      <c r="K284" s="18" t="s">
        <v>56</v>
      </c>
      <c r="L284" s="16">
        <v>888888.0</v>
      </c>
      <c r="M284" s="2"/>
      <c r="N284" s="16">
        <v>888888.0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1" t="s">
        <v>526</v>
      </c>
      <c r="B285" s="7" t="str">
        <f>HYPERLINK("https://lafourche.fr/products/la-fourche-passata-bio-0-68kg","2.28")</f>
        <v>2.28</v>
      </c>
      <c r="C285" s="8">
        <v>-0.1264</v>
      </c>
      <c r="D285" s="9" t="str">
        <f>HYPERLINK("https://www.biocoop.fr/magasin-biocoop_champollion/sauce-tomate-passata-rustique-510g-ts5102-000.html","5.86")</f>
        <v>5.86</v>
      </c>
      <c r="E285" s="10">
        <v>0.0</v>
      </c>
      <c r="F285" s="9" t="str">
        <f>HYPERLINK("https://www.biocoop.fr/magasin-biocoop_fontaine/sauce-tomate-passata-rustique-510g-ts5102-000.html","5.49")</f>
        <v>5.49</v>
      </c>
      <c r="G285" s="10">
        <v>0.0</v>
      </c>
      <c r="H285" s="7" t="str">
        <f>HYPERLINK("https://satoriz-comboire.bio/products/re43264","2.28")</f>
        <v>2.28</v>
      </c>
      <c r="I285" s="10">
        <v>0.0</v>
      </c>
      <c r="J285" s="9" t="str">
        <f>HYPERLINK("https://www.greenweez.com/produit/sauce-tomate-passata-nature-690g-1/1LUCE0026","3.03")</f>
        <v>3.03</v>
      </c>
      <c r="K285" s="11">
        <v>0.0783</v>
      </c>
      <c r="L285" s="9" t="str">
        <f>HYPERLINK("https://metabase.lelefan.org/public/dashboard/53c41f3f-5644-466e-935e-897e7725f6bc?rayon=&amp;d%25C3%25A9signation=PASSATA NATURE&amp;fournisseur=&amp;date_d%25C3%25A9but=&amp;date_fin=","3.41")</f>
        <v>3.41</v>
      </c>
      <c r="M285" s="2"/>
      <c r="N285" s="9" t="str">
        <f>HYPERLINK("https://fd11-courses.leclercdrive.fr/magasin-063801-063801-Echirolles---Comboire/fiche-produits-80630-Puree-de-tomates-Bio-Village.aspx","2.68")</f>
        <v>2.68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1" t="s">
        <v>527</v>
      </c>
      <c r="B286" s="7" t="str">
        <f>HYPERLINK("https://lafourche.fr/products/bio-pour-tous-passata-basilic-bio-0-68kg","2.35")</f>
        <v>2.35</v>
      </c>
      <c r="C286" s="8">
        <v>-0.06</v>
      </c>
      <c r="D286" s="9" t="str">
        <f t="shared" ref="D286:D287" si="244">HYPERLINK("https://www.biocoop.fr/magasin-biocoop_champollion/sauce-tomate-basilic-300g-ts5100-000.html","5.83")</f>
        <v>5.83</v>
      </c>
      <c r="E286" s="8">
        <v>-0.1671</v>
      </c>
      <c r="F286" s="9" t="str">
        <f t="shared" ref="F286:F287" si="245">HYPERLINK("https://www.biocoop.fr/magasin-biocoop_fontaine/passata-au-basilic-350g-ts5128-000.html","6.0")</f>
        <v>6.0</v>
      </c>
      <c r="G286" s="10">
        <v>0.0</v>
      </c>
      <c r="H286" s="7" t="str">
        <f>HYPERLINK("https://satoriz-comboire.bio/collections/epicerie-salee/products/re43265","2.35")</f>
        <v>2.35</v>
      </c>
      <c r="I286" s="10">
        <v>0.0</v>
      </c>
      <c r="J286" s="9" t="str">
        <f>HYPERLINK("https://www.greenweez.com/produit/passata-basilic-680g/1LUCE0028","3.66")</f>
        <v>3.66</v>
      </c>
      <c r="K286" s="11">
        <v>0.1731</v>
      </c>
      <c r="L286" s="9" t="str">
        <f>HYPERLINK("https://metabase.lelefan.org/public/dashboard/53c41f3f-5644-466e-935e-897e7725f6bc?rayon=&amp;d%25C3%25A9signation=PASSATA ORGANIC BASILIC&amp;fournisseur=&amp;date_d%25C3%25A9but=&amp;date_fin=","3.57")</f>
        <v>3.57</v>
      </c>
      <c r="M286" s="2"/>
      <c r="N286" s="16">
        <v>888888.0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1" t="s">
        <v>528</v>
      </c>
      <c r="B287" s="7" t="str">
        <f>HYPERLINK("https://lafourche.fr/products/la-fourche-sauce-tomate-basilic-bio-0-35kg","5.69")</f>
        <v>5.69</v>
      </c>
      <c r="C287" s="2"/>
      <c r="D287" s="9" t="str">
        <f t="shared" si="244"/>
        <v>5.83</v>
      </c>
      <c r="E287" s="2"/>
      <c r="F287" s="9" t="str">
        <f t="shared" si="245"/>
        <v>6.0</v>
      </c>
      <c r="G287" s="2"/>
      <c r="H287" s="9" t="str">
        <f>HYPERLINK("https://satoriz-comboire.bio/products/igspclas02?_pos=4&amp;_sid=4b21eb1c7&amp;_ss=r","6.29")</f>
        <v>6.29</v>
      </c>
      <c r="I287" s="2"/>
      <c r="J287" s="9" t="str">
        <f>HYPERLINK("https://www.greenweez.com/produit/sauce-tomate-et-basilic-350g/1BIOO0020","7.86")</f>
        <v>7.86</v>
      </c>
      <c r="K287" s="2"/>
      <c r="L287" s="9" t="str">
        <f>HYPERLINK("https://metabase.lelefan.org/public/dashboard/53c41f3f-5644-466e-935e-897e7725f6bc?rayon=&amp;d%25C3%25A9signation=SAUCE TOMATE BASILIC SOJA SANS GLUTEN&amp;fournisseur=&amp;date_d%25C3%25A9but=&amp;date_fin=","888888")</f>
        <v>888888</v>
      </c>
      <c r="M287" s="2"/>
      <c r="N287" s="16">
        <v>888888.0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1" t="s">
        <v>529</v>
      </c>
      <c r="B288" s="7" t="str">
        <f>HYPERLINK("https://lafourche.fr/products/la-fourche-tomates-pelees-bio-800g-0-8kg","2.37")</f>
        <v>2.37</v>
      </c>
      <c r="C288" s="10">
        <v>0.0</v>
      </c>
      <c r="D288" s="9" t="str">
        <f>HYPERLINK("https://www.biocoop.fr/magasin-biocoop_champollion/tomates-entieres-pelees-240g-net-egoutte-ca0004-000.html","8.17")</f>
        <v>8.17</v>
      </c>
      <c r="E288" s="10">
        <v>0.0</v>
      </c>
      <c r="F288" s="9" t="str">
        <f>HYPERLINK("https://www.biocoop.fr/magasin-biocoop_fontaine/tomates-entieres-pelees-480g-net-egoutte-ca0014-000.html","5.52")</f>
        <v>5.52</v>
      </c>
      <c r="G288" s="10">
        <v>0.0</v>
      </c>
      <c r="H288" s="9" t="str">
        <f>HYPERLINK("https://satoriz-comboire.bio/products/re43269","4.06")</f>
        <v>4.06</v>
      </c>
      <c r="I288" s="8">
        <v>-0.0492</v>
      </c>
      <c r="J288" s="9" t="str">
        <f>HYPERLINK("https://www.greenweez.com/produit/tomates-pelees-format-familial-800g/1LUCE0032","3.6")</f>
        <v>3.6</v>
      </c>
      <c r="K288" s="11">
        <v>0.0746</v>
      </c>
      <c r="L288" s="9" t="str">
        <f>HYPERLINK("https://metabase.lelefan.org/public/dashboard/53c41f3f-5644-466e-935e-897e7725f6bc?rayon=&amp;d%25C3%25A9signation=TOMATES ENTIERES PELEES AU JUS&amp;fournisseur=&amp;date_d%25C3%25A9but=&amp;date_fin=","3.86")</f>
        <v>3.86</v>
      </c>
      <c r="M288" s="2"/>
      <c r="N288" s="9" t="str">
        <f>HYPERLINK("https://fd11-courses.leclercdrive.fr/magasin-063801-063801-Echirolles---Comboire/fiche-produits-56571-Tomates-entieres-pelees-bio.aspx","4.79")</f>
        <v>4.79</v>
      </c>
      <c r="O288" s="2"/>
      <c r="P288" s="1" t="s">
        <v>530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1" t="s">
        <v>531</v>
      </c>
      <c r="B289" s="7" t="str">
        <f>HYPERLINK("https://lafourche.fr/products/la-fourche-tomates-concassees-bio-800g-0-8kg","2.44")</f>
        <v>2.44</v>
      </c>
      <c r="C289" s="10">
        <v>0.0</v>
      </c>
      <c r="D289" s="9" t="str">
        <f>HYPERLINK("https://www.biocoop.fr/magasin-biocoop_champollion/tomates-concassees-400g-ca0006-000.html","4.45")</f>
        <v>4.45</v>
      </c>
      <c r="E289" s="10">
        <v>0.0</v>
      </c>
      <c r="F289" s="9" t="str">
        <f>HYPERLINK("https://www.biocoop.fr/magasin-biocoop_fontaine/tomates-concassees-400g-ca0006-000.html","3.13")</f>
        <v>3.13</v>
      </c>
      <c r="G289" s="8">
        <v>-0.1057</v>
      </c>
      <c r="H289" s="9" t="str">
        <f>HYPERLINK("https://satoriz-comboire.bio/products/re43267","4.38")</f>
        <v>4.38</v>
      </c>
      <c r="I289" s="10">
        <v>0.0</v>
      </c>
      <c r="J289" s="9" t="str">
        <f>HYPERLINK("https://www.greenweez.com/produit/tomates-concassees-400g-1/1LUCE0025","888888")</f>
        <v>888888</v>
      </c>
      <c r="K289" s="18" t="s">
        <v>56</v>
      </c>
      <c r="L289" s="9" t="str">
        <f>HYPERLINK("https://metabase.lelefan.org/public/dashboard/53c41f3f-5644-466e-935e-897e7725f6bc?rayon=&amp;d%25C3%25A9signation=TOMATES CONCASSEES BIO IDEA&amp;fournisseur=&amp;date_d%25C3%25A9but=&amp;date_fin=","888888")</f>
        <v>888888</v>
      </c>
      <c r="M289" s="2"/>
      <c r="N289" s="9" t="str">
        <f>HYPERLINK("https://fd11-courses.leclercdrive.fr/magasin-063801-063801-Echirolles---Comboire/fiche-produits-217622-Concasse-de-tomates-bio.aspx","3.28")</f>
        <v>3.28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1" t="s">
        <v>532</v>
      </c>
      <c r="B290" s="9" t="str">
        <f t="shared" ref="B290:B291" si="246">HYPERLINK("https://lafourche.fr/products/sauce-tomate-a-la-bolognaise-vegetale","10.47")</f>
        <v>10.47</v>
      </c>
      <c r="C290" s="2"/>
      <c r="D290" s="9" t="str">
        <f t="shared" ref="D290:D291" si="247">HYPERLINK("https://www.biocoop.fr/magasin-biocoop_champollion/sauce-bolognaise-vegetale-190g-pr1208-000.html","13.95")</f>
        <v>13.95</v>
      </c>
      <c r="E290" s="2"/>
      <c r="F290" s="9" t="str">
        <f t="shared" ref="F290:F291" si="248">HYPERLINK("https://www.biocoop.fr/magasin-biocoop_fontaine/sauce-bolognaise-vegetale-190g-pr1208-000.html","888888")</f>
        <v>888888</v>
      </c>
      <c r="G290" s="2"/>
      <c r="H290" s="7" t="str">
        <f>HYPERLINK("https://satoriz-comboire.bio/products/igspbolv02","6.86")</f>
        <v>6.86</v>
      </c>
      <c r="I290" s="2"/>
      <c r="J290" s="9" t="str">
        <f>HYPERLINK("https://www.greenweez.com/produit/sauce-bolognaise-vegetale-510g/1PRIM0743","10.65")</f>
        <v>10.65</v>
      </c>
      <c r="K290" s="2"/>
      <c r="L290" s="9" t="str">
        <f>HYPERLINK("https://metabase.lelefan.org/public/dashboard/53c41f3f-5644-466e-935e-897e7725f6bc?rayon=&amp;d%25C3%25A9signation=SAUCE BOLOGNAISE VEGETALE AU SOJA&amp;fournisseur=&amp;date_d%25C3%25A9but=&amp;date_fin=","11.03")</f>
        <v>11.03</v>
      </c>
      <c r="M290" s="2"/>
      <c r="N290" s="16">
        <v>888888.0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1" t="s">
        <v>533</v>
      </c>
      <c r="B291" s="7" t="str">
        <f t="shared" si="246"/>
        <v>10.47</v>
      </c>
      <c r="C291" s="2"/>
      <c r="D291" s="9" t="str">
        <f t="shared" si="247"/>
        <v>13.95</v>
      </c>
      <c r="E291" s="2"/>
      <c r="F291" s="9" t="str">
        <f t="shared" si="248"/>
        <v>888888</v>
      </c>
      <c r="G291" s="2"/>
      <c r="H291" s="16">
        <v>888888.0</v>
      </c>
      <c r="I291" s="2"/>
      <c r="J291" s="9" t="str">
        <f>HYPERLINK("https://www.greenweez.com/produit/sauce-tomate-a-la-bolognaise-vegetale-190g/1PROS0070","14.21")</f>
        <v>14.21</v>
      </c>
      <c r="K291" s="2"/>
      <c r="L291" s="16">
        <v>888888.0</v>
      </c>
      <c r="M291" s="2"/>
      <c r="N291" s="16">
        <v>888888.0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3" t="s">
        <v>534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5" t="s">
        <v>535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1" t="s">
        <v>536</v>
      </c>
      <c r="B295" s="7" t="str">
        <f>HYPERLINK("https://lafourche.fr/products/la-pateliere-arome-naturel-fleur-d-oranger-bio-1l","7.39")</f>
        <v>7.39</v>
      </c>
      <c r="C295" s="10">
        <v>0.0</v>
      </c>
      <c r="D295" s="9" t="str">
        <f t="shared" ref="D295:D296" si="249">HYPERLINK("https://www.biocoop.fr/magasin-biocoop_champollion/eau-de-fleur-d-oranger-50ml-ck2004-000.html","72.0")</f>
        <v>72.0</v>
      </c>
      <c r="E295" s="10">
        <v>0.0</v>
      </c>
      <c r="F295" s="9" t="str">
        <f t="shared" ref="F295:F296" si="250">HYPERLINK("https://www.biocoop.fr/magasin-biocoop_fontaine/eau-de-fleur-d-oranger-50ml-ck2004-000.html","73.0")</f>
        <v>73.0</v>
      </c>
      <c r="G295" s="10">
        <v>0.0</v>
      </c>
      <c r="H295" s="9" t="str">
        <f>HYPERLINK("https://satoriz-comboire.bio/collections/epicerie-sucree/products/sero20201","10.45")</f>
        <v>10.45</v>
      </c>
      <c r="I295" s="10">
        <v>0.0</v>
      </c>
      <c r="J295" s="9" t="str">
        <f>HYPERLINK("https://www.greenweez.com/produit/eau-florale-de-fleur-doranger-200ml/1LADR0102","37.05")</f>
        <v>37.05</v>
      </c>
      <c r="K295" s="11">
        <v>0.1126</v>
      </c>
      <c r="L295" s="9" t="str">
        <f>HYPERLINK("https://metabase.lelefan.org/public/dashboard/53c41f3f-5644-466e-935e-897e7725f6bc?rayon=&amp;d%25C3%25A9signation=AROME FLEUR D ORANGER 25CL&amp;fournisseur=&amp;date_d%25C3%25A9but=&amp;date_fin=","888888")</f>
        <v>888888</v>
      </c>
      <c r="M295" s="2"/>
      <c r="N295" s="16">
        <v>888888.0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1" t="s">
        <v>537</v>
      </c>
      <c r="B296" s="16">
        <v>888888.0</v>
      </c>
      <c r="C296" s="2"/>
      <c r="D296" s="9" t="str">
        <f t="shared" si="249"/>
        <v>72.0</v>
      </c>
      <c r="E296" s="2"/>
      <c r="F296" s="9" t="str">
        <f t="shared" si="250"/>
        <v>73.0</v>
      </c>
      <c r="G296" s="2"/>
      <c r="H296" s="7" t="str">
        <f>HYPERLINK("https://satoriz-comboire.bio/products/cofl?_pos=3&amp;_sid=485c5a709&amp;_ss=r","61.0")</f>
        <v>61.0</v>
      </c>
      <c r="I296" s="2"/>
      <c r="J296" s="9" t="str">
        <f>HYPERLINK("https://www.greenweez.com/produit/eau-de-fleur-doranger-arome-naturel-50ml/1COOK0099","72.4")</f>
        <v>72.4</v>
      </c>
      <c r="K296" s="2"/>
      <c r="L296" s="16">
        <v>888888.0</v>
      </c>
      <c r="M296" s="2"/>
      <c r="N296" s="16">
        <v>888888.0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1" t="s">
        <v>538</v>
      </c>
      <c r="B297" s="7" t="str">
        <f>HYPERLINK("https://lafourche.fr/products/culinat-arome-naturel-damande-amere-bio-0-06l","57.17")</f>
        <v>57.17</v>
      </c>
      <c r="C297" s="10">
        <v>0.0</v>
      </c>
      <c r="D297" s="9" t="str">
        <f>HYPERLINK("https://www.biocoop.fr/magasin-biocoop_champollion/arome-amande-amere-60ml-bp5140-000.html","888888")</f>
        <v>888888</v>
      </c>
      <c r="E297" s="17">
        <v>0.0</v>
      </c>
      <c r="F297" s="9" t="str">
        <f>HYPERLINK("https://www.biocoop.fr/magasin-biocoop_fontaine/arome-amande-amere-60ml-bp5140-000.html","62.5")</f>
        <v>62.5</v>
      </c>
      <c r="G297" s="10">
        <v>0.0</v>
      </c>
      <c r="H297" s="16">
        <v>888888.0</v>
      </c>
      <c r="I297" s="2"/>
      <c r="J297" s="9" t="str">
        <f>HYPERLINK("https://www.greenweez.com/produit/arome-naturel-damande-amere-60ml/1CULI0015","66.5")</f>
        <v>66.5</v>
      </c>
      <c r="K297" s="10">
        <v>0.0</v>
      </c>
      <c r="L297" s="16">
        <v>888888.0</v>
      </c>
      <c r="M297" s="2"/>
      <c r="N297" s="16">
        <v>888888.0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1" t="s">
        <v>539</v>
      </c>
      <c r="B298" s="9" t="str">
        <f>HYPERLINK("https://lafourche.fr/products/cook-extrait-de-vanille-40ml","267.25")</f>
        <v>267.25</v>
      </c>
      <c r="C298" s="8">
        <v>-0.0065</v>
      </c>
      <c r="D298" s="9" t="str">
        <f>HYPERLINK("https://www.biocoop.fr/magasin-biocoop_champollion/extrait-naturel-de-vanille-bourbon-40ml-da9015-000.html","287.5")</f>
        <v>287.5</v>
      </c>
      <c r="E298" s="10">
        <v>0.0</v>
      </c>
      <c r="F298" s="9" t="str">
        <f>HYPERLINK("https://www.biocoop.fr/magasin-biocoop_fontaine/extrait-naturel-de-vanille-bourbon-40ml-da9015-000.html","888888")</f>
        <v>888888</v>
      </c>
      <c r="G298" s="17">
        <v>0.0</v>
      </c>
      <c r="H298" s="7" t="str">
        <f>HYPERLINK("https://satoriz-comboire.bio/collections/epicerie-sucree/products/cova","263.75")</f>
        <v>263.75</v>
      </c>
      <c r="I298" s="10">
        <v>0.0</v>
      </c>
      <c r="J298" s="9" t="str">
        <f>HYPERLINK("https://www.greenweez.com/produit/extrait-de-vanille-30ml/6NATU0064","289.33")</f>
        <v>289.33</v>
      </c>
      <c r="K298" s="8">
        <v>-0.017</v>
      </c>
      <c r="L298" s="16">
        <v>888888.0</v>
      </c>
      <c r="M298" s="2"/>
      <c r="N298" s="16">
        <v>888888.0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1" t="s">
        <v>540</v>
      </c>
      <c r="B299" s="9" t="str">
        <f>HYPERLINK("https://lafourche.fr/products/cook-vanille-gousse-poudre-10g","1079")</f>
        <v>1079</v>
      </c>
      <c r="C299" s="8">
        <v>-0.0182</v>
      </c>
      <c r="D299" s="16">
        <v>888888.0</v>
      </c>
      <c r="E299" s="2"/>
      <c r="F299" s="16">
        <v>888888.0</v>
      </c>
      <c r="G299" s="2"/>
      <c r="H299" s="9" t="str">
        <f>HYPERLINK("https://satoriz-comboire.bio/collections/epicerie-sucree/products/covanil1","1040.0")</f>
        <v>1040.0</v>
      </c>
      <c r="I299" s="10">
        <v>0.0</v>
      </c>
      <c r="J299" s="7" t="str">
        <f>HYPERLINK("https://www.greenweez.com/produit/vanille-poudre-bio-10g/1COOK0108","1015.0")</f>
        <v>1015.0</v>
      </c>
      <c r="K299" s="8">
        <v>-0.1499</v>
      </c>
      <c r="L299" s="16">
        <v>888888.0</v>
      </c>
      <c r="M299" s="2"/>
      <c r="N299" s="16">
        <v>888888.0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1" t="s">
        <v>541</v>
      </c>
      <c r="B300" s="7" t="str">
        <f>HYPERLINK("https://lafourche.fr/products/culinat-poudre-a-lever-sans-phosphate-sans-gluten-bio-8x10g","15.63")</f>
        <v>15.63</v>
      </c>
      <c r="C300" s="11">
        <v>0.033</v>
      </c>
      <c r="D300" s="9" t="str">
        <f>HYPERLINK("https://www.biocoop.fr/magasin-biocoop_champollion/poudre-a-lever-sans-gluten-8x10g-bp5153-000.html","888888")</f>
        <v>888888</v>
      </c>
      <c r="E300" s="17">
        <v>0.0</v>
      </c>
      <c r="F300" s="9" t="str">
        <f>HYPERLINK("https://www.biocoop.fr/magasin-biocoop_fontaine/poudre-a-lever-sans-gluten-8x10g-bp5153-000.html","19.75")</f>
        <v>19.75</v>
      </c>
      <c r="G300" s="10">
        <v>0.0</v>
      </c>
      <c r="H300" s="9" t="str">
        <f>HYPERLINK("https://satoriz-comboire.bio/products/pu7980","16.67")</f>
        <v>16.67</v>
      </c>
      <c r="I300" s="10">
        <v>0.0</v>
      </c>
      <c r="J300" s="9" t="str">
        <f>HYPERLINK("https://www.greenweez.com/produit/poudre-a-lever-sans-phosphate-sans-gluten-8x10g/1CULI0011","17.75")</f>
        <v>17.75</v>
      </c>
      <c r="K300" s="10">
        <v>0.0</v>
      </c>
      <c r="L300" s="9" t="str">
        <f>HYPERLINK("https://metabase.lelefan.org/public/dashboard/53c41f3f-5644-466e-935e-897e7725f6bc?rayon=&amp;d%25C3%25A9signation=POUDRE A LEVER&amp;fournisseur=&amp;date_d%25C3%25A9but=&amp;date_fin=","32.14")</f>
        <v>32.14</v>
      </c>
      <c r="M300" s="2"/>
      <c r="N300" s="9" t="str">
        <f>HYPERLINK("https://fd11-courses.leclercdrive.fr/magasin-063801-063801-Echirolles---Comboire/fiche-produits-109555-Poudre-a-lever-Bio-Village.aspx","17.71")</f>
        <v>17.71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1" t="s">
        <v>542</v>
      </c>
      <c r="B301" s="9" t="str">
        <f>HYPERLINK("https://lafourche.fr/products/natali-levure-boulangere-seche-54g","79.44")</f>
        <v>79.44</v>
      </c>
      <c r="C301" s="10">
        <v>0.0</v>
      </c>
      <c r="D301" s="9" t="str">
        <f>HYPERLINK("https://www.biocoop.fr/magasin-biocoop_champollion/levure-boulangere-active-9g-ag2001-000.html","105.56")</f>
        <v>105.56</v>
      </c>
      <c r="E301" s="10">
        <v>0.0</v>
      </c>
      <c r="F301" s="9" t="str">
        <f>HYPERLINK("https://www.biocoop.fr/magasin-biocoop_fontaine/levure-boulangere-active-9g-ag2001-000.html","111.11")</f>
        <v>111.11</v>
      </c>
      <c r="G301" s="11">
        <v>0.0526</v>
      </c>
      <c r="H301" s="9" t="str">
        <f>HYPERLINK("https://satoriz-comboire.bio/products/ralesa","88.89")</f>
        <v>88.89</v>
      </c>
      <c r="I301" s="10">
        <v>0.0</v>
      </c>
      <c r="J301" s="9" t="str">
        <f>HYPERLINK("https://www.greenweez.com/produit/levure-boulangere-deshydratee-9-g/1RAPU0061","105.56")</f>
        <v>105.56</v>
      </c>
      <c r="K301" s="10">
        <v>0.0</v>
      </c>
      <c r="L301" s="7" t="str">
        <f>HYPERLINK("https://metabase.lelefan.org/public/dashboard/53c41f3f-5644-466e-935e-897e7725f6bc?rayon=&amp;d%25C3%25A9signation=LEVURE SECHE ACTIVE&amp;fournisseur=&amp;date_d%25C3%25A9but=&amp;date_fin=","24.8")</f>
        <v>24.8</v>
      </c>
      <c r="M301" s="2"/>
      <c r="N301" s="16">
        <v>888888.0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1" t="s">
        <v>543</v>
      </c>
      <c r="B302" s="7" t="str">
        <f>HYPERLINK("https://lafourche.fr/products/natali-agar-agar-bio-en-poudre-50g","119.8")</f>
        <v>119.8</v>
      </c>
      <c r="C302" s="11">
        <v>0.1031</v>
      </c>
      <c r="D302" s="9" t="str">
        <f>HYPERLINK("https://www.biocoop.fr/magasin-biocoop_champollion/agar-agar-5x4g-na5186-000.html","175.0")</f>
        <v>175.0</v>
      </c>
      <c r="E302" s="10">
        <v>0.0</v>
      </c>
      <c r="F302" s="9" t="str">
        <f>HYPERLINK("https://www.biocoop.fr/magasin-biocoop_fontaine/agar-agar-5x4g-na5186-000.html","175.0")</f>
        <v>175.0</v>
      </c>
      <c r="G302" s="10">
        <v>0.0</v>
      </c>
      <c r="H302" s="9" t="str">
        <f>HYPERLINK("https://satoriz-comboire.bio/collections/epicerie-sucree/products/na510120","123.0")</f>
        <v>123.0</v>
      </c>
      <c r="I302" s="10">
        <v>0.0</v>
      </c>
      <c r="J302" s="9" t="str">
        <f>HYPERLINK("https://www.greenweez.com/produit/agar-agar-5-sachets-de-4g/6NATU0140","166.0")</f>
        <v>166.0</v>
      </c>
      <c r="K302" s="10">
        <v>0.0</v>
      </c>
      <c r="L302" s="9" t="str">
        <f>HYPERLINK("https://metabase.lelefan.org/public/dashboard/53c41f3f-5644-466e-935e-897e7725f6bc?rayon=&amp;d%25C3%25A9signation=AGAR AGAR&amp;fournisseur=&amp;date_d%25C3%25A9but=&amp;date_fin=","385.0")</f>
        <v>385.0</v>
      </c>
      <c r="M302" s="2"/>
      <c r="N302" s="16">
        <v>888888.0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1" t="s">
        <v>544</v>
      </c>
      <c r="B303" s="7" t="str">
        <f>HYPERLINK("https://lafourche.fr/products/la-fourche-noix-de-coco-rapee-bio-en-vrac-0-5kg","7")</f>
        <v>7</v>
      </c>
      <c r="C303" s="10">
        <v>0.0</v>
      </c>
      <c r="D303" s="9" t="str">
        <f>HYPERLINK("https://www.biocoop.fr/magasin-biocoop_champollion/noix-de-coco-rapee-philippines-bio-by0922-000.html","11.1")</f>
        <v>11.1</v>
      </c>
      <c r="E303" s="11">
        <v>0.0374</v>
      </c>
      <c r="F303" s="9" t="str">
        <f>HYPERLINK("https://www.biocoop.fr/magasin-biocoop_fontaine/noix-de-coco-rapee-philippines-bio-by0922-000.html","10.9")</f>
        <v>10.9</v>
      </c>
      <c r="G303" s="11">
        <v>0.2247</v>
      </c>
      <c r="H303" s="9" t="str">
        <f>HYPERLINK("https://satoriz-comboire.bio/products/ag0103","7.25")</f>
        <v>7.25</v>
      </c>
      <c r="I303" s="11">
        <v>0.2185</v>
      </c>
      <c r="J303" s="9" t="str">
        <f>HYPERLINK("https://www.greenweez.com/produit/noix-de-coco-rapee-250g/1MKAL0101","9.96")</f>
        <v>9.96</v>
      </c>
      <c r="K303" s="11">
        <v>0.0779</v>
      </c>
      <c r="L303" s="9" t="str">
        <f>HYPERLINK("https://metabase.lelefan.org/public/dashboard/53c41f3f-5644-466e-935e-897e7725f6bc?rayon=&amp;d%25C3%25A9signation=NOIX DE COCO RAPEE&amp;fournisseur=&amp;date_d%25C3%25A9but=&amp;date_fin=","12.2")</f>
        <v>12.2</v>
      </c>
      <c r="M303" s="2"/>
      <c r="N303" s="9" t="str">
        <f>HYPERLINK("https://fd11-courses.leclercdrive.fr/magasin-063801-063801-Echirolles---Comboire/fiche-produits-122102-Noix-de-coco-bio-Bio-Village.aspx","15.9")</f>
        <v>15.9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5" t="s">
        <v>545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1" t="s">
        <v>546</v>
      </c>
      <c r="B305" s="9" t="str">
        <f t="shared" ref="B305:B306" si="251">HYPERLINK("https://lafourche.fr/products/la-fourche-cookies-gout-tout-choco-bio-0-175kg","13.66")</f>
        <v>13.66</v>
      </c>
      <c r="C305" s="11">
        <v>0.2014</v>
      </c>
      <c r="D305" s="7" t="str">
        <f t="shared" ref="D305:D306" si="252">HYPERLINK("https://www.biocoop.fr/magasin-biocoop_champollion/cookie-cacao-et-pepites-de-chocolat-12-200g-ba7001-000.html","12.25")</f>
        <v>12.25</v>
      </c>
      <c r="E305" s="10">
        <v>0.0</v>
      </c>
      <c r="F305" s="7" t="str">
        <f t="shared" ref="F305:F306" si="253">HYPERLINK("https://www.biocoop.fr/magasin-biocoop_fontaine/cookie-cacao-et-pepites-de-chocolat-12-200g-ba7001-000.html","12.25")</f>
        <v>12.25</v>
      </c>
      <c r="G305" s="10">
        <v>0.0</v>
      </c>
      <c r="H305" s="9" t="str">
        <f t="shared" ref="H305:H306" si="254">HYPERLINK("https://satoriz-comboire.bio/products/mpi1vr002","16.55")</f>
        <v>16.55</v>
      </c>
      <c r="I305" s="11">
        <v>0.0888</v>
      </c>
      <c r="J305" s="9" t="str">
        <f>HYPERLINK("https://www.greenweez.com/produit/cookies-tout-chocolat-1-5kg/2BELL0421","27.12")</f>
        <v>27.12</v>
      </c>
      <c r="K305" s="11">
        <v>0.1051</v>
      </c>
      <c r="L305" s="9" t="str">
        <f t="shared" ref="L305:L306" si="255">HYPERLINK("https://metabase.lelefan.org/public/dashboard/53c41f3f-5644-466e-935e-897e7725f6bc?rayon=&amp;d%25C3%25A9signation=COOKIE TOUT CHOCOLAT VRAC&amp;fournisseur=&amp;date_d%25C3%25A9but=&amp;date_fin=","22.52")</f>
        <v>22.52</v>
      </c>
      <c r="M305" s="2"/>
      <c r="N305" s="7" t="str">
        <f t="shared" ref="N305:N306" si="256">HYPERLINK("https://fd11-courses.leclercdrive.fr/magasin-063801-063801-Echirolles---Comboire/fiche-produits-6076-Cookies-chocolat-Bio-Village.aspx","11.45")</f>
        <v>11.45</v>
      </c>
      <c r="O305" s="2"/>
      <c r="P305" s="1" t="s">
        <v>91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1" t="s">
        <v>547</v>
      </c>
      <c r="B306" s="9" t="str">
        <f t="shared" si="251"/>
        <v>13.66</v>
      </c>
      <c r="C306" s="11">
        <v>0.2014</v>
      </c>
      <c r="D306" s="7" t="str">
        <f t="shared" si="252"/>
        <v>12.25</v>
      </c>
      <c r="E306" s="10">
        <v>0.0</v>
      </c>
      <c r="F306" s="7" t="str">
        <f t="shared" si="253"/>
        <v>12.25</v>
      </c>
      <c r="G306" s="10">
        <v>0.0</v>
      </c>
      <c r="H306" s="9" t="str">
        <f t="shared" si="254"/>
        <v>16.55</v>
      </c>
      <c r="I306" s="11">
        <v>0.0888</v>
      </c>
      <c r="J306" s="9" t="str">
        <f>HYPERLINK("https://www.greenweez.com/produit/cookies-tout-chocolat-175g/2MOUL0005","21.31")</f>
        <v>21.31</v>
      </c>
      <c r="K306" s="8">
        <v>-0.1316</v>
      </c>
      <c r="L306" s="9" t="str">
        <f t="shared" si="255"/>
        <v>22.52</v>
      </c>
      <c r="M306" s="2"/>
      <c r="N306" s="7" t="str">
        <f t="shared" si="256"/>
        <v>11.45</v>
      </c>
      <c r="O306" s="2"/>
      <c r="P306" s="1" t="s">
        <v>91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1" t="s">
        <v>548</v>
      </c>
      <c r="B307" s="9" t="str">
        <f>HYPERLINK("https://lafourche.fr/products/la-fourche-petits-beurres-bio-0-15kg","9")</f>
        <v>9</v>
      </c>
      <c r="C307" s="11">
        <v>0.0227</v>
      </c>
      <c r="D307" s="9" t="str">
        <f>HYPERLINK("https://www.biocoop.fr/magasin-biocoop_champollion/biscuit-petit-beurre-ble-complet-15-140g-ba7000-000.html","11.43")</f>
        <v>11.43</v>
      </c>
      <c r="E307" s="10">
        <v>0.0</v>
      </c>
      <c r="F307" s="9" t="str">
        <f>HYPERLINK("https://www.biocoop.fr/magasin-biocoop_fontaine/biscuit-petit-beurre-ble-complet-15-140g-ba7000-000.html","11.43")</f>
        <v>11.43</v>
      </c>
      <c r="G307" s="10">
        <v>0.0</v>
      </c>
      <c r="H307" s="9" t="str">
        <f>HYPERLINK("https://satoriz-comboire.bio/products/eu279","15.33")</f>
        <v>15.33</v>
      </c>
      <c r="I307" s="10">
        <v>0.0</v>
      </c>
      <c r="J307" s="9" t="str">
        <f>HYPERLINK("https://www.greenweez.com/produit/biscuits-ptit-beurre-155g/2MOUL0011","888888")</f>
        <v>888888</v>
      </c>
      <c r="K307" s="18" t="s">
        <v>56</v>
      </c>
      <c r="L307" s="7" t="str">
        <f t="shared" ref="L307:L308" si="257">HYPERLINK("https://metabase.lelefan.org/public/dashboard/53c41f3f-5644-466e-935e-897e7725f6bc?rayon=&amp;d%25C3%25A9signation=PETIT BEURRE 3X5 150G&amp;fournisseur=&amp;date_d%25C3%25A9but=&amp;date_fin=","8.8")</f>
        <v>8.8</v>
      </c>
      <c r="M307" s="2"/>
      <c r="N307" s="7" t="str">
        <f>HYPERLINK("https://fd11-courses.leclercdrive.fr/magasin-063801-063801-Echirolles---Comboire/fiche-produits-6066-Petits-beurre-Bio-Village.aspx","7.2")</f>
        <v>7.2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1" t="s">
        <v>549</v>
      </c>
      <c r="B308" s="9" t="str">
        <f>HYPERLINK("https://lafourche.fr/products/bio-pour-tous-petits-beurres-chocolat-noir-bio-0-15kg","19.93")</f>
        <v>19.93</v>
      </c>
      <c r="C308" s="11">
        <v>0.1324</v>
      </c>
      <c r="D308" s="9" t="str">
        <f>HYPERLINK("https://www.biocoop.fr/magasin-biocoop_champollion/biscuit-petit-beurre-chocolat-noir-150g-bv5002-000.html","23.33")</f>
        <v>23.33</v>
      </c>
      <c r="E308" s="11">
        <v>0.1861</v>
      </c>
      <c r="F308" s="9" t="str">
        <f>HYPERLINK("https://www.biocoop.fr/magasin-biocoop_fontaine/biscuit-petit-beurre-chocolat-noir-150g-bv5002-000.html","23.33")</f>
        <v>23.33</v>
      </c>
      <c r="G308" s="11">
        <v>0.1861</v>
      </c>
      <c r="H308" s="9" t="str">
        <f>HYPERLINK("https://satoriz-comboire.bio/products/re41657","21.33")</f>
        <v>21.33</v>
      </c>
      <c r="I308" s="11">
        <v>0.3331</v>
      </c>
      <c r="J308" s="9" t="str">
        <f>HYPERLINK("https://www.greenweez.com/produit/ptits-beurre-chocolat-noir-150g/1BTER0166","36.6")</f>
        <v>36.6</v>
      </c>
      <c r="K308" s="11">
        <v>0.1438</v>
      </c>
      <c r="L308" s="7" t="str">
        <f t="shared" si="257"/>
        <v>8.8</v>
      </c>
      <c r="M308" s="2"/>
      <c r="N308" s="7" t="str">
        <f>HYPERLINK("https://fd11-courses.leclercdrive.fr/magasin-063801-063801-Echirolles---Comboire/fiche-produits-15060-Biscuits-tablettes-Bio-Village.aspx","14.0")</f>
        <v>14.0</v>
      </c>
      <c r="O308" s="2"/>
      <c r="P308" s="1" t="s">
        <v>91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1" t="s">
        <v>550</v>
      </c>
      <c r="B309" s="9" t="str">
        <f>HYPERLINK("https://lafourche.fr/products/bonneterre-genoises-chocolat-coeur-orange-bio-0-15kg","888888")</f>
        <v>888888</v>
      </c>
      <c r="C309" s="18" t="s">
        <v>56</v>
      </c>
      <c r="D309" s="9" t="str">
        <f>HYPERLINK("https://www.biocoop.fr/magasin-biocoop_champollion/biscuit-nappe-orange-noir-tentation-130g-ca1141-000.html","30.69")</f>
        <v>30.69</v>
      </c>
      <c r="E309" s="11">
        <v>0.0784</v>
      </c>
      <c r="F309" s="9" t="str">
        <f>HYPERLINK("https://www.biocoop.fr/magasin-biocoop_fontaine/biscuit-nappe-orange-noir-tentation-130g-ca1141-000.html","888888")</f>
        <v>888888</v>
      </c>
      <c r="G309" s="17">
        <v>0.0</v>
      </c>
      <c r="H309" s="7" t="str">
        <f>HYPERLINK("https://satoriz-comboire.bio/collections/epicerie-sucree/products/mpie006","28.08")</f>
        <v>28.08</v>
      </c>
      <c r="I309" s="11">
        <v>0.0896</v>
      </c>
      <c r="J309" s="9" t="str">
        <f>HYPERLINK("https://www.greenweez.com/produit/biscuits-tentation-orange-130g/2MOUL0007","888888")</f>
        <v>888888</v>
      </c>
      <c r="K309" s="17">
        <v>0.0</v>
      </c>
      <c r="L309" s="16">
        <v>888888.0</v>
      </c>
      <c r="M309" s="2"/>
      <c r="N309" s="16">
        <v>888888.0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1" t="s">
        <v>551</v>
      </c>
      <c r="B310" s="9" t="str">
        <f>HYPERLINK("https://lafourche.fr/products/bio-pour-tous-gouters-fourres-ronds-chocolat-noir-bio-0-185kg","15.19")</f>
        <v>15.19</v>
      </c>
      <c r="C310" s="11">
        <v>0.0936</v>
      </c>
      <c r="D310" s="7" t="str">
        <f>HYPERLINK("https://www.biocoop.fr/magasin-biocoop_champollion/biscuit-fourre-epeautre-cacao-15-pm1899-000.html","9.97")</f>
        <v>9.97</v>
      </c>
      <c r="E310" s="10">
        <v>0.0</v>
      </c>
      <c r="F310" s="7" t="str">
        <f>HYPERLINK("https://www.biocoop.fr/magasin-biocoop_fontaine/biscuit-fourre-epeautre-cacao-15-pm1899-000.html","9.97")</f>
        <v>9.97</v>
      </c>
      <c r="G310" s="10">
        <v>0.0</v>
      </c>
      <c r="H310" s="9" t="str">
        <f>HYPERLINK("https://satoriz-comboire.bio/collections/epicerie-sucree/products/re41660","14.05")</f>
        <v>14.05</v>
      </c>
      <c r="I310" s="11">
        <v>0.0833</v>
      </c>
      <c r="J310" s="9" t="str">
        <f>HYPERLINK("https://www.greenweez.com/produit/gouter-chocolat-noir-225g/3EVER0030","18.89")</f>
        <v>18.89</v>
      </c>
      <c r="K310" s="11">
        <v>0.1711</v>
      </c>
      <c r="L310" s="9" t="str">
        <f>HYPERLINK("https://metabase.lelefan.org/public/dashboard/53c41f3f-5644-466e-935e-897e7725f6bc?rayon=&amp;d%25C3%25A9signation=GOUTER FOURRE CHOCOLAT&amp;fournisseur=&amp;date_d%25C3%25A9but=&amp;date_fin=","11.2")</f>
        <v>11.2</v>
      </c>
      <c r="M310" s="2"/>
      <c r="N310" s="7" t="str">
        <f>HYPERLINK("https://fd11-courses.leclercdrive.fr/magasin-063801-063801-Echirolles---Comboire/fiche-produits-156598-Biscuits-fourres-bio-Jardin-Bio.aspx","7.53")</f>
        <v>7.53</v>
      </c>
      <c r="O310" s="2"/>
      <c r="P310" s="1" t="s">
        <v>91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1" t="s">
        <v>552</v>
      </c>
      <c r="B311" s="7" t="str">
        <f>HYPERLINK("https://lafourche.fr/products/moulin-des-moines-boudoirs-princesse-bio-200g","9.95")</f>
        <v>9.95</v>
      </c>
      <c r="C311" s="10">
        <v>0.0</v>
      </c>
      <c r="D311" s="9" t="str">
        <f>HYPERLINK("https://www.biocoop.fr/magasin-biocoop_champollion/boudoirs-aux-oeufs-frais-30-175g-bv6000-000.html","14.0")</f>
        <v>14.0</v>
      </c>
      <c r="E311" s="10">
        <v>0.0</v>
      </c>
      <c r="F311" s="9" t="str">
        <f>HYPERLINK("https://www.biocoop.fr/magasin-biocoop_fontaine/boudoirs-aux-oeufs-frais-30-175g-bv6000-000.html","14.0")</f>
        <v>14.0</v>
      </c>
      <c r="G311" s="10">
        <v>0.0</v>
      </c>
      <c r="H311" s="9" t="str">
        <f>HYPERLINK("https://satoriz-comboire.bio/products/re41663","12.57")</f>
        <v>12.57</v>
      </c>
      <c r="I311" s="10">
        <v>0.0</v>
      </c>
      <c r="J311" s="9" t="str">
        <f>HYPERLINK("https://www.greenweez.com/produit/boudoirs-200g/1MOUL0009","888888")</f>
        <v>888888</v>
      </c>
      <c r="K311" s="18" t="s">
        <v>56</v>
      </c>
      <c r="L311" s="9" t="str">
        <f>HYPERLINK("https://metabase.lelefan.org/public/dashboard/53c41f3f-5644-466e-935e-897e7725f6bc?rayon=&amp;d%25C3%25A9signation=BOUDOIRS&amp;fournisseur=&amp;date_d%25C3%25A9but=&amp;date_fin=","11.2")</f>
        <v>11.2</v>
      </c>
      <c r="M311" s="2"/>
      <c r="N311" s="16">
        <v>888888.0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1" t="s">
        <v>553</v>
      </c>
      <c r="B312" s="7" t="str">
        <f>HYPERLINK("https://lafourche.fr/products/bisson-biscuit-gaufrettes-citron-bio-0-19kg","14.21")</f>
        <v>14.21</v>
      </c>
      <c r="C312" s="2"/>
      <c r="D312" s="16">
        <v>888888.0</v>
      </c>
      <c r="E312" s="2"/>
      <c r="F312" s="16">
        <v>888888.0</v>
      </c>
      <c r="G312" s="2"/>
      <c r="H312" s="9" t="str">
        <f>HYPERLINK("https://satoriz-comboire.bio/products/eu7911","14.74")</f>
        <v>14.74</v>
      </c>
      <c r="I312" s="2"/>
      <c r="J312" s="9" t="str">
        <f>HYPERLINK("https://www.greenweez.com/produit/gaufrettes-au-citron-190g/1BISS0072","17.95")</f>
        <v>17.95</v>
      </c>
      <c r="K312" s="2"/>
      <c r="L312" s="9" t="str">
        <f>HYPERLINK("https://metabase.lelefan.org/public/dashboard/53c41f3f-5644-466e-935e-897e7725f6bc?rayon=&amp;d%25C3%25A9signation=FINES GAUFRETTES AU CITRON - VEGAN&amp;fournisseur=&amp;date_d%25C3%25A9but=&amp;date_fin=","14.4")</f>
        <v>14.4</v>
      </c>
      <c r="M312" s="2"/>
      <c r="N312" s="16">
        <v>888888.0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1" t="s">
        <v>554</v>
      </c>
      <c r="B313" s="9" t="str">
        <f>HYPERLINK("https://lafourche.fr/products/gaufrettes-chocolat-190g","15.74")</f>
        <v>15.74</v>
      </c>
      <c r="C313" s="2"/>
      <c r="D313" s="9" t="str">
        <f>HYPERLINK("https://www.biocoop.fr/magasin-biocoop_champollion/gaufrette-complete-au-chocolat-ra1113-000.html","22.5")</f>
        <v>22.5</v>
      </c>
      <c r="E313" s="2"/>
      <c r="F313" s="9" t="str">
        <f>HYPERLINK("https://www.biocoop.fr/magasin-biocoop_fontaine/gaufrette-chocolat-100g-lv2067-000.html","46.5")</f>
        <v>46.5</v>
      </c>
      <c r="G313" s="2"/>
      <c r="H313" s="9" t="str">
        <f>HYPERLINK("https://satoriz-comboire.bio/products/eu7912","16.32")</f>
        <v>16.32</v>
      </c>
      <c r="I313" s="2"/>
      <c r="J313" s="9" t="str">
        <f>HYPERLINK("https://www.greenweez.com/produit/gaufrettes-chocolat-190g/1BISS0071","18.21")</f>
        <v>18.21</v>
      </c>
      <c r="K313" s="2"/>
      <c r="L313" s="7" t="str">
        <f>HYPERLINK("https://metabase.lelefan.org/public/dashboard/53c41f3f-5644-466e-935e-897e7725f6bc?rayon=&amp;d%25C3%25A9signation=FINES GAUFRETTES AU CHOCOLAT - VEGAN&amp;fournisseur=&amp;date_d%25C3%25A9but=&amp;date_fin=","15.5")</f>
        <v>15.5</v>
      </c>
      <c r="M313" s="2"/>
      <c r="N313" s="16">
        <v>888888.0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1" t="s">
        <v>555</v>
      </c>
      <c r="B314" s="7" t="str">
        <f>HYPERLINK("https://lafourche.fr/products/la-fourche-biscuits-petit-dejeuner-choco-noisette-bio-0-2kg","13.95")</f>
        <v>13.95</v>
      </c>
      <c r="C314" s="11">
        <v>0.125</v>
      </c>
      <c r="D314" s="16">
        <v>888888.0</v>
      </c>
      <c r="E314" s="2"/>
      <c r="F314" s="16">
        <v>888888.0</v>
      </c>
      <c r="G314" s="2"/>
      <c r="H314" s="9" t="str">
        <f t="shared" ref="H314:H315" si="258">HYPERLINK("https://satoriz-comboire.bio/collections/epicerie-sucree/products/mpi0534","17.63")</f>
        <v>17.63</v>
      </c>
      <c r="I314" s="11">
        <v>0.0984</v>
      </c>
      <c r="J314" s="9" t="str">
        <f>HYPERLINK("https://www.greenweez.com/produit/ptit-dej-bio-cereales-chocolat-190g/2MOUL0024","888888")</f>
        <v>888888</v>
      </c>
      <c r="K314" s="18" t="s">
        <v>56</v>
      </c>
      <c r="L314" s="9" t="str">
        <f>HYPERLINK("https://metabase.lelefan.org/public/dashboard/53c41f3f-5644-466e-935e-897e7725f6bc?rayon=&amp;d%25C3%25A9signation=BISCUITS PETIT DEJEUNER AU CHOCOLAT VRAC&amp;fournisseur=&amp;date_d%25C3%25A9but=&amp;date_fin=","888888")</f>
        <v>888888</v>
      </c>
      <c r="M314" s="2"/>
      <c r="N314" s="7" t="str">
        <f>HYPERLINK("https://fd11-courses.leclercdrive.fr/magasin-063801-063801-Echirolles---Comboire/fiche-produits-16153-Biscuits-petit-dej-Bio-Village.aspx","9.85")</f>
        <v>9.85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1" t="s">
        <v>556</v>
      </c>
      <c r="B315" s="7" t="str">
        <f>HYPERLINK("https://lafourche.fr/products/biscuits-ptit-dej-cereales-miel-et-chocolat","15.37")</f>
        <v>15.37</v>
      </c>
      <c r="C315" s="11">
        <v>0.0893</v>
      </c>
      <c r="D315" s="9" t="str">
        <f>HYPERLINK("https://www.biocoop.fr/magasin-biocoop_champollion/biscuit-cereales-miel-chocolat-190g-ca1149-000.html","18.95")</f>
        <v>18.95</v>
      </c>
      <c r="E315" s="11">
        <v>0.1075</v>
      </c>
      <c r="F315" s="9" t="str">
        <f>HYPERLINK("https://www.biocoop.fr/magasin-biocoop_fontaine/biscuit-cereales-miel-chocolat-190g-ca1149-000.html","16.84")</f>
        <v>16.84</v>
      </c>
      <c r="G315" s="8">
        <v>-0.0305</v>
      </c>
      <c r="H315" s="9" t="str">
        <f t="shared" si="258"/>
        <v>17.63</v>
      </c>
      <c r="I315" s="11">
        <v>0.0984</v>
      </c>
      <c r="J315" s="9" t="str">
        <f>HYPERLINK("https://www.greenweez.com/produit/ptit-dej-bio-chocolat-miel-190g/2MOUL0025","18.47")</f>
        <v>18.47</v>
      </c>
      <c r="K315" s="11">
        <v>0.1001</v>
      </c>
      <c r="L315" s="9" t="str">
        <f>HYPERLINK("https://metabase.lelefan.org/public/dashboard/53c41f3f-5644-466e-935e-897e7725f6bc?rayon=&amp;d%25C3%25A9signation=PETIT DEJ MIEL CHOCOLAT&amp;fournisseur=&amp;date_d%25C3%25A9but=&amp;date_fin=","888888")</f>
        <v>888888</v>
      </c>
      <c r="M315" s="2"/>
      <c r="N315" s="16">
        <v>888888.0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5" t="s">
        <v>557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1" t="s">
        <v>558</v>
      </c>
      <c r="B317" s="7" t="str">
        <f>HYPERLINK("https://lafourche.fr/products/bien-briochettes-pepites-de-chocolat-bio-0-24kg-f","15.54")</f>
        <v>15.54</v>
      </c>
      <c r="C317" s="2"/>
      <c r="D317" s="9" t="str">
        <f>HYPERLINK("https://www.biocoop.fr/magasin-biocoop_champollion/briochette-pepites-choc-lait-6-240g-pc8552-000.html","16.04")</f>
        <v>16.04</v>
      </c>
      <c r="E317" s="2"/>
      <c r="F317" s="9" t="str">
        <f>HYPERLINK("https://www.biocoop.fr/magasin-biocoop_fontaine/briochette-pepites-choc-lait-6-240g-pc8552-000.html","888888")</f>
        <v>888888</v>
      </c>
      <c r="G317" s="2"/>
      <c r="H317" s="16">
        <v>888888.0</v>
      </c>
      <c r="I317" s="2"/>
      <c r="J317" s="9" t="str">
        <f>HYPERLINK("https://www.greenweez.com/produit/briochette-aux-pepites-de-chocolat-au-lait-x-6/1BIEN0014","19.92")</f>
        <v>19.92</v>
      </c>
      <c r="K317" s="2"/>
      <c r="L317" s="9" t="str">
        <f>HYPERLINK("https://metabase.lelefan.org/public/dashboard/53c41f3f-5644-466e-935e-897e7725f6bc?rayon=&amp;d%25C3%25A9signation=BRIOCHE PETITES DE CHOCO/PRALINES AU KG&amp;fournisseur=&amp;date_d%25C3%25A9but=&amp;date_fin=","21.1")</f>
        <v>21.1</v>
      </c>
      <c r="M317" s="2"/>
      <c r="N317" s="16">
        <v>888888.0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1" t="s">
        <v>559</v>
      </c>
      <c r="B318" s="7" t="str">
        <f>HYPERLINK("https://lafourche.fr/products/bien-pains-au-lait-bio-0-28kg-f","10.18")</f>
        <v>10.18</v>
      </c>
      <c r="C318" s="2"/>
      <c r="D318" s="9" t="str">
        <f>HYPERLINK("https://www.biocoop.fr/magasin-biocoop_champollion/pains-au-lait-pur-beurre-bf2214-000.html","16.18")</f>
        <v>16.18</v>
      </c>
      <c r="E318" s="2"/>
      <c r="F318" s="9" t="str">
        <f>HYPERLINK("https://www.biocoop.fr/magasin-biocoop_fontaine/pains-au-lait-pur-beurre-bf2214-000.html","15.89")</f>
        <v>15.89</v>
      </c>
      <c r="G318" s="2"/>
      <c r="H318" s="9" t="str">
        <f>HYPERLINK("https://satoriz-comboire.bio/products/re15046","11.07")</f>
        <v>11.07</v>
      </c>
      <c r="I318" s="2"/>
      <c r="J318" s="9" t="str">
        <f>HYPERLINK("https://www.greenweez.com/produit/pains-au-lait-280g/1BIEN0011","11.86")</f>
        <v>11.86</v>
      </c>
      <c r="K318" s="2"/>
      <c r="L318" s="9" t="str">
        <f>HYPERLINK("https://metabase.lelefan.org/public/dashboard/53c41f3f-5644-466e-935e-897e7725f6bc?rayon=&amp;d%25C3%25A9signation=PAIN AU LAIT X8&amp;fournisseur=&amp;date_d%25C3%25A9but=&amp;date_fin=","11.39")</f>
        <v>11.39</v>
      </c>
      <c r="M318" s="2"/>
      <c r="N318" s="7" t="str">
        <f>HYPERLINK("https://fd11-courses.leclercdrive.fr/magasin-063801-063801-Echirolles---Comboire/fiche-produits-19119-Pains-au-lait-La-Boulangere.aspx","7.25")</f>
        <v>7.25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1" t="s">
        <v>560</v>
      </c>
      <c r="B319" s="7" t="str">
        <f>HYPERLINK("https://lafourche.fr/products/bien-brioche-tranchee-bio-0-4kg-f","9.67")</f>
        <v>9.67</v>
      </c>
      <c r="C319" s="2"/>
      <c r="D319" s="9" t="str">
        <f>HYPERLINK("https://www.biocoop.fr/magasin-biocoop_champollion/brioche-tranchee-pur-beurre-400g-bf2215-000.html","12.88")</f>
        <v>12.88</v>
      </c>
      <c r="E319" s="2"/>
      <c r="F319" s="9" t="str">
        <f>HYPERLINK("https://www.biocoop.fr/magasin-biocoop_fontaine/brioche-epeautre-vendeenne-tranchee-400g-si9888-000.html","13.63")</f>
        <v>13.63</v>
      </c>
      <c r="G319" s="2"/>
      <c r="H319" s="9" t="str">
        <f>HYPERLINK("https://satoriz-comboire.bio/products/bi3785","14.8")</f>
        <v>14.8</v>
      </c>
      <c r="I319" s="2"/>
      <c r="J319" s="9" t="str">
        <f>HYPERLINK("https://www.greenweez.com/produit/brioche-tranchee-400g-1/1BIEN0015","888888")</f>
        <v>888888</v>
      </c>
      <c r="K319" s="2"/>
      <c r="L319" s="16">
        <v>888888.0</v>
      </c>
      <c r="M319" s="2"/>
      <c r="N319" s="7" t="str">
        <f>HYPERLINK("https://fd11-courses.leclercdrive.fr/magasin-063801-063801-Echirolles---Comboire/fiche-produits-81768-Brioche-tranchee-La-Boulangere.aspx","4.48")</f>
        <v>4.48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5" t="s">
        <v>561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1" t="s">
        <v>562</v>
      </c>
      <c r="B321" s="7" t="str">
        <f>HYPERLINK("https://lafourche.fr/products/la-fourche-palets-de-chocolat-noir-57-bio-en-vrac-0-5kg","18.7")</f>
        <v>18.7</v>
      </c>
      <c r="C321" s="11">
        <v>0.9602</v>
      </c>
      <c r="D321" s="9" t="str">
        <f>HYPERLINK("https://www.biocoop.fr/magasin-biocoop_champollion/chocolat-noir-dessert-palets-58-bio-po0450-000.html","19.1")</f>
        <v>19.1</v>
      </c>
      <c r="E321" s="11">
        <v>0.3741</v>
      </c>
      <c r="F321" s="9" t="str">
        <f>HYPERLINK("https://www.biocoop.fr/magasin-biocoop_fontaine/chocolat-noir-palet-54-bio-da9010-000.html","18.9")</f>
        <v>18.9</v>
      </c>
      <c r="G321" s="11">
        <v>0.3597</v>
      </c>
      <c r="H321" s="9" t="str">
        <f>HYPERLINK("https://satoriz-comboire.bio/collections/vrac/products/ma8069","21.3")</f>
        <v>21.3</v>
      </c>
      <c r="I321" s="11">
        <v>0.4013</v>
      </c>
      <c r="J321" s="9" t="str">
        <f>HYPERLINK("https://www.greenweez.com/produit/palets-de-chocolat-noir-58-1kg/1KAOK0016","30.87")</f>
        <v>30.87</v>
      </c>
      <c r="K321" s="11">
        <v>0.4372</v>
      </c>
      <c r="L321" s="16">
        <v>888888.0</v>
      </c>
      <c r="M321" s="2"/>
      <c r="N321" s="16">
        <v>888888.0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1" t="s">
        <v>563</v>
      </c>
      <c r="B322" s="9" t="str">
        <f t="shared" ref="B322:B323" si="259">HYPERLINK("https://lafourche.fr/products/la-fourche-pepites-de-chocolat-noir-60-bio-en-vrac-0-5kg","16.8")</f>
        <v>16.8</v>
      </c>
      <c r="C322" s="18" t="s">
        <v>56</v>
      </c>
      <c r="D322" s="9" t="str">
        <f>HYPERLINK("https://www.biocoop.fr/magasin-biocoop_champollion/chocolat-noir-pepites-60-by0943-000.html","888888")</f>
        <v>888888</v>
      </c>
      <c r="E322" s="18" t="s">
        <v>56</v>
      </c>
      <c r="F322" s="7" t="str">
        <f t="shared" ref="F322:F323" si="260">HYPERLINK("https://www.biocoop.fr/magasin-biocoop_fontaine/chocolat-noir-pepites-60-bio-po0448-000.html","12.95")</f>
        <v>12.95</v>
      </c>
      <c r="G322" s="10">
        <v>0.0</v>
      </c>
      <c r="H322" s="9" t="str">
        <f t="shared" ref="H322:H323" si="261">HYPERLINK("https://satoriz-comboire.bio/collections/vrac/products/ma73001","21.5")</f>
        <v>21.5</v>
      </c>
      <c r="I322" s="11">
        <v>0.3961</v>
      </c>
      <c r="J322" s="9" t="str">
        <f>HYPERLINK("https://www.greenweez.com/produit/pepites-de-chocolat-noir-60-de-cacao-5kg/1SENF0062","22.77")</f>
        <v>22.77</v>
      </c>
      <c r="K322" s="11">
        <v>0.4143</v>
      </c>
      <c r="L322" s="9" t="str">
        <f>HYPERLINK("https://metabase.lelefan.org/public/dashboard/53c41f3f-5644-466e-935e-897e7725f6bc?rayon=&amp;d%25C3%25A9signation=PEPITES CHOCO NOIR 60% VRAC&amp;fournisseur=&amp;date_d%25C3%25A9but=&amp;date_fin=","25.06")</f>
        <v>25.06</v>
      </c>
      <c r="M322" s="2"/>
      <c r="N322" s="9" t="str">
        <f>HYPERLINK("https://fd11-courses.leclercdrive.fr/magasin-063801-063801-Echirolles---Comboire/fiche-produits-120872-Pepites-chocolat-Bio-Village.aspx","20.9")</f>
        <v>20.9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1" t="s">
        <v>564</v>
      </c>
      <c r="B323" s="9" t="str">
        <f t="shared" si="259"/>
        <v>16.8</v>
      </c>
      <c r="C323" s="11">
        <v>0.0902</v>
      </c>
      <c r="D323" s="9" t="str">
        <f>HYPERLINK("https://www.biocoop.fr/magasin-biocoop_champollion/chocolat-noir-pepites-60-bio-po0448-000.html","888888")</f>
        <v>888888</v>
      </c>
      <c r="E323" s="18" t="s">
        <v>56</v>
      </c>
      <c r="F323" s="7" t="str">
        <f t="shared" si="260"/>
        <v>12.95</v>
      </c>
      <c r="G323" s="10">
        <v>0.0</v>
      </c>
      <c r="H323" s="9" t="str">
        <f t="shared" si="261"/>
        <v>21.5</v>
      </c>
      <c r="I323" s="11">
        <v>0.3961</v>
      </c>
      <c r="J323" s="9" t="str">
        <f>HYPERLINK("https://www.greenweez.com/produit/pepites-de-chocolat-noir-60-bio-et-equitables-500g/2WEEZ0401","888888")</f>
        <v>888888</v>
      </c>
      <c r="K323" s="18" t="s">
        <v>56</v>
      </c>
      <c r="L323" s="16">
        <v>888888.0</v>
      </c>
      <c r="M323" s="2"/>
      <c r="N323" s="16">
        <v>888888.0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1" t="s">
        <v>565</v>
      </c>
      <c r="B324" s="7" t="str">
        <f>HYPERLINK("https://lafourche.fr/products/la-fourche-pepites-de-chocolat-lait-36-bio-en-vrac-0-5kg","15.58")</f>
        <v>15.58</v>
      </c>
      <c r="C324" s="8">
        <v>-0.0127</v>
      </c>
      <c r="D324" s="9" t="str">
        <f>HYPERLINK("https://www.biocoop.fr/magasin-biocoop_champollion/chocolat-lait-pepites-38-bio-da9007-000.html","888888")</f>
        <v>888888</v>
      </c>
      <c r="E324" s="17">
        <v>0.0</v>
      </c>
      <c r="F324" s="9" t="str">
        <f>HYPERLINK("https://www.biocoop.fr/magasin-biocoop_fontaine/chocolat-lait-pepites-38-bio-da9007-000.html","21.5")</f>
        <v>21.5</v>
      </c>
      <c r="G324" s="11">
        <v>0.3522</v>
      </c>
      <c r="H324" s="9" t="str">
        <f>HYPERLINK("https://satoriz-comboire.bio/collections/vrac/products/ma00074","30.5")</f>
        <v>30.5</v>
      </c>
      <c r="I324" s="11">
        <v>0.3991</v>
      </c>
      <c r="J324" s="9" t="str">
        <f>HYPERLINK("https://www.greenweez.com/produit/pepites-de-chocolat-au-lait-36-bio-et-equitables-500g/2WEEZ0400","888888")</f>
        <v>888888</v>
      </c>
      <c r="K324" s="18" t="s">
        <v>56</v>
      </c>
      <c r="L324" s="16">
        <v>888888.0</v>
      </c>
      <c r="M324" s="2"/>
      <c r="N324" s="16">
        <v>888888.0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1" t="s">
        <v>566</v>
      </c>
      <c r="B325" s="9" t="str">
        <f>HYPERLINK("https://lafourche.fr/products/chocolat-patissier-56-bio","20.5")</f>
        <v>20.5</v>
      </c>
      <c r="C325" s="11">
        <v>0.3898</v>
      </c>
      <c r="D325" s="9" t="str">
        <f>HYPERLINK("https://www.biocoop.fr/magasin-biocoop_champollion/chocolat-noir-dessert-56-200g-bc4128-000.html","19.75")</f>
        <v>19.75</v>
      </c>
      <c r="E325" s="11">
        <v>0.463</v>
      </c>
      <c r="F325" s="9" t="str">
        <f>HYPERLINK("https://www.biocoop.fr/magasin-biocoop_fontaine/chocolat-noir-dessert-58-200g-aa0106-000.html","24.0")</f>
        <v>24.0</v>
      </c>
      <c r="G325" s="11">
        <v>0.3333</v>
      </c>
      <c r="H325" s="7" t="str">
        <f>HYPERLINK("https://satoriz-comboire.bio/collections/epicerie-sucree/products/bt2411","18.25")</f>
        <v>18.25</v>
      </c>
      <c r="I325" s="11">
        <v>0.2586</v>
      </c>
      <c r="J325" s="9" t="str">
        <f>HYPERLINK("https://www.greenweez.com/produit/tablette-chocolat-noir-patisserie-60-200g/1BTER0030","21.55")</f>
        <v>21.55</v>
      </c>
      <c r="K325" s="11">
        <v>0.2127</v>
      </c>
      <c r="L325" s="9" t="str">
        <f>HYPERLINK("https://metabase.lelefan.org/public/dashboard/53c41f3f-5644-466e-935e-897e7725f6bc?rayon=&amp;d%25C3%25A9signation=CHOCOLAT NOIR DESSERT 72% CACAO&amp;fournisseur=&amp;date_d%25C3%25A9but=&amp;date_fin=","23.1")</f>
        <v>23.1</v>
      </c>
      <c r="M325" s="2"/>
      <c r="N325" s="7" t="str">
        <f>HYPERLINK("https://fd11-courses.leclercdrive.fr/magasin-063801-063801-Echirolles---Comboire/fiche-produits-28228-Chocolat-Patissier-Bio-Village.aspx","12.35")</f>
        <v>12.35</v>
      </c>
      <c r="O325" s="2"/>
      <c r="P325" s="1" t="s">
        <v>372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1" t="s">
        <v>567</v>
      </c>
      <c r="B326" s="7" t="str">
        <f>HYPERLINK("https://lafourche.fr/products/chocolat-noir-a-la-fleur-de-sel-la-fourche-bio","28")</f>
        <v>28</v>
      </c>
      <c r="C326" s="11">
        <v>0.3023</v>
      </c>
      <c r="D326" s="9" t="str">
        <f>HYPERLINK("https://www.biocoop.fr/magasin-biocoop_champollion/chocolat-noir-fleur-de-sel-70-100g-bc4129-000.html","28.5")</f>
        <v>28.5</v>
      </c>
      <c r="E326" s="11">
        <v>0.4322</v>
      </c>
      <c r="F326" s="9" t="str">
        <f>HYPERLINK("https://www.biocoop.fr/magasin-biocoop_fontaine/chocolat-noir-fleur-de-sel-70-100g-po0456-000.html","39.9")</f>
        <v>39.9</v>
      </c>
      <c r="G326" s="11">
        <v>0.2871</v>
      </c>
      <c r="H326" s="9" t="str">
        <f>HYPERLINK("https://satoriz-comboire.bio/collections/epicerie-sucree/products/ma7079","37.0")</f>
        <v>37.0</v>
      </c>
      <c r="I326" s="11">
        <v>0.3214</v>
      </c>
      <c r="J326" s="9" t="str">
        <f>HYPERLINK("https://www.greenweez.com/produit/lot-de-3-chocolats-noirs-bio-70-fleur-de-sel-100g/1PACK3610","888888")</f>
        <v>888888</v>
      </c>
      <c r="K326" s="18" t="s">
        <v>56</v>
      </c>
      <c r="L326" s="9" t="str">
        <f>HYPERLINK("https://metabase.lelefan.org/public/dashboard/53c41f3f-5644-466e-935e-897e7725f6bc?rayon=&amp;d%25C3%25A9signation=CHOCOLAT NOIR FLEUR DE SEL&amp;fournisseur=&amp;date_d%25C3%25A9but=&amp;date_fin=","888888")</f>
        <v>888888</v>
      </c>
      <c r="M326" s="2"/>
      <c r="N326" s="16">
        <v>888888.0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1" t="s">
        <v>568</v>
      </c>
      <c r="B327" s="9" t="str">
        <f>HYPERLINK("https://lafourche.fr/products/chocolat-noir-55p-a-lorange","33")</f>
        <v>33</v>
      </c>
      <c r="C327" s="11">
        <v>0.3808</v>
      </c>
      <c r="D327" s="9" t="str">
        <f>HYPERLINK("https://www.biocoop.fr/magasin-biocoop_champollion/chocolat-noir-orange-58-100g-po0424-000.html","888888")</f>
        <v>888888</v>
      </c>
      <c r="E327" s="17">
        <v>0.0</v>
      </c>
      <c r="F327" s="7" t="str">
        <f>HYPERLINK("https://www.biocoop.fr/magasin-biocoop_fontaine/chocolat-noir-orange-58-100g-po0424-000.html","29.9")</f>
        <v>29.9</v>
      </c>
      <c r="G327" s="11">
        <v>0.196</v>
      </c>
      <c r="H327" s="9" t="str">
        <f>HYPERLINK("https://satoriz-comboire.bio/collections/epicerie-sucree/products/ma1213","37.0")</f>
        <v>37.0</v>
      </c>
      <c r="I327" s="11">
        <v>0.3214</v>
      </c>
      <c r="J327" s="9" t="str">
        <f>HYPERLINK("https://www.greenweez.com/produit/tablette-chocolat-noir-orange-100g/1EURO0003","35.4")</f>
        <v>35.4</v>
      </c>
      <c r="K327" s="11">
        <v>0.3111</v>
      </c>
      <c r="L327" s="9" t="str">
        <f>HYPERLINK("https://metabase.lelefan.org/public/dashboard/53c41f3f-5644-466e-935e-897e7725f6bc?rayon=&amp;d%25C3%25A9signation=CHOCOLAT NOIR ORANGES&amp;fournisseur=&amp;date_d%25C3%25A9but=&amp;date_fin=","888888")</f>
        <v>888888</v>
      </c>
      <c r="M327" s="2"/>
      <c r="N327" s="16">
        <v>888888.0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1" t="s">
        <v>569</v>
      </c>
      <c r="B328" s="9" t="str">
        <f t="shared" ref="B328:B329" si="262">HYPERLINK("https://lafourche.fr/products/chocolat-noir-70-la-fourche-bio","25")</f>
        <v>25</v>
      </c>
      <c r="C328" s="2"/>
      <c r="D328" s="7" t="str">
        <f t="shared" ref="D328:D329" si="263">HYPERLINK("https://www.biocoop.fr/magasin-biocoop_champollion/chocolat-noir-70-100g-bc4127-000.html","22.5")</f>
        <v>22.5</v>
      </c>
      <c r="E328" s="2"/>
      <c r="F328" s="9" t="str">
        <f t="shared" ref="F328:F329" si="264">HYPERLINK("https://www.biocoop.fr/magasin-biocoop_fontaine/chocolat-noir-70-100g-po0425-000.html","29.9")</f>
        <v>29.9</v>
      </c>
      <c r="G328" s="2"/>
      <c r="H328" s="9" t="str">
        <f t="shared" ref="H328:H329" si="265">HYPERLINK("https://satoriz-comboire.bio/collections/epicerie-sucree/products/ma01206","29.0")</f>
        <v>29.0</v>
      </c>
      <c r="I328" s="2"/>
      <c r="J328" s="9" t="str">
        <f>HYPERLINK("https://www.greenweez.com/produit/lot-de-3-chocolats-noirs-bio-70-100g/1PACK3609","29.2")</f>
        <v>29.2</v>
      </c>
      <c r="K328" s="2"/>
      <c r="L328" s="16">
        <v>888888.0</v>
      </c>
      <c r="M328" s="2"/>
      <c r="N328" s="7" t="str">
        <f t="shared" ref="N328:N329" si="266">HYPERLINK("https://fd11-courses.leclercdrive.fr/magasin-063801-063801-Echirolles---Comboire/fiche-produits-8566-Chocolat-noir-Bio-Village.aspx","15.9")</f>
        <v>15.9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1" t="s">
        <v>570</v>
      </c>
      <c r="B329" s="9" t="str">
        <f t="shared" si="262"/>
        <v>25</v>
      </c>
      <c r="C329" s="2"/>
      <c r="D329" s="7" t="str">
        <f t="shared" si="263"/>
        <v>22.5</v>
      </c>
      <c r="E329" s="2"/>
      <c r="F329" s="9" t="str">
        <f t="shared" si="264"/>
        <v>29.9</v>
      </c>
      <c r="G329" s="2"/>
      <c r="H329" s="9" t="str">
        <f t="shared" si="265"/>
        <v>29.0</v>
      </c>
      <c r="I329" s="2"/>
      <c r="J329" s="9" t="str">
        <f>HYPERLINK("https://www.greenweez.com/produit/chocolat-noir-bio-70-100g/2WEEZ0270","29.4")</f>
        <v>29.4</v>
      </c>
      <c r="K329" s="2"/>
      <c r="L329" s="16">
        <v>888888.0</v>
      </c>
      <c r="M329" s="2"/>
      <c r="N329" s="7" t="str">
        <f t="shared" si="266"/>
        <v>15.9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1" t="s">
        <v>571</v>
      </c>
      <c r="B330" s="9" t="str">
        <f>HYPERLINK("https://lafourche.fr/products/chocolat-au-lait-41-la-fourche-bio","32")</f>
        <v>32</v>
      </c>
      <c r="C330" s="2"/>
      <c r="D330" s="9" t="str">
        <f>HYPERLINK("https://www.biocoop.fr/magasin-biocoop_champollion/chocolat-au-lait-41-100g-bc4126-000.html","29.9")</f>
        <v>29.9</v>
      </c>
      <c r="E330" s="2"/>
      <c r="F330" s="9" t="str">
        <f>HYPERLINK("https://www.biocoop.fr/magasin-biocoop_fontaine/chocolat-lait-fondant-40-100g-po0423-000.html","36.5")</f>
        <v>36.5</v>
      </c>
      <c r="G330" s="2"/>
      <c r="H330" s="9" t="str">
        <f>HYPERLINK("https://satoriz-comboire.bio/collections/epicerie-sucree/products/raclait","35.5")</f>
        <v>35.5</v>
      </c>
      <c r="I330" s="2"/>
      <c r="J330" s="7" t="str">
        <f>HYPERLINK("https://www.greenweez.com/produit/tablette-chocolat-lait-nature-perou-bio-100g/1ETHI0076","26.6")</f>
        <v>26.6</v>
      </c>
      <c r="K330" s="2"/>
      <c r="L330" s="16">
        <v>888888.0</v>
      </c>
      <c r="M330" s="2"/>
      <c r="N330" s="7" t="str">
        <f>HYPERLINK("https://fd11-courses.leclercdrive.fr/magasin-063801-063801-Echirolles---Comboire/fiche-produits-28227-Tablette-bio-Bio-Village.aspx","17.0")</f>
        <v>17.0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1" t="s">
        <v>572</v>
      </c>
      <c r="B331" s="7" t="str">
        <f>HYPERLINK("https://lafourche.fr/products/rapunzel-chocolat-blanc-bio-100g","31.1")</f>
        <v>31.1</v>
      </c>
      <c r="C331" s="2"/>
      <c r="D331" s="16">
        <v>888888.0</v>
      </c>
      <c r="E331" s="2"/>
      <c r="F331" s="16">
        <v>888888.0</v>
      </c>
      <c r="G331" s="2"/>
      <c r="H331" s="9" t="str">
        <f>HYPERLINK("https://satoriz-comboire.bio/collections/epicerie-sucree/products/racblan","35.5")</f>
        <v>35.5</v>
      </c>
      <c r="I331" s="2"/>
      <c r="J331" s="9" t="str">
        <f>HYPERLINK("https://www.greenweez.com/produit/tablette-chocolat-blanc-bliss-70g/1RAWC0042","52.57")</f>
        <v>52.57</v>
      </c>
      <c r="K331" s="2"/>
      <c r="L331" s="16">
        <v>888888.0</v>
      </c>
      <c r="M331" s="2"/>
      <c r="N331" s="16">
        <v>888888.0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5" t="s">
        <v>353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1" t="s">
        <v>573</v>
      </c>
      <c r="B333" s="9" t="str">
        <f>HYPERLINK("https://lafourche.fr/products/la-fourche-puree-pommes-bio-0-915kg","3.88")</f>
        <v>3.88</v>
      </c>
      <c r="C333" s="8">
        <v>-0.0276</v>
      </c>
      <c r="D333" s="9" t="str">
        <f>HYPERLINK("https://www.biocoop.fr/magasin-biocoop_champollion/puree-pomme-pr5264-000.html","4.51")</f>
        <v>4.51</v>
      </c>
      <c r="E333" s="10">
        <v>0.0</v>
      </c>
      <c r="F333" s="9" t="str">
        <f>HYPERLINK("https://www.biocoop.fr/magasin-biocoop_fontaine/puree-pomme-pr5264-000.html","4.51")</f>
        <v>4.51</v>
      </c>
      <c r="G333" s="10">
        <v>0.0</v>
      </c>
      <c r="H333" s="9" t="str">
        <f>HYPERLINK("https://satoriz-comboire.bio/collections/epicerie-sucree/products/cn0849","4.74")</f>
        <v>4.74</v>
      </c>
      <c r="I333" s="10">
        <v>0.0</v>
      </c>
      <c r="J333" s="9" t="str">
        <f>HYPERLINK("https://www.greenweez.com/produit/puree-de-pommes-bio-700g/2WEEZ0536","4.97")</f>
        <v>4.97</v>
      </c>
      <c r="K333" s="11">
        <v>0.0269</v>
      </c>
      <c r="L333" s="7" t="str">
        <f>HYPERLINK("https://metabase.lelefan.org/public/dashboard/53c41f3f-5644-466e-935e-897e7725f6bc?rayon=&amp;d%25C3%25A9signation=PUREE DE POMMES SANS SUCRE AJOUTE BOCAL&amp;fournisseur=&amp;date_d%25C3%25A9but=&amp;date_fin=","3.7")</f>
        <v>3.7</v>
      </c>
      <c r="M333" s="2"/>
      <c r="N333" s="7" t="str">
        <f>HYPERLINK("https://fd11-courses.leclercdrive.fr/magasin-063801-063801-Echirolles---Comboire/fiche-produits-62726-Compote-bio-Bio-Village.aspx","3.5")</f>
        <v>3.5</v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1" t="s">
        <v>574</v>
      </c>
      <c r="B334" s="7" t="str">
        <f>HYPERLINK("https://lafourche.fr/products/la-fourche-puree-pommes-poires-bio-0-915kg","4.54")</f>
        <v>4.54</v>
      </c>
      <c r="C334" s="10">
        <v>0.0</v>
      </c>
      <c r="D334" s="9" t="str">
        <f>HYPERLINK("https://www.biocoop.fr/magasin-biocoop_champollion/puree-pomme-poire-he2002-000.html","6.12")</f>
        <v>6.12</v>
      </c>
      <c r="E334" s="10">
        <v>0.0</v>
      </c>
      <c r="F334" s="9" t="str">
        <f>HYPERLINK("https://www.biocoop.fr/magasin-biocoop_fontaine/puree-pomme-poire-1-05kg-dn1113-000.html","6.48")</f>
        <v>6.48</v>
      </c>
      <c r="G334" s="10">
        <v>0.0</v>
      </c>
      <c r="H334" s="9" t="str">
        <f>HYPERLINK("https://satoriz-comboire.bio/products/re43944","5.29")</f>
        <v>5.29</v>
      </c>
      <c r="I334" s="8">
        <v>-0.0112</v>
      </c>
      <c r="J334" s="9" t="str">
        <f>HYPERLINK("https://www.greenweez.com/produit/puree-pomme-poire-bio-700g/2WEEZ0538","5.64")</f>
        <v>5.64</v>
      </c>
      <c r="K334" s="11">
        <v>0.0425</v>
      </c>
      <c r="L334" s="9" t="str">
        <f>HYPERLINK("https://metabase.lelefan.org/public/dashboard/53c41f3f-5644-466e-935e-897e7725f6bc?rayon=&amp;d%25C3%25A9signation=COMPOTE POMME POIRE&amp;fournisseur=&amp;date_d%25C3%25A9but=&amp;date_fin=","5.71")</f>
        <v>5.71</v>
      </c>
      <c r="M334" s="2"/>
      <c r="N334" s="7" t="str">
        <f>HYPERLINK("https://fd11-courses.leclercdrive.fr/magasin-063801-063801-Echirolles---Comboire/fiche-produits-62727-Compote-bio-Bio-Village.aspx","3.55")</f>
        <v>3.55</v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1" t="s">
        <v>575</v>
      </c>
      <c r="B335" s="7" t="str">
        <f>HYPERLINK("https://lafourche.fr/products/compote-danival-dani-pom-pomme-banane-1-05kg-bio","5.15")</f>
        <v>5.15</v>
      </c>
      <c r="C335" s="11">
        <v>0.0279</v>
      </c>
      <c r="D335" s="9" t="str">
        <f>HYPERLINK("https://www.biocoop.fr/magasin-biocoop_champollion/puree-de-pommes-et-bananes-cn0219-000.html","6.2")</f>
        <v>6.2</v>
      </c>
      <c r="E335" s="10">
        <v>0.0</v>
      </c>
      <c r="F335" s="9" t="str">
        <f>HYPERLINK("https://www.biocoop.fr/magasin-biocoop_fontaine/puree-de-pommes-et-bananes-cn0219-000.html","6.2")</f>
        <v>6.2</v>
      </c>
      <c r="G335" s="10">
        <v>0.0</v>
      </c>
      <c r="H335" s="9" t="str">
        <f>HYPERLINK("https://satoriz-comboire.bio/products/da01440","5.62")</f>
        <v>5.62</v>
      </c>
      <c r="I335" s="10">
        <v>0.0</v>
      </c>
      <c r="J335" s="9" t="str">
        <f>HYPERLINK("https://www.greenweez.com/produit/dessert-pomme-banane-1-05kg/1DANI0190","6.61")</f>
        <v>6.61</v>
      </c>
      <c r="K335" s="11">
        <v>0.1241</v>
      </c>
      <c r="L335" s="16">
        <v>888888.0</v>
      </c>
      <c r="M335" s="2"/>
      <c r="N335" s="7" t="str">
        <f>HYPERLINK("https://fd11-courses.leclercdrive.fr/magasin-063801-063801-Echirolles---Comboire/fiche-produits-166601-Compote-bio-Jardin-Bio.aspx","4.57")</f>
        <v>4.57</v>
      </c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1" t="s">
        <v>576</v>
      </c>
      <c r="B336" s="7" t="str">
        <f>HYPERLINK("https://lafourche.fr/products/sojade-so-soja-dessert-chocolat-uht-bio-0-53kg","4.25")</f>
        <v>4.25</v>
      </c>
      <c r="C336" s="8">
        <v>-0.0162</v>
      </c>
      <c r="D336" s="9" t="str">
        <f>HYPERLINK("https://www.biocoop.fr/magasin-biocoop_champollion/so-soja-chocolat-ti3030-000.html","5.94")</f>
        <v>5.94</v>
      </c>
      <c r="E336" s="10">
        <v>0.0</v>
      </c>
      <c r="F336" s="9" t="str">
        <f>HYPERLINK("https://www.biocoop.fr/magasin-biocoop_fontaine/so-soja-chocolat-ti3030-000.html","5.0")</f>
        <v>5.0</v>
      </c>
      <c r="G336" s="10">
        <v>0.0</v>
      </c>
      <c r="H336" s="9" t="str">
        <f>HYPERLINK("https://satoriz-comboire.bio/collections/epicerie-sucree/products/fr18734","4.62")</f>
        <v>4.62</v>
      </c>
      <c r="I336" s="10">
        <v>0.0</v>
      </c>
      <c r="J336" s="16">
        <v>888888.0</v>
      </c>
      <c r="K336" s="17">
        <v>0.0</v>
      </c>
      <c r="L336" s="16">
        <v>888888.0</v>
      </c>
      <c r="M336" s="2"/>
      <c r="N336" s="16">
        <v>888888.0</v>
      </c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1" t="s">
        <v>577</v>
      </c>
      <c r="B337" s="7" t="str">
        <f>HYPERLINK("https://lafourche.fr/products/sojade-so-soja-dessert-vanille-uht-bio-0-53kg","4.15")</f>
        <v>4.15</v>
      </c>
      <c r="C337" s="8">
        <v>-0.0394</v>
      </c>
      <c r="D337" s="9" t="str">
        <f>HYPERLINK("https://www.biocoop.fr/magasin-biocoop_champollion/so-soja-vanille-ti3031-000.html","4.72")</f>
        <v>4.72</v>
      </c>
      <c r="E337" s="10">
        <v>0.0</v>
      </c>
      <c r="F337" s="9" t="str">
        <f>HYPERLINK("https://www.biocoop.fr/magasin-biocoop_fontaine/so-soja-vanille-ti3031-000.html","4.72")</f>
        <v>4.72</v>
      </c>
      <c r="G337" s="10">
        <v>0.0</v>
      </c>
      <c r="H337" s="9" t="str">
        <f>HYPERLINK("https://satoriz-comboire.bio/collections/epicerie-sucree/products/fr18736","4.62")</f>
        <v>4.62</v>
      </c>
      <c r="I337" s="10">
        <v>0.0</v>
      </c>
      <c r="J337" s="16">
        <v>888888.0</v>
      </c>
      <c r="K337" s="17">
        <v>0.0</v>
      </c>
      <c r="L337" s="16">
        <v>888888.0</v>
      </c>
      <c r="M337" s="2"/>
      <c r="N337" s="16">
        <v>888888.0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1" t="s">
        <v>578</v>
      </c>
      <c r="B338" s="16">
        <v>888888.0</v>
      </c>
      <c r="C338" s="2"/>
      <c r="D338" s="9" t="str">
        <f>HYPERLINK("https://www.biocoop.fr/magasin-biocoop_champollion/ananas-et-son-jus-equitables-240g-mx0109-000.html","888888")</f>
        <v>888888</v>
      </c>
      <c r="E338" s="2"/>
      <c r="F338" s="9" t="str">
        <f>HYPERLINK("https://www.biocoop.fr/magasin-biocoop_fontaine/ananas-et-son-jus-equitables-240g-mx0109-000.html","19.79")</f>
        <v>19.79</v>
      </c>
      <c r="G338" s="2"/>
      <c r="H338" s="7" t="str">
        <f>HYPERLINK("https://satoriz-comboire.bio/products/su039","15.1")</f>
        <v>15.1</v>
      </c>
      <c r="I338" s="2"/>
      <c r="J338" s="9" t="str">
        <f>HYPERLINK("https://www.greenweez.com/produit/ananas-en-morceaux-400g/1BASE0008","888888")</f>
        <v>888888</v>
      </c>
      <c r="K338" s="2"/>
      <c r="L338" s="9" t="str">
        <f>HYPERLINK("https://metabase.lelefan.org/public/dashboard/53c41f3f-5644-466e-935e-897e7725f6bc?rayon=&amp;d%25C3%25A9signation=ANANAS CONSERVE BOCAL&amp;fournisseur=&amp;date_d%25C3%25A9but=&amp;date_fin=","16.88")</f>
        <v>16.88</v>
      </c>
      <c r="M338" s="2"/>
      <c r="N338" s="16">
        <v>888888.0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5" t="s">
        <v>579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1" t="s">
        <v>580</v>
      </c>
      <c r="B340" s="9" t="str">
        <f>HYPERLINK("https://lafourche.fr/products/elibio-cereales-fourrees-tout-chocolat-bio-375g","10.13")</f>
        <v>10.13</v>
      </c>
      <c r="C340" s="11">
        <v>0.0212</v>
      </c>
      <c r="D340" s="9" t="str">
        <f>HYPERLINK("https://www.biocoop.fr/magasin-biocoop_champollion/ka-re-fourres-chocolat-noisettes-bio-lg2005-000.html","10.9")</f>
        <v>10.9</v>
      </c>
      <c r="E340" s="10">
        <v>0.0</v>
      </c>
      <c r="F340" s="7" t="str">
        <f>HYPERLINK("https://www.biocoop.fr/magasin-biocoop_fontaine/ka-re-fourres-chocolat-noisettes-bio-lg2005-000.html","9.95")</f>
        <v>9.95</v>
      </c>
      <c r="G340" s="11">
        <v>0.0365</v>
      </c>
      <c r="H340" s="9" t="str">
        <f>HYPERLINK("https://satoriz-comboire.bio/collections/vrac/products/gr554","10.7")</f>
        <v>10.7</v>
      </c>
      <c r="I340" s="10">
        <v>0.0</v>
      </c>
      <c r="J340" s="9" t="str">
        <f>HYPERLINK("https://www.greenweez.com/produit/cereales-kare-fourrees-chocolat-noisettes-500g/1GRIL0036","13.16")</f>
        <v>13.16</v>
      </c>
      <c r="K340" s="11">
        <v>0.0092</v>
      </c>
      <c r="L340" s="9" t="str">
        <f>HYPERLINK("https://metabase.lelefan.org/public/dashboard/53c41f3f-5644-466e-935e-897e7725f6bc?rayon=&amp;d%25C3%25A9signation=CHOCO CROK FOURRES NOISETTES CACAO&amp;fournisseur=&amp;date_d%25C3%25A9but=&amp;date_fin=","10.16")</f>
        <v>10.16</v>
      </c>
      <c r="M340" s="2"/>
      <c r="N340" s="16">
        <v>888888.0</v>
      </c>
      <c r="O340" s="2"/>
      <c r="P340" s="1" t="s">
        <v>91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1" t="s">
        <v>581</v>
      </c>
      <c r="B341" s="9" t="str">
        <f>HYPERLINK("https://lafourche.fr/products/grillon-dor-chocolune-bio-0-375kg","9.31")</f>
        <v>9.31</v>
      </c>
      <c r="C341" s="8">
        <v>-0.0138</v>
      </c>
      <c r="D341" s="9" t="str">
        <f>HYPERLINK("https://www.biocoop.fr/magasin-biocoop_champollion/crosti-griffs-choco-10kg-bio-pr5170-000.html","8.99")</f>
        <v>8.99</v>
      </c>
      <c r="E341" s="10">
        <v>0.0</v>
      </c>
      <c r="F341" s="9" t="str">
        <f>HYPERLINK("https://www.biocoop.fr/magasin-biocoop_fontaine/crosti-griffs-choco-10kg-bio-pr5170-000.html","8.99")</f>
        <v>8.99</v>
      </c>
      <c r="G341" s="10">
        <v>0.0</v>
      </c>
      <c r="H341" s="7" t="str">
        <f>HYPERLINK("https://satoriz-comboire.bio/collections/vrac/products/grexch","8.1")</f>
        <v>8.1</v>
      </c>
      <c r="I341" s="10">
        <v>0.0</v>
      </c>
      <c r="J341" s="9" t="str">
        <f>HYPERLINK("https://www.greenweez.com/produit/cereales-chocolune-375g/1GRIL0051","11.33")</f>
        <v>11.33</v>
      </c>
      <c r="K341" s="10">
        <v>0.0</v>
      </c>
      <c r="L341" s="9" t="str">
        <f>HYPERLINK("https://metabase.lelefan.org/public/dashboard/53c41f3f-5644-466e-935e-897e7725f6bc?rayon=&amp;d%25C3%25A9signation=CROC  O  CHOC VRAC&amp;fournisseur=&amp;date_d%25C3%25A9but=&amp;date_fin=","12.75")</f>
        <v>12.75</v>
      </c>
      <c r="M341" s="2"/>
      <c r="N341" s="16">
        <v>888888.0</v>
      </c>
      <c r="O341" s="2"/>
      <c r="P341" s="1" t="s">
        <v>91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1" t="s">
        <v>582</v>
      </c>
      <c r="B342" s="7" t="str">
        <f>HYPERLINK("https://lafourche.fr/products/cereales-mops-au-miel","9.33")</f>
        <v>9.33</v>
      </c>
      <c r="C342" s="8">
        <v>-0.0312</v>
      </c>
      <c r="D342" s="9" t="str">
        <f>HYPERLINK("https://www.biocoop.fr/magasin-biocoop_champollion/mops-miel-lg2066-000.html","11.0")</f>
        <v>11.0</v>
      </c>
      <c r="E342" s="10">
        <v>0.0</v>
      </c>
      <c r="F342" s="9" t="str">
        <f>HYPERLINK("https://www.biocoop.fr/magasin-biocoop_fontaine/mops-miel-lg2066-000.html","11.0")</f>
        <v>11.0</v>
      </c>
      <c r="G342" s="10">
        <v>0.0</v>
      </c>
      <c r="H342" s="9" t="str">
        <f>HYPERLINK("https://satoriz-comboire.bio/products/gr375m","10.67")</f>
        <v>10.67</v>
      </c>
      <c r="I342" s="11">
        <v>0.2125</v>
      </c>
      <c r="J342" s="9" t="str">
        <f>HYPERLINK("https://www.greenweez.com/produit/cereales-mops-miel-300g/1GRIL0172","10.5")</f>
        <v>10.5</v>
      </c>
      <c r="K342" s="10">
        <v>0.0</v>
      </c>
      <c r="L342" s="9" t="str">
        <f>HYPERLINK("https://metabase.lelefan.org/public/dashboard/53c41f3f-5644-466e-935e-897e7725f6bc?rayon=&amp;d%25C3%25A9signation=MOPS MIEL VRAC&amp;fournisseur=&amp;date_d%25C3%25A9but=&amp;date_fin=","888888")</f>
        <v>888888</v>
      </c>
      <c r="M342" s="2"/>
      <c r="N342" s="16">
        <v>888888.0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1" t="s">
        <v>583</v>
      </c>
      <c r="B343" s="7" t="str">
        <f>HYPERLINK("https://lafourche.fr/products/la-fourche-1kg-de-petits-flocons-d-avoine-en-vrac-france-bio","2.53")</f>
        <v>2.53</v>
      </c>
      <c r="C343" s="11">
        <v>0.012</v>
      </c>
      <c r="D343" s="9" t="str">
        <f>HYPERLINK("https://www.biocoop.fr/magasin-biocoop_champollion/flocons-d-avoine-petits-non-toastes-bio-pr5344-000.html","2.85")</f>
        <v>2.85</v>
      </c>
      <c r="E343" s="10">
        <v>0.0</v>
      </c>
      <c r="F343" s="9" t="str">
        <f>HYPERLINK("https://www.biocoop.fr/magasin-biocoop_fontaine/flocons-d-avoine-petits-non-toastes-bio-pr5344-000.html","2.85")</f>
        <v>2.85</v>
      </c>
      <c r="G343" s="10">
        <v>0.0</v>
      </c>
      <c r="H343" s="9" t="str">
        <f>HYPERLINK("https://satoriz-comboire.bio/products/cefap25","2.85")</f>
        <v>2.85</v>
      </c>
      <c r="I343" s="8">
        <v>-0.0656</v>
      </c>
      <c r="J343" s="9" t="str">
        <f>HYPERLINK("https://www.greenweez.com/produit/flocons-davoine-petit-bio-1-5kg/2WEEZ0129","2.99")</f>
        <v>2.99</v>
      </c>
      <c r="K343" s="11">
        <v>0.0205</v>
      </c>
      <c r="L343" s="9" t="str">
        <f>HYPERLINK("https://metabase.lelefan.org/public/dashboard/53c41f3f-5644-466e-935e-897e7725f6bc?rayon=&amp;d%25C3%25A9signation=FLOCON D AVOINE BABY VRAC&amp;fournisseur=&amp;date_d%25C3%25A9but=&amp;date_fin=","2.73")</f>
        <v>2.73</v>
      </c>
      <c r="M343" s="2"/>
      <c r="N343" s="16">
        <v>888888.0</v>
      </c>
      <c r="O343" s="2"/>
      <c r="P343" s="1" t="s">
        <v>91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1" t="s">
        <v>584</v>
      </c>
      <c r="B344" s="7" t="str">
        <f>HYPERLINK("https://lafourche.fr/products/la-fourche-1kg-de-gros-flocons-davoine-bio-en-vrac","2.53")</f>
        <v>2.53</v>
      </c>
      <c r="C344" s="11">
        <v>0.012</v>
      </c>
      <c r="D344" s="9" t="str">
        <f>HYPERLINK("https://www.biocoop.fr/magasin-biocoop_champollion/flocons-d-avoine-gros-bio-lg2061-000.html","3.95")</f>
        <v>3.95</v>
      </c>
      <c r="E344" s="10">
        <v>0.0</v>
      </c>
      <c r="F344" s="9" t="str">
        <f>HYPERLINK("https://www.biocoop.fr/magasin-biocoop_fontaine/flocons-d-avoine-gros-bio-lg2061-000.html","3.9")</f>
        <v>3.9</v>
      </c>
      <c r="G344" s="10">
        <v>0.0</v>
      </c>
      <c r="H344" s="9" t="str">
        <f>HYPERLINK("https://satoriz-comboire.bio/products/cefag-10","3.05")</f>
        <v>3.05</v>
      </c>
      <c r="I344" s="10">
        <v>0.0</v>
      </c>
      <c r="J344" s="9" t="str">
        <f>HYPERLINK("https://www.greenweez.com/produit/flocons-davoine-gros-bio-1-5kg/2WEEZ0531","2.99")</f>
        <v>2.99</v>
      </c>
      <c r="K344" s="11">
        <v>0.0491</v>
      </c>
      <c r="L344" s="16">
        <v>888888.0</v>
      </c>
      <c r="M344" s="2"/>
      <c r="N344" s="16">
        <v>888888.0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1" t="s">
        <v>585</v>
      </c>
      <c r="B345" s="7" t="str">
        <f>HYPERLINK("https://lafourche.fr/products/la-fourche-1kg-de-muesli-5-cereales-en-vrac-bio","4.7")</f>
        <v>4.7</v>
      </c>
      <c r="C345" s="11">
        <v>0.0444</v>
      </c>
      <c r="D345" s="9" t="str">
        <f>HYPERLINK("https://www.biocoop.fr/magasin-biocoop_champollion/muesli-graines-et-fruits-secs-1kg-lg1713-000.html","7.37")</f>
        <v>7.37</v>
      </c>
      <c r="E345" s="10">
        <v>0.0</v>
      </c>
      <c r="F345" s="9" t="str">
        <f>HYPERLINK("https://www.biocoop.fr/magasin-biocoop_fontaine/muesli-graines-et-fruits-secs-1kg-lg1713-000.html","7.35")</f>
        <v>7.35</v>
      </c>
      <c r="G345" s="10">
        <v>0.0</v>
      </c>
      <c r="H345" s="9" t="str">
        <f>HYPERLINK("https://satoriz-comboire.bio/products/ce25b","5.7")</f>
        <v>5.7</v>
      </c>
      <c r="I345" s="8">
        <v>-0.0172</v>
      </c>
      <c r="J345" s="9" t="str">
        <f>HYPERLINK("https://www.greenweez.com/produit/muesli-5-cereales-500g/1CELN0029","6.92")</f>
        <v>6.92</v>
      </c>
      <c r="K345" s="10">
        <v>0.0</v>
      </c>
      <c r="L345" s="16">
        <v>888888.0</v>
      </c>
      <c r="M345" s="2"/>
      <c r="N345" s="7" t="str">
        <f>HYPERLINK("https://fd11-courses.leclercdrive.fr/magasin-063801-063801-Echirolles---Comboire/fiche-produits-19643-Muesli-Floconneux-Bio-Village.aspx","4.64")</f>
        <v>4.64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1" t="s">
        <v>586</v>
      </c>
      <c r="B346" s="9" t="str">
        <f>HYPERLINK("https://lafourche.fr/products/grillon-mueslifruits-1kg","5.46")</f>
        <v>5.46</v>
      </c>
      <c r="C346" s="10">
        <v>0.0</v>
      </c>
      <c r="D346" s="9" t="str">
        <f>HYPERLINK("https://www.biocoop.fr/magasin-biocoop_champollion/muesli-aux-fruits-bio-pr5343-000.html","5.35")</f>
        <v>5.35</v>
      </c>
      <c r="E346" s="10">
        <v>0.0</v>
      </c>
      <c r="F346" s="7" t="str">
        <f>HYPERLINK("https://www.biocoop.fr/magasin-biocoop_fontaine/muesli-aux-fruits-bio-pr5343-000.html","4.7")</f>
        <v>4.7</v>
      </c>
      <c r="G346" s="10">
        <v>0.0</v>
      </c>
      <c r="H346" s="9" t="str">
        <f>HYPERLINK("https://satoriz-comboire.bio/products/ce0990","4.95")</f>
        <v>4.95</v>
      </c>
      <c r="I346" s="10">
        <v>0.0</v>
      </c>
      <c r="J346" s="9" t="str">
        <f>HYPERLINK("https://www.greenweez.com/produit/muesli-fruits-1kg/1GRIL0001","6.39")</f>
        <v>6.39</v>
      </c>
      <c r="K346" s="11">
        <v>0.0208</v>
      </c>
      <c r="L346" s="16">
        <v>888888.0</v>
      </c>
      <c r="M346" s="2"/>
      <c r="N346" s="9" t="str">
        <f>HYPERLINK("https://fd11-courses.leclercdrive.fr/magasin-063801-063801-Echirolles---Comboire/fiche-produits-184564-Muesli-floconneux-Bio-village.aspx","6.5")</f>
        <v>6.5</v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1" t="s">
        <v>587</v>
      </c>
      <c r="B347" s="9" t="str">
        <f>HYPERLINK("https://lafourche.fr/products/la-fourche-muesli-croustillant-nature-bio-1kg","4.79")</f>
        <v>4.79</v>
      </c>
      <c r="C347" s="10">
        <v>0.0</v>
      </c>
      <c r="D347" s="9" t="str">
        <f>HYPERLINK("https://www.biocoop.fr/magasin-biocoop_champollion/muesli-croustillant-essentiel-1kg-aa0122-000.html","6.95")</f>
        <v>6.95</v>
      </c>
      <c r="E347" s="10">
        <v>0.0</v>
      </c>
      <c r="F347" s="9" t="str">
        <f>HYPERLINK("https://www.biocoop.fr/magasin-biocoop_fontaine/krounchy-nature-lg2007-000.html","7.0")</f>
        <v>7.0</v>
      </c>
      <c r="G347" s="10">
        <v>0.0</v>
      </c>
      <c r="H347" s="9" t="str">
        <f>HYPERLINK("https://satoriz-comboire.bio/products/gr2953","5.15")</f>
        <v>5.15</v>
      </c>
      <c r="I347" s="10">
        <v>0.0</v>
      </c>
      <c r="J347" s="9" t="str">
        <f>HYPERLINK("https://www.greenweez.com/produit/krounchy-nature-1kg/1GRIL0018","5.94")</f>
        <v>5.94</v>
      </c>
      <c r="K347" s="11">
        <v>0.1762</v>
      </c>
      <c r="L347" s="7" t="str">
        <f>HYPERLINK("https://metabase.lelefan.org/public/dashboard/53c41f3f-5644-466e-935e-897e7725f6bc?rayon=&amp;d%25C3%25A9signation=MUESLI TRADITION VRAC&amp;fournisseur=&amp;date_d%25C3%25A9but=&amp;date_fin=","4.46")</f>
        <v>4.46</v>
      </c>
      <c r="M347" s="2"/>
      <c r="N347" s="7" t="str">
        <f>HYPERLINK("https://fd11-courses.leclercdrive.fr/magasin-063801-063801-Echirolles---Comboire/fiche-produits-69107-Cereales-Terres-et-Cereales-bio.aspx","4.43")</f>
        <v>4.43</v>
      </c>
      <c r="O347" s="2"/>
      <c r="P347" s="1" t="s">
        <v>91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1" t="s">
        <v>588</v>
      </c>
      <c r="B348" s="7" t="str">
        <f>HYPERLINK("https://lafourche.fr/products/la-fourche-muesli-croustillant-duo-choco-bio-1kg","5.95")</f>
        <v>5.95</v>
      </c>
      <c r="C348" s="10">
        <v>0.0</v>
      </c>
      <c r="D348" s="9" t="str">
        <f>HYPERLINK("https://www.biocoop.fr/magasin-biocoop_champollion/krounchy-epeautre-chocolat-noir-lg1932-000.html","8.7")</f>
        <v>8.7</v>
      </c>
      <c r="E348" s="10">
        <v>0.0</v>
      </c>
      <c r="F348" s="9" t="str">
        <f>HYPERLINK("https://www.biocoop.fr/magasin-biocoop_fontaine/krounchy-epeautre-chocolat-noir-lg1932-000.html","8.7")</f>
        <v>8.7</v>
      </c>
      <c r="G348" s="10">
        <v>0.0</v>
      </c>
      <c r="H348" s="9" t="str">
        <f>HYPERLINK("https://satoriz-comboire.bio/products/grceee","6.85")</f>
        <v>6.85</v>
      </c>
      <c r="I348" s="10">
        <v>0.0</v>
      </c>
      <c r="J348" s="9" t="str">
        <f>HYPERLINK("https://www.greenweez.com/produit/krounchy-chocolat-1kg/1GRIL0020","6.98")</f>
        <v>6.98</v>
      </c>
      <c r="K348" s="11">
        <v>0.0058</v>
      </c>
      <c r="L348" s="9" t="str">
        <f>HYPERLINK("https://metabase.lelefan.org/public/dashboard/53c41f3f-5644-466e-935e-897e7725f6bc?rayon=&amp;d%25C3%25A9signation=MUESLI CROUSTILLANT CHOCOLAT VRAC&amp;fournisseur=&amp;date_d%25C3%25A9but=&amp;date_fin=","11.3")</f>
        <v>11.3</v>
      </c>
      <c r="M348" s="2"/>
      <c r="N348" s="9" t="str">
        <f>HYPERLINK("https://fd11-courses.leclercdrive.fr/magasin-063801-063801-Echirolles---Comboire/fiche-produits-102338-Muesli-Terres-et-Cereales.aspx","888888")</f>
        <v>888888</v>
      </c>
      <c r="O348" s="2"/>
      <c r="P348" s="1" t="s">
        <v>91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1" t="s">
        <v>589</v>
      </c>
      <c r="B349" s="9" t="str">
        <f>HYPERLINK("https://lafourche.fr/products/grillon-krounchy-fruits-rouges-500g","11.9")</f>
        <v>11.9</v>
      </c>
      <c r="C349" s="8">
        <v>-0.0067</v>
      </c>
      <c r="D349" s="9" t="str">
        <f>HYPERLINK("https://www.biocoop.fr/magasin-biocoop_champollion/krounchy-fruits-rouges-lg0966-000.html","14.9")</f>
        <v>14.9</v>
      </c>
      <c r="E349" s="10">
        <v>0.0</v>
      </c>
      <c r="F349" s="9" t="str">
        <f>HYPERLINK("https://www.biocoop.fr/magasin-biocoop_fontaine/krounchy-fruits-rouges-lg0966-000.html","14.9")</f>
        <v>14.9</v>
      </c>
      <c r="G349" s="10">
        <v>0.0</v>
      </c>
      <c r="H349" s="9" t="str">
        <f>HYPERLINK("https://satoriz-comboire.bio/products/grcrufr","14.4")</f>
        <v>14.4</v>
      </c>
      <c r="I349" s="10">
        <v>0.0</v>
      </c>
      <c r="J349" s="7" t="str">
        <f>HYPERLINK("https://www.greenweez.com/produit/crunchy-fruits-rouges-bio-500g/5GREE0216","9.9")</f>
        <v>9.9</v>
      </c>
      <c r="K349" s="10">
        <v>0.0</v>
      </c>
      <c r="L349" s="9" t="str">
        <f>HYPERLINK("https://metabase.lelefan.org/public/dashboard/53c41f3f-5644-466e-935e-897e7725f6bc?rayon=&amp;d%25C3%25A9signation=MUESLI CROUSTILLANT FRUITS VRAC&amp;fournisseur=&amp;date_d%25C3%25A9but=&amp;date_fin=","10.97")</f>
        <v>10.97</v>
      </c>
      <c r="M349" s="2"/>
      <c r="N349" s="7" t="str">
        <f>HYPERLINK("https://fd11-courses.leclercdrive.fr/magasin-063801-063801-Echirolles---Comboire/fiche-produits-180356-Muesli-Terres-et-Cereales-Bio.aspx","5.39")</f>
        <v>5.39</v>
      </c>
      <c r="O349" s="2"/>
      <c r="P349" s="1" t="s">
        <v>91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5" t="s">
        <v>590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1" t="s">
        <v>591</v>
      </c>
      <c r="B351" s="7" t="str">
        <f>HYPERLINK("https://lafourche.fr/products/la-fourche-500g-amandes-decortiquees-en-vrac-bio","13.04")</f>
        <v>13.04</v>
      </c>
      <c r="C351" s="8">
        <v>-0.0015</v>
      </c>
      <c r="D351" s="9" t="str">
        <f>HYPERLINK("https://www.biocoop.fr/magasin-biocoop_champollion/amandes-completes-bio-ag3005-000.html","15.9")</f>
        <v>15.9</v>
      </c>
      <c r="E351" s="10">
        <v>0.0</v>
      </c>
      <c r="F351" s="9" t="str">
        <f>HYPERLINK("https://www.biocoop.fr/magasin-biocoop_fontaine/amande-complete-italie-bio-bc5507-000.html","14.9")</f>
        <v>14.9</v>
      </c>
      <c r="G351" s="8">
        <v>-0.0033</v>
      </c>
      <c r="H351" s="9" t="str">
        <f>HYPERLINK("https://satoriz-comboire.bio/collections/vrac/products/ag0417","13.05")</f>
        <v>13.05</v>
      </c>
      <c r="I351" s="10">
        <v>0.0</v>
      </c>
      <c r="J351" s="9" t="str">
        <f>HYPERLINK("https://www.greenweez.com/produit/amandes-decortiquees-1kg/2WEEZ0354","14.95")</f>
        <v>14.95</v>
      </c>
      <c r="K351" s="10">
        <v>0.0</v>
      </c>
      <c r="L351" s="9" t="str">
        <f>HYPERLINK("https://metabase.lelefan.org/public/dashboard/53c41f3f-5644-466e-935e-897e7725f6bc?rayon=&amp;d%25C3%25A9signation=AMANDE DECORTIQUEE VRAC&amp;fournisseur=&amp;date_d%25C3%25A9but=&amp;date_fin=","13.56")</f>
        <v>13.56</v>
      </c>
      <c r="M351" s="2"/>
      <c r="N351" s="9" t="str">
        <f>HYPERLINK("https://fd11-courses.leclercdrive.fr/magasin-063801-063801-Echirolles---Comboire/fiche-produits-125241-Amandes-Bio-Village.aspx","20.9")</f>
        <v>20.9</v>
      </c>
      <c r="O351" s="2"/>
      <c r="P351" s="1" t="s">
        <v>91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1" t="s">
        <v>592</v>
      </c>
      <c r="B352" s="7" t="str">
        <f>HYPERLINK("https://lafourche.fr/products/la-fourche-noisettes-bio-2-5kg","14.98")</f>
        <v>14.98</v>
      </c>
      <c r="C352" s="10">
        <v>0.0</v>
      </c>
      <c r="D352" s="9" t="str">
        <f t="shared" ref="D352:D353" si="267">HYPERLINK("https://www.biocoop.fr/magasin-biocoop_champollion/noisettes-bio-bc5500-000.html","21.5")</f>
        <v>21.5</v>
      </c>
      <c r="E352" s="11">
        <v>0.1622</v>
      </c>
      <c r="F352" s="9" t="str">
        <f t="shared" ref="F352:F353" si="268">HYPERLINK("https://www.biocoop.fr/magasin-biocoop_fontaine/noisettes-bio-bc5500-000.html","19.9")</f>
        <v>19.9</v>
      </c>
      <c r="G352" s="8">
        <v>-0.0478</v>
      </c>
      <c r="H352" s="9" t="str">
        <f t="shared" ref="H352:H353" si="269">HYPERLINK("https://satoriz-comboire.bio/collections/vrac/products/ag0394","17.7")</f>
        <v>17.7</v>
      </c>
      <c r="I352" s="11">
        <v>0.0631</v>
      </c>
      <c r="J352" s="9" t="str">
        <f>HYPERLINK("https://www.greenweez.com/produit/noisettes-decortiquees-2-5kg/2WEEZ0386","888888")</f>
        <v>888888</v>
      </c>
      <c r="K352" s="18" t="s">
        <v>56</v>
      </c>
      <c r="L352" s="9" t="str">
        <f>HYPERLINK("https://metabase.lelefan.org/public/dashboard/53c41f3f-5644-466e-935e-897e7725f6bc?rayon=&amp;d%25C3%25A9signation=NOISETTE GRILLEE VRAC&amp;fournisseur=&amp;date_d%25C3%25A9but=&amp;date_fin=","18.27")</f>
        <v>18.27</v>
      </c>
      <c r="M352" s="2"/>
      <c r="N352" s="16">
        <v>888888.0</v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1" t="s">
        <v>593</v>
      </c>
      <c r="B353" s="9" t="str">
        <f>HYPERLINK("https://lafourche.fr/products/la-fourche-noisettes-bio-en-vrac-0-5kg","17.98")</f>
        <v>17.98</v>
      </c>
      <c r="C353" s="11">
        <v>0.2003</v>
      </c>
      <c r="D353" s="9" t="str">
        <f t="shared" si="267"/>
        <v>21.5</v>
      </c>
      <c r="E353" s="11">
        <v>0.1622</v>
      </c>
      <c r="F353" s="9" t="str">
        <f t="shared" si="268"/>
        <v>19.9</v>
      </c>
      <c r="G353" s="8">
        <v>-0.0478</v>
      </c>
      <c r="H353" s="7" t="str">
        <f t="shared" si="269"/>
        <v>17.7</v>
      </c>
      <c r="I353" s="11">
        <v>0.0631</v>
      </c>
      <c r="J353" s="9" t="str">
        <f>HYPERLINK("https://www.greenweez.com/produit/noisettes-decortiquees-1kg/2WEEZ0385","17.95")</f>
        <v>17.95</v>
      </c>
      <c r="K353" s="11">
        <v>0.1233</v>
      </c>
      <c r="L353" s="9" t="str">
        <f>HYPERLINK("https://metabase.lelefan.org/public/dashboard/53c41f3f-5644-466e-935e-897e7725f6bc?rayon=&amp;d%25C3%25A9signation=NOISETTES DECORTIQUEES&amp;fournisseur=&amp;date_d%25C3%25A9but=&amp;date_fin=","888888")</f>
        <v>888888</v>
      </c>
      <c r="M353" s="2"/>
      <c r="N353" s="16">
        <v>888888.0</v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1" t="s">
        <v>594</v>
      </c>
      <c r="B354" s="9" t="str">
        <f t="shared" ref="B354:B355" si="270">HYPERLINK("https://lafourche.fr/products/la-fourche-500g-de-noix-de-cajou-bio-en-vrac","16.7")</f>
        <v>16.7</v>
      </c>
      <c r="C354" s="10">
        <v>0.0</v>
      </c>
      <c r="D354" s="9" t="str">
        <f t="shared" ref="D354:D355" si="271">HYPERLINK("https://www.biocoop.fr/magasin-biocoop_champollion/noix-de-cajou-bio-ag3057-000.html","19.9")</f>
        <v>19.9</v>
      </c>
      <c r="E354" s="8">
        <v>-0.095</v>
      </c>
      <c r="F354" s="9" t="str">
        <f t="shared" ref="F354:F355" si="272">HYPERLINK("https://www.biocoop.fr/magasin-biocoop_fontaine/noix-de-cajou-bio-ag3057-000.html","19.5")</f>
        <v>19.5</v>
      </c>
      <c r="G354" s="8">
        <v>-0.0201</v>
      </c>
      <c r="H354" s="9" t="str">
        <f t="shared" ref="H354:H355" si="273">HYPERLINK("https://satoriz-comboire.bio/collections/vrac/products/ag0585","17.05")</f>
        <v>17.05</v>
      </c>
      <c r="I354" s="11">
        <v>0.021</v>
      </c>
      <c r="J354" s="9" t="str">
        <f>HYPERLINK("https://www.greenweez.com/produit/noix-de-cajou-crues-2-5kg/2WEEZ0391","15.98")</f>
        <v>15.98</v>
      </c>
      <c r="K354" s="11">
        <v>0.0541</v>
      </c>
      <c r="L354" s="7" t="str">
        <f t="shared" ref="L354:L355" si="274">HYPERLINK("https://metabase.lelefan.org/public/dashboard/53c41f3f-5644-466e-935e-897e7725f6bc?rayon=&amp;d%25C3%25A9signation=NOIX DE CAJOU VRAC&amp;fournisseur=&amp;date_d%25C3%25A9but=&amp;date_fin=","14.18")</f>
        <v>14.18</v>
      </c>
      <c r="M354" s="2"/>
      <c r="N354" s="16">
        <v>888888.0</v>
      </c>
      <c r="O354" s="2"/>
      <c r="P354" s="1" t="s">
        <v>372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1" t="s">
        <v>595</v>
      </c>
      <c r="B355" s="9" t="str">
        <f t="shared" si="270"/>
        <v>16.7</v>
      </c>
      <c r="C355" s="10">
        <v>0.0</v>
      </c>
      <c r="D355" s="9" t="str">
        <f t="shared" si="271"/>
        <v>19.9</v>
      </c>
      <c r="E355" s="8">
        <v>-0.095</v>
      </c>
      <c r="F355" s="9" t="str">
        <f t="shared" si="272"/>
        <v>19.5</v>
      </c>
      <c r="G355" s="8">
        <v>-0.0201</v>
      </c>
      <c r="H355" s="9" t="str">
        <f t="shared" si="273"/>
        <v>17.05</v>
      </c>
      <c r="I355" s="11">
        <v>0.021</v>
      </c>
      <c r="J355" s="9" t="str">
        <f>HYPERLINK("https://www.greenweez.com/produit/noix-de-cajou-crues-1kg/2WEEZ0390","888888")</f>
        <v>888888</v>
      </c>
      <c r="K355" s="18" t="s">
        <v>56</v>
      </c>
      <c r="L355" s="7" t="str">
        <f t="shared" si="274"/>
        <v>14.18</v>
      </c>
      <c r="M355" s="2"/>
      <c r="N355" s="16">
        <v>888888.0</v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1" t="s">
        <v>596</v>
      </c>
      <c r="B356" s="9" t="str">
        <f>HYPERLINK("https://lafourche.fr/products/la-fourche-raisins-secs-sultanine-bio-2-5kg-v2","7.01")</f>
        <v>7.01</v>
      </c>
      <c r="C356" s="8">
        <v>-0.0264</v>
      </c>
      <c r="D356" s="9" t="str">
        <f t="shared" ref="D356:D357" si="275">HYPERLINK("https://www.biocoop.fr/magasin-biocoop_champollion/raisins-sultanine-n-9-bio-ag3030-000.html","7.95")</f>
        <v>7.95</v>
      </c>
      <c r="E356" s="10">
        <v>0.0</v>
      </c>
      <c r="F356" s="9" t="str">
        <f t="shared" ref="F356:F357" si="276">HYPERLINK("https://www.biocoop.fr/magasin-biocoop_fontaine/raisins-sultanine-n-9-bio-ag3030-000.html","9.6")</f>
        <v>9.6</v>
      </c>
      <c r="G356" s="11">
        <v>0.2075</v>
      </c>
      <c r="H356" s="9" t="str">
        <f t="shared" ref="H356:H357" si="277">HYPERLINK("https://satoriz-comboire.bio/collections/vrac/products/ag0387","8.65")</f>
        <v>8.65</v>
      </c>
      <c r="I356" s="11">
        <v>0.2014</v>
      </c>
      <c r="J356" s="9" t="str">
        <f>HYPERLINK("https://www.greenweez.com/produit/raisins-sultanine-1kg/1MKAL0257","8.48")</f>
        <v>8.48</v>
      </c>
      <c r="K356" s="8">
        <v>-0.1347</v>
      </c>
      <c r="L356" s="7" t="str">
        <f t="shared" ref="L356:L357" si="278">HYPERLINK("https://metabase.lelefan.org/public/dashboard/53c41f3f-5644-466e-935e-897e7725f6bc?rayon=&amp;d%25C3%25A9signation=RAISINS DE CORINTHE AOP VRAC&amp;fournisseur=&amp;date_d%25C3%25A9but=&amp;date_fin=","6.13")</f>
        <v>6.13</v>
      </c>
      <c r="M356" s="2"/>
      <c r="N356" s="16">
        <v>888888.0</v>
      </c>
      <c r="O356" s="2"/>
      <c r="P356" s="1" t="s">
        <v>372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1" t="s">
        <v>597</v>
      </c>
      <c r="B357" s="9" t="str">
        <f>HYPERLINK("https://lafourche.fr/products/la-fourche-raisins-secs-sultanines-bio-en-vrac-0-5kg","7.38")</f>
        <v>7.38</v>
      </c>
      <c r="C357" s="11">
        <v>0.025</v>
      </c>
      <c r="D357" s="9" t="str">
        <f t="shared" si="275"/>
        <v>7.95</v>
      </c>
      <c r="E357" s="10">
        <v>0.0</v>
      </c>
      <c r="F357" s="9" t="str">
        <f t="shared" si="276"/>
        <v>9.6</v>
      </c>
      <c r="G357" s="11">
        <v>0.2075</v>
      </c>
      <c r="H357" s="9" t="str">
        <f t="shared" si="277"/>
        <v>8.65</v>
      </c>
      <c r="I357" s="11">
        <v>0.2014</v>
      </c>
      <c r="J357" s="9" t="str">
        <f>HYPERLINK("https://www.greenweez.com/produit/raisins-sultanines-bio-500g/2WEEZ0006","9.9")</f>
        <v>9.9</v>
      </c>
      <c r="K357" s="11">
        <v>0.0102</v>
      </c>
      <c r="L357" s="7" t="str">
        <f t="shared" si="278"/>
        <v>6.13</v>
      </c>
      <c r="M357" s="2"/>
      <c r="N357" s="16">
        <v>888888.0</v>
      </c>
      <c r="O357" s="2"/>
      <c r="P357" s="1" t="s">
        <v>372</v>
      </c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1" t="s">
        <v>598</v>
      </c>
      <c r="B358" s="7" t="str">
        <f>HYPERLINK("https://lafourche.fr/products/la-fourche-250g-de-cranberries-en-vrac-bio","14.36")</f>
        <v>14.36</v>
      </c>
      <c r="C358" s="10">
        <v>0.0</v>
      </c>
      <c r="D358" s="9" t="str">
        <f>HYPERLINK("https://www.biocoop.fr/magasin-biocoop_champollion/cranberry-sechee-canada-bio-ag3039-000.html","15.5")</f>
        <v>15.5</v>
      </c>
      <c r="E358" s="10">
        <v>0.0</v>
      </c>
      <c r="F358" s="9" t="str">
        <f>HYPERLINK("https://www.biocoop.fr/magasin-biocoop_fontaine/cranberry-sechee-canada-bio-ag3039-000.html","15.9")</f>
        <v>15.9</v>
      </c>
      <c r="G358" s="11">
        <v>0.0258</v>
      </c>
      <c r="H358" s="9" t="str">
        <f>HYPERLINK("https://satoriz-comboire.bio/collections/vrac/products/ag0479","15.75")</f>
        <v>15.75</v>
      </c>
      <c r="I358" s="11">
        <v>0.0362</v>
      </c>
      <c r="J358" s="9" t="str">
        <f>HYPERLINK("https://www.greenweez.com/produit/cranberries-demies-bio-500g/2WEEZ0368","14.96")</f>
        <v>14.96</v>
      </c>
      <c r="K358" s="17">
        <v>-1.0</v>
      </c>
      <c r="L358" s="9" t="str">
        <f>HYPERLINK("https://metabase.lelefan.org/public/dashboard/53c41f3f-5644-466e-935e-897e7725f6bc?rayon=&amp;d%25C3%25A9signation=CANNEBERGE VRAC&amp;fournisseur=&amp;date_d%25C3%25A9but=&amp;date_fin=","19.77")</f>
        <v>19.77</v>
      </c>
      <c r="M358" s="2"/>
      <c r="N358" s="16">
        <v>888888.0</v>
      </c>
      <c r="O358" s="2"/>
      <c r="P358" s="1" t="s">
        <v>372</v>
      </c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1" t="s">
        <v>599</v>
      </c>
      <c r="B359" s="7" t="str">
        <f>HYPERLINK("https://lafourche.fr/products/la-fourche-abricots-seches-bio-2-5kg","11.78")</f>
        <v>11.78</v>
      </c>
      <c r="C359" s="2"/>
      <c r="D359" s="9" t="str">
        <f t="shared" ref="D359:D360" si="279">HYPERLINK("https://www.biocoop.fr/magasin-biocoop_champollion/abricots-secs-n-2-turquie-bio-ag3029-000.html","15.2")</f>
        <v>15.2</v>
      </c>
      <c r="E359" s="2"/>
      <c r="F359" s="9" t="str">
        <f t="shared" ref="F359:F360" si="280">HYPERLINK("https://www.biocoop.fr/magasin-biocoop_fontaine/abricots-secs-n-2-turquie-bio-ag3029-000.html","15.0")</f>
        <v>15.0</v>
      </c>
      <c r="G359" s="2"/>
      <c r="H359" s="9" t="str">
        <f t="shared" ref="H359:H360" si="281">HYPERLINK("https://satoriz-comboire.bio/products/ag363","14.15")</f>
        <v>14.15</v>
      </c>
      <c r="I359" s="2"/>
      <c r="J359" s="9" t="str">
        <f t="shared" ref="J359:J360" si="282">HYPERLINK("https://www.greenweez.com/produit/abricots-secs-bruns-bio-500g/2WEEZ0252","15.88")</f>
        <v>15.88</v>
      </c>
      <c r="K359" s="2"/>
      <c r="L359" s="9" t="str">
        <f t="shared" ref="L359:L360" si="283">HYPERLINK("https://metabase.lelefan.org/public/dashboard/53c41f3f-5644-466e-935e-897e7725f6bc?rayon=&amp;d%25C3%25A9signation=ABRICOT SEC OUZBEKISTAN ENTIER VRAC&amp;fournisseur=&amp;date_d%25C3%25A9but=&amp;date_fin=","13.78")</f>
        <v>13.78</v>
      </c>
      <c r="M359" s="2"/>
      <c r="N359" s="16">
        <v>888888.0</v>
      </c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1" t="s">
        <v>599</v>
      </c>
      <c r="B360" s="7" t="str">
        <f>HYPERLINK("https://lafourche.fr/products/la-fourche-abricots-bruns-bio-en-vrac-0-5kg","12.4")</f>
        <v>12.4</v>
      </c>
      <c r="C360" s="2"/>
      <c r="D360" s="9" t="str">
        <f t="shared" si="279"/>
        <v>15.2</v>
      </c>
      <c r="E360" s="2"/>
      <c r="F360" s="9" t="str">
        <f t="shared" si="280"/>
        <v>15.0</v>
      </c>
      <c r="G360" s="2"/>
      <c r="H360" s="9" t="str">
        <f t="shared" si="281"/>
        <v>14.15</v>
      </c>
      <c r="I360" s="2"/>
      <c r="J360" s="9" t="str">
        <f t="shared" si="282"/>
        <v>15.88</v>
      </c>
      <c r="K360" s="2"/>
      <c r="L360" s="9" t="str">
        <f t="shared" si="283"/>
        <v>13.78</v>
      </c>
      <c r="M360" s="2"/>
      <c r="N360" s="16">
        <v>888888.0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1" t="s">
        <v>600</v>
      </c>
      <c r="B361" s="7" t="str">
        <f>HYPERLINK("https://lafourche.fr/products/la-fourche-figues-calabacita-bio-en-vrac-1kg","8.5")</f>
        <v>8.5</v>
      </c>
      <c r="C361" s="2"/>
      <c r="D361" s="9" t="str">
        <f>HYPERLINK("https://www.biocoop.fr/magasin-biocoop_champollion/figue-lerida-n-3-bio-ag3044-000.html","15.9")</f>
        <v>15.9</v>
      </c>
      <c r="E361" s="2"/>
      <c r="F361" s="9" t="str">
        <f>HYPERLINK("https://www.biocoop.fr/magasin-biocoop_fontaine/figue-calabacita-espagne-250g-by1176-000.html","16.6")</f>
        <v>16.6</v>
      </c>
      <c r="G361" s="2"/>
      <c r="H361" s="9" t="str">
        <f>HYPERLINK("https://satoriz-comboire.bio/products/nop2","13.75")</f>
        <v>13.75</v>
      </c>
      <c r="I361" s="2"/>
      <c r="J361" s="9" t="str">
        <f>HYPERLINK("https://www.greenweez.com/produit/figuettes-despagne-200g/1LADS0067","888888")</f>
        <v>888888</v>
      </c>
      <c r="K361" s="2"/>
      <c r="L361" s="16">
        <v>888888.0</v>
      </c>
      <c r="M361" s="2"/>
      <c r="N361" s="16">
        <v>888888.0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1" t="s">
        <v>601</v>
      </c>
      <c r="B362" s="9" t="str">
        <f>HYPERLINK("https://lafourche.fr/products/lou-prunel-pruneaux-dagen-bio-tres-gros-44-55-500-gr-bio","13.4")</f>
        <v>13.4</v>
      </c>
      <c r="C362" s="2"/>
      <c r="D362" s="9" t="str">
        <f>HYPERLINK("https://www.biocoop.fr/magasin-biocoop_champollion/pruneau-d-agen-tres-gros-250g-cc0032-000.html","19.32")</f>
        <v>19.32</v>
      </c>
      <c r="E362" s="2"/>
      <c r="F362" s="9" t="str">
        <f>HYPERLINK("https://www.biocoop.fr/magasin-biocoop_fontaine/pruneau-agen-rehydrate-geant-500g-cc0033-000.html","14.4")</f>
        <v>14.4</v>
      </c>
      <c r="G362" s="2"/>
      <c r="H362" s="7" t="str">
        <f>HYPERLINK("https://satoriz-comboire.bio/products/fon056","9.4")</f>
        <v>9.4</v>
      </c>
      <c r="I362" s="2"/>
      <c r="J362" s="9" t="str">
        <f>HYPERLINK("https://www.greenweez.com/produit/pruneaux-dagen-sud-ouest-gros-500g/1LADS0034","14.26")</f>
        <v>14.26</v>
      </c>
      <c r="K362" s="2"/>
      <c r="L362" s="9" t="str">
        <f>HYPERLINK("https://metabase.lelefan.org/public/dashboard/53c41f3f-5644-466e-935e-897e7725f6bc?rayon=&amp;d%25C3%25A9signation=PRUNEAUX D AGEN ENTIERS CAL 33/44&amp;fournisseur=&amp;date_d%25C3%25A9but=&amp;date_fin=","11.48")</f>
        <v>11.48</v>
      </c>
      <c r="M362" s="2"/>
      <c r="N362" s="16">
        <v>888888.0</v>
      </c>
      <c r="O362" s="2"/>
      <c r="P362" s="1" t="s">
        <v>247</v>
      </c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1" t="s">
        <v>602</v>
      </c>
      <c r="B363" s="7" t="str">
        <f>HYPERLINK("https://lafourche.fr/products/lou-prunel-pruneaux-dagen-bio-denoyautes-44-55-500-gr-bio","14.18")</f>
        <v>14.18</v>
      </c>
      <c r="C363" s="2"/>
      <c r="D363" s="9" t="str">
        <f>HYPERLINK("https://www.biocoop.fr/magasin-biocoop_champollion/pruneau-agen-denoyaute-tres-gros-500g-lo0051-000.html","21.7")</f>
        <v>21.7</v>
      </c>
      <c r="E363" s="2"/>
      <c r="F363" s="9" t="str">
        <f>HYPERLINK("https://www.biocoop.fr/magasin-biocoop_fontaine/pruneau-d-agen-denoyaute-tres-gros-250g-lo0050-000.html","23.96")</f>
        <v>23.96</v>
      </c>
      <c r="G363" s="2"/>
      <c r="H363" s="9" t="str">
        <f>HYPERLINK("https://satoriz-comboire.bio/collections/epicerie-sucree/products/fon063","15.4")</f>
        <v>15.4</v>
      </c>
      <c r="I363" s="2"/>
      <c r="J363" s="9" t="str">
        <f>HYPERLINK("https://www.greenweez.com/produit/pruneaux-bio-denoyautes-55-66-500g/1LOUP0004","19.3")</f>
        <v>19.3</v>
      </c>
      <c r="K363" s="2"/>
      <c r="L363" s="9" t="str">
        <f>HYPERLINK("https://metabase.lelefan.org/public/dashboard/53c41f3f-5644-466e-935e-897e7725f6bc?rayon=&amp;d%25C3%25A9signation=PRUNEAUX D AGEN DENOYAUTES&amp;fournisseur=&amp;date_d%25C3%25A9but=&amp;date_fin=","888888")</f>
        <v>888888</v>
      </c>
      <c r="M363" s="2"/>
      <c r="N363" s="16">
        <v>888888.0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1" t="s">
        <v>603</v>
      </c>
      <c r="B364" s="7" t="str">
        <f>HYPERLINK("https://lafourche.fr/products/pepite-dattes-fraiches-mazafati-iran-boite-de-500-g-bio","9.98")</f>
        <v>9.98</v>
      </c>
      <c r="C364" s="2"/>
      <c r="D364" s="9" t="str">
        <f>HYPERLINK("https://www.biocoop.fr/magasin-biocoop_champollion/datte-mazafati-barquette-fel2264-000-iran.html","888888")</f>
        <v>888888</v>
      </c>
      <c r="E364" s="2"/>
      <c r="F364" s="9" t="str">
        <f>HYPERLINK("https://www.biocoop.fr/magasin-biocoop_fontaine/datte-mazafati-barquette-fel2264-000-iran.html","13.8")</f>
        <v>13.8</v>
      </c>
      <c r="G364" s="2"/>
      <c r="H364" s="9" t="str">
        <f>HYPERLINK("https://satoriz-comboire.bio/products/nop1","11.5")</f>
        <v>11.5</v>
      </c>
      <c r="I364" s="2"/>
      <c r="J364" s="9" t="str">
        <f>HYPERLINK("https://www.greenweez.com/produit/dattes-fraiches-mazafati-iran-500g/1DPFS0099","11.58")</f>
        <v>11.58</v>
      </c>
      <c r="K364" s="2"/>
      <c r="L364" s="9" t="str">
        <f>HYPERLINK("https://metabase.lelefan.org/public/dashboard/53c41f3f-5644-466e-935e-897e7725f6bc?rayon=&amp;d%25C3%25A9signation=DATTES BIO MAZAFATI 500G&amp;fournisseur=&amp;date_d%25C3%25A9but=&amp;date_fin=","14.24")</f>
        <v>14.24</v>
      </c>
      <c r="M364" s="2"/>
      <c r="N364" s="16">
        <v>888888.0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1" t="s">
        <v>604</v>
      </c>
      <c r="B365" s="7" t="str">
        <f t="shared" ref="B365:B366" si="284">HYPERLINK("https://lafourche.fr/products/la-fourche-dattes-deglet-nour-non-branchees-bio-en-vrac-0-5kg","5.98")</f>
        <v>5.98</v>
      </c>
      <c r="C365" s="2"/>
      <c r="D365" s="16">
        <v>888888.0</v>
      </c>
      <c r="E365" s="2"/>
      <c r="F365" s="16">
        <v>888888.0</v>
      </c>
      <c r="G365" s="2"/>
      <c r="H365" s="9" t="str">
        <f t="shared" ref="H365:H366" si="285">HYPERLINK("https://satoriz-comboire.bio/products/mon4","6.3")</f>
        <v>6.3</v>
      </c>
      <c r="I365" s="2"/>
      <c r="J365" s="9" t="str">
        <f>HYPERLINK("https://www.greenweez.com/produit/dattes-deglet-nour-des-palmeraies-du-sud-tunisien-1kg/1DPFS0056","7.57")</f>
        <v>7.57</v>
      </c>
      <c r="K365" s="2"/>
      <c r="L365" s="16">
        <v>888888.0</v>
      </c>
      <c r="M365" s="2"/>
      <c r="N365" s="16">
        <v>888888.0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1" t="s">
        <v>605</v>
      </c>
      <c r="B366" s="7" t="str">
        <f t="shared" si="284"/>
        <v>5.98</v>
      </c>
      <c r="C366" s="2"/>
      <c r="D366" s="16">
        <v>888888.0</v>
      </c>
      <c r="E366" s="2"/>
      <c r="F366" s="16">
        <v>888888.0</v>
      </c>
      <c r="G366" s="2"/>
      <c r="H366" s="9" t="str">
        <f t="shared" si="285"/>
        <v>6.3</v>
      </c>
      <c r="I366" s="2"/>
      <c r="J366" s="9" t="str">
        <f>HYPERLINK("https://www.greenweez.com/produit/dattes-deglet-nour-en-ravier-500g/1RAPU0140","8.86")</f>
        <v>8.86</v>
      </c>
      <c r="K366" s="2"/>
      <c r="L366" s="16">
        <v>888888.0</v>
      </c>
      <c r="M366" s="2"/>
      <c r="N366" s="16">
        <v>888888.0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1" t="s">
        <v>606</v>
      </c>
      <c r="B367" s="7" t="str">
        <f>HYPERLINK("https://lafourche.fr/products/la-fourche-dattes-denoyautees-deglet-nour-bio-en-vrac-0-5kg","7.3")</f>
        <v>7.3</v>
      </c>
      <c r="C367" s="2"/>
      <c r="D367" s="16">
        <v>888888.0</v>
      </c>
      <c r="E367" s="2"/>
      <c r="F367" s="16">
        <v>888888.0</v>
      </c>
      <c r="G367" s="2"/>
      <c r="H367" s="16">
        <v>888888.0</v>
      </c>
      <c r="I367" s="2"/>
      <c r="J367" s="9" t="str">
        <f>HYPERLINK("https://www.greenweez.com/produit/dattes-bio-denoyautees-500g/2WEEZ0524","9.96")</f>
        <v>9.96</v>
      </c>
      <c r="K367" s="2"/>
      <c r="L367" s="16">
        <v>888888.0</v>
      </c>
      <c r="M367" s="2"/>
      <c r="N367" s="16">
        <v>888888.0</v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1" t="s">
        <v>607</v>
      </c>
      <c r="B368" s="9" t="str">
        <f>HYPERLINK("https://lafourche.fr/products/la-fourche-chips-de-banane-bio-1-5kg","6.6")</f>
        <v>6.6</v>
      </c>
      <c r="C368" s="2"/>
      <c r="D368" s="9" t="str">
        <f t="shared" ref="D368:D369" si="286">HYPERLINK("https://www.biocoop.fr/magasin-biocoop_champollion/banane-sechee-chips-philippines-bio-ag3007-000.html","888888")</f>
        <v>888888</v>
      </c>
      <c r="E368" s="2"/>
      <c r="F368" s="9" t="str">
        <f t="shared" ref="F368:F369" si="287">HYPERLINK("https://www.biocoop.fr/magasin-biocoop_fontaine/banane-sechee-chips-philippines-bio-ag3007-000.html","9.0")</f>
        <v>9.0</v>
      </c>
      <c r="G368" s="2"/>
      <c r="H368" s="16">
        <v>888888.0</v>
      </c>
      <c r="I368" s="2"/>
      <c r="J368" s="9" t="str">
        <f>HYPERLINK("https://www.greenweez.com/produit/banane-chips-bio-1kg/2WEEZ0575","6.78")</f>
        <v>6.78</v>
      </c>
      <c r="K368" s="2"/>
      <c r="L368" s="7" t="str">
        <f t="shared" ref="L368:L369" si="288">HYPERLINK("https://metabase.lelefan.org/public/dashboard/53c41f3f-5644-466e-935e-897e7725f6bc?rayon=&amp;d%25C3%25A9signation=BANANE CHIPS VRAC&amp;fournisseur=&amp;date_d%25C3%25A9but=&amp;date_fin=","6.27")</f>
        <v>6.27</v>
      </c>
      <c r="M368" s="2"/>
      <c r="N368" s="16">
        <v>888888.0</v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1" t="s">
        <v>607</v>
      </c>
      <c r="B369" s="9" t="str">
        <f>HYPERLINK("https://lafourche.fr/products/la-fourche-chips-de-banane-bio-en-vrac-0-5kg","7.9")</f>
        <v>7.9</v>
      </c>
      <c r="C369" s="2"/>
      <c r="D369" s="9" t="str">
        <f t="shared" si="286"/>
        <v>888888</v>
      </c>
      <c r="E369" s="2"/>
      <c r="F369" s="9" t="str">
        <f t="shared" si="287"/>
        <v>9.0</v>
      </c>
      <c r="G369" s="2"/>
      <c r="H369" s="16">
        <v>888888.0</v>
      </c>
      <c r="I369" s="2"/>
      <c r="J369" s="16">
        <v>888888.0</v>
      </c>
      <c r="K369" s="2"/>
      <c r="L369" s="7" t="str">
        <f t="shared" si="288"/>
        <v>6.27</v>
      </c>
      <c r="M369" s="2"/>
      <c r="N369" s="16">
        <v>888888.0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1" t="s">
        <v>608</v>
      </c>
      <c r="B370" s="9" t="str">
        <f>HYPERLINK("https://lafourche.fr/products/la-fourche-gingembre-confit-cubes-bio-en-vrac-0-5kg","11.78")</f>
        <v>11.78</v>
      </c>
      <c r="C370" s="2"/>
      <c r="D370" s="9" t="str">
        <f>HYPERLINK("https://www.biocoop.fr/magasin-biocoop_champollion/gingembre-confit-cube-bio-ft2031-000.html","12.9")</f>
        <v>12.9</v>
      </c>
      <c r="E370" s="2"/>
      <c r="F370" s="9" t="str">
        <f>HYPERLINK("https://www.biocoop.fr/magasin-biocoop_fontaine/gingembre-confit-cube-bio-ft2031-000.html","12.6")</f>
        <v>12.6</v>
      </c>
      <c r="G370" s="2"/>
      <c r="H370" s="7" t="str">
        <f>HYPERLINK("https://satoriz-comboire.bio/products/ag0509","11.25")</f>
        <v>11.25</v>
      </c>
      <c r="I370" s="2"/>
      <c r="J370" s="9" t="str">
        <f>HYPERLINK("https://www.greenweez.com/produit/gingembre-confit-cube-500g/2WEEZ0371","12.96")</f>
        <v>12.96</v>
      </c>
      <c r="K370" s="2"/>
      <c r="L370" s="9" t="str">
        <f>HYPERLINK("https://metabase.lelefan.org/public/dashboard/53c41f3f-5644-466e-935e-897e7725f6bc?rayon=&amp;d%25C3%25A9signation=GINGEMBRE CONFIT EN CUBE VRAC&amp;fournisseur=&amp;date_d%25C3%25A9but=&amp;date_fin=","17.39")</f>
        <v>17.39</v>
      </c>
      <c r="M370" s="2"/>
      <c r="N370" s="16">
        <v>888888.0</v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5" t="s">
        <v>609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1" t="s">
        <v>610</v>
      </c>
      <c r="B372" s="7" t="str">
        <f>HYPERLINK("https://lafourche.fr/products/biosoleil-madeleine-pur-beurre-x9-bio-0-23kg","16.3")</f>
        <v>16.3</v>
      </c>
      <c r="C372" s="2"/>
      <c r="D372" s="9" t="str">
        <f>HYPERLINK("https://www.biocoop.fr/magasin-biocoop_champollion/madeleines-ro1103-000.html","22.29")</f>
        <v>22.29</v>
      </c>
      <c r="E372" s="2"/>
      <c r="F372" s="9" t="str">
        <f>HYPERLINK("https://www.biocoop.fr/magasin-biocoop_fontaine/madeleines-ro1103-000.html","23.47")</f>
        <v>23.47</v>
      </c>
      <c r="G372" s="2"/>
      <c r="H372" s="9" t="str">
        <f>HYPERLINK("https://satoriz-comboire.bio/products/al2203","20.25")</f>
        <v>20.25</v>
      </c>
      <c r="I372" s="2"/>
      <c r="J372" s="9" t="str">
        <f>HYPERLINK("https://www.greenweez.com/produit/madeleines-pur-beurre-x9-200g/8BIOS0075","22.4")</f>
        <v>22.4</v>
      </c>
      <c r="K372" s="2"/>
      <c r="L372" s="16">
        <v>888888.0</v>
      </c>
      <c r="M372" s="2"/>
      <c r="N372" s="16">
        <v>888888.0</v>
      </c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1" t="s">
        <v>611</v>
      </c>
      <c r="B373" s="9" t="str">
        <f>HYPERLINK("https://lafourche.fr/products/biosoleil-madeleines-sans-beurre-180g","16.61")</f>
        <v>16.61</v>
      </c>
      <c r="C373" s="2"/>
      <c r="D373" s="7" t="str">
        <f>HYPERLINK("https://www.biocoop.fr/magasin-biocoop_champollion/madeleine-sans-beurre-400g-sm3001-000.html","9.98")</f>
        <v>9.98</v>
      </c>
      <c r="E373" s="2"/>
      <c r="F373" s="7" t="str">
        <f>HYPERLINK("https://www.biocoop.fr/magasin-biocoop_fontaine/madeleine-sans-beurre-400g-sm3001-000.html","9.98")</f>
        <v>9.98</v>
      </c>
      <c r="G373" s="2"/>
      <c r="H373" s="9" t="str">
        <f>HYPERLINK("https://satoriz-comboire.bio/products/al0221","17.5")</f>
        <v>17.5</v>
      </c>
      <c r="I373" s="2"/>
      <c r="J373" s="9" t="str">
        <f>HYPERLINK("https://www.greenweez.com/produit/specialite-de-madeleines-sans-beurre-x8/8BIOS0002","19.33")</f>
        <v>19.33</v>
      </c>
      <c r="K373" s="2"/>
      <c r="L373" s="9" t="str">
        <f>HYPERLINK("https://metabase.lelefan.org/public/dashboard/53c41f3f-5644-466e-935e-897e7725f6bc?rayon=&amp;d%25C3%25A9signation=MADELEINES&amp;fournisseur=&amp;date_d%25C3%25A9but=&amp;date_fin=","24.11")</f>
        <v>24.11</v>
      </c>
      <c r="M373" s="2"/>
      <c r="N373" s="7" t="str">
        <f>HYPERLINK("https://fd11-courses.leclercdrive.fr/magasin-063801-063801-Echirolles---Comboire/fiche-produits-23226-Madeleines-bio-Bio-Village.aspx","7.56")</f>
        <v>7.56</v>
      </c>
      <c r="O373" s="2"/>
      <c r="P373" s="1" t="s">
        <v>91</v>
      </c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1" t="s">
        <v>612</v>
      </c>
      <c r="B374" s="7" t="str">
        <f>HYPERLINK("https://lafourche.fr/products/celiane-madeleines-pepites-chocolat-bio-0-18kg","21.94")</f>
        <v>21.94</v>
      </c>
      <c r="C374" s="2"/>
      <c r="D374" s="9" t="str">
        <f>HYPERLINK("https://www.biocoop.fr/magasin-biocoop_champollion/madeleine-chocolat-6-180g-al3022-000.html","26.39")</f>
        <v>26.39</v>
      </c>
      <c r="E374" s="2"/>
      <c r="F374" s="9" t="str">
        <f>HYPERLINK("https://www.biocoop.fr/magasin-biocoop_fontaine/madeleine-chocolat-6-180g-al3022-000.html","25.56")</f>
        <v>25.56</v>
      </c>
      <c r="G374" s="2"/>
      <c r="H374" s="9" t="str">
        <f>HYPERLINK("https://satoriz-comboire.bio/products/re37288","25.83")</f>
        <v>25.83</v>
      </c>
      <c r="I374" s="2"/>
      <c r="J374" s="9" t="str">
        <f>HYPERLINK("https://www.greenweez.com/produit/madeleines-pepites-de-chocolat-sans-gluten-180g/1RECE0035","23.78")</f>
        <v>23.78</v>
      </c>
      <c r="K374" s="2"/>
      <c r="L374" s="16">
        <v>888888.0</v>
      </c>
      <c r="M374" s="2"/>
      <c r="N374" s="16">
        <v>888888.0</v>
      </c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5" t="s">
        <v>613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1" t="s">
        <v>614</v>
      </c>
      <c r="B376" s="9" t="str">
        <f>HYPERLINK("https://lafourche.fr/products/la-fourche-sirop-d-agave-bio-0-5l","9.5")</f>
        <v>9.5</v>
      </c>
      <c r="C376" s="8">
        <v>-0.0481</v>
      </c>
      <c r="D376" s="9" t="str">
        <f>HYPERLINK("https://www.biocoop.fr/magasin-biocoop_champollion/sirop-agave-690g-na6021-000.html","10.13")</f>
        <v>10.13</v>
      </c>
      <c r="E376" s="10">
        <v>0.0</v>
      </c>
      <c r="F376" s="9" t="str">
        <f>HYPERLINK("https://www.biocoop.fr/magasin-biocoop_fontaine/sirop-agave-690g-na6021-000.html","10.13")</f>
        <v>10.13</v>
      </c>
      <c r="G376" s="10">
        <v>0.0</v>
      </c>
      <c r="H376" s="7" t="str">
        <f>HYPERLINK("https://satoriz-comboire.bio/collections/epicerie-sucree/products/re39977","8.48")</f>
        <v>8.48</v>
      </c>
      <c r="I376" s="10">
        <v>0.0</v>
      </c>
      <c r="J376" s="9" t="str">
        <f>HYPERLINK("https://www.greenweez.com/produit/sirop-dagave-690g/1PHIL4026","9.99")</f>
        <v>9.99</v>
      </c>
      <c r="K376" s="8">
        <v>-0.0943</v>
      </c>
      <c r="L376" s="9" t="str">
        <f>HYPERLINK("https://metabase.lelefan.org/public/dashboard/53c41f3f-5644-466e-935e-897e7725f6bc?rayon=&amp;d%25C3%25A9signation=SIROP D AGAVE 330G&amp;fournisseur=&amp;date_d%25C3%25A9but=&amp;date_fin=","11.3")</f>
        <v>11.3</v>
      </c>
      <c r="M376" s="2"/>
      <c r="N376" s="7" t="str">
        <f>HYPERLINK("https://fd11-courses.leclercdrive.fr/magasin-063801-063801-Echirolles---Comboire/fiche-produits-39550-Sirop-dagave-bio-Bio-Village.aspx","6.49")</f>
        <v>6.49</v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5" t="s">
        <v>615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1" t="s">
        <v>616</v>
      </c>
      <c r="B378" s="7" t="str">
        <f>HYPERLINK("https://lafourche.fr/products/la-fourche-farine-de-ble-bio-t65-2-5kg","1.32")</f>
        <v>1.32</v>
      </c>
      <c r="C378" s="11">
        <v>0.0233</v>
      </c>
      <c r="D378" s="9" t="str">
        <f t="shared" ref="D378:D379" si="289">HYPERLINK("https://www.biocoop.fr/magasin-biocoop_champollion/farine-de-ble-t65-bio-dm3003-000.html","1.75")</f>
        <v>1.75</v>
      </c>
      <c r="E378" s="10">
        <v>0.0</v>
      </c>
      <c r="F378" s="9" t="str">
        <f t="shared" ref="F378:F379" si="290">HYPERLINK("https://www.biocoop.fr/magasin-biocoop_fontaine/farine-de-ble-t65-bio-dm3003-000.html","1.49")</f>
        <v>1.49</v>
      </c>
      <c r="G378" s="8">
        <v>-0.057</v>
      </c>
      <c r="H378" s="9" t="str">
        <f t="shared" ref="H378:H379" si="291">HYPERLINK("https://satoriz-comboire.bio/collections/epicerie-salee/products/pi65","1.7")</f>
        <v>1.7</v>
      </c>
      <c r="I378" s="8">
        <v>-0.0811</v>
      </c>
      <c r="J378" s="9" t="str">
        <f>HYPERLINK("https://www.greenweez.com/produit/farine-de-ble-t65-meule-france-bio-2-5kg/2WEEZ0239","1.76")</f>
        <v>1.76</v>
      </c>
      <c r="K378" s="8">
        <v>-0.0688</v>
      </c>
      <c r="L378" s="9" t="str">
        <f t="shared" ref="L378:L379" si="292">HYPERLINK("https://metabase.lelefan.org/public/dashboard/53c41f3f-5644-466e-935e-897e7725f6bc?rayon=&amp;d%25C3%25A9signation=FARINE T65 VRAC&amp;fournisseur=&amp;date_d%25C3%25A9but=&amp;date_fin=","1.48")</f>
        <v>1.48</v>
      </c>
      <c r="M378" s="2"/>
      <c r="N378" s="9" t="str">
        <f t="shared" ref="N378:N379" si="293">HYPERLINK("https://fd11-courses.leclercdrive.fr/magasin-063801-063801-Echirolles---Comboire/fiche-produits-5125-Farine-ble-bio-Bio-Village.aspx","888888")</f>
        <v>888888</v>
      </c>
      <c r="O378" s="2"/>
      <c r="P378" s="1" t="s">
        <v>175</v>
      </c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1" t="s">
        <v>617</v>
      </c>
      <c r="B379" s="7" t="str">
        <f>HYPERLINK("https://lafourche.fr/products/la-fourche-farine-de-ble-t65-bio-1kg-papier","1.35")</f>
        <v>1.35</v>
      </c>
      <c r="C379" s="11">
        <v>0.0465</v>
      </c>
      <c r="D379" s="9" t="str">
        <f t="shared" si="289"/>
        <v>1.75</v>
      </c>
      <c r="E379" s="10">
        <v>0.0</v>
      </c>
      <c r="F379" s="9" t="str">
        <f t="shared" si="290"/>
        <v>1.49</v>
      </c>
      <c r="G379" s="8">
        <v>-0.057</v>
      </c>
      <c r="H379" s="9" t="str">
        <f t="shared" si="291"/>
        <v>1.7</v>
      </c>
      <c r="I379" s="8">
        <v>-0.0811</v>
      </c>
      <c r="J379" s="9" t="str">
        <f>HYPERLINK("https://www.greenweez.com/produit/farine-de-ble-t65-meule-bio-france-1kg/2WEEZ0081","888888")</f>
        <v>888888</v>
      </c>
      <c r="K379" s="18" t="s">
        <v>56</v>
      </c>
      <c r="L379" s="9" t="str">
        <f t="shared" si="292"/>
        <v>1.48</v>
      </c>
      <c r="M379" s="2"/>
      <c r="N379" s="9" t="str">
        <f t="shared" si="293"/>
        <v>888888</v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1" t="s">
        <v>618</v>
      </c>
      <c r="B380" s="9" t="str">
        <f>HYPERLINK("https://lafourche.fr/products/la-fourche-farine-de-ble-t110-bio-2-5kg","1.6")</f>
        <v>1.6</v>
      </c>
      <c r="C380" s="11">
        <v>0.0063</v>
      </c>
      <c r="D380" s="9" t="str">
        <f t="shared" ref="D380:D381" si="294">HYPERLINK("https://www.biocoop.fr/magasin-biocoop_champollion/farine-de-ble-t110-1kg-br0212-000.html","2.8")</f>
        <v>2.8</v>
      </c>
      <c r="E380" s="10">
        <v>0.0</v>
      </c>
      <c r="F380" s="9" t="str">
        <f t="shared" ref="F380:F381" si="295">HYPERLINK("https://www.biocoop.fr/magasin-biocoop_fontaine/farine-de-ble-t110-1kg-br0212-000.html","2.79")</f>
        <v>2.79</v>
      </c>
      <c r="G380" s="10">
        <v>0.0</v>
      </c>
      <c r="H380" s="9" t="str">
        <f t="shared" ref="H380:H381" si="296">HYPERLINK("https://satoriz-comboire.bio/collections/epicerie-salee/products/pi110","1.65")</f>
        <v>1.65</v>
      </c>
      <c r="I380" s="8">
        <v>-0.1316</v>
      </c>
      <c r="J380" s="9" t="str">
        <f>HYPERLINK("https://www.greenweez.com/produit/farine-de-ble-demi-complete-t110-2-5kg/1MOUL0318","2.2")</f>
        <v>2.2</v>
      </c>
      <c r="K380" s="11">
        <v>0.0329</v>
      </c>
      <c r="L380" s="7" t="str">
        <f t="shared" ref="L380:L381" si="297">HYPERLINK("https://metabase.lelefan.org/public/dashboard/53c41f3f-5644-466e-935e-897e7725f6bc?rayon=&amp;d%25C3%25A9signation=FARINE T120 VRAC&amp;fournisseur=&amp;date_d%25C3%25A9but=&amp;date_fin=","1.58")</f>
        <v>1.58</v>
      </c>
      <c r="M380" s="2"/>
      <c r="N380" s="7" t="str">
        <f t="shared" ref="N380:N381" si="298">HYPERLINK("https://fd11-courses.leclercdrive.fr/magasin-063801-063801-Echirolles---Comboire/fiche-produits-121699-Farine-semi-complete-Bio.aspx","1.4")</f>
        <v>1.4</v>
      </c>
      <c r="O380" s="2"/>
      <c r="P380" s="1" t="s">
        <v>501</v>
      </c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1" t="s">
        <v>619</v>
      </c>
      <c r="B381" s="9" t="str">
        <f>HYPERLINK("https://lafourche.fr/products/la-fourche-farine-de-ble-bio-t110-1kg","1.75")</f>
        <v>1.75</v>
      </c>
      <c r="C381" s="11">
        <v>0.1006</v>
      </c>
      <c r="D381" s="9" t="str">
        <f t="shared" si="294"/>
        <v>2.8</v>
      </c>
      <c r="E381" s="10">
        <v>0.0</v>
      </c>
      <c r="F381" s="9" t="str">
        <f t="shared" si="295"/>
        <v>2.79</v>
      </c>
      <c r="G381" s="10">
        <v>0.0</v>
      </c>
      <c r="H381" s="9" t="str">
        <f t="shared" si="296"/>
        <v>1.65</v>
      </c>
      <c r="I381" s="8">
        <v>-0.1316</v>
      </c>
      <c r="J381" s="9" t="str">
        <f>HYPERLINK("https://www.greenweez.com/produit/farine-de-ble-bio-t110-1kg/2WEEZ0486","2.18")</f>
        <v>2.18</v>
      </c>
      <c r="K381" s="11">
        <v>0.0235</v>
      </c>
      <c r="L381" s="7" t="str">
        <f t="shared" si="297"/>
        <v>1.58</v>
      </c>
      <c r="M381" s="2"/>
      <c r="N381" s="7" t="str">
        <f t="shared" si="298"/>
        <v>1.4</v>
      </c>
      <c r="O381" s="2"/>
      <c r="P381" s="1" t="s">
        <v>501</v>
      </c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1" t="s">
        <v>620</v>
      </c>
      <c r="B382" s="7" t="str">
        <f t="shared" ref="B382:B383" si="299">HYPERLINK("https://lafourche.fr/products/la-fourche-farine-de-seigle-bio-1kg","1.74")</f>
        <v>1.74</v>
      </c>
      <c r="C382" s="8">
        <v>-0.1982</v>
      </c>
      <c r="D382" s="9" t="str">
        <f t="shared" ref="D382:D383" si="300">HYPERLINK("https://www.biocoop.fr/magasin-biocoop_champollion/farine-de-seigle-t130-1kg-br0213-000.html","2.83")</f>
        <v>2.83</v>
      </c>
      <c r="E382" s="10">
        <v>0.0</v>
      </c>
      <c r="F382" s="9" t="str">
        <f t="shared" ref="F382:F383" si="301">HYPERLINK("https://www.biocoop.fr/magasin-biocoop_fontaine/farine-de-seigle-t130-1kg-br0213-000.html","2.85")</f>
        <v>2.85</v>
      </c>
      <c r="G382" s="10">
        <v>0.0</v>
      </c>
      <c r="H382" s="9" t="str">
        <f t="shared" ref="H382:H383" si="302">HYPERLINK("https://satoriz-comboire.bio/collections/epicerie-salee/products/seix1","2.05")</f>
        <v>2.05</v>
      </c>
      <c r="I382" s="10">
        <v>0.0</v>
      </c>
      <c r="J382" s="9" t="str">
        <f>HYPERLINK("https://www.greenweez.com/produit/farine-de-seigle-t130-bio-france-2-5kg/2WEEZ0238","1.94")</f>
        <v>1.94</v>
      </c>
      <c r="K382" s="10">
        <v>0.0</v>
      </c>
      <c r="L382" s="9" t="str">
        <f t="shared" ref="L382:L383" si="303">HYPERLINK("https://metabase.lelefan.org/public/dashboard/53c41f3f-5644-466e-935e-897e7725f6bc?rayon=&amp;d%25C3%25A9signation=FARINE DE SEIGLE&amp;fournisseur=&amp;date_d%25C3%25A9but=&amp;date_fin=","2.28")</f>
        <v>2.28</v>
      </c>
      <c r="M382" s="2"/>
      <c r="N382" s="16">
        <v>888888.0</v>
      </c>
      <c r="O382" s="2"/>
      <c r="P382" s="1" t="s">
        <v>91</v>
      </c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1" t="s">
        <v>621</v>
      </c>
      <c r="B383" s="7" t="str">
        <f t="shared" si="299"/>
        <v>1.74</v>
      </c>
      <c r="C383" s="8">
        <v>-0.1982</v>
      </c>
      <c r="D383" s="9" t="str">
        <f t="shared" si="300"/>
        <v>2.83</v>
      </c>
      <c r="E383" s="10">
        <v>0.0</v>
      </c>
      <c r="F383" s="9" t="str">
        <f t="shared" si="301"/>
        <v>2.85</v>
      </c>
      <c r="G383" s="10">
        <v>0.0</v>
      </c>
      <c r="H383" s="9" t="str">
        <f t="shared" si="302"/>
        <v>2.05</v>
      </c>
      <c r="I383" s="10">
        <v>0.0</v>
      </c>
      <c r="J383" s="9" t="str">
        <f>HYPERLINK("https://www.greenweez.com/produit/farine-de-seigle-t130-bio-france-1kg/2WEEZ0013","2.05")</f>
        <v>2.05</v>
      </c>
      <c r="K383" s="11">
        <v>0.0567</v>
      </c>
      <c r="L383" s="9" t="str">
        <f t="shared" si="303"/>
        <v>2.28</v>
      </c>
      <c r="M383" s="2"/>
      <c r="N383" s="16">
        <v>888888.0</v>
      </c>
      <c r="O383" s="2"/>
      <c r="P383" s="1" t="s">
        <v>91</v>
      </c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1" t="s">
        <v>622</v>
      </c>
      <c r="B384" s="9" t="str">
        <f t="shared" ref="B384:B385" si="304">HYPERLINK("https://lafourche.fr/products/celnat-farine-5-cereales-1kg","2.89")</f>
        <v>2.89</v>
      </c>
      <c r="C384" s="8">
        <v>-0.0103</v>
      </c>
      <c r="D384" s="9" t="str">
        <f t="shared" ref="D384:D385" si="305">HYPERLINK("https://www.biocoop.fr/magasin-biocoop_champollion/farine-de-5-cereales-t130-1kg-br0219-000.html","3.2")</f>
        <v>3.2</v>
      </c>
      <c r="E384" s="10">
        <v>0.0</v>
      </c>
      <c r="F384" s="9" t="str">
        <f t="shared" ref="F384:F385" si="306">HYPERLINK("https://www.biocoop.fr/magasin-biocoop_fontaine/farine-de-5-cereales-t130-1kg-br0219-000.html","3.2")</f>
        <v>3.2</v>
      </c>
      <c r="G384" s="10">
        <v>0.0</v>
      </c>
      <c r="H384" s="9" t="str">
        <f t="shared" ref="H384:H385" si="307">HYPERLINK("https://satoriz-comboire.bio/collections/epicerie-salee/products/cei03003","3.35")</f>
        <v>3.35</v>
      </c>
      <c r="I384" s="8">
        <v>-0.0147</v>
      </c>
      <c r="J384" s="9" t="str">
        <f>HYPERLINK("https://www.greenweez.com/produit/farine-complete-5-cereales-bio-3kg/5GREE0146","3.07")</f>
        <v>3.07</v>
      </c>
      <c r="K384" s="11">
        <v>0.0302</v>
      </c>
      <c r="L384" s="7" t="str">
        <f t="shared" ref="L384:L385" si="308">HYPERLINK("https://metabase.lelefan.org/public/dashboard/53c41f3f-5644-466e-935e-897e7725f6bc?rayon=&amp;d%25C3%25A9signation=FARINE MULTICEREALES VRAC&amp;fournisseur=&amp;date_d%25C3%25A9but=&amp;date_fin=","1.85")</f>
        <v>1.85</v>
      </c>
      <c r="M384" s="2"/>
      <c r="N384" s="16">
        <v>888888.0</v>
      </c>
      <c r="O384" s="2"/>
      <c r="P384" s="1" t="s">
        <v>91</v>
      </c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1" t="s">
        <v>622</v>
      </c>
      <c r="B385" s="9" t="str">
        <f t="shared" si="304"/>
        <v>2.89</v>
      </c>
      <c r="C385" s="8">
        <v>-0.0103</v>
      </c>
      <c r="D385" s="9" t="str">
        <f t="shared" si="305"/>
        <v>3.2</v>
      </c>
      <c r="E385" s="10">
        <v>0.0</v>
      </c>
      <c r="F385" s="9" t="str">
        <f t="shared" si="306"/>
        <v>3.2</v>
      </c>
      <c r="G385" s="10">
        <v>0.0</v>
      </c>
      <c r="H385" s="9" t="str">
        <f t="shared" si="307"/>
        <v>3.35</v>
      </c>
      <c r="I385" s="8">
        <v>-0.0147</v>
      </c>
      <c r="J385" s="9" t="str">
        <f>HYPERLINK("https://www.greenweez.com/produit/farine-complete-5-cereales-bio-1kg/1CELN0030","3.46")</f>
        <v>3.46</v>
      </c>
      <c r="K385" s="11">
        <v>0.1611</v>
      </c>
      <c r="L385" s="7" t="str">
        <f t="shared" si="308"/>
        <v>1.85</v>
      </c>
      <c r="M385" s="2"/>
      <c r="N385" s="16">
        <v>888888.0</v>
      </c>
      <c r="O385" s="2"/>
      <c r="P385" s="1" t="s">
        <v>91</v>
      </c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1" t="s">
        <v>623</v>
      </c>
      <c r="B386" s="7" t="str">
        <f>HYPERLINK("https://lafourche.fr/products/la-fourche-farine-de-sarrasin-bio-2-5kg","3.13")</f>
        <v>3.13</v>
      </c>
      <c r="C386" s="2"/>
      <c r="D386" s="9" t="str">
        <f t="shared" ref="D386:D387" si="309">HYPERLINK("https://www.biocoop.fr/magasin-biocoop_champollion/farine-de-sarrasin-1kg-al8025-000.html","6.65")</f>
        <v>6.65</v>
      </c>
      <c r="E386" s="2"/>
      <c r="F386" s="9" t="str">
        <f t="shared" ref="F386:F387" si="310">HYPERLINK("https://www.biocoop.fr/magasin-biocoop_fontaine/farine-de-sarrasin-t130-1kg-br0216-000.html","4.99")</f>
        <v>4.99</v>
      </c>
      <c r="G386" s="2"/>
      <c r="H386" s="9" t="str">
        <f>HYPERLINK("https://satoriz-comboire.bio/collections/epicerie-salee/products/eco1627","3.88")</f>
        <v>3.88</v>
      </c>
      <c r="I386" s="2"/>
      <c r="J386" s="9" t="str">
        <f>HYPERLINK("https://www.greenweez.com/produit/farine-de-sarrasin-bio-france-2-5kg/2WEEZ0240","3.74")</f>
        <v>3.74</v>
      </c>
      <c r="K386" s="2"/>
      <c r="L386" s="9" t="str">
        <f t="shared" ref="L386:L387" si="311">HYPERLINK("https://metabase.lelefan.org/public/dashboard/53c41f3f-5644-466e-935e-897e7725f6bc?rayon=&amp;d%25C3%25A9signation=FARINE T80 SARRASIN BISE VRAC&amp;fournisseur=&amp;date_d%25C3%25A9but=&amp;date_fin=","3.96")</f>
        <v>3.96</v>
      </c>
      <c r="M386" s="2"/>
      <c r="N386" s="16">
        <v>888888.0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1" t="s">
        <v>624</v>
      </c>
      <c r="B387" s="7" t="str">
        <f>HYPERLINK("https://lafourche.fr/products/la-fourche-farine-de-sarrasin-bio-1kg-papier","3.19")</f>
        <v>3.19</v>
      </c>
      <c r="C387" s="2"/>
      <c r="D387" s="9" t="str">
        <f t="shared" si="309"/>
        <v>6.65</v>
      </c>
      <c r="E387" s="2"/>
      <c r="F387" s="9" t="str">
        <f t="shared" si="310"/>
        <v>4.99</v>
      </c>
      <c r="G387" s="2"/>
      <c r="H387" s="9" t="str">
        <f>HYPERLINK("https://satoriz-comboire.bio/collections/epicerie-salee/products/eco894","4.75")</f>
        <v>4.75</v>
      </c>
      <c r="I387" s="2"/>
      <c r="J387" s="9" t="str">
        <f>HYPERLINK("https://www.greenweez.com/produit/farine-de-sarrasin-bio-france-1kg/2WEEZ0084","3.95")</f>
        <v>3.95</v>
      </c>
      <c r="K387" s="2"/>
      <c r="L387" s="9" t="str">
        <f t="shared" si="311"/>
        <v>3.96</v>
      </c>
      <c r="M387" s="2"/>
      <c r="N387" s="16">
        <v>888888.0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1" t="s">
        <v>625</v>
      </c>
      <c r="B388" s="7" t="str">
        <f>HYPERLINK("https://lafourche.fr/products/sans-detour-farine-complete-de-mais-bio-2-5kg","2.3")</f>
        <v>2.3</v>
      </c>
      <c r="C388" s="2"/>
      <c r="D388" s="9" t="str">
        <f t="shared" ref="D388:D389" si="312">HYPERLINK("https://www.biocoop.fr/magasin-biocoop_champollion/farine-de-mais-500g-al8026-000.html","4.3")</f>
        <v>4.3</v>
      </c>
      <c r="E388" s="2"/>
      <c r="F388" s="9" t="str">
        <f t="shared" ref="F388:F389" si="313">HYPERLINK("https://www.biocoop.fr/magasin-biocoop_fontaine/farine-de-mais-500g-ml1138-000.html","4.3")</f>
        <v>4.3</v>
      </c>
      <c r="G388" s="2"/>
      <c r="H388" s="9" t="str">
        <f t="shared" ref="H388:H389" si="314">HYPERLINK("https://satoriz-comboire.bio/collections/epicerie-salee/products/re42911","3.15")</f>
        <v>3.15</v>
      </c>
      <c r="I388" s="2"/>
      <c r="J388" s="9" t="str">
        <f t="shared" ref="J388:J389" si="315">HYPERLINK("https://www.greenweez.com/produit/farine-de-mais-500g/1MKAL0038","3.88")</f>
        <v>3.88</v>
      </c>
      <c r="K388" s="2"/>
      <c r="L388" s="9" t="str">
        <f t="shared" ref="L388:L389" si="316">HYPERLINK("https://metabase.lelefan.org/public/dashboard/53c41f3f-5644-466e-935e-897e7725f6bc?rayon=&amp;d%25C3%25A9signation=FARINE DE MAIS INTEGRALE VRAC&amp;fournisseur=&amp;date_d%25C3%25A9but=&amp;date_fin=","2.64")</f>
        <v>2.64</v>
      </c>
      <c r="M388" s="2"/>
      <c r="N388" s="16">
        <v>888888.0</v>
      </c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1" t="s">
        <v>626</v>
      </c>
      <c r="B389" s="7" t="str">
        <f>HYPERLINK("https://lafourche.fr/products/sans-detour-farine-complete-de-mais-bio-1kg","2.42")</f>
        <v>2.42</v>
      </c>
      <c r="C389" s="2"/>
      <c r="D389" s="9" t="str">
        <f t="shared" si="312"/>
        <v>4.3</v>
      </c>
      <c r="E389" s="2"/>
      <c r="F389" s="9" t="str">
        <f t="shared" si="313"/>
        <v>4.3</v>
      </c>
      <c r="G389" s="2"/>
      <c r="H389" s="9" t="str">
        <f t="shared" si="314"/>
        <v>3.15</v>
      </c>
      <c r="I389" s="2"/>
      <c r="J389" s="9" t="str">
        <f t="shared" si="315"/>
        <v>3.88</v>
      </c>
      <c r="K389" s="2"/>
      <c r="L389" s="9" t="str">
        <f t="shared" si="316"/>
        <v>2.64</v>
      </c>
      <c r="M389" s="2"/>
      <c r="N389" s="16">
        <v>888888.0</v>
      </c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1" t="s">
        <v>627</v>
      </c>
      <c r="B390" s="7" t="str">
        <f t="shared" ref="B390:B391" si="317">HYPERLINK("https://lafourche.fr/products/la-fourche-farine-de-riz-bio-1kg","3.56")</f>
        <v>3.56</v>
      </c>
      <c r="C390" s="2"/>
      <c r="D390" s="9" t="str">
        <f t="shared" ref="D390:D391" si="318">HYPERLINK("https://www.biocoop.fr/magasin-biocoop_champollion/farine-de-riz-nc2508-000.html","7.56")</f>
        <v>7.56</v>
      </c>
      <c r="E390" s="2"/>
      <c r="F390" s="9" t="str">
        <f t="shared" ref="F390:F391" si="319">HYPERLINK("https://www.biocoop.fr/magasin-biocoop_fontaine/farine-de-riz-nc2508-000.html","7.5")</f>
        <v>7.5</v>
      </c>
      <c r="G390" s="2"/>
      <c r="H390" s="9" t="str">
        <f t="shared" ref="H390:H391" si="320">HYPERLINK("https://satoriz-comboire.bio/products/eu9637","7.2")</f>
        <v>7.2</v>
      </c>
      <c r="I390" s="2"/>
      <c r="J390" s="9" t="str">
        <f>HYPERLINK("https://www.greenweez.com/produit/farine-de-riz-blanc-2-5kg/1MOUL0302","4.08")</f>
        <v>4.08</v>
      </c>
      <c r="K390" s="2"/>
      <c r="L390" s="9" t="str">
        <f t="shared" ref="L390:L391" si="321">HYPERLINK("https://metabase.lelefan.org/public/dashboard/53c41f3f-5644-466e-935e-897e7725f6bc?rayon=&amp;d%25C3%25A9signation=FARINE DE RIZ BLANCHE&amp;fournisseur=&amp;date_d%25C3%25A9but=&amp;date_fin=","5.3")</f>
        <v>5.3</v>
      </c>
      <c r="M390" s="2"/>
      <c r="N390" s="16">
        <v>888888.0</v>
      </c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1" t="s">
        <v>628</v>
      </c>
      <c r="B391" s="7" t="str">
        <f t="shared" si="317"/>
        <v>3.56</v>
      </c>
      <c r="C391" s="2"/>
      <c r="D391" s="9" t="str">
        <f t="shared" si="318"/>
        <v>7.56</v>
      </c>
      <c r="E391" s="2"/>
      <c r="F391" s="9" t="str">
        <f t="shared" si="319"/>
        <v>7.5</v>
      </c>
      <c r="G391" s="2"/>
      <c r="H391" s="9" t="str">
        <f t="shared" si="320"/>
        <v>7.2</v>
      </c>
      <c r="I391" s="2"/>
      <c r="J391" s="9" t="str">
        <f>HYPERLINK("https://www.greenweez.com/produit/farine-de-riz-blanc-500g-1/1MOUL0177","888888")</f>
        <v>888888</v>
      </c>
      <c r="K391" s="2"/>
      <c r="L391" s="9" t="str">
        <f t="shared" si="321"/>
        <v>5.3</v>
      </c>
      <c r="M391" s="2"/>
      <c r="N391" s="16">
        <v>888888.0</v>
      </c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1" t="s">
        <v>629</v>
      </c>
      <c r="B392" s="9" t="str">
        <f t="shared" ref="B392:B393" si="322">HYPERLINK("https://lafourche.fr/products/celnat-farine-de-riz-demi-complet-bio-500g","4.84")</f>
        <v>4.84</v>
      </c>
      <c r="C392" s="2"/>
      <c r="D392" s="16">
        <v>888888.0</v>
      </c>
      <c r="E392" s="2"/>
      <c r="F392" s="16">
        <v>888888.0</v>
      </c>
      <c r="G392" s="2"/>
      <c r="H392" s="7" t="str">
        <f>HYPERLINK("https://satoriz-comboire.bio/products/mo221","4.13")</f>
        <v>4.13</v>
      </c>
      <c r="I392" s="2"/>
      <c r="J392" s="9" t="str">
        <f>HYPERLINK("https://www.greenweez.com/produit/farine-de-riz-demi-complet-3kg/1MAVI0007","4.9")</f>
        <v>4.9</v>
      </c>
      <c r="K392" s="2"/>
      <c r="L392" s="16">
        <v>888888.0</v>
      </c>
      <c r="M392" s="2"/>
      <c r="N392" s="16">
        <v>888888.0</v>
      </c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1" t="s">
        <v>630</v>
      </c>
      <c r="B393" s="7" t="str">
        <f t="shared" si="322"/>
        <v>4.84</v>
      </c>
      <c r="C393" s="2"/>
      <c r="D393" s="16">
        <v>888888.0</v>
      </c>
      <c r="E393" s="2"/>
      <c r="F393" s="16">
        <v>888888.0</v>
      </c>
      <c r="G393" s="2"/>
      <c r="H393" s="16">
        <v>888888.0</v>
      </c>
      <c r="I393" s="2"/>
      <c r="J393" s="9" t="str">
        <f>HYPERLINK("https://www.greenweez.com/produit/farine-de-riz-demi-complet-bio-500g/5GREE0196","6.12")</f>
        <v>6.12</v>
      </c>
      <c r="K393" s="2"/>
      <c r="L393" s="16">
        <v>888888.0</v>
      </c>
      <c r="M393" s="2"/>
      <c r="N393" s="16">
        <v>888888.0</v>
      </c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1" t="s">
        <v>631</v>
      </c>
      <c r="B394" s="9" t="str">
        <f>HYPERLINK("https://lafourche.fr/products/naturavenir-farine-de-riz-complet-5kg","4.41")</f>
        <v>4.41</v>
      </c>
      <c r="C394" s="2"/>
      <c r="D394" s="9" t="str">
        <f t="shared" ref="D394:D395" si="323">HYPERLINK("https://www.biocoop.fr/magasin-biocoop_champollion/farine-de-riz-complet-500g-al8016-000.html","6.3")</f>
        <v>6.3</v>
      </c>
      <c r="E394" s="2"/>
      <c r="F394" s="7" t="str">
        <f t="shared" ref="F394:F395" si="324">HYPERLINK("https://www.biocoop.fr/magasin-biocoop_fontaine/farine-de-riz-complet-bio-al8040-000.html","4.3")</f>
        <v>4.3</v>
      </c>
      <c r="G394" s="2"/>
      <c r="H394" s="9" t="str">
        <f t="shared" ref="H394:H395" si="325">HYPERLINK("https://satoriz-comboire.bio/products/eu2403","6.35")</f>
        <v>6.35</v>
      </c>
      <c r="I394" s="2"/>
      <c r="J394" s="9" t="str">
        <f>HYPERLINK("https://www.greenweez.com/produit/farine-de-riz-complet-bio-3kg/5GREE0193","4.73")</f>
        <v>4.73</v>
      </c>
      <c r="K394" s="2"/>
      <c r="L394" s="9" t="str">
        <f t="shared" ref="L394:L395" si="326">HYPERLINK("https://metabase.lelefan.org/public/dashboard/53c41f3f-5644-466e-935e-897e7725f6bc?rayon=&amp;d%25C3%25A9signation=FARINE DE RIZ INTEGRALE VRAC&amp;fournisseur=&amp;date_d%25C3%25A9but=&amp;date_fin=","4.75")</f>
        <v>4.75</v>
      </c>
      <c r="M394" s="2"/>
      <c r="N394" s="16">
        <v>888888.0</v>
      </c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1" t="s">
        <v>632</v>
      </c>
      <c r="B395" s="9" t="str">
        <f>HYPERLINK("https://lafourche.fr/products/celnat-farine-complete-de-riz-de-camargue-bio-0-4kg","4.55")</f>
        <v>4.55</v>
      </c>
      <c r="C395" s="2"/>
      <c r="D395" s="9" t="str">
        <f t="shared" si="323"/>
        <v>6.3</v>
      </c>
      <c r="E395" s="2"/>
      <c r="F395" s="7" t="str">
        <f t="shared" si="324"/>
        <v>4.3</v>
      </c>
      <c r="G395" s="2"/>
      <c r="H395" s="9" t="str">
        <f t="shared" si="325"/>
        <v>6.35</v>
      </c>
      <c r="I395" s="2"/>
      <c r="J395" s="9" t="str">
        <f>HYPERLINK("https://www.greenweez.com/produit/farine-de-riz-complete-500g/1MOUL0178","5.58")</f>
        <v>5.58</v>
      </c>
      <c r="K395" s="2"/>
      <c r="L395" s="9" t="str">
        <f t="shared" si="326"/>
        <v>4.75</v>
      </c>
      <c r="M395" s="2"/>
      <c r="N395" s="16">
        <v>888888.0</v>
      </c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1" t="s">
        <v>633</v>
      </c>
      <c r="B396" s="9" t="str">
        <f>HYPERLINK("https://lafourche.fr/products/markal-farine-chataigne-500g","15.68")</f>
        <v>15.68</v>
      </c>
      <c r="C396" s="2"/>
      <c r="D396" s="9" t="str">
        <f>HYPERLINK("https://www.biocoop.fr/magasin-biocoop_champollion/farine-de-chataigne-400g-mn3004-000.html","17.0")</f>
        <v>17.0</v>
      </c>
      <c r="E396" s="2"/>
      <c r="F396" s="9" t="str">
        <f>HYPERLINK("https://www.biocoop.fr/magasin-biocoop_fontaine/farine-de-chataigne-400g-mn3004-000.html","17.0")</f>
        <v>17.0</v>
      </c>
      <c r="G396" s="2"/>
      <c r="H396" s="9" t="str">
        <f>HYPERLINK("https://satoriz-comboire.bio/collections/epicerie-salee/products/rch","15.7")</f>
        <v>15.7</v>
      </c>
      <c r="I396" s="2"/>
      <c r="J396" s="7" t="str">
        <f>HYPERLINK("https://www.greenweez.com/produit/farine-de-chataigne-500g/1MOUL0174","15.0")</f>
        <v>15.0</v>
      </c>
      <c r="K396" s="2"/>
      <c r="L396" s="9" t="str">
        <f>HYPERLINK("https://metabase.lelefan.org/public/dashboard/53c41f3f-5644-466e-935e-897e7725f6bc?rayon=&amp;d%25C3%25A9signation=FARINE DE CHATAIGNE&amp;fournisseur=&amp;date_d%25C3%25A9but=&amp;date_fin=","888888")</f>
        <v>888888</v>
      </c>
      <c r="M396" s="2"/>
      <c r="N396" s="16">
        <v>888888.0</v>
      </c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1" t="s">
        <v>634</v>
      </c>
      <c r="B397" s="9" t="str">
        <f>HYPERLINK("https://lafourche.fr/products/la-fourche-farine-de-petit-epautre-bio-2-5kg","4.84")</f>
        <v>4.84</v>
      </c>
      <c r="C397" s="2"/>
      <c r="D397" s="9" t="str">
        <f t="shared" ref="D397:D398" si="327">HYPERLINK("https://www.biocoop.fr/magasin-biocoop_champollion/farine-de-petit-epeautre-t150-1kg-ci1018-000.html","6.15")</f>
        <v>6.15</v>
      </c>
      <c r="E397" s="2"/>
      <c r="F397" s="9" t="str">
        <f t="shared" ref="F397:F398" si="328">HYPERLINK("https://www.biocoop.fr/magasin-biocoop_fontaine/farine-de-petit-epeautre-t150-1kg-ci1018-000.html","888888")</f>
        <v>888888</v>
      </c>
      <c r="G397" s="2"/>
      <c r="H397" s="9" t="str">
        <f t="shared" ref="H397:H398" si="329">HYPERLINK("https://satoriz-comboire.bio/collections/epicerie-salee/products/tpex1","5.2")</f>
        <v>5.2</v>
      </c>
      <c r="I397" s="2"/>
      <c r="J397" s="7" t="str">
        <f t="shared" ref="J397:J398" si="330">HYPERLINK("https://www.greenweez.com/produit/farine-depeautre-complete-t150-1kg/1MOUL0287","3.95")</f>
        <v>3.95</v>
      </c>
      <c r="K397" s="2"/>
      <c r="L397" s="9" t="str">
        <f t="shared" ref="L397:L398" si="331">HYPERLINK("https://metabase.lelefan.org/public/dashboard/53c41f3f-5644-466e-935e-897e7725f6bc?rayon=&amp;d%25C3%25A9signation=FARINE DE PETIT EPEAUTRE BISE T80 VRAC&amp;fournisseur=&amp;date_d%25C3%25A9but=&amp;date_fin=","5.01")</f>
        <v>5.01</v>
      </c>
      <c r="M397" s="2"/>
      <c r="N397" s="16">
        <v>888888.0</v>
      </c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1" t="s">
        <v>635</v>
      </c>
      <c r="B398" s="9" t="str">
        <f>HYPERLINK("https://lafourche.fr/products/la-fourche-farine-de-petit-epeautre-t150-bio-1kg","5.1")</f>
        <v>5.1</v>
      </c>
      <c r="C398" s="2"/>
      <c r="D398" s="9" t="str">
        <f t="shared" si="327"/>
        <v>6.15</v>
      </c>
      <c r="E398" s="2"/>
      <c r="F398" s="9" t="str">
        <f t="shared" si="328"/>
        <v>888888</v>
      </c>
      <c r="G398" s="2"/>
      <c r="H398" s="9" t="str">
        <f t="shared" si="329"/>
        <v>5.2</v>
      </c>
      <c r="I398" s="2"/>
      <c r="J398" s="7" t="str">
        <f t="shared" si="330"/>
        <v>3.95</v>
      </c>
      <c r="K398" s="2"/>
      <c r="L398" s="9" t="str">
        <f t="shared" si="331"/>
        <v>5.01</v>
      </c>
      <c r="M398" s="2"/>
      <c r="N398" s="16">
        <v>888888.0</v>
      </c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1" t="s">
        <v>636</v>
      </c>
      <c r="B399" s="9" t="str">
        <f>HYPERLINK("https://lafourche.fr/products/sans-detour-farine-de-pois-chiche-bio-2-5kg","4.6")</f>
        <v>4.6</v>
      </c>
      <c r="C399" s="2"/>
      <c r="D399" s="9" t="str">
        <f t="shared" ref="D399:D400" si="332">HYPERLINK("https://www.biocoop.fr/magasin-biocoop_champollion/farine-de-pois-chiches-500g-al8021-000.html","7.98")</f>
        <v>7.98</v>
      </c>
      <c r="E399" s="2"/>
      <c r="F399" s="9" t="str">
        <f t="shared" ref="F399:F400" si="333">HYPERLINK("https://www.biocoop.fr/magasin-biocoop_fontaine/farine-de-pois-chiche-bio-al8041-000.html","5.5")</f>
        <v>5.5</v>
      </c>
      <c r="G399" s="2"/>
      <c r="H399" s="9" t="str">
        <f t="shared" ref="H399:H400" si="334">HYPERLINK("https://satoriz-comboire.bio/products/eco1781","4.8")</f>
        <v>4.8</v>
      </c>
      <c r="I399" s="2"/>
      <c r="J399" s="9" t="str">
        <f>HYPERLINK("https://www.greenweez.com/produit/farine-de-pois-chiches-bio-3kg/5GREE0195","888888")</f>
        <v>888888</v>
      </c>
      <c r="K399" s="2"/>
      <c r="L399" s="7" t="str">
        <f t="shared" ref="L399:L400" si="335">HYPERLINK("https://metabase.lelefan.org/public/dashboard/53c41f3f-5644-466e-935e-897e7725f6bc?rayon=&amp;d%25C3%25A9signation=FARINE DE POIS CHICHES VRAC&amp;fournisseur=&amp;date_d%25C3%25A9but=&amp;date_fin=","3.77")</f>
        <v>3.77</v>
      </c>
      <c r="M399" s="2"/>
      <c r="N399" s="16">
        <v>888888.0</v>
      </c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1" t="s">
        <v>637</v>
      </c>
      <c r="B400" s="9" t="str">
        <f>HYPERLINK("https://lafourche.fr/products/sans-detour-farine-complete-de-pois-chiche-bio-1kg","4.85")</f>
        <v>4.85</v>
      </c>
      <c r="C400" s="2"/>
      <c r="D400" s="9" t="str">
        <f t="shared" si="332"/>
        <v>7.98</v>
      </c>
      <c r="E400" s="2"/>
      <c r="F400" s="9" t="str">
        <f t="shared" si="333"/>
        <v>5.5</v>
      </c>
      <c r="G400" s="2"/>
      <c r="H400" s="9" t="str">
        <f t="shared" si="334"/>
        <v>4.8</v>
      </c>
      <c r="I400" s="2"/>
      <c r="J400" s="9" t="str">
        <f>HYPERLINK("https://www.greenweez.com/produit/farine-de-pois-chiches-france-500g/1MKAL0039","5.7")</f>
        <v>5.7</v>
      </c>
      <c r="K400" s="2"/>
      <c r="L400" s="7" t="str">
        <f t="shared" si="335"/>
        <v>3.77</v>
      </c>
      <c r="M400" s="2"/>
      <c r="N400" s="16">
        <v>888888.0</v>
      </c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1" t="s">
        <v>638</v>
      </c>
      <c r="B401" s="9" t="str">
        <f t="shared" ref="B401:B402" si="336">HYPERLINK("https://lafourche.fr/products/la-fourche-1kg-de-sucre-blond-bio-en-vrac","2.7")</f>
        <v>2.7</v>
      </c>
      <c r="C401" s="10">
        <v>0.0</v>
      </c>
      <c r="D401" s="9" t="str">
        <f t="shared" ref="D401:D402" si="337">HYPERLINK("https://www.biocoop.fr/magasin-biocoop_champollion/sucre-de-canne-roux-morceaux-irregulier-bio-ne0106-000.html","5.15")</f>
        <v>5.15</v>
      </c>
      <c r="E401" s="10">
        <v>0.0</v>
      </c>
      <c r="F401" s="9" t="str">
        <f t="shared" ref="F401:F402" si="338">HYPERLINK("https://www.biocoop.fr/magasin-biocoop_fontaine/sucre-canne-blond-bio-ne0107-000.html","3.45")</f>
        <v>3.45</v>
      </c>
      <c r="G401" s="10">
        <v>0.0</v>
      </c>
      <c r="H401" s="7" t="str">
        <f t="shared" ref="H401:H402" si="339">HYPERLINK("https://satoriz-comboire.bio/collections/vrac/products/eu3133","1.95")</f>
        <v>1.95</v>
      </c>
      <c r="I401" s="10">
        <v>0.0</v>
      </c>
      <c r="J401" s="9" t="str">
        <f>HYPERLINK("https://www.greenweez.com/produit/sucre-blond-de-canne-bio-5kg/2WEEZ0550","2.79")</f>
        <v>2.79</v>
      </c>
      <c r="K401" s="8">
        <v>-0.2639</v>
      </c>
      <c r="L401" s="9" t="str">
        <f t="shared" ref="L401:L402" si="340">HYPERLINK("https://metabase.lelefan.org/public/dashboard/53c41f3f-5644-466e-935e-897e7725f6bc?rayon=&amp;d%25C3%25A9signation=SUCRE BLOND EQUITABLE VRAC&amp;fournisseur=&amp;date_d%25C3%25A9but=&amp;date_fin=","3.01")</f>
        <v>3.01</v>
      </c>
      <c r="M401" s="2"/>
      <c r="N401" s="9" t="str">
        <f>HYPERLINK("https://fd11-courses.leclercdrive.fr/magasin-063801-063801-Echirolles---Comboire/fiche-produits-33306-Specialite-sucriere-de-canne.aspx","3.32")</f>
        <v>3.32</v>
      </c>
      <c r="O401" s="2"/>
      <c r="P401" s="1" t="s">
        <v>361</v>
      </c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1" t="s">
        <v>639</v>
      </c>
      <c r="B402" s="9" t="str">
        <f t="shared" si="336"/>
        <v>2.7</v>
      </c>
      <c r="C402" s="10">
        <v>0.0</v>
      </c>
      <c r="D402" s="9" t="str">
        <f t="shared" si="337"/>
        <v>5.15</v>
      </c>
      <c r="E402" s="10">
        <v>0.0</v>
      </c>
      <c r="F402" s="9" t="str">
        <f t="shared" si="338"/>
        <v>3.45</v>
      </c>
      <c r="G402" s="10">
        <v>0.0</v>
      </c>
      <c r="H402" s="7" t="str">
        <f t="shared" si="339"/>
        <v>1.95</v>
      </c>
      <c r="I402" s="10">
        <v>0.0</v>
      </c>
      <c r="J402" s="9" t="str">
        <f>HYPERLINK("https://www.greenweez.com/produit/sucre-blond-de-canne-1kg/1MKAL0174","3.79")</f>
        <v>3.79</v>
      </c>
      <c r="K402" s="10">
        <v>0.0</v>
      </c>
      <c r="L402" s="9" t="str">
        <f t="shared" si="340"/>
        <v>3.01</v>
      </c>
      <c r="M402" s="2"/>
      <c r="N402" s="16">
        <v>888888.0</v>
      </c>
      <c r="O402" s="2"/>
      <c r="P402" s="1" t="s">
        <v>361</v>
      </c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1" t="s">
        <v>640</v>
      </c>
      <c r="B403" s="9" t="str">
        <f>HYPERLINK("https://lafourche.fr/products/la-fourche-1kg-de-sucre-de-canne-complet-dulcita-bio-en-vrac","3.99")</f>
        <v>3.99</v>
      </c>
      <c r="C403" s="10">
        <v>0.0</v>
      </c>
      <c r="D403" s="9" t="str">
        <f>HYPERLINK("https://www.biocoop.fr/magasin-biocoop_champollion/sucre-canne-complet-dulcita-1kg-sm0393-000.html","888888")</f>
        <v>888888</v>
      </c>
      <c r="E403" s="18" t="s">
        <v>56</v>
      </c>
      <c r="F403" s="9" t="str">
        <f>HYPERLINK("https://www.biocoop.fr/magasin-biocoop_fontaine/sucre-canne-complet-dulcita-1kg-sm0393-000.html","6.1")</f>
        <v>6.1</v>
      </c>
      <c r="G403" s="10">
        <v>0.0</v>
      </c>
      <c r="H403" s="7" t="str">
        <f>HYPERLINK("https://satoriz-comboire.bio/collections/vrac/products/eu10092","2.95")</f>
        <v>2.95</v>
      </c>
      <c r="I403" s="11">
        <v>0.0727</v>
      </c>
      <c r="J403" s="9" t="str">
        <f>HYPERLINK("https://www.greenweez.com/produit/sucre-de-canne-complet-bio-500g/2WEEZ0261","5.58")</f>
        <v>5.58</v>
      </c>
      <c r="K403" s="11">
        <v>0.041</v>
      </c>
      <c r="L403" s="9" t="str">
        <f>HYPERLINK("https://metabase.lelefan.org/public/dashboard/53c41f3f-5644-466e-935e-897e7725f6bc?rayon=&amp;d%25C3%25A9signation=SUCRE COMPLET DE CANNE VRAC&amp;fournisseur=&amp;date_d%25C3%25A9but=&amp;date_fin=","4.71")</f>
        <v>4.71</v>
      </c>
      <c r="M403" s="2"/>
      <c r="N403" s="9" t="str">
        <f>HYPERLINK("https://fd11-courses.leclercdrive.fr/magasin-063801-063801-Echirolles---Comboire/fiche-produits-14706-Sucre-de-canne-Bio-Alter-Eco-.aspx","4.86")</f>
        <v>4.86</v>
      </c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5" t="s">
        <v>641</v>
      </c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1" t="s">
        <v>642</v>
      </c>
      <c r="B405" s="9" t="str">
        <f>HYPERLINK("https://lafourche.fr/products/la-fourche-pate-a-tartiner-chocolat-noisettes-bio-700g","9.64")</f>
        <v>9.64</v>
      </c>
      <c r="C405" s="10">
        <v>0.0</v>
      </c>
      <c r="D405" s="9" t="str">
        <f>HYPERLINK("https://www.biocoop.fr/magasin-biocoop_champollion/pate-a-tartiner-noisette-cacao-600g-lg3150-000.html","10.83")</f>
        <v>10.83</v>
      </c>
      <c r="E405" s="10">
        <v>0.0</v>
      </c>
      <c r="F405" s="9" t="str">
        <f>HYPERLINK("https://www.biocoop.fr/magasin-biocoop_fontaine/pate-a-tartiner-noisette-cacao-600g-lg3150-000.html","10.83")</f>
        <v>10.83</v>
      </c>
      <c r="G405" s="10">
        <v>0.0</v>
      </c>
      <c r="H405" s="9" t="str">
        <f>HYPERLINK("https://satoriz-comboire.bio/collections/epicerie-sucree/products/re40699","11.6")</f>
        <v>11.6</v>
      </c>
      <c r="I405" s="10">
        <v>0.0</v>
      </c>
      <c r="J405" s="7" t="str">
        <f>HYPERLINK("https://www.greenweez.com/produit/pate-a-tartiner-noisettes-et-cacao-bio-600g/2WEEZ0443","8.92")</f>
        <v>8.92</v>
      </c>
      <c r="K405" s="10">
        <v>0.0</v>
      </c>
      <c r="L405" s="9" t="str">
        <f>HYPERLINK("https://metabase.lelefan.org/public/dashboard/53c41f3f-5644-466e-935e-897e7725f6bc?rayon=&amp;d%25C3%25A9signation=PATE A TARTINER KLASIK VRAC&amp;fournisseur=&amp;date_d%25C3%25A9but=&amp;date_fin=","10.16")</f>
        <v>10.16</v>
      </c>
      <c r="M405" s="2"/>
      <c r="N405" s="7" t="str">
        <f>HYPERLINK("https://fd11-courses.leclercdrive.fr/magasin-063801-063801-Echirolles---Comboire/fiche-produits-115772-Pate-a-tartiner-Bio-Village.aspx","6.93")</f>
        <v>6.93</v>
      </c>
      <c r="O405" s="2"/>
      <c r="P405" s="1" t="s">
        <v>175</v>
      </c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1" t="s">
        <v>643</v>
      </c>
      <c r="B406" s="7" t="str">
        <f>HYPERLINK("https://lafourche.fr/products/la-fourche-pate-a-tartiner-chocolat-noisette-bio-0-7kg","9.93")</f>
        <v>9.93</v>
      </c>
      <c r="C406" s="10">
        <v>0.0</v>
      </c>
      <c r="D406" s="9" t="str">
        <f>HYPERLINK("https://www.biocoop.fr/magasin-biocoop_champollion/pate-a-tartiner-chokenut-700g-np0036-000.html","23.79")</f>
        <v>23.79</v>
      </c>
      <c r="E406" s="10">
        <v>0.0</v>
      </c>
      <c r="F406" s="9" t="str">
        <f>HYPERLINK("https://www.biocoop.fr/magasin-biocoop_fontaine/pate-a-tartiner-chocolade-sans-lait-350g-he0779-000.html","29.14")</f>
        <v>29.14</v>
      </c>
      <c r="G406" s="10">
        <v>0.0</v>
      </c>
      <c r="H406" s="9" t="str">
        <f>HYPERLINK("https://satoriz-comboire.bio/collections/epicerie-sucree/products/re43701","12.69")</f>
        <v>12.69</v>
      </c>
      <c r="I406" s="10">
        <v>0.0</v>
      </c>
      <c r="J406" s="9" t="str">
        <f>HYPERLINK("https://www.greenweez.com/produit/pate-a-tartiner-nocciolata-sans-lait-650g/1NOCC0005","11.51")</f>
        <v>11.51</v>
      </c>
      <c r="K406" s="11">
        <v>0.0017</v>
      </c>
      <c r="L406" s="9" t="str">
        <f>HYPERLINK("https://metabase.lelefan.org/public/dashboard/53c41f3f-5644-466e-935e-897e7725f6bc?rayon=&amp;d%25C3%25A9signation=PATE A TARTINER CHOCOLADE SANS LAIT 750G&amp;fournisseur=&amp;date_d%25C3%25A9but=&amp;date_fin=","888888")</f>
        <v>888888</v>
      </c>
      <c r="M406" s="2"/>
      <c r="N406" s="16">
        <v>888888.0</v>
      </c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1" t="s">
        <v>644</v>
      </c>
      <c r="B407" s="9" t="str">
        <f t="shared" ref="B407:B408" si="341">HYPERLINK("https://lafourche.fr/products/natur-avenir-creme-de-marrons-d-ardeche-aop-bio-0-325kg","11.29")</f>
        <v>11.29</v>
      </c>
      <c r="C407" s="10">
        <v>0.0</v>
      </c>
      <c r="D407" s="9" t="str">
        <f t="shared" ref="D407:D408" si="342">HYPERLINK("https://www.biocoop.fr/magasin-biocoop_champollion/creme-de-chataigne-360g-dm0709-000.html","13.86")</f>
        <v>13.86</v>
      </c>
      <c r="E407" s="10">
        <v>0.0</v>
      </c>
      <c r="F407" s="9" t="str">
        <f t="shared" ref="F407:F408" si="343">HYPERLINK("https://www.biocoop.fr/magasin-biocoop_fontaine/creme-de-chataigne-360g-dm0709-000.html","15.56")</f>
        <v>15.56</v>
      </c>
      <c r="G407" s="10">
        <v>0.0</v>
      </c>
      <c r="H407" s="9" t="str">
        <f t="shared" ref="H407:H408" si="344">HYPERLINK("https://satoriz-comboire.bio/products/re42052","12.62")</f>
        <v>12.62</v>
      </c>
      <c r="I407" s="10">
        <v>0.0</v>
      </c>
      <c r="J407" s="9" t="str">
        <f t="shared" ref="J407:J408" si="345">HYPERLINK("https://www.greenweez.com/produit/creme-de-marrons-bio-55-320g/2WEEZ0462","14.0")</f>
        <v>14.0</v>
      </c>
      <c r="K407" s="11">
        <v>0.1542</v>
      </c>
      <c r="L407" s="7" t="str">
        <f>HYPERLINK("https://metabase.lelefan.org/public/dashboard/53c41f3f-5644-466e-935e-897e7725f6bc?rayon=&amp;d%25C3%25A9signation=CREME DE MARRON 750G&amp;fournisseur=&amp;date_d%25C3%25A9but=&amp;date_fin=","9.77")</f>
        <v>9.77</v>
      </c>
      <c r="M407" s="2"/>
      <c r="N407" s="16">
        <v>888888.0</v>
      </c>
      <c r="O407" s="2"/>
      <c r="P407" s="1" t="s">
        <v>198</v>
      </c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1" t="s">
        <v>645</v>
      </c>
      <c r="B408" s="7" t="str">
        <f t="shared" si="341"/>
        <v>11.29</v>
      </c>
      <c r="C408" s="10">
        <v>0.0</v>
      </c>
      <c r="D408" s="9" t="str">
        <f t="shared" si="342"/>
        <v>13.86</v>
      </c>
      <c r="E408" s="10">
        <v>0.0</v>
      </c>
      <c r="F408" s="9" t="str">
        <f t="shared" si="343"/>
        <v>15.56</v>
      </c>
      <c r="G408" s="10">
        <v>0.0</v>
      </c>
      <c r="H408" s="9" t="str">
        <f t="shared" si="344"/>
        <v>12.62</v>
      </c>
      <c r="I408" s="10">
        <v>0.0</v>
      </c>
      <c r="J408" s="9" t="str">
        <f t="shared" si="345"/>
        <v>14.0</v>
      </c>
      <c r="K408" s="11">
        <v>0.1542</v>
      </c>
      <c r="L408" s="9" t="str">
        <f>HYPERLINK("https://metabase.lelefan.org/public/dashboard/53c41f3f-5644-466e-935e-897e7725f6bc?rayon=&amp;d%25C3%25A9signation=CREME DE MARRON VANILLEE 320G&amp;fournisseur=&amp;date_d%25C3%25A9but=&amp;date_fin=","13.44")</f>
        <v>13.44</v>
      </c>
      <c r="M408" s="2"/>
      <c r="N408" s="16">
        <v>888888.0</v>
      </c>
      <c r="O408" s="2"/>
      <c r="P408" s="1" t="s">
        <v>198</v>
      </c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1" t="s">
        <v>646</v>
      </c>
      <c r="B409" s="7" t="str">
        <f>HYPERLINK("https://lafourche.fr/products/la-fourche-confiture-extra-de-fraise-bio-0-81kg","6.51")</f>
        <v>6.51</v>
      </c>
      <c r="C409" s="2"/>
      <c r="D409" s="9" t="str">
        <f>HYPERLINK("https://www.biocoop.fr/magasin-biocoop_champollion/confiture-extra-fraise-650g-cp0010-000.html","8.38")</f>
        <v>8.38</v>
      </c>
      <c r="E409" s="2"/>
      <c r="F409" s="9" t="str">
        <f>HYPERLINK("https://www.biocoop.fr/magasin-biocoop_fontaine/confiture-extra-fraise-650g-cp0010-000.html","8.38")</f>
        <v>8.38</v>
      </c>
      <c r="G409" s="2"/>
      <c r="H409" s="9" t="str">
        <f>HYPERLINK("https://satoriz-comboire.bio/collections/epicerie-sucree/products/re40510","9.0")</f>
        <v>9.0</v>
      </c>
      <c r="I409" s="2"/>
      <c r="J409" s="9" t="str">
        <f>HYPERLINK("https://www.greenweez.com/produit/confiture-extra-de-fraise-660g/2SAVE0013","9.0")</f>
        <v>9.0</v>
      </c>
      <c r="K409" s="2"/>
      <c r="L409" s="16">
        <v>888888.0</v>
      </c>
      <c r="M409" s="2"/>
      <c r="N409" s="7" t="str">
        <f t="shared" ref="N409:N410" si="346">HYPERLINK("https://fd11-courses.leclercdrive.fr/magasin-063801-063801-Echirolles---Comboire/fiche-produits-22689-Confiture-extra-bio-Bio-Village.aspx","5.0")</f>
        <v>5.0</v>
      </c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1" t="s">
        <v>647</v>
      </c>
      <c r="B410" s="9" t="str">
        <f>HYPERLINK("https://lafourche.fr/products/saveurs-et-fruits-confiture-extra-fraise-bio-0-32kg","9.59")</f>
        <v>9.59</v>
      </c>
      <c r="C410" s="2"/>
      <c r="D410" s="9" t="str">
        <f>HYPERLINK("https://www.biocoop.fr/magasin-biocoop_champollion/confiture-extra-fraise-370g-cp0001-000.html","10.0")</f>
        <v>10.0</v>
      </c>
      <c r="E410" s="2"/>
      <c r="F410" s="9" t="str">
        <f>HYPERLINK("https://www.biocoop.fr/magasin-biocoop_fontaine/specialite-de-fraises-lg3111-000.html","12.33")</f>
        <v>12.33</v>
      </c>
      <c r="G410" s="2"/>
      <c r="H410" s="9" t="str">
        <f>HYPERLINK("https://satoriz-comboire.bio/collections/epicerie-sucree/products/nat131303","15.0")</f>
        <v>15.0</v>
      </c>
      <c r="I410" s="2"/>
      <c r="J410" s="9" t="str">
        <f>HYPERLINK("https://www.greenweez.com/produit/confiture-de-fraises-bio-65-350g/2WEEZ0461","9.94")</f>
        <v>9.94</v>
      </c>
      <c r="K410" s="2"/>
      <c r="L410" s="7" t="str">
        <f>HYPERLINK("https://metabase.lelefan.org/public/dashboard/53c41f3f-5644-466e-935e-897e7725f6bc?rayon=&amp;d%25C3%25A9signation=CONFITURE FRAISE BIO&amp;fournisseur=&amp;date_d%25C3%25A9but=&amp;date_fin=","8.65")</f>
        <v>8.65</v>
      </c>
      <c r="M410" s="2"/>
      <c r="N410" s="7" t="str">
        <f t="shared" si="346"/>
        <v>5.0</v>
      </c>
      <c r="O410" s="2"/>
      <c r="P410" s="1" t="s">
        <v>198</v>
      </c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1" t="s">
        <v>648</v>
      </c>
      <c r="B411" s="7" t="str">
        <f>HYPERLINK("https://lafourche.fr/products/la-fourche-confiture-extra-d-abricot-bio-0-81kg","6.65")</f>
        <v>6.65</v>
      </c>
      <c r="C411" s="2"/>
      <c r="D411" s="9" t="str">
        <f>HYPERLINK("https://www.biocoop.fr/magasin-biocoop_champollion/confiture-extra-abricot-60-de-fruits-pr5199-000.html","7.28")</f>
        <v>7.28</v>
      </c>
      <c r="E411" s="2"/>
      <c r="F411" s="9" t="str">
        <f>HYPERLINK("https://www.biocoop.fr/magasin-biocoop_fontaine/confiture-extra-abricot-60-de-fruits-pr5199-000.html","7.16")</f>
        <v>7.16</v>
      </c>
      <c r="G411" s="2"/>
      <c r="H411" s="9" t="str">
        <f t="shared" ref="H411:H412" si="347">HYPERLINK("https://satoriz-comboire.bio/collections/epicerie-sucree/products/esconab","7.97")</f>
        <v>7.97</v>
      </c>
      <c r="I411" s="2"/>
      <c r="J411" s="9" t="str">
        <f>HYPERLINK("https://www.greenweez.com/produit/confiture-extra-abricot-660g/2SAVE0011","9.0")</f>
        <v>9.0</v>
      </c>
      <c r="K411" s="2"/>
      <c r="L411" s="16">
        <v>888888.0</v>
      </c>
      <c r="M411" s="2"/>
      <c r="N411" s="7" t="str">
        <f t="shared" ref="N411:N412" si="348">HYPERLINK("https://fd11-courses.leclercdrive.fr/magasin-063801-063801-Echirolles---Comboire/fiche-produits-22690-Confiture-extra-bio-Bio-Village.aspx","5.0")</f>
        <v>5.0</v>
      </c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1" t="s">
        <v>649</v>
      </c>
      <c r="B412" s="9" t="str">
        <f>HYPERLINK("https://lafourche.fr/products/saveurs-et-fruits-confiture-extra-abricot-bio-0-32kg","10.19")</f>
        <v>10.19</v>
      </c>
      <c r="C412" s="2"/>
      <c r="D412" s="9" t="str">
        <f>HYPERLINK("https://www.biocoop.fr/magasin-biocoop_champollion/confiture-abricot-extra-310g-pr5299-000.html","9.52")</f>
        <v>9.52</v>
      </c>
      <c r="E412" s="2"/>
      <c r="F412" s="9" t="str">
        <f>HYPERLINK("https://www.biocoop.fr/magasin-biocoop_fontaine/confiture-extra-abricot-370g-cp0002-000.html","12.57")</f>
        <v>12.57</v>
      </c>
      <c r="G412" s="2"/>
      <c r="H412" s="9" t="str">
        <f t="shared" si="347"/>
        <v>7.97</v>
      </c>
      <c r="I412" s="2"/>
      <c r="J412" s="9" t="str">
        <f>HYPERLINK("https://www.greenweez.com/produit/confiture-dabricots-bio-65-350g/2WEEZ0464","11.29")</f>
        <v>11.29</v>
      </c>
      <c r="K412" s="2"/>
      <c r="L412" s="7" t="str">
        <f>HYPERLINK("https://metabase.lelefan.org/public/dashboard/53c41f3f-5644-466e-935e-897e7725f6bc?rayon=&amp;d%25C3%25A9signation=CONFITURE ABRICOT BERGERON VALLEE&amp;fournisseur=&amp;date_d%25C3%25A9but=&amp;date_fin=","6.57")</f>
        <v>6.57</v>
      </c>
      <c r="M412" s="2"/>
      <c r="N412" s="7" t="str">
        <f t="shared" si="348"/>
        <v>5.0</v>
      </c>
      <c r="O412" s="2"/>
      <c r="P412" s="1" t="s">
        <v>198</v>
      </c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1" t="s">
        <v>650</v>
      </c>
      <c r="B413" s="7" t="str">
        <f>HYPERLINK("https://lafourche.fr/products/saveurs-et-fruits-confiture-extra-dorange-bio-confiture-bio-saveur-attitudes-cuite-sous-vide-a-basse-temperature-pour-preserver-les-qualites-des-fruits","6.74")</f>
        <v>6.74</v>
      </c>
      <c r="C413" s="2"/>
      <c r="D413" s="9" t="str">
        <f t="shared" ref="D413:D414" si="349">HYPERLINK("https://www.biocoop.fr/magasin-biocoop_champollion/confiture-extra-orange-370g-cp0004-000.html","8.51")</f>
        <v>8.51</v>
      </c>
      <c r="E413" s="2"/>
      <c r="F413" s="9" t="str">
        <f t="shared" ref="F413:F414" si="350">HYPERLINK("https://www.biocoop.fr/magasin-biocoop_fontaine/confiture-extra-orange-370g-cp0004-000.html","8.51")</f>
        <v>8.51</v>
      </c>
      <c r="G413" s="2"/>
      <c r="H413" s="9" t="str">
        <f t="shared" ref="H413:H414" si="351">HYPERLINK("https://satoriz-comboire.bio/collections/epicerie-sucree/products/re39798","12.78")</f>
        <v>12.78</v>
      </c>
      <c r="I413" s="2"/>
      <c r="J413" s="9" t="str">
        <f>HYPERLINK("https://www.greenweez.com/produit/confiture-extra-dorange-660g/2SAVE0016","8.56")</f>
        <v>8.56</v>
      </c>
      <c r="K413" s="2"/>
      <c r="L413" s="9" t="str">
        <f t="shared" ref="L413:L414" si="352">HYPERLINK("https://metabase.lelefan.org/public/dashboard/53c41f3f-5644-466e-935e-897e7725f6bc?rayon=&amp;d%25C3%25A9signation=PREPARATION 2 ORANGES&amp;fournisseur=&amp;date_d%25C3%25A9but=&amp;date_fin=","6.79")</f>
        <v>6.79</v>
      </c>
      <c r="M413" s="2"/>
      <c r="N413" s="7" t="str">
        <f t="shared" ref="N413:N414" si="353">HYPERLINK("https://fd11-courses.leclercdrive.fr/magasin-063801-063801-Echirolles---Comboire/fiche-produits-14084-Confiture-extra-bio-Bio-Village.aspx","5.97")</f>
        <v>5.97</v>
      </c>
      <c r="O413" s="2"/>
      <c r="P413" s="1" t="s">
        <v>198</v>
      </c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1" t="s">
        <v>651</v>
      </c>
      <c r="B414" s="9" t="str">
        <f>HYPERLINK("https://lafourche.fr/products/confit-de-provence-confiture-extra-dorange-370g","8.89")</f>
        <v>8.89</v>
      </c>
      <c r="C414" s="2"/>
      <c r="D414" s="9" t="str">
        <f t="shared" si="349"/>
        <v>8.51</v>
      </c>
      <c r="E414" s="2"/>
      <c r="F414" s="9" t="str">
        <f t="shared" si="350"/>
        <v>8.51</v>
      </c>
      <c r="G414" s="2"/>
      <c r="H414" s="9" t="str">
        <f t="shared" si="351"/>
        <v>12.78</v>
      </c>
      <c r="I414" s="2"/>
      <c r="J414" s="9" t="str">
        <f>HYPERLINK("https://www.greenweez.com/produit/confiture-dorange-douce-bio-65-350g/2WEEZ0463","9.69")</f>
        <v>9.69</v>
      </c>
      <c r="K414" s="2"/>
      <c r="L414" s="7" t="str">
        <f t="shared" si="352"/>
        <v>6.79</v>
      </c>
      <c r="M414" s="2"/>
      <c r="N414" s="7" t="str">
        <f t="shared" si="353"/>
        <v>5.97</v>
      </c>
      <c r="O414" s="2"/>
      <c r="P414" s="1" t="s">
        <v>198</v>
      </c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1" t="s">
        <v>652</v>
      </c>
      <c r="B415" s="9" t="str">
        <f>HYPERLINK("https://lafourche.fr/products/la-fourche-confiture-extra-de-myrtille-bio-0-66kg","8.56")</f>
        <v>8.56</v>
      </c>
      <c r="C415" s="2"/>
      <c r="D415" s="9" t="str">
        <f>HYPERLINK("https://www.biocoop.fr/magasin-biocoop_champollion/confiture-extra-myrtille-650g-cp0012-000.html","13.23")</f>
        <v>13.23</v>
      </c>
      <c r="E415" s="2"/>
      <c r="F415" s="9" t="str">
        <f>HYPERLINK("https://www.biocoop.fr/magasin-biocoop_fontaine/confiture-extra-myrtille-650g-cp0012-000.html","13.54")</f>
        <v>13.54</v>
      </c>
      <c r="G415" s="2"/>
      <c r="H415" s="9" t="str">
        <f>HYPERLINK("https://satoriz-comboire.bio/collections/epicerie-sucree/products/re40512","11.2")</f>
        <v>11.2</v>
      </c>
      <c r="I415" s="2"/>
      <c r="J415" s="9" t="str">
        <f>HYPERLINK("https://www.greenweez.com/produit/confiture-extra-de-myrtille-660g/2SAVE0015","11.44")</f>
        <v>11.44</v>
      </c>
      <c r="K415" s="2"/>
      <c r="L415" s="7" t="str">
        <f>HYPERLINK("https://metabase.lelefan.org/public/dashboard/53c41f3f-5644-466e-935e-897e7725f6bc?rayon=&amp;d%25C3%25A9signation=CONFITURE MYRTILLE GRD FORMAT&amp;fournisseur=&amp;date_d%25C3%25A9but=&amp;date_fin=","7.72")</f>
        <v>7.72</v>
      </c>
      <c r="M415" s="2"/>
      <c r="N415" s="7" t="str">
        <f t="shared" ref="N415:N416" si="354">HYPERLINK("https://fd11-courses.leclercdrive.fr/magasin-063801-063801-Echirolles---Comboire/fiche-produits-14051-Confiture-extra-bio-Bio-Village.aspx","6.19")</f>
        <v>6.19</v>
      </c>
      <c r="O415" s="2"/>
      <c r="P415" s="1" t="s">
        <v>198</v>
      </c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1" t="s">
        <v>653</v>
      </c>
      <c r="B416" s="9" t="str">
        <f>HYPERLINK("https://lafourche.fr/products/saveurs-et-fruits-confiture-extra-myrtille-bio-0-32kg","12.44")</f>
        <v>12.44</v>
      </c>
      <c r="C416" s="2"/>
      <c r="D416" s="9" t="str">
        <f>HYPERLINK("https://www.biocoop.fr/magasin-biocoop_champollion/confiture-extra-myrtille-370g-cp0003-000.html","16.08")</f>
        <v>16.08</v>
      </c>
      <c r="E416" s="2"/>
      <c r="F416" s="9" t="str">
        <f>HYPERLINK("https://www.biocoop.fr/magasin-biocoop_fontaine/confiture-extra-myrtille-370g-cp0003-000.html","14.86")</f>
        <v>14.86</v>
      </c>
      <c r="G416" s="2"/>
      <c r="H416" s="9" t="str">
        <f>HYPERLINK("https://satoriz-comboire.bio/collections/epicerie-sucree/products/hp310","16.83")</f>
        <v>16.83</v>
      </c>
      <c r="I416" s="2"/>
      <c r="J416" s="9" t="str">
        <f>HYPERLINK("https://www.greenweez.com/produit/confiture-de-myrtilles-bio-65-350g/2WEEZ0465","11.97")</f>
        <v>11.97</v>
      </c>
      <c r="K416" s="2"/>
      <c r="L416" s="7" t="str">
        <f>HYPERLINK("https://metabase.lelefan.org/public/dashboard/53c41f3f-5644-466e-935e-897e7725f6bc?rayon=&amp;d%25C3%25A9signation=CONFITURE MYRTILLE SAUVAGE&amp;fournisseur=&amp;date_d%25C3%25A9but=&amp;date_fin=","8.06")</f>
        <v>8.06</v>
      </c>
      <c r="M416" s="2"/>
      <c r="N416" s="7" t="str">
        <f t="shared" si="354"/>
        <v>6.19</v>
      </c>
      <c r="O416" s="2"/>
      <c r="P416" s="1" t="s">
        <v>198</v>
      </c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1" t="s">
        <v>654</v>
      </c>
      <c r="B417" s="9" t="str">
        <f>HYPERLINK("https://lafourche.fr/products/la-fourche-confiture-extra-de-framboise-bio-0-66kg","8.62")</f>
        <v>8.62</v>
      </c>
      <c r="C417" s="2"/>
      <c r="D417" s="9" t="str">
        <f t="shared" ref="D417:D418" si="355">HYPERLINK("https://www.biocoop.fr/magasin-biocoop_champollion/confiture-extra-framboise-370g-cp0005-000.html","13.92")</f>
        <v>13.92</v>
      </c>
      <c r="E417" s="2"/>
      <c r="F417" s="9" t="str">
        <f t="shared" ref="F417:F418" si="356">HYPERLINK("https://www.biocoop.fr/magasin-biocoop_fontaine/specialite-de-framboise-sans-pepins-lg3125-000.html","15.67")</f>
        <v>15.67</v>
      </c>
      <c r="G417" s="2"/>
      <c r="H417" s="9" t="str">
        <f>HYPERLINK("https://satoriz-comboire.bio/collections/epicerie-sucree/products/re40511","11.2")</f>
        <v>11.2</v>
      </c>
      <c r="I417" s="2"/>
      <c r="J417" s="9" t="str">
        <f>HYPERLINK("https://www.greenweez.com/produit/confiture-extra-de-framboise-660g/2SAVE0014","10.52")</f>
        <v>10.52</v>
      </c>
      <c r="K417" s="2"/>
      <c r="L417" s="7" t="str">
        <f>HYPERLINK("https://metabase.lelefan.org/public/dashboard/53c41f3f-5644-466e-935e-897e7725f6bc?rayon=&amp;d%25C3%25A9signation=CONFITURE FRAMBOISE GRD FORMAT&amp;fournisseur=&amp;date_d%25C3%25A9but=&amp;date_fin=","8.22")</f>
        <v>8.22</v>
      </c>
      <c r="M417" s="2"/>
      <c r="N417" s="16">
        <v>888888.0</v>
      </c>
      <c r="O417" s="2"/>
      <c r="P417" s="1" t="s">
        <v>198</v>
      </c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1" t="s">
        <v>655</v>
      </c>
      <c r="B418" s="9" t="str">
        <f>HYPERLINK("https://lafourche.fr/products/saveurs-et-fruits-confiture-extra-framboise-bio-0-32kg","12.47")</f>
        <v>12.47</v>
      </c>
      <c r="C418" s="2"/>
      <c r="D418" s="9" t="str">
        <f t="shared" si="355"/>
        <v>13.92</v>
      </c>
      <c r="E418" s="2"/>
      <c r="F418" s="9" t="str">
        <f t="shared" si="356"/>
        <v>15.67</v>
      </c>
      <c r="G418" s="2"/>
      <c r="H418" s="9" t="str">
        <f>HYPERLINK("https://satoriz-comboire.bio/collections/epicerie-sucree/products/hp309","15.67")</f>
        <v>15.67</v>
      </c>
      <c r="I418" s="2"/>
      <c r="J418" s="9" t="str">
        <f>HYPERLINK("https://www.greenweez.com/produit/confiture-de-framboises-bio-350g/2WEEZ0570","11.29")</f>
        <v>11.29</v>
      </c>
      <c r="K418" s="2"/>
      <c r="L418" s="7" t="str">
        <f>HYPERLINK("https://metabase.lelefan.org/public/dashboard/53c41f3f-5644-466e-935e-897e7725f6bc?rayon=&amp;d%25C3%25A9signation=CONFITURE FRAMBOISE BIO T. LE PRINCE&amp;fournisseur=&amp;date_d%25C3%25A9but=&amp;date_fin=","10.35")</f>
        <v>10.35</v>
      </c>
      <c r="M418" s="2"/>
      <c r="N418" s="16">
        <v>888888.0</v>
      </c>
      <c r="O418" s="2"/>
      <c r="P418" s="1" t="s">
        <v>198</v>
      </c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1" t="s">
        <v>656</v>
      </c>
      <c r="B419" s="9" t="str">
        <f t="shared" ref="B419:B420" si="357">HYPERLINK("https://lafourche.fr/products/saveurs-et-fruits-confiture-extra-figue-bio-0-32kg","10.44")</f>
        <v>10.44</v>
      </c>
      <c r="C419" s="2"/>
      <c r="D419" s="9" t="str">
        <f t="shared" ref="D419:D420" si="358">HYPERLINK("https://www.biocoop.fr/magasin-biocoop_champollion/confiture-figue-de-provence-370g-cp0026-000.html","12.84")</f>
        <v>12.84</v>
      </c>
      <c r="E419" s="2"/>
      <c r="F419" s="9" t="str">
        <f t="shared" ref="F419:F420" si="359">HYPERLINK("https://www.biocoop.fr/magasin-biocoop_fontaine/confiture-figue-de-provence-370g-cp0026-000.html","888888")</f>
        <v>888888</v>
      </c>
      <c r="G419" s="2"/>
      <c r="H419" s="9" t="str">
        <f>HYPERLINK("https://satoriz-comboire.bio/collections/epicerie-sucree/products/re43089","9.6")</f>
        <v>9.6</v>
      </c>
      <c r="I419" s="2"/>
      <c r="J419" s="9" t="str">
        <f t="shared" ref="J419:J420" si="360">HYPERLINK("https://www.greenweez.com/produit/confiture-de-figues-bio-350g/2WEEZ0569","9.94")</f>
        <v>9.94</v>
      </c>
      <c r="K419" s="2"/>
      <c r="L419" s="7" t="str">
        <f t="shared" ref="L419:L420" si="361">HYPERLINK("https://metabase.lelefan.org/public/dashboard/53c41f3f-5644-466e-935e-897e7725f6bc?rayon=&amp;d%25C3%25A9signation=CONFITURE FIGUE ROUSILLON&amp;fournisseur=&amp;date_d%25C3%25A9but=&amp;date_fin=","7.95")</f>
        <v>7.95</v>
      </c>
      <c r="M419" s="2"/>
      <c r="N419" s="7" t="str">
        <f t="shared" ref="N419:N420" si="362">HYPERLINK("https://fd11-courses.leclercdrive.fr/magasin-063801-063801-Echirolles---Comboire/fiche-produits-134760-Confiture-de-figues-Bio-Village.aspx","6.24")</f>
        <v>6.24</v>
      </c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1" t="s">
        <v>657</v>
      </c>
      <c r="B420" s="9" t="str">
        <f t="shared" si="357"/>
        <v>10.44</v>
      </c>
      <c r="C420" s="2"/>
      <c r="D420" s="9" t="str">
        <f t="shared" si="358"/>
        <v>12.84</v>
      </c>
      <c r="E420" s="2"/>
      <c r="F420" s="9" t="str">
        <f t="shared" si="359"/>
        <v>888888</v>
      </c>
      <c r="G420" s="2"/>
      <c r="H420" s="9" t="str">
        <f>HYPERLINK("https://satoriz-comboire.bio/collections/epicerie-sucree/products/re39794","12.78")</f>
        <v>12.78</v>
      </c>
      <c r="I420" s="2"/>
      <c r="J420" s="9" t="str">
        <f t="shared" si="360"/>
        <v>9.94</v>
      </c>
      <c r="K420" s="2"/>
      <c r="L420" s="7" t="str">
        <f t="shared" si="361"/>
        <v>7.95</v>
      </c>
      <c r="M420" s="2"/>
      <c r="N420" s="7" t="str">
        <f t="shared" si="362"/>
        <v>6.24</v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1" t="s">
        <v>658</v>
      </c>
      <c r="B421" s="7" t="str">
        <f>HYPERLINK("https://lafourche.fr/products/la-fourche-miel-bio-toutes-fleurs-origine-bulgarie-1kg","10.6")</f>
        <v>10.6</v>
      </c>
      <c r="C421" s="10">
        <v>0.0</v>
      </c>
      <c r="D421" s="9" t="str">
        <f>HYPERLINK("https://www.biocoop.fr/magasin-biocoop_champollion/miel-toutes-fleurs-1kg-mz2000-000.html","15.2")</f>
        <v>15.2</v>
      </c>
      <c r="E421" s="10">
        <v>0.0</v>
      </c>
      <c r="F421" s="9" t="str">
        <f>HYPERLINK("https://www.biocoop.fr/magasin-biocoop_fontaine/miel-toutes-fleurs-1kg-mz2000-000.html","15.75")</f>
        <v>15.75</v>
      </c>
      <c r="G421" s="8">
        <v>-0.0483</v>
      </c>
      <c r="H421" s="9" t="str">
        <f>HYPERLINK("https://satoriz-comboire.bio/collections/epicerie-sucree/products/mont1031","19.05")</f>
        <v>19.05</v>
      </c>
      <c r="I421" s="11">
        <v>0.0297</v>
      </c>
      <c r="J421" s="9" t="str">
        <f>HYPERLINK("https://www.greenweez.com/produit/miel-toutes-fleurs-liquide-origine-ue-1kg/4TERR0044","17.95")</f>
        <v>17.95</v>
      </c>
      <c r="K421" s="10">
        <v>0.0</v>
      </c>
      <c r="L421" s="9" t="str">
        <f>HYPERLINK("https://metabase.lelefan.org/public/dashboard/53c41f3f-5644-466e-935e-897e7725f6bc?rayon=&amp;d%25C3%25A9signation=MIEL VRAC&amp;fournisseur=&amp;date_d%25C3%25A9but=&amp;date_fin=","16.25")</f>
        <v>16.25</v>
      </c>
      <c r="M421" s="2"/>
      <c r="N421" s="7" t="str">
        <f>HYPERLINK("https://fd11-courses.leclercdrive.fr/magasin-063801-063801-Echirolles---Comboire/fiche-produits-14082-Miel-de-fleurs-bio-Bio-Village.aspx","9.98")</f>
        <v>9.98</v>
      </c>
      <c r="O421" s="2"/>
      <c r="P421" s="1" t="s">
        <v>198</v>
      </c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1" t="s">
        <v>659</v>
      </c>
      <c r="B422" s="9" t="str">
        <f>HYPERLINK("https://lafourche.fr/products/la-fourche-miel-de-montagne-bio-0-25kg","22")</f>
        <v>22</v>
      </c>
      <c r="C422" s="10">
        <v>0.0</v>
      </c>
      <c r="D422" s="16">
        <v>888888.0</v>
      </c>
      <c r="E422" s="2"/>
      <c r="F422" s="16">
        <v>888888.0</v>
      </c>
      <c r="G422" s="2"/>
      <c r="H422" s="9" t="str">
        <f>HYPERLINK("https://satoriz-comboire.bio/collections/epicerie-sucree/products/ver052","22.4")</f>
        <v>22.4</v>
      </c>
      <c r="I422" s="10">
        <v>0.0</v>
      </c>
      <c r="J422" s="7" t="str">
        <f>HYPERLINK("https://www.greenweez.com/produit/miel-de-montagne-bio-espagne-500g/2WEEZ0036","17.9")</f>
        <v>17.9</v>
      </c>
      <c r="K422" s="10">
        <v>0.0</v>
      </c>
      <c r="L422" s="9" t="str">
        <f>HYPERLINK("https://metabase.lelefan.org/public/dashboard/53c41f3f-5644-466e-935e-897e7725f6bc?rayon=&amp;d%25C3%25A9signation=MIEL MONTAGNE&amp;fournisseur=&amp;date_d%25C3%25A9but=&amp;date_fin=","888888")</f>
        <v>888888</v>
      </c>
      <c r="M422" s="2"/>
      <c r="N422" s="16">
        <v>888888.0</v>
      </c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1" t="s">
        <v>660</v>
      </c>
      <c r="B423" s="7" t="str">
        <f>HYPERLINK("https://lafourche.fr/products/la-fourche-puree-100-cacahuetes-bio-0-5kg","9.98")</f>
        <v>9.98</v>
      </c>
      <c r="C423" s="10">
        <v>0.0</v>
      </c>
      <c r="D423" s="9" t="str">
        <f>HYPERLINK("https://www.biocoop.fr/magasin-biocoop_champollion/beurre-de-cacahuetes-500g-ra0617-000.html","11.9")</f>
        <v>11.9</v>
      </c>
      <c r="E423" s="8">
        <v>-0.0985</v>
      </c>
      <c r="F423" s="9" t="str">
        <f>HYPERLINK("https://www.biocoop.fr/magasin-biocoop_fontaine/beurre-de-cacahuetes-500g-ra0617-000.html","11.9")</f>
        <v>11.9</v>
      </c>
      <c r="G423" s="8">
        <v>-0.0985</v>
      </c>
      <c r="H423" s="9" t="str">
        <f>HYPERLINK("https://satoriz-comboire.bio/collections/epicerie-sucree/products/ag001216","11.0")</f>
        <v>11.0</v>
      </c>
      <c r="I423" s="11">
        <v>0.0516</v>
      </c>
      <c r="J423" s="9" t="str">
        <f>HYPERLINK("https://www.greenweez.com/produit/beurre-de-cacahuetes-280g/1PERL0131","888888")</f>
        <v>888888</v>
      </c>
      <c r="K423" s="17">
        <v>0.0</v>
      </c>
      <c r="L423" s="9" t="str">
        <f>HYPERLINK("https://metabase.lelefan.org/public/dashboard/53c41f3f-5644-466e-935e-897e7725f6bc?rayon=&amp;d%25C3%25A9signation=BEURRE DE CACAHUETES VRAC&amp;fournisseur=&amp;date_d%25C3%25A9but=&amp;date_fin=","12.69")</f>
        <v>12.69</v>
      </c>
      <c r="M423" s="2"/>
      <c r="N423" s="9" t="str">
        <f>HYPERLINK("https://fd11-courses.leclercdrive.fr/magasin-063801-063801-Echirolles---Comboire/fiche-produits-59025-Pur-beurre-cacahuete-Jardin-Bio.aspx","10.66")</f>
        <v>10.66</v>
      </c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1" t="s">
        <v>661</v>
      </c>
      <c r="B424" s="7" t="str">
        <f>HYPERLINK("https://lafourche.fr/products/la-fourche-tahin-100-sesame-demi-complet-bio-0-5kg","12.78")</f>
        <v>12.78</v>
      </c>
      <c r="C424" s="11">
        <v>0.0493</v>
      </c>
      <c r="D424" s="9" t="str">
        <f t="shared" ref="D424:D425" si="363">HYPERLINK("https://www.biocoop.fr/magasin-biocoop_champollion/puree-de-sesame-1-2-complet-350g-he0860-000.html","20.43")</f>
        <v>20.43</v>
      </c>
      <c r="E424" s="10">
        <v>0.0</v>
      </c>
      <c r="F424" s="9" t="str">
        <f t="shared" ref="F424:F425" si="364">HYPERLINK("https://www.biocoop.fr/magasin-biocoop_fontaine/puree-de-sesame-1-2-complet-350g-he0860-000.html","20.43")</f>
        <v>20.43</v>
      </c>
      <c r="G424" s="11">
        <v>0.7552</v>
      </c>
      <c r="H424" s="9" t="str">
        <f t="shared" ref="H424:H425" si="365">HYPERLINK("https://satoriz-comboire.bio/collections/epicerie-sucree/products/per1240","18.93")</f>
        <v>18.93</v>
      </c>
      <c r="I424" s="10">
        <v>0.0</v>
      </c>
      <c r="J424" s="9" t="str">
        <f>HYPERLINK("https://www.greenweez.com/produit/puree-de-sesame-complet-bio-700g/2WEEZ0504","888888")</f>
        <v>888888</v>
      </c>
      <c r="K424" s="18" t="s">
        <v>56</v>
      </c>
      <c r="L424" s="9" t="str">
        <f>HYPERLINK("https://metabase.lelefan.org/public/dashboard/53c41f3f-5644-466e-935e-897e7725f6bc?rayon=&amp;d%25C3%25A9signation=PUREE DE SESAME TAHIN&amp;fournisseur=&amp;date_d%25C3%25A9but=&amp;date_fin=","19.89")</f>
        <v>19.89</v>
      </c>
      <c r="M424" s="2"/>
      <c r="N424" s="9" t="str">
        <f t="shared" ref="N424:N425" si="366">HYPERLINK("https://fd11-courses.leclercdrive.fr/magasin-063801-063801-Echirolles---Comboire/fiche-produits-88339-Puree-de-sesame-Jardin-Bio.aspx","19.14")</f>
        <v>19.14</v>
      </c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1" t="s">
        <v>662</v>
      </c>
      <c r="B425" s="16">
        <v>888888.0</v>
      </c>
      <c r="C425" s="18" t="s">
        <v>56</v>
      </c>
      <c r="D425" s="9" t="str">
        <f t="shared" si="363"/>
        <v>20.43</v>
      </c>
      <c r="E425" s="10">
        <v>0.0</v>
      </c>
      <c r="F425" s="9" t="str">
        <f t="shared" si="364"/>
        <v>20.43</v>
      </c>
      <c r="G425" s="11">
        <v>0.7552</v>
      </c>
      <c r="H425" s="9" t="str">
        <f t="shared" si="365"/>
        <v>18.93</v>
      </c>
      <c r="I425" s="10">
        <v>0.0</v>
      </c>
      <c r="J425" s="7" t="str">
        <f>HYPERLINK("https://www.greenweez.com/produit/puree-de-sesame-complet-bio-350g/2WEEZ0501","13.11")</f>
        <v>13.11</v>
      </c>
      <c r="K425" s="11">
        <v>0.1561</v>
      </c>
      <c r="L425" s="16">
        <v>888888.0</v>
      </c>
      <c r="M425" s="2"/>
      <c r="N425" s="9" t="str">
        <f t="shared" si="366"/>
        <v>19.14</v>
      </c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1" t="s">
        <v>663</v>
      </c>
      <c r="B426" s="9" t="str">
        <f>HYPERLINK("https://lafourche.fr/products/la-fourche-puree-100-amandes-completes-bio-0-5kg","21.18")</f>
        <v>21.18</v>
      </c>
      <c r="C426" s="11">
        <v>0.0095</v>
      </c>
      <c r="D426" s="9" t="str">
        <f>HYPERLINK("https://www.biocoop.fr/magasin-biocoop_champollion/puree-d-amande-complete-grillee-750g-da8074-000.html","28.6")</f>
        <v>28.6</v>
      </c>
      <c r="E426" s="8">
        <v>-0.1251</v>
      </c>
      <c r="F426" s="9" t="str">
        <f>HYPERLINK("https://www.biocoop.fr/magasin-biocoop_fontaine/puree-d-amande-complete-grillee-750g-da8074-000.html","28.6")</f>
        <v>28.6</v>
      </c>
      <c r="G426" s="10">
        <v>0.0</v>
      </c>
      <c r="H426" s="7" t="str">
        <f>HYPERLINK("https://satoriz-comboire.bio/collections/epicerie-sucree/products/ag001043","21.15")</f>
        <v>21.15</v>
      </c>
      <c r="I426" s="8">
        <v>-0.0285</v>
      </c>
      <c r="J426" s="9" t="str">
        <f>HYPERLINK("https://www.greenweez.com/produit/puree-damandes-completes-bio-700g/2WEEZ0283","22.83")</f>
        <v>22.83</v>
      </c>
      <c r="K426" s="11">
        <v>0.0026</v>
      </c>
      <c r="L426" s="9" t="str">
        <f>HYPERLINK("https://metabase.lelefan.org/public/dashboard/53c41f3f-5644-466e-935e-897e7725f6bc?rayon=&amp;d%25C3%25A9signation=PUREE D AMANDE COMPLETE&amp;fournisseur=&amp;date_d%25C3%25A9but=&amp;date_fin=","888888")</f>
        <v>888888</v>
      </c>
      <c r="M426" s="2"/>
      <c r="N426" s="9" t="str">
        <f>HYPERLINK("https://fd11-courses.leclercdrive.fr/magasin-063801-063801-Echirolles---Comboire/fiche-produits-226295-Puree-amandes-Rigoni-di-Asiago.aspx","34.64")</f>
        <v>34.64</v>
      </c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1" t="s">
        <v>664</v>
      </c>
      <c r="B427" s="9" t="str">
        <f>HYPERLINK("https://lafourche.fr/products/la-fourche-puree-100-noix-de-cajou-bio-0-5kg","21.98")</f>
        <v>21.98</v>
      </c>
      <c r="C427" s="10">
        <v>0.0</v>
      </c>
      <c r="D427" s="9" t="str">
        <f>HYPERLINK("https://www.biocoop.fr/magasin-biocoop_champollion/puree-de-noix-de-cajou-crue-300g-pd0107-000.html","32.4")</f>
        <v>32.4</v>
      </c>
      <c r="E427" s="10">
        <v>0.0</v>
      </c>
      <c r="F427" s="9" t="str">
        <f>HYPERLINK("https://www.biocoop.fr/magasin-biocoop_fontaine/puree-de-noix-de-cajou-350g-he0751-000.html","29.14")</f>
        <v>29.14</v>
      </c>
      <c r="G427" s="8">
        <v>-0.0642</v>
      </c>
      <c r="H427" s="9" t="str">
        <f>HYPERLINK("https://satoriz-comboire.bio/collections/epicerie-sucree/products/per1435","26.5")</f>
        <v>26.5</v>
      </c>
      <c r="I427" s="10">
        <v>0.0</v>
      </c>
      <c r="J427" s="9" t="str">
        <f>HYPERLINK("https://www.greenweez.com/produit/puree-de-noix-de-cajou-bio-350g/2WEEZ0285","24.54")</f>
        <v>24.54</v>
      </c>
      <c r="K427" s="11">
        <v>0.0128</v>
      </c>
      <c r="L427" s="7" t="str">
        <f>HYPERLINK("https://metabase.lelefan.org/public/dashboard/53c41f3f-5644-466e-935e-897e7725f6bc?rayon=&amp;d%25C3%25A9signation=PUREE DE CAJOU&amp;fournisseur=&amp;date_d%25C3%25A9but=&amp;date_fin=","4.79")</f>
        <v>4.79</v>
      </c>
      <c r="M427" s="2"/>
      <c r="N427" s="16">
        <v>888888.0</v>
      </c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1" t="s">
        <v>665</v>
      </c>
      <c r="B428" s="7" t="str">
        <f>HYPERLINK("https://lafourche.fr/products/la-fourche-puree-100-noisettes-bio-0-5kg","22.36")</f>
        <v>22.36</v>
      </c>
      <c r="C428" s="8">
        <v>-0.0676</v>
      </c>
      <c r="D428" s="9" t="str">
        <f>HYPERLINK("https://www.biocoop.fr/magasin-biocoop_champollion/puree-de-noisette-700g-he0702-000.html","33.14")</f>
        <v>33.14</v>
      </c>
      <c r="E428" s="10">
        <v>0.0</v>
      </c>
      <c r="F428" s="9" t="str">
        <f>HYPERLINK("https://www.biocoop.fr/magasin-biocoop_fontaine/puree-de-noisette-700g-he0702-000.html","32.57")</f>
        <v>32.57</v>
      </c>
      <c r="G428" s="11">
        <v>0.0134</v>
      </c>
      <c r="H428" s="9" t="str">
        <f t="shared" ref="H428:H429" si="367">HYPERLINK("https://satoriz-comboire.bio/collections/epicerie-sucree/products/ag001044","25.0")</f>
        <v>25.0</v>
      </c>
      <c r="I428" s="8">
        <v>-0.0385</v>
      </c>
      <c r="J428" s="9" t="str">
        <f>HYPERLINK("https://www.greenweez.com/produit/puree-de-noisettes-bio-700g/2WEEZ0289","22.41")</f>
        <v>22.41</v>
      </c>
      <c r="K428" s="11">
        <v>0.0022</v>
      </c>
      <c r="L428" s="16">
        <v>888888.0</v>
      </c>
      <c r="M428" s="2"/>
      <c r="N428" s="16">
        <v>888888.0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1" t="s">
        <v>666</v>
      </c>
      <c r="B429" s="16">
        <v>888888.0</v>
      </c>
      <c r="C429" s="18" t="s">
        <v>56</v>
      </c>
      <c r="D429" s="9" t="str">
        <f>HYPERLINK("https://www.biocoop.fr/magasin-biocoop_champollion/puree-de-noisette-grillee-275g-da8052-000.html","36.33")</f>
        <v>36.33</v>
      </c>
      <c r="E429" s="11">
        <v>0.0963</v>
      </c>
      <c r="F429" s="9" t="str">
        <f>HYPERLINK("https://www.biocoop.fr/magasin-biocoop_fontaine/puree-de-noisette-toastee-280g-pd0117-000.html","32.11")</f>
        <v>32.11</v>
      </c>
      <c r="G429" s="8">
        <v>-9.0E-4</v>
      </c>
      <c r="H429" s="7" t="str">
        <f t="shared" si="367"/>
        <v>25.0</v>
      </c>
      <c r="I429" s="8">
        <v>-0.0385</v>
      </c>
      <c r="J429" s="9" t="str">
        <f>HYPERLINK("https://www.greenweez.com/produit/puree-de-noisettes-bio-350g/2WEEZ0287","25.69")</f>
        <v>25.69</v>
      </c>
      <c r="K429" s="11">
        <v>0.1489</v>
      </c>
      <c r="L429" s="16">
        <v>888888.0</v>
      </c>
      <c r="M429" s="2"/>
      <c r="N429" s="16">
        <v>888888.0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5" t="s">
        <v>667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1" t="s">
        <v>668</v>
      </c>
      <c r="B431" s="7" t="str">
        <f>HYPERLINK("https://lafourche.fr/products/borsa-biscottes-completes-bio-0-3kg","8.83")</f>
        <v>8.83</v>
      </c>
      <c r="C431" s="10">
        <v>0.0</v>
      </c>
      <c r="D431" s="7" t="str">
        <f>HYPERLINK("https://www.biocoop.fr/magasin-biocoop_champollion/biscottes-a-la-farine-complete-300g-bo1013-000.html","8.83")</f>
        <v>8.83</v>
      </c>
      <c r="E431" s="10">
        <v>0.0</v>
      </c>
      <c r="F431" s="7" t="str">
        <f>HYPERLINK("https://www.biocoop.fr/magasin-biocoop_fontaine/biscottes-a-la-farine-complete-300g-bo1013-000.html","8.83")</f>
        <v>8.83</v>
      </c>
      <c r="G431" s="10">
        <v>0.0</v>
      </c>
      <c r="H431" s="9" t="str">
        <f>HYPERLINK("https://satoriz-comboire.bio/collections/boulangerie/products/ma3424","9.17")</f>
        <v>9.17</v>
      </c>
      <c r="I431" s="10">
        <v>0.0</v>
      </c>
      <c r="J431" s="9" t="str">
        <f>HYPERLINK("https://www.greenweez.com/produit/biscottes-a-la-farine-complete-300g/1BORS0001","888888")</f>
        <v>888888</v>
      </c>
      <c r="K431" s="18" t="s">
        <v>56</v>
      </c>
      <c r="L431" s="16">
        <v>888888.0</v>
      </c>
      <c r="M431" s="2"/>
      <c r="N431" s="16">
        <v>888888.0</v>
      </c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1" t="s">
        <v>669</v>
      </c>
      <c r="B432" s="9" t="str">
        <f>HYPERLINK("https://lafourche.fr/products/lima-galettes-de-riz-100g","9.4")</f>
        <v>9.4</v>
      </c>
      <c r="C432" s="11">
        <v>0.1059</v>
      </c>
      <c r="D432" s="7" t="str">
        <f>HYPERLINK("https://www.biocoop.fr/magasin-biocoop_champollion/galettes-de-riz-de-camargue-complet-130g-bo0159-000.html","9.23")</f>
        <v>9.23</v>
      </c>
      <c r="E432" s="10">
        <v>0.0</v>
      </c>
      <c r="F432" s="7" t="str">
        <f>HYPERLINK("https://www.biocoop.fr/magasin-biocoop_fontaine/galettes-de-riz-de-camargue-complet-130g-bo0159-000.html","9.23")</f>
        <v>9.23</v>
      </c>
      <c r="G432" s="10">
        <v>0.0</v>
      </c>
      <c r="H432" s="9" t="str">
        <f>HYPERLINK("https://satoriz-comboire.bio/collections/boulangerie/products/pu7840009","11.5")</f>
        <v>11.5</v>
      </c>
      <c r="I432" s="11">
        <v>0.0952</v>
      </c>
      <c r="J432" s="9" t="str">
        <f>HYPERLINK("https://www.greenweez.com/produit/galettes-riz-de-camargue-sans-sel-100-france-130g/1PRIM0474","12.23")</f>
        <v>12.23</v>
      </c>
      <c r="K432" s="11">
        <v>0.7699</v>
      </c>
      <c r="L432" s="9" t="str">
        <f>HYPERLINK("https://metabase.lelefan.org/public/dashboard/53c41f3f-5644-466e-935e-897e7725f6bc?rayon=&amp;d%25C3%25A9signation=GALETTES DE RIZ AU SEL MARIN&amp;fournisseur=&amp;date_d%25C3%25A9but=&amp;date_fin=","888888")</f>
        <v>888888</v>
      </c>
      <c r="M432" s="2"/>
      <c r="N432" s="7" t="str">
        <f>HYPERLINK("https://fd11-courses.leclercdrive.fr/magasin-063801-063801-Echirolles---Comboire/fiche-produits-3617-Galettes-de-riz-bio-Bio-Village.aspx","7.15")</f>
        <v>7.15</v>
      </c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1" t="s">
        <v>670</v>
      </c>
      <c r="B433" s="7" t="str">
        <f>HYPERLINK("https://lafourche.fr/products/lima-galettes-de-riz-au-chocolat-noir-bio-0-1kg","25.8")</f>
        <v>25.8</v>
      </c>
      <c r="C433" s="11">
        <v>0.1944</v>
      </c>
      <c r="D433" s="9" t="str">
        <f>HYPERLINK("https://www.biocoop.fr/magasin-biocoop_champollion/galette-riz-complet-choco-noir-8-100g-cf5007-000.html","31.5")</f>
        <v>31.5</v>
      </c>
      <c r="E433" s="11">
        <v>0.3696</v>
      </c>
      <c r="F433" s="9" t="str">
        <f>HYPERLINK("https://www.biocoop.fr/magasin-biocoop_fontaine/galette-riz-complet-choco-noir-8-100g-cf5007-000.html","31.5")</f>
        <v>31.5</v>
      </c>
      <c r="G433" s="11">
        <v>0.3696</v>
      </c>
      <c r="H433" s="9" t="str">
        <f>HYPERLINK("https://satoriz-comboire.bio/collections/boulangerie/products/pu7840085","33.0")</f>
        <v>33.0</v>
      </c>
      <c r="I433" s="11">
        <v>0.2941</v>
      </c>
      <c r="J433" s="9" t="str">
        <f>HYPERLINK("https://www.greenweez.com/produit/galettes-de-riz-au-chocolat-noir-100g/1MKAL0059","888888")</f>
        <v>888888</v>
      </c>
      <c r="K433" s="17">
        <v>0.0</v>
      </c>
      <c r="L433" s="16">
        <v>888888.0</v>
      </c>
      <c r="M433" s="2"/>
      <c r="N433" s="16">
        <v>888888.0</v>
      </c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1" t="s">
        <v>671</v>
      </c>
      <c r="B434" s="9" t="str">
        <f>HYPERLINK("https://lafourche.fr/products/pivert-pain-grille-250g","11.04")</f>
        <v>11.04</v>
      </c>
      <c r="C434" s="11">
        <v>0.0036</v>
      </c>
      <c r="D434" s="9" t="str">
        <f>HYPERLINK("https://www.biocoop.fr/magasin-biocoop_champollion/petit-pain-grille-complet-225g-bo1031-000.html","13.29")</f>
        <v>13.29</v>
      </c>
      <c r="E434" s="11">
        <v>0.5329</v>
      </c>
      <c r="F434" s="9" t="str">
        <f>HYPERLINK("https://www.biocoop.fr/magasin-biocoop_fontaine/petit-pain-grille-complet-225g-bo1031-000.html","888888")</f>
        <v>888888</v>
      </c>
      <c r="G434" s="2"/>
      <c r="H434" s="7" t="str">
        <f>HYPERLINK("https://satoriz-comboire.bio/collections/boulangerie/products/ma1521","10.2")</f>
        <v>10.2</v>
      </c>
      <c r="I434" s="10">
        <v>0.0</v>
      </c>
      <c r="J434" s="9" t="str">
        <f>HYPERLINK("https://www.greenweez.com/produit/pain-grille-a-la-farine-complete-250g/1BORS0008","888888")</f>
        <v>888888</v>
      </c>
      <c r="K434" s="18" t="s">
        <v>56</v>
      </c>
      <c r="L434" s="16">
        <v>888888.0</v>
      </c>
      <c r="M434" s="2"/>
      <c r="N434" s="7" t="str">
        <f>HYPERLINK("https://fd11-courses.leclercdrive.fr/magasin-063801-063801-Echirolles---Comboire/fiche-produits-12584-Pain-grille-bio-Bio-Village.aspx","7.04")</f>
        <v>7.04</v>
      </c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1" t="s">
        <v>672</v>
      </c>
      <c r="B435" s="9" t="str">
        <f>HYPERLINK("https://lafourche.fr/products/pivert-petits-pains-grilles-graines-et-cereales-225g","12.67")</f>
        <v>12.67</v>
      </c>
      <c r="C435" s="8">
        <v>-0.0467</v>
      </c>
      <c r="D435" s="9" t="str">
        <f>HYPERLINK("https://www.biocoop.fr/magasin-biocoop_champollion/petit-grille-aux-graines-170g-al3052-000.html","27.65")</f>
        <v>27.65</v>
      </c>
      <c r="E435" s="11">
        <v>0.0446</v>
      </c>
      <c r="F435" s="7" t="str">
        <f>HYPERLINK("https://www.biocoop.fr/magasin-biocoop_fontaine/petit-pain-grille-cereales-graines-225g-bo1016-000.html","10.89")</f>
        <v>10.89</v>
      </c>
      <c r="G435" s="10">
        <v>0.0</v>
      </c>
      <c r="H435" s="9" t="str">
        <f>HYPERLINK("https://satoriz-comboire.bio/collections/boulangerie/products/mpi120268","13.11")</f>
        <v>13.11</v>
      </c>
      <c r="I435" s="10">
        <v>0.0</v>
      </c>
      <c r="J435" s="9" t="str">
        <f>HYPERLINK("https://www.greenweez.com/produit/petits-pains-grilles-cereales-et-graines-225g/1BORS0005","888888")</f>
        <v>888888</v>
      </c>
      <c r="K435" s="18" t="s">
        <v>56</v>
      </c>
      <c r="L435" s="16">
        <v>888888.0</v>
      </c>
      <c r="M435" s="2"/>
      <c r="N435" s="16">
        <v>888888.0</v>
      </c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3" t="s">
        <v>673</v>
      </c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5" t="s">
        <v>674</v>
      </c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1" t="s">
        <v>675</v>
      </c>
      <c r="B439" s="9" t="str">
        <f>HYPERLINK("https://lafourche.fr/products/vitaquell-margarine-megarine-bio-0-25kg","12.48")</f>
        <v>12.48</v>
      </c>
      <c r="C439" s="2"/>
      <c r="D439" s="9" t="str">
        <f>HYPERLINK("https://www.biocoop.fr/magasin-biocoop_champollion/margarine-cuisine-patisserie-500g-el0024-000.html","13.4")</f>
        <v>13.4</v>
      </c>
      <c r="E439" s="2"/>
      <c r="F439" s="9" t="str">
        <f>HYPERLINK("https://www.biocoop.fr/magasin-biocoop_fontaine/margarine-cuisine-patisserie-500g-el0024-000.html","13.3")</f>
        <v>13.3</v>
      </c>
      <c r="G439" s="2"/>
      <c r="H439" s="7" t="str">
        <f>HYPERLINK("https://satoriz-comboire.bio/collections/produits-frais/products/bt637","11.6")</f>
        <v>11.6</v>
      </c>
      <c r="I439" s="2"/>
      <c r="J439" s="9" t="str">
        <f>HYPERLINK("https://www.greenweez.com/produit/megarine-250g/1VIFR0015","12.96")</f>
        <v>12.96</v>
      </c>
      <c r="K439" s="2"/>
      <c r="L439" s="16">
        <v>888888.0</v>
      </c>
      <c r="M439" s="2"/>
      <c r="N439" s="7" t="str">
        <f>HYPERLINK("https://fd11-courses.leclercdrive.fr/magasin-063801-063801-Echirolles---Comboire/fiche-produits-49401-Matiere-grasse-Primevere-Bio.aspx","9.04")</f>
        <v>9.04</v>
      </c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1" t="s">
        <v>676</v>
      </c>
      <c r="B440" s="9" t="str">
        <f>HYPERLINK("https://lafourche.fr/products/ose-bio-beurre-moule-doux-bio-0-25kg","11.96")</f>
        <v>11.96</v>
      </c>
      <c r="C440" s="2"/>
      <c r="D440" s="9" t="str">
        <f>HYPERLINK("https://www.biocoop.fr/magasin-biocoop_champollion/beurre-de-baratte-doux-250g-gl6001-000.html","13.4")</f>
        <v>13.4</v>
      </c>
      <c r="E440" s="2"/>
      <c r="F440" s="9" t="str">
        <f>HYPERLINK("https://www.biocoop.fr/magasin-biocoop_fontaine/beurre-de-baratte-doux-250g-gl6001-000.html","13.4")</f>
        <v>13.4</v>
      </c>
      <c r="G440" s="2"/>
      <c r="H440" s="7" t="str">
        <f>HYPERLINK("https://satoriz-comboire.bio/collections/produits-frais/products/fob","11.4")</f>
        <v>11.4</v>
      </c>
      <c r="I440" s="2"/>
      <c r="J440" s="9" t="str">
        <f>HYPERLINK("https://www.greenweez.com/produit/beurre-moule-doux-250g/1NATA0064","888888")</f>
        <v>888888</v>
      </c>
      <c r="K440" s="2"/>
      <c r="L440" s="9" t="str">
        <f>HYPERLINK("https://metabase.lelefan.org/public/dashboard/53c41f3f-5644-466e-935e-897e7725f6bc?rayon=&amp;d%25C3%25A9signation=BEURRE DE SAVOIE&amp;fournisseur=&amp;date_d%25C3%25A9but=&amp;date_fin=","14.08")</f>
        <v>14.08</v>
      </c>
      <c r="M440" s="2"/>
      <c r="N440" s="7" t="str">
        <f>HYPERLINK("https://fd11-courses.leclercdrive.fr/magasin-063801-063801-Echirolles---Comboire/fiche-produits-3040-Beurre-moule-bio-Bio-Village.aspx","11.6")</f>
        <v>11.6</v>
      </c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1" t="s">
        <v>677</v>
      </c>
      <c r="B441" s="9" t="str">
        <f>HYPERLINK("https://lafourche.fr/products/natur-avenir-beurre-moule-demi-sel-bio-0-25kg","11.96")</f>
        <v>11.96</v>
      </c>
      <c r="C441" s="2"/>
      <c r="D441" s="9" t="str">
        <f>HYPERLINK("https://www.biocoop.fr/magasin-biocoop_champollion/beurre-de-baratte-demi-sel-250g-gl6002-000.html","13.4")</f>
        <v>13.4</v>
      </c>
      <c r="E441" s="2"/>
      <c r="F441" s="9" t="str">
        <f>HYPERLINK("https://www.biocoop.fr/magasin-biocoop_fontaine/beurre-de-baratte-demi-sel-250g-gl6002-000.html","13.4")</f>
        <v>13.4</v>
      </c>
      <c r="G441" s="2"/>
      <c r="H441" s="7" t="str">
        <f>HYPERLINK("https://satoriz-comboire.bio/collections/produits-frais/products/re17178","11.8")</f>
        <v>11.8</v>
      </c>
      <c r="I441" s="2"/>
      <c r="J441" s="9" t="str">
        <f>HYPERLINK("https://www.greenweez.com/produit/beurre-de-baratte-moule-demi-sel-250g-1/1TANT0024","15.08")</f>
        <v>15.08</v>
      </c>
      <c r="K441" s="2"/>
      <c r="L441" s="9" t="str">
        <f>HYPERLINK("https://metabase.lelefan.org/public/dashboard/53c41f3f-5644-466e-935e-897e7725f6bc?rayon=&amp;d%25C3%25A9signation=BEURRE 1/2 SEL&amp;fournisseur=&amp;date_d%25C3%25A9but=&amp;date_fin=","12.12")</f>
        <v>12.12</v>
      </c>
      <c r="M441" s="2"/>
      <c r="N441" s="16">
        <v>888888.0</v>
      </c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1" t="s">
        <v>678</v>
      </c>
      <c r="B442" s="9" t="str">
        <f>HYPERLINK("https://lafourche.fr/products/ose-bio-creme-fraiche-epaisse-bio-0-49kg","7.04")</f>
        <v>7.04</v>
      </c>
      <c r="C442" s="2"/>
      <c r="D442" s="7" t="str">
        <f>HYPERLINK("https://www.biocoop.fr/magasin-biocoop_champollion/creme-fraiche-epaisse-30-mg-50cl-yo1016-000.html","6.6")</f>
        <v>6.6</v>
      </c>
      <c r="E442" s="2"/>
      <c r="F442" s="9" t="str">
        <f>HYPERLINK("https://www.biocoop.fr/magasin-biocoop_fontaine/creme-fraiche-epaisse-30-mg-50cl-yo1016-000.html","888888")</f>
        <v>888888</v>
      </c>
      <c r="G442" s="2"/>
      <c r="H442" s="7" t="str">
        <f>HYPERLINK("https://satoriz-comboire.bio/collections/produits-frais/products/y96","6.6")</f>
        <v>6.6</v>
      </c>
      <c r="I442" s="2"/>
      <c r="J442" s="9" t="str">
        <f>HYPERLINK("https://www.greenweez.com/produit/creme-fraiche-epaisse-30-50cl/1YOGM0005","888888")</f>
        <v>888888</v>
      </c>
      <c r="K442" s="2"/>
      <c r="L442" s="9" t="str">
        <f>HYPERLINK("https://metabase.lelefan.org/public/dashboard/53c41f3f-5644-466e-935e-897e7725f6bc?rayon=&amp;d%25C3%25A9signation=CREME FRAICHE POT 50 CL&amp;fournisseur=&amp;date_d%25C3%25A9but=&amp;date_fin=","888888")</f>
        <v>888888</v>
      </c>
      <c r="M442" s="2"/>
      <c r="N442" s="7" t="str">
        <f>HYPERLINK("https://fd11-courses.leclercdrive.fr/magasin-063801-063801-Echirolles---Comboire/fiche-produits-71531-Creme-fraiche-bio-Bio-village.aspx","5.32")</f>
        <v>5.32</v>
      </c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1" t="s">
        <v>679</v>
      </c>
      <c r="B443" s="9" t="str">
        <f>HYPERLINK("https://lafourche.fr/products/ose-bio-creme-fraiche-epaisse-bio-0-196kg","8.45")</f>
        <v>8.45</v>
      </c>
      <c r="C443" s="2"/>
      <c r="D443" s="7" t="str">
        <f>HYPERLINK("https://www.biocoop.fr/magasin-biocoop_champollion/creme-fraiche-epaisse-30-mg-20cl-yo1014-000.html","7.25")</f>
        <v>7.25</v>
      </c>
      <c r="E443" s="2"/>
      <c r="F443" s="7" t="str">
        <f>HYPERLINK("https://www.biocoop.fr/magasin-biocoop_fontaine/creme-fraiche-epaisse-30-mg-20cl-yo1014-000.html","7.25")</f>
        <v>7.25</v>
      </c>
      <c r="G443" s="2"/>
      <c r="H443" s="7" t="str">
        <f>HYPERLINK("https://satoriz-comboire.bio/collections/produits-frais/products/y93","7.25")</f>
        <v>7.25</v>
      </c>
      <c r="I443" s="2"/>
      <c r="J443" s="9" t="str">
        <f>HYPERLINK("https://www.greenweez.com/produit/creme-fraiche-epaisse-30-20cl/1YOGM0003","11.5")</f>
        <v>11.5</v>
      </c>
      <c r="K443" s="2"/>
      <c r="L443" s="9" t="str">
        <f>HYPERLINK("https://metabase.lelefan.org/public/dashboard/53c41f3f-5644-466e-935e-897e7725f6bc?rayon=&amp;d%25C3%25A9signation=CREME DOUCE GIRALP&amp;fournisseur=&amp;date_d%25C3%25A9but=&amp;date_fin=","15.25")</f>
        <v>15.25</v>
      </c>
      <c r="M443" s="2"/>
      <c r="N443" s="7" t="str">
        <f>HYPERLINK("https://fd11-courses.leclercdrive.fr/magasin-063801-063801-Echirolles---Comboire/fiche-produits-6073-Creme-fraiche-bio-Bio-village.aspx","5.75")</f>
        <v>5.75</v>
      </c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1" t="s">
        <v>680</v>
      </c>
      <c r="B444" s="9" t="str">
        <f>HYPERLINK("https://lafourche.fr/products/yogourmand-yaourt-nature-entier-bio-12x125g-1-5kg","2.55")</f>
        <v>2.55</v>
      </c>
      <c r="C444" s="2"/>
      <c r="D444" s="9" t="str">
        <f>HYPERLINK("https://www.biocoop.fr/magasin-biocoop_champollion/yaourt-au-lait-entier-nature-12x125g-yo1006-000.html","2.33")</f>
        <v>2.33</v>
      </c>
      <c r="E444" s="2"/>
      <c r="F444" s="7" t="str">
        <f>HYPERLINK("https://www.biocoop.fr/magasin-biocoop_fontaine/yaourt-au-lait-entier-nature-12x125g-yo1006-000.html","2.3")</f>
        <v>2.3</v>
      </c>
      <c r="G444" s="2"/>
      <c r="H444" s="7" t="str">
        <f>HYPERLINK("https://satoriz-comboire.bio/collections/produits-frais/products/y91","2.3")</f>
        <v>2.3</v>
      </c>
      <c r="I444" s="2"/>
      <c r="J444" s="9" t="str">
        <f t="shared" ref="J444:J445" si="368">HYPERLINK("https://www.greenweez.com/produit/yaourt-nature-origine-france-4x125g/1BTER0411","2.74")</f>
        <v>2.74</v>
      </c>
      <c r="K444" s="2"/>
      <c r="L444" s="9" t="str">
        <f t="shared" ref="L444:L445" si="369">HYPERLINK("https://metabase.lelefan.org/public/dashboard/53c41f3f-5644-466e-935e-897e7725f6bc?rayon=&amp;d%25C3%25A9signation=YAOURT NATURE DE VACHE PAR 4&amp;fournisseur=&amp;date_d%25C3%25A9but=&amp;date_fin=","888888")</f>
        <v>888888</v>
      </c>
      <c r="M444" s="2"/>
      <c r="N444" s="7" t="str">
        <f>HYPERLINK("https://fd11-courses.leclercdrive.fr/magasin-063801-063801-Echirolles---Comboire/fiche-produits-20010-Yaourts-lait-entier-nature-Bio-.aspx","1.64")</f>
        <v>1.64</v>
      </c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1" t="s">
        <v>681</v>
      </c>
      <c r="B445" s="9" t="str">
        <f>HYPERLINK("https://lafourche.fr/products/yogourmand-yaourt-nature-entier-bio-4x125g-0-5kg","2.64")</f>
        <v>2.64</v>
      </c>
      <c r="C445" s="2"/>
      <c r="D445" s="9" t="str">
        <f>HYPERLINK("https://www.biocoop.fr/magasin-biocoop_champollion/yaourt-au-lait-entier-nature-4x125g-yo1005-000.html","3.1")</f>
        <v>3.1</v>
      </c>
      <c r="E445" s="2"/>
      <c r="F445" s="9" t="str">
        <f>HYPERLINK("https://www.biocoop.fr/magasin-biocoop_fontaine/yaourt-au-lait-entier-nature-4x125g-yo1005-000.html","2.6")</f>
        <v>2.6</v>
      </c>
      <c r="G445" s="2"/>
      <c r="H445" s="7" t="str">
        <f>HYPERLINK("https://satoriz-comboire.bio/collections/produits-frais/products/y92","2.4")</f>
        <v>2.4</v>
      </c>
      <c r="I445" s="2"/>
      <c r="J445" s="9" t="str">
        <f t="shared" si="368"/>
        <v>2.74</v>
      </c>
      <c r="K445" s="2"/>
      <c r="L445" s="9" t="str">
        <f t="shared" si="369"/>
        <v>888888</v>
      </c>
      <c r="M445" s="2"/>
      <c r="N445" s="7" t="str">
        <f>HYPERLINK("https://fd11-courses.leclercdrive.fr/magasin-063801-063801-Echirolles---Comboire/fiche-produits-10641-Yaourts-lait-entier-nature-Bio.aspx","1.9")</f>
        <v>1.9</v>
      </c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1" t="s">
        <v>682</v>
      </c>
      <c r="B446" s="9" t="str">
        <f t="shared" ref="B446:B447" si="370">HYPERLINK("https://lafourche.fr/products/tante-helene-fromage-blanc-nature-bio-et-equitable-0-4kg","6.25")</f>
        <v>6.25</v>
      </c>
      <c r="C446" s="2"/>
      <c r="D446" s="9" t="str">
        <f t="shared" ref="D446:D447" si="371">HYPERLINK("https://www.biocoop.fr/magasin-biocoop_champollion/fromage-blanc-nature-3-5-400g-th1004-000.html","6.0")</f>
        <v>6.0</v>
      </c>
      <c r="E446" s="2"/>
      <c r="F446" s="9" t="str">
        <f>HYPERLINK("https://www.biocoop.fr/magasin-biocoop_fontaine/fromage-blanc-3-6-mg-1kg-bc6500-000.html","5.75")</f>
        <v>5.75</v>
      </c>
      <c r="G446" s="2"/>
      <c r="H446" s="7" t="str">
        <f>HYPERLINK("https://satoriz-comboire.bio/collections/produits-frais/products/re16521","5.4")</f>
        <v>5.4</v>
      </c>
      <c r="I446" s="2"/>
      <c r="J446" s="9" t="str">
        <f t="shared" ref="J446:J447" si="372">HYPERLINK("https://www.greenweez.com/produit/fromage-blanc-nature-3-6-mg-400g/1TANT0001","7.48")</f>
        <v>7.48</v>
      </c>
      <c r="K446" s="2"/>
      <c r="L446" s="9" t="str">
        <f t="shared" ref="L446:L447" si="373">HYPERLINK("https://metabase.lelefan.org/public/dashboard/53c41f3f-5644-466e-935e-897e7725f6bc?rayon=&amp;d%25C3%25A9signation=FROMAGE BLANC VACHE - NATURE STE LUCE&amp;fournisseur=&amp;date_d%25C3%25A9but=&amp;date_fin=","7.38")</f>
        <v>7.38</v>
      </c>
      <c r="M446" s="2"/>
      <c r="N446" s="7" t="str">
        <f t="shared" ref="N446:N447" si="374">HYPERLINK("https://fd11-courses.leclercdrive.fr/magasin-063801-063801-Echirolles---Comboire/fiche-produits-14904-Fromage-frais-nature-Bio.aspx","3.52")</f>
        <v>3.52</v>
      </c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1" t="s">
        <v>683</v>
      </c>
      <c r="B447" s="9" t="str">
        <f t="shared" si="370"/>
        <v>6.25</v>
      </c>
      <c r="C447" s="2"/>
      <c r="D447" s="9" t="str">
        <f t="shared" si="371"/>
        <v>6.0</v>
      </c>
      <c r="E447" s="2"/>
      <c r="F447" s="9" t="str">
        <f>HYPERLINK("https://www.biocoop.fr/magasin-biocoop_fontaine/fromage-blanc-nature-3-5-400g-th1004-000.html","6.0")</f>
        <v>6.0</v>
      </c>
      <c r="G447" s="2"/>
      <c r="H447" s="7" t="str">
        <f>HYPERLINK("https://satoriz-comboire.bio/collections/produits-frais/products/gb204","5.8")</f>
        <v>5.8</v>
      </c>
      <c r="I447" s="2"/>
      <c r="J447" s="9" t="str">
        <f t="shared" si="372"/>
        <v>7.48</v>
      </c>
      <c r="K447" s="2"/>
      <c r="L447" s="9" t="str">
        <f t="shared" si="373"/>
        <v>7.38</v>
      </c>
      <c r="M447" s="2"/>
      <c r="N447" s="7" t="str">
        <f t="shared" si="374"/>
        <v>3.52</v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1" t="s">
        <v>684</v>
      </c>
      <c r="B448" s="9" t="str">
        <f>HYPERLINK("https://lafourche.fr/products/sojade-dessert-vegetal-soja-nature-bio-0-4kg","4.12")</f>
        <v>4.12</v>
      </c>
      <c r="C448" s="2"/>
      <c r="D448" s="7" t="str">
        <f>HYPERLINK("https://www.biocoop.fr/magasin-biocoop_champollion/sojade-nature-400g-al9206-000.html","3.75")</f>
        <v>3.75</v>
      </c>
      <c r="E448" s="2"/>
      <c r="F448" s="7" t="str">
        <f>HYPERLINK("https://www.biocoop.fr/magasin-biocoop_fontaine/sojade-nature-400g-al9206-000.html","3.75")</f>
        <v>3.75</v>
      </c>
      <c r="G448" s="2"/>
      <c r="H448" s="9" t="str">
        <f>HYPERLINK("https://satoriz-comboire.bio/collections/produits-frais/products/fr18102","3.88")</f>
        <v>3.88</v>
      </c>
      <c r="I448" s="2"/>
      <c r="J448" s="9" t="str">
        <f>HYPERLINK("https://www.greenweez.com/produit/dessert-nature-au-soja-400g/1SOJA0006","5.15")</f>
        <v>5.15</v>
      </c>
      <c r="K448" s="2"/>
      <c r="L448" s="16">
        <v>888888.0</v>
      </c>
      <c r="M448" s="2"/>
      <c r="N448" s="16">
        <v>888888.0</v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1" t="s">
        <v>685</v>
      </c>
      <c r="B449" s="16">
        <v>888888.0</v>
      </c>
      <c r="C449" s="2"/>
      <c r="D449" s="9" t="str">
        <f>HYPERLINK("https://www.biocoop.fr/magasin-biocoop_champollion/sojade-nature-4x100g-al9229-000.html","4.75")</f>
        <v>4.75</v>
      </c>
      <c r="E449" s="2"/>
      <c r="F449" s="9" t="str">
        <f>HYPERLINK("https://www.biocoop.fr/magasin-biocoop_fontaine/sojade-nature-4x100g-al9229-000.html","4.75")</f>
        <v>4.75</v>
      </c>
      <c r="G449" s="2"/>
      <c r="H449" s="7" t="str">
        <f>HYPERLINK("https://satoriz-comboire.bio/collections/produits-frais/products/fr18451","4.38")</f>
        <v>4.38</v>
      </c>
      <c r="I449" s="2"/>
      <c r="J449" s="9" t="str">
        <f>HYPERLINK("https://www.greenweez.com/produit/dessert-nature-au-soja-4x100g/1SOJA0014","5.42")</f>
        <v>5.42</v>
      </c>
      <c r="K449" s="2"/>
      <c r="L449" s="9" t="str">
        <f>HYPERLINK("https://metabase.lelefan.org/public/dashboard/53c41f3f-5644-466e-935e-897e7725f6bc?rayon=&amp;d%25C3%25A9signation=SOJADE NATURE&amp;fournisseur=&amp;date_d%25C3%25A9but=&amp;date_fin=","5.27")</f>
        <v>5.27</v>
      </c>
      <c r="M449" s="2"/>
      <c r="N449" s="16">
        <v>888888.0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1" t="s">
        <v>686</v>
      </c>
      <c r="B450" s="9" t="str">
        <f>HYPERLINK("https://lafourche.fr/products/sojade-dessert-vegetal-soja-chocolat-bio-0-4kg","6.95")</f>
        <v>6.95</v>
      </c>
      <c r="C450" s="2"/>
      <c r="D450" s="9" t="str">
        <f>HYPERLINK("https://www.biocoop.fr/magasin-biocoop_champollion/sojade-dessert-chocolat-4x100g-al9230-000.html","7.0")</f>
        <v>7.0</v>
      </c>
      <c r="E450" s="2"/>
      <c r="F450" s="9" t="str">
        <f>HYPERLINK("https://www.biocoop.fr/magasin-biocoop_fontaine/sojade-dessert-chocolat-4x100g-al9230-000.html","7.0")</f>
        <v>7.0</v>
      </c>
      <c r="G450" s="2"/>
      <c r="H450" s="7" t="str">
        <f>HYPERLINK("https://satoriz-comboire.bio/collections/produits-frais/products/fr18491","6.63")</f>
        <v>6.63</v>
      </c>
      <c r="I450" s="2"/>
      <c r="J450" s="9" t="str">
        <f>HYPERLINK("https://www.greenweez.com/produit/dessert-chocolat-au-soja-4x100-g/1SOJA0016","7.67")</f>
        <v>7.67</v>
      </c>
      <c r="K450" s="2"/>
      <c r="L450" s="16">
        <v>888888.0</v>
      </c>
      <c r="M450" s="2"/>
      <c r="N450" s="16">
        <v>888888.0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1" t="s">
        <v>687</v>
      </c>
      <c r="B451" s="9" t="str">
        <f>HYPERLINK("https://lafourche.fr/products/valmartin-fromage-rape-emmental-bio-1kg","12.8")</f>
        <v>12.8</v>
      </c>
      <c r="C451" s="2"/>
      <c r="D451" s="9" t="str">
        <f t="shared" ref="D451:D452" si="375">HYPERLINK("https://www.biocoop.fr/magasin-biocoop_champollion/emmental-rape-29-lpast-200g-fs3003-000.html","14.95")</f>
        <v>14.95</v>
      </c>
      <c r="E451" s="2"/>
      <c r="F451" s="9" t="str">
        <f>HYPERLINK("https://www.biocoop.fr/magasin-biocoop_fontaine/emmental-rape-29-400g-fs3001-000.html","14.88")</f>
        <v>14.88</v>
      </c>
      <c r="G451" s="2"/>
      <c r="H451" s="9" t="str">
        <f>HYPERLINK("https://satoriz-comboire.bio/collections/produits-frais/products/val3","12.9")</f>
        <v>12.9</v>
      </c>
      <c r="I451" s="2"/>
      <c r="J451" s="9" t="str">
        <f t="shared" ref="J451:J452" si="376">HYPERLINK("https://www.greenweez.com/produit/emmental-rape-lait-pasteurise-200g/1BTER0565","14.15")</f>
        <v>14.15</v>
      </c>
      <c r="K451" s="2"/>
      <c r="L451" s="7" t="str">
        <f>HYPERLINK("https://metabase.lelefan.org/public/dashboard/53c41f3f-5644-466e-935e-897e7725f6bc?rayon=&amp;d%25C3%25A9signation=EMMENTAL RAPE SACHET 1 KG LAIT CRU&amp;fournisseur=&amp;date_d%25C3%25A9but=&amp;date_fin=","10.08")</f>
        <v>10.08</v>
      </c>
      <c r="M451" s="2"/>
      <c r="N451" s="9" t="str">
        <f>HYPERLINK("https://fd11-courses.leclercdrive.fr/magasin-063801-063801-Echirolles---Comboire/fiche-produits-86940-Emmental-fromage-rape-bio.aspx","10.93")</f>
        <v>10.93</v>
      </c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1" t="s">
        <v>688</v>
      </c>
      <c r="B452" s="9" t="str">
        <f>HYPERLINK("https://lafourche.fr/products/valmartin-fromage-emmental-rape-bio-0-2kg","14.3")</f>
        <v>14.3</v>
      </c>
      <c r="C452" s="2"/>
      <c r="D452" s="9" t="str">
        <f t="shared" si="375"/>
        <v>14.95</v>
      </c>
      <c r="E452" s="2"/>
      <c r="F452" s="9" t="str">
        <f>HYPERLINK("https://www.biocoop.fr/magasin-biocoop_fontaine/emmental-rape-29-lpast-200g-fs3003-000.html","888888")</f>
        <v>888888</v>
      </c>
      <c r="G452" s="2"/>
      <c r="H452" s="9" t="str">
        <f>HYPERLINK("https://satoriz-comboire.bio/collections/produits-frais/products/val2","13.75")</f>
        <v>13.75</v>
      </c>
      <c r="I452" s="2"/>
      <c r="J452" s="9" t="str">
        <f t="shared" si="376"/>
        <v>14.15</v>
      </c>
      <c r="K452" s="2"/>
      <c r="L452" s="7" t="str">
        <f>HYPERLINK("https://metabase.lelefan.org/public/dashboard/53c41f3f-5644-466e-935e-897e7725f6bc?rayon=&amp;d%25C3%25A9signation=EMMENTAL RAPE SACHET 150 G LAIT CRU&amp;fournisseur=&amp;date_d%25C3%25A9but=&amp;date_fin=","11.6")</f>
        <v>11.6</v>
      </c>
      <c r="M452" s="2"/>
      <c r="N452" s="7" t="str">
        <f>HYPERLINK("https://fd11-courses.leclercdrive.fr/magasin-063801-063801-Echirolles---Comboire/fiche-produits-32352-Emmental-fromage-rape-bio.aspx","11.15")</f>
        <v>11.15</v>
      </c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1" t="s">
        <v>689</v>
      </c>
      <c r="B453" s="7" t="str">
        <f>HYPERLINK("https://lafourche.fr/products/philia-fromage-rape-parmesan-reggiano-aop-12-mois-bio-0-06kg","25")</f>
        <v>25</v>
      </c>
      <c r="C453" s="2"/>
      <c r="D453" s="9" t="str">
        <f>HYPERLINK("https://www.biocoop.fr/magasin-biocoop_champollion/parmigiano-reggiano-dop-rape-90g-to3005-000.html","42.78")</f>
        <v>42.78</v>
      </c>
      <c r="E453" s="2"/>
      <c r="F453" s="9" t="str">
        <f>HYPERLINK("https://www.biocoop.fr/magasin-biocoop_fontaine/parmigiano-reggiano-dop-rape-90g-to3005-000.html","42.78")</f>
        <v>42.78</v>
      </c>
      <c r="G453" s="2"/>
      <c r="H453" s="9" t="str">
        <f>HYPERLINK("https://satoriz-comboire.bio/collections/produits-frais/products/bt3014729","38.0")</f>
        <v>38.0</v>
      </c>
      <c r="I453" s="2"/>
      <c r="J453" s="9" t="str">
        <f>HYPERLINK("https://www.greenweez.com/produit/parmesan-reggiano-rape-aop-50g/1BTER0357","888888")</f>
        <v>888888</v>
      </c>
      <c r="K453" s="2"/>
      <c r="L453" s="9" t="str">
        <f>HYPERLINK("https://metabase.lelefan.org/public/dashboard/53c41f3f-5644-466e-935e-897e7725f6bc?rayon=&amp;d%25C3%25A9signation=PARMESAN RAPE DOP&amp;fournisseur=&amp;date_d%25C3%25A9but=&amp;date_fin=","36.62")</f>
        <v>36.62</v>
      </c>
      <c r="M453" s="2"/>
      <c r="N453" s="9" t="str">
        <f>HYPERLINK("https://fd11-courses.leclercdrive.fr/magasin-063801-063801-Echirolles---Comboire/fiche-produits-86947-Parmesan-rape-AOP-30-MG-Bio.aspx","31.6")</f>
        <v>31.6</v>
      </c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1" t="s">
        <v>690</v>
      </c>
      <c r="B454" s="7" t="str">
        <f>HYPERLINK("https://lafourche.fr/products/oma-feta-greco-aop-bio-0-18kg","17.72")</f>
        <v>17.72</v>
      </c>
      <c r="C454" s="2"/>
      <c r="D454" s="9" t="str">
        <f>HYPERLINK("https://www.biocoop.fr/magasin-biocoop_champollion/feta-nature-aop-150g-or1010-000.html","32.67")</f>
        <v>32.67</v>
      </c>
      <c r="E454" s="2"/>
      <c r="F454" s="9" t="str">
        <f>HYPERLINK("https://www.biocoop.fr/magasin-biocoop_fontaine/feta-nature-aop-150g-or1010-000.html","32.67")</f>
        <v>32.67</v>
      </c>
      <c r="G454" s="2"/>
      <c r="H454" s="9" t="str">
        <f>HYPERLINK("https://satoriz-comboire.bio/products/re16386","22.67")</f>
        <v>22.67</v>
      </c>
      <c r="I454" s="2"/>
      <c r="J454" s="9" t="str">
        <f>HYPERLINK("https://www.greenweez.com/produit/feta-originale-180g/1BVER0050","888888")</f>
        <v>888888</v>
      </c>
      <c r="K454" s="2"/>
      <c r="L454" s="9" t="str">
        <f>HYPERLINK("https://metabase.lelefan.org/public/dashboard/53c41f3f-5644-466e-935e-897e7725f6bc?rayon=&amp;d%25C3%25A9signation=FETA  AOP 24% MG&amp;fournisseur=&amp;date_d%25C3%25A9but=&amp;date_fin=","19.67")</f>
        <v>19.67</v>
      </c>
      <c r="M454" s="2"/>
      <c r="N454" s="7" t="str">
        <f>HYPERLINK("https://fd11-courses.leclercdrive.fr/magasin-063801-063801-Echirolles---Comboire/fiche-produits-216014-Feta-bio-Bio-Village.aspx","17.27")</f>
        <v>17.27</v>
      </c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1" t="s">
        <v>691</v>
      </c>
      <c r="B455" s="7" t="str">
        <f>HYPERLINK("https://lafourche.fr/products/oma-mozzarella-di-bufala-campana-aop-bio-0-125kg","19.92")</f>
        <v>19.92</v>
      </c>
      <c r="C455" s="2"/>
      <c r="D455" s="9" t="str">
        <f>HYPERLINK("https://www.biocoop.fr/magasin-biocoop_champollion/mozzarella-di-bufala-campana-125g-to3000-000.html","27.68")</f>
        <v>27.68</v>
      </c>
      <c r="E455" s="2"/>
      <c r="F455" s="9" t="str">
        <f>HYPERLINK("https://www.biocoop.fr/magasin-biocoop_fontaine/mozzarella-di-bufala-campana-125g-to3000-000.html","28.8")</f>
        <v>28.8</v>
      </c>
      <c r="G455" s="2"/>
      <c r="H455" s="9" t="str">
        <f>HYPERLINK("https://satoriz-comboire.bio/collections/produits-frais/products/vi13415","22.8")</f>
        <v>22.8</v>
      </c>
      <c r="I455" s="2"/>
      <c r="J455" s="9" t="str">
        <f>HYPERLINK("https://www.greenweez.com/produit/mozzarella-di-bufala-aop-125g/1BTER0362","23.92")</f>
        <v>23.92</v>
      </c>
      <c r="K455" s="2"/>
      <c r="L455" s="9" t="str">
        <f>HYPERLINK("https://metabase.lelefan.org/public/dashboard/53c41f3f-5644-466e-935e-897e7725f6bc?rayon=&amp;d%25C3%25A9signation=MOZZARELLA DI BUFALA CAMPANA DOP&amp;fournisseur=&amp;date_d%25C3%25A9but=&amp;date_fin=","21.28")</f>
        <v>21.28</v>
      </c>
      <c r="M455" s="2"/>
      <c r="N455" s="7" t="str">
        <f>HYPERLINK("https://fd11-courses.leclercdrive.fr/magasin-063801-063801-Echirolles---Comboire/fiche-produits-90633-Ricotta-Bio-Village.aspx","7.16")</f>
        <v>7.16</v>
      </c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1" t="s">
        <v>692</v>
      </c>
      <c r="B456" s="9" t="str">
        <f>HYPERLINK("https://lafourche.fr/products/ambrosi-ricotta-bio-0-25kg","10.36")</f>
        <v>10.36</v>
      </c>
      <c r="C456" s="2"/>
      <c r="D456" s="7" t="str">
        <f>HYPERLINK("https://www.biocoop.fr/magasin-biocoop_champollion/ricotta-7-mg-250g-aa0042-000.html","10.2")</f>
        <v>10.2</v>
      </c>
      <c r="E456" s="2"/>
      <c r="F456" s="9" t="str">
        <f>HYPERLINK("https://www.biocoop.fr/magasin-biocoop_fontaine/ricotta-7-mg-250g-aa0042-000.html","888888")</f>
        <v>888888</v>
      </c>
      <c r="G456" s="2"/>
      <c r="H456" s="9" t="str">
        <f>HYPERLINK("https://satoriz-comboire.bio/products/re13922","10.6")</f>
        <v>10.6</v>
      </c>
      <c r="I456" s="2"/>
      <c r="J456" s="9" t="str">
        <f>HYPERLINK("https://www.greenweez.com/produit/ricotta-250g-3/1ZUGE0001","12.48")</f>
        <v>12.48</v>
      </c>
      <c r="K456" s="2"/>
      <c r="L456" s="9" t="str">
        <f>HYPERLINK("https://metabase.lelefan.org/public/dashboard/53c41f3f-5644-466e-935e-897e7725f6bc?rayon=&amp;d%25C3%25A9signation=RICOTTA 9%&amp;fournisseur=&amp;date_d%25C3%25A9but=&amp;date_fin=","12.88")</f>
        <v>12.88</v>
      </c>
      <c r="M456" s="2"/>
      <c r="N456" s="16">
        <v>888888.0</v>
      </c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1" t="s">
        <v>693</v>
      </c>
      <c r="B457" s="9" t="str">
        <f>HYPERLINK("https://lafourche.fr/products/bonneterre-oeufs-plein-air-bio-12unite-f","0.57")</f>
        <v>0.57</v>
      </c>
      <c r="C457" s="2"/>
      <c r="D457" s="16">
        <v>888888.0</v>
      </c>
      <c r="E457" s="2"/>
      <c r="F457" s="9" t="str">
        <f t="shared" ref="F457:F458" si="377">HYPERLINK("https://www.biocoop.fr/magasin-biocoop_fontaine/oeufs-6-calibre-53-63-moyen-na6311-000.html","888888")</f>
        <v>888888</v>
      </c>
      <c r="G457" s="2"/>
      <c r="H457" s="7" t="str">
        <f>HYPERLINK("https://satoriz-comboire.bio/collections/produits-frais/products/va693","0.36")</f>
        <v>0.36</v>
      </c>
      <c r="I457" s="2"/>
      <c r="J457" s="16">
        <v>888888.0</v>
      </c>
      <c r="K457" s="2"/>
      <c r="L457" s="9" t="str">
        <f t="shared" ref="L457:L458" si="378">HYPERLINK("https://metabase.lelefan.org/public/dashboard/53c41f3f-5644-466e-935e-897e7725f6bc?rayon=&amp;d%25C3%25A9signation=OEUF BIO // UNITE&amp;fournisseur=&amp;date_d%25C3%25A9but=&amp;date_fin=","0.46")</f>
        <v>0.46</v>
      </c>
      <c r="M457" s="2"/>
      <c r="N457" s="7" t="str">
        <f>HYPERLINK("https://fd11-courses.leclercdrive.fr/magasin-063801-063801-Echirolles---Comboire/fiche-produits-16429-Oeufs-frais-plein-air-Bio.aspx","0.34")</f>
        <v>0.34</v>
      </c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1" t="s">
        <v>694</v>
      </c>
      <c r="B458" s="16">
        <v>888888.0</v>
      </c>
      <c r="C458" s="2"/>
      <c r="D458" s="16">
        <v>888888.0</v>
      </c>
      <c r="E458" s="2"/>
      <c r="F458" s="9" t="str">
        <f t="shared" si="377"/>
        <v>888888</v>
      </c>
      <c r="G458" s="2"/>
      <c r="H458" s="7" t="str">
        <f>HYPERLINK("https://satoriz-comboire.bio/collections/produits-frais/products/valoeuf","0.46")</f>
        <v>0.46</v>
      </c>
      <c r="I458" s="2"/>
      <c r="J458" s="16">
        <v>888888.0</v>
      </c>
      <c r="K458" s="2"/>
      <c r="L458" s="7" t="str">
        <f t="shared" si="378"/>
        <v>0.46</v>
      </c>
      <c r="M458" s="2"/>
      <c r="N458" s="7" t="str">
        <f>HYPERLINK("https://fd11-courses.leclercdrive.fr/magasin-063801-063801-Echirolles---Comboire/fiche-produits-3000-Oeufs-frais-plein-air-Bio.aspx","0.35")</f>
        <v>0.35</v>
      </c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5" t="s">
        <v>695</v>
      </c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1" t="s">
        <v>696</v>
      </c>
      <c r="B460" s="7" t="str">
        <f>HYPERLINK("https://lafourche.fr/products/la-fourche-pommes-bicolores-bio-origine-france-2kg","2.85")</f>
        <v>2.85</v>
      </c>
      <c r="C460" s="11">
        <v>0.1047</v>
      </c>
      <c r="D460" s="9" t="str">
        <f>HYPERLINK("https://www.biocoop.fr/magasin-biocoop_champollion/pomme-bicolore-fel4194-000-france.html","888888")</f>
        <v>888888</v>
      </c>
      <c r="E460" s="2"/>
      <c r="F460" s="9" t="str">
        <f>HYPERLINK("https://www.biocoop.fr/magasin-biocoop_fontaine/pomme-bicolore-fel4194-000-france.html","3.5")</f>
        <v>3.5</v>
      </c>
      <c r="G460" s="11">
        <v>0.1864</v>
      </c>
      <c r="H460" s="9" t="str">
        <f>HYPERLINK("https://satoriz-comboire.bio/collections/fruits-et-legumes/products/fru759","2.96")</f>
        <v>2.96</v>
      </c>
      <c r="I460" s="11">
        <v>0.0207</v>
      </c>
      <c r="J460" s="9" t="str">
        <f>HYPERLINK("https://www.greenweez.com/produit/pomme-juliet-france-1kg-1/1VRAC0117","3.03")</f>
        <v>3.03</v>
      </c>
      <c r="K460" s="11">
        <v>0.0134</v>
      </c>
      <c r="L460" s="16">
        <v>888888.0</v>
      </c>
      <c r="M460" s="2"/>
      <c r="N460" s="16">
        <v>888888.0</v>
      </c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1" t="s">
        <v>697</v>
      </c>
      <c r="B461" s="16">
        <v>888888.0</v>
      </c>
      <c r="C461" s="2"/>
      <c r="D461" s="9" t="str">
        <f>HYPERLINK("https://www.biocoop.fr/magasin-biocoop_champollion/banane-cavendish-fel4011-000-dominicaine-republique-.html","2.09")</f>
        <v>2.09</v>
      </c>
      <c r="E461" s="10">
        <v>0.0</v>
      </c>
      <c r="F461" s="9" t="str">
        <f>HYPERLINK("https://www.biocoop.fr/magasin-biocoop_fontaine/banane-cavendish-fel4011-000-dominicaine-republique-.html","1.99")</f>
        <v>1.99</v>
      </c>
      <c r="G461" s="2"/>
      <c r="H461" s="9" t="str">
        <f>HYPERLINK("https://satoriz-comboire.bio/collections/fruits-et-legumes/products/fru140","2.1")</f>
        <v>2.1</v>
      </c>
      <c r="I461" s="10">
        <v>0.0</v>
      </c>
      <c r="J461" s="9" t="str">
        <f>HYPERLINK("https://www.greenweez.com/produit/bananes-jaunes-1kg-1/1VRAC0018","2.18")</f>
        <v>2.18</v>
      </c>
      <c r="K461" s="8">
        <v>-0.048</v>
      </c>
      <c r="L461" s="7" t="str">
        <f>HYPERLINK("https://metabase.lelefan.org/public/dashboard/53c41f3f-5644-466e-935e-897e7725f6bc?rayon=&amp;d%25C3%25A9signation=BANANE BIO AGRINEDIS&amp;fournisseur=&amp;date_d%25C3%25A9but=&amp;date_fin=","1.85")</f>
        <v>1.85</v>
      </c>
      <c r="M461" s="2"/>
      <c r="N461" s="16">
        <v>888888.0</v>
      </c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1" t="s">
        <v>698</v>
      </c>
      <c r="B462" s="7" t="str">
        <f>HYPERLINK("https://lafourche.fr/products/la-fourche-clementines-bio-origine-italiie-1-5-kg","3")</f>
        <v>3</v>
      </c>
      <c r="C462" s="11">
        <v>0.0067</v>
      </c>
      <c r="D462" s="9" t="str">
        <f>HYPERLINK("https://www.biocoop.fr/magasin-biocoop_champollion/clementine-feuille-fel3386-000-france.html","888888")</f>
        <v>888888</v>
      </c>
      <c r="E462" s="2"/>
      <c r="F462" s="9" t="str">
        <f>HYPERLINK("https://www.biocoop.fr/magasin-biocoop_fontaine/clementine-feuille-fel3386-000-france.html","5.5")</f>
        <v>5.5</v>
      </c>
      <c r="G462" s="2"/>
      <c r="H462" s="9" t="str">
        <f>HYPERLINK("https://satoriz-comboire.bio/collections/fruits-et-legumes/products/fru210","3.1")</f>
        <v>3.1</v>
      </c>
      <c r="I462" s="17">
        <v>-1.0</v>
      </c>
      <c r="J462" s="9" t="str">
        <f>HYPERLINK("https://www.greenweez.com/produit/clementine-italie-1kg/1VRAC0420","3.44")</f>
        <v>3.44</v>
      </c>
      <c r="K462" s="17">
        <v>-1.0</v>
      </c>
      <c r="L462" s="9" t="str">
        <f>HYPERLINK("https://metabase.lelefan.org/public/dashboard/53c41f3f-5644-466e-935e-897e7725f6bc?rayon=&amp;d%25C3%25A9signation=CLEMENTINE/MANDARINE BIO AGRINEDIS&amp;fournisseur=&amp;date_d%25C3%25A9but=&amp;date_fin=","3.03")</f>
        <v>3.03</v>
      </c>
      <c r="M462" s="2"/>
      <c r="N462" s="9" t="str">
        <f>HYPERLINK("https://fd11-courses.leclercdrive.fr/magasin-063801-063801-Echirolles---Comboire/fiche-produits-100318-Mandarines-a-deguster-bio.aspx","4.65")</f>
        <v>4.65</v>
      </c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1" t="s">
        <v>699</v>
      </c>
      <c r="B463" s="9" t="str">
        <f>HYPERLINK("https://lafourche.fr/products/la-fourche-kiwis-bio-origine-france-1-kg","5.8")</f>
        <v>5.8</v>
      </c>
      <c r="C463" s="11">
        <v>0.2609</v>
      </c>
      <c r="D463" s="9" t="str">
        <f>HYPERLINK("https://www.biocoop.fr/magasin-biocoop_champollion/kiwi-vert-fel4030-000-italie.html","888888")</f>
        <v>888888</v>
      </c>
      <c r="E463" s="2"/>
      <c r="F463" s="9" t="str">
        <f>HYPERLINK("https://www.biocoop.fr/magasin-biocoop_fontaine/kiwi-vert-fel4030-000-italie.html","6.5")</f>
        <v>6.5</v>
      </c>
      <c r="G463" s="11">
        <v>0.0833</v>
      </c>
      <c r="H463" s="7" t="str">
        <f>HYPERLINK("https://satoriz-comboire.bio/collections/fruits-et-legumes/products/fru300","5.1")</f>
        <v>5.1</v>
      </c>
      <c r="I463" s="8">
        <v>-0.0727</v>
      </c>
      <c r="J463" s="9" t="str">
        <f>HYPERLINK("https://www.greenweez.com/produit/kiwi-hayward-italie-1/1VRAC0014","888888")</f>
        <v>888888</v>
      </c>
      <c r="K463" s="17">
        <v>0.0</v>
      </c>
      <c r="L463" s="9" t="str">
        <f>HYPERLINK("https://metabase.lelefan.org/public/dashboard/53c41f3f-5644-466e-935e-897e7725f6bc?rayon=&amp;d%25C3%25A9signation=KIWI BIO&amp;fournisseur=&amp;date_d%25C3%25A9but=&amp;date_fin=","5.14")</f>
        <v>5.14</v>
      </c>
      <c r="M463" s="2"/>
      <c r="N463" s="16">
        <v>888888.0</v>
      </c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1" t="s">
        <v>700</v>
      </c>
      <c r="B464" s="9" t="str">
        <f>HYPERLINK("https://lafourche.fr/products/la-fourche-poires-william-bio-origine-france-1kg","3.35")</f>
        <v>3.35</v>
      </c>
      <c r="C464" s="17">
        <v>-1.0</v>
      </c>
      <c r="D464" s="16">
        <v>888888.0</v>
      </c>
      <c r="E464" s="2"/>
      <c r="F464" s="16">
        <v>888888.0</v>
      </c>
      <c r="G464" s="2"/>
      <c r="H464" s="7" t="str">
        <f>HYPERLINK("https://satoriz-comboire.bio/collections/fruits-et-legumes/products/fru623","3.26")</f>
        <v>3.26</v>
      </c>
      <c r="I464" s="17">
        <v>-1.0</v>
      </c>
      <c r="J464" s="9" t="str">
        <f>HYPERLINK("https://www.greenweez.com/produit/poire-conference-france-1/1VRAC0015","888888")</f>
        <v>888888</v>
      </c>
      <c r="K464" s="17">
        <v>0.0</v>
      </c>
      <c r="L464" s="16">
        <v>888888.0</v>
      </c>
      <c r="M464" s="2"/>
      <c r="N464" s="22">
        <v>888888.0</v>
      </c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1" t="s">
        <v>701</v>
      </c>
      <c r="B465" s="9" t="str">
        <f>HYPERLINK("https://lafourche.fr/products/la-fourche-oranges-bio-origine-espagne-kg-2","2.4")</f>
        <v>2.4</v>
      </c>
      <c r="C465" s="17">
        <v>-1.0</v>
      </c>
      <c r="D465" s="9" t="str">
        <f>HYPERLINK("https://www.biocoop.fr/magasin-biocoop_champollion/orange-blonde-navel.html","888888")</f>
        <v>888888</v>
      </c>
      <c r="E465" s="2"/>
      <c r="F465" s="9" t="str">
        <f>HYPERLINK("https://www.biocoop.fr/magasin-biocoop_fontaine/orange-blonde-navel.html","2.5")</f>
        <v>2.5</v>
      </c>
      <c r="G465" s="11">
        <v>0.1364</v>
      </c>
      <c r="H465" s="9" t="str">
        <f>HYPERLINK("https://satoriz-comboire.bio/collections/fruits-et-legumes/products/fru450","2.86")</f>
        <v>2.86</v>
      </c>
      <c r="I465" s="11">
        <v>0.2435</v>
      </c>
      <c r="J465" s="9" t="str">
        <f>HYPERLINK("https://www.greenweez.com/produit/orange-de-table-espagne-1-5kg/1VRAC0009","888888")</f>
        <v>888888</v>
      </c>
      <c r="K465" s="18" t="s">
        <v>56</v>
      </c>
      <c r="L465" s="7" t="str">
        <f>HYPERLINK("https://metabase.lelefan.org/public/dashboard/53c41f3f-5644-466e-935e-897e7725f6bc?rayon=&amp;d%25C3%25A9signation=ORANGE BIO AGRINEDIS&amp;fournisseur=&amp;date_d%25C3%25A9but=&amp;date_fin=","2.37")</f>
        <v>2.37</v>
      </c>
      <c r="M465" s="2"/>
      <c r="N465" s="16">
        <v>888888.0</v>
      </c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1" t="s">
        <v>702</v>
      </c>
      <c r="B466" s="7" t="str">
        <f>HYPERLINK("https://lafourche.fr/products/la-fourche-citron-bio-origine-italie-kg-1","2.5")</f>
        <v>2.5</v>
      </c>
      <c r="C466" s="11">
        <v>0.087</v>
      </c>
      <c r="D466" s="7" t="str">
        <f>HYPERLINK("https://www.biocoop.fr/magasin-biocoop_champollion/citron-jaune.html","2.5")</f>
        <v>2.5</v>
      </c>
      <c r="E466" s="8">
        <v>-0.0909</v>
      </c>
      <c r="F466" s="7" t="str">
        <f>HYPERLINK("https://www.biocoop.fr/magasin-biocoop_fontaine/citron-jaune.html","2.5")</f>
        <v>2.5</v>
      </c>
      <c r="G466" s="10">
        <v>0.0</v>
      </c>
      <c r="H466" s="9" t="str">
        <f>HYPERLINK("https://satoriz-comboire.bio/collections/fruits-et-legumes/products/fru202","3.36")</f>
        <v>3.36</v>
      </c>
      <c r="I466" s="8">
        <v>-0.0667</v>
      </c>
      <c r="J466" s="9" t="str">
        <f>HYPERLINK("https://www.greenweez.com/produit/citron-jaune-espagne-500g/1VRAC0011","5.52")</f>
        <v>5.52</v>
      </c>
      <c r="K466" s="11">
        <v>0.7692</v>
      </c>
      <c r="L466" s="9" t="str">
        <f>HYPERLINK("https://metabase.lelefan.org/public/dashboard/53c41f3f-5644-466e-935e-897e7725f6bc?rayon=&amp;d%25C3%25A9signation=CITRON BIO AGRINEDIS&amp;fournisseur=&amp;date_d%25C3%25A9but=&amp;date_fin=","3.03")</f>
        <v>3.03</v>
      </c>
      <c r="M466" s="2"/>
      <c r="N466" s="16">
        <v>888888.0</v>
      </c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5" t="s">
        <v>703</v>
      </c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1" t="s">
        <v>704</v>
      </c>
      <c r="B468" s="9" t="str">
        <f>HYPERLINK("https://lafourche.fr/products/la-fourche-ail-bio-origine-france-0-15-kg","13.27")</f>
        <v>13.27</v>
      </c>
      <c r="C468" s="8">
        <v>-0.0023</v>
      </c>
      <c r="D468" s="9" t="str">
        <f>HYPERLINK("https://www.biocoop.fr/magasin-biocoop_champollion/ail-sec-blanc.html","888888")</f>
        <v>888888</v>
      </c>
      <c r="E468" s="2"/>
      <c r="F468" s="9" t="str">
        <f>HYPERLINK("https://www.biocoop.fr/magasin-biocoop_fontaine/ail-sec-blanc.html","15.0")</f>
        <v>15.0</v>
      </c>
      <c r="G468" s="10">
        <v>0.0</v>
      </c>
      <c r="H468" s="7" t="str">
        <f>HYPERLINK("https://satoriz-comboire.bio/collections/fruits-et-legumes/products/lgu105","8.5")</f>
        <v>8.5</v>
      </c>
      <c r="I468" s="8">
        <v>-0.3462</v>
      </c>
      <c r="J468" s="9" t="str">
        <f>HYPERLINK("https://www.greenweez.com/produit/ail-blanc-violet-sec-espagne-200g-1/1VRAC0299","11.15")</f>
        <v>11.15</v>
      </c>
      <c r="K468" s="10">
        <v>0.0</v>
      </c>
      <c r="L468" s="16">
        <v>888888.0</v>
      </c>
      <c r="M468" s="2"/>
      <c r="N468" s="16">
        <v>888888.0</v>
      </c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1" t="s">
        <v>705</v>
      </c>
      <c r="B469" s="9" t="str">
        <f>HYPERLINK("https://lafourche.fr/products/la-fourche-gingembre-bio-origine-perou-0-2kg","7.4")</f>
        <v>7.4</v>
      </c>
      <c r="C469" s="2"/>
      <c r="D469" s="9" t="str">
        <f>HYPERLINK("https://www.biocoop.fr/magasin-biocoop_champollion/gingembre.html","888888")</f>
        <v>888888</v>
      </c>
      <c r="E469" s="2"/>
      <c r="F469" s="9" t="str">
        <f>HYPERLINK("https://www.biocoop.fr/magasin-biocoop_fontaine/gingembre.html","9.9")</f>
        <v>9.9</v>
      </c>
      <c r="G469" s="2"/>
      <c r="H469" s="9" t="str">
        <f>HYPERLINK("https://satoriz-comboire.bio/collections/fruits-et-legumes/products/lgu510","7.95")</f>
        <v>7.95</v>
      </c>
      <c r="I469" s="2"/>
      <c r="J469" s="7" t="str">
        <f>HYPERLINK("https://www.greenweez.com/produit/gingembre-perou-200g/1VRAC0054","4.15")</f>
        <v>4.15</v>
      </c>
      <c r="K469" s="2"/>
      <c r="L469" s="9" t="str">
        <f>HYPERLINK("https://metabase.lelefan.org/public/dashboard/53c41f3f-5644-466e-935e-897e7725f6bc?rayon=&amp;d%25C3%25A9signation=GINGEMBRE FRAIS BIO AGRINEDIS&amp;fournisseur=&amp;date_d%25C3%25A9but=&amp;date_fin=","9.23")</f>
        <v>9.23</v>
      </c>
      <c r="M469" s="2"/>
      <c r="N469" s="9" t="str">
        <f>HYPERLINK("https://fd11-courses.leclercdrive.fr/magasin-063801-063801-Echirolles---Comboire/fiche-produits-55765-Gingembre-Bio-.aspx","11.25")</f>
        <v>11.25</v>
      </c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1" t="s">
        <v>706</v>
      </c>
      <c r="B470" s="9" t="str">
        <f>HYPERLINK("https://lafourche.fr/products/la-fourche-oignons-jaunes-bio-origine-france-1kg","2.75")</f>
        <v>2.75</v>
      </c>
      <c r="C470" s="11">
        <v>0.1702</v>
      </c>
      <c r="D470" s="9" t="str">
        <f>HYPERLINK("https://www.biocoop.fr/magasin-biocoop_champollion/oignon-vrac-jaune.html","3.3")</f>
        <v>3.3</v>
      </c>
      <c r="E470" s="2"/>
      <c r="F470" s="9" t="str">
        <f>HYPERLINK("https://www.biocoop.fr/magasin-biocoop_fontaine/oignon-vrac-jaune.html","2.9")</f>
        <v>2.9</v>
      </c>
      <c r="G470" s="10">
        <v>0.0</v>
      </c>
      <c r="H470" s="9" t="str">
        <f>HYPERLINK("https://satoriz-comboire.bio/collections/fruits-et-legumes/products/lgu608","2.76")</f>
        <v>2.76</v>
      </c>
      <c r="I470" s="11">
        <v>0.2545</v>
      </c>
      <c r="J470" s="9" t="str">
        <f>HYPERLINK("https://www.greenweez.com/produit/oignon-jaune-cal-40-80-france-1kg-1/1VRAC0533","3.03")</f>
        <v>3.03</v>
      </c>
      <c r="K470" s="11">
        <v>0.0745</v>
      </c>
      <c r="L470" s="7" t="str">
        <f>HYPERLINK("https://metabase.lelefan.org/public/dashboard/53c41f3f-5644-466e-935e-897e7725f6bc?rayon=&amp;d%25C3%25A9signation=OIGNON BIO AGRINEDIS&amp;fournisseur=&amp;date_d%25C3%25A9but=&amp;date_fin=","2.64")</f>
        <v>2.64</v>
      </c>
      <c r="M470" s="2"/>
      <c r="N470" s="16">
        <v>888888.0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1" t="s">
        <v>707</v>
      </c>
      <c r="B471" s="9" t="str">
        <f>HYPERLINK("https://lafourche.fr/products/la-fourche-oignons-rouges-bio-origine-france-1kg","3.5")</f>
        <v>3.5</v>
      </c>
      <c r="C471" s="11">
        <v>0.0972</v>
      </c>
      <c r="D471" s="9" t="str">
        <f>HYPERLINK("https://www.biocoop.fr/magasin-biocoop_champollion/oignon-vrac-rouge.html","5.5")</f>
        <v>5.5</v>
      </c>
      <c r="E471" s="11">
        <v>0.5714</v>
      </c>
      <c r="F471" s="9" t="str">
        <f>HYPERLINK("https://www.biocoop.fr/magasin-biocoop_fontaine/oignon-vrac-rouge.html","3.95")</f>
        <v>3.95</v>
      </c>
      <c r="G471" s="11">
        <v>0.1286</v>
      </c>
      <c r="H471" s="9" t="str">
        <f>HYPERLINK("https://satoriz-comboire.bio/collections/fruits-et-legumes/products/oignon-rouge","3.56")</f>
        <v>3.56</v>
      </c>
      <c r="I471" s="11">
        <v>0.141</v>
      </c>
      <c r="J471" s="7" t="str">
        <f>HYPERLINK("https://www.greenweez.com/produit/oignon-rouge-france-1kg-1/1VRAC0035","3.44")</f>
        <v>3.44</v>
      </c>
      <c r="K471" s="2"/>
      <c r="L471" s="16">
        <v>888888.0</v>
      </c>
      <c r="M471" s="2"/>
      <c r="N471" s="9" t="str">
        <f>HYPERLINK("https://fd11-courses.leclercdrive.fr/magasin-063801-063801-Echirolles---Comboire/fiche-produits-112556-Oignon-rouge-Bio-.aspx","4.98")</f>
        <v>4.98</v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1" t="s">
        <v>708</v>
      </c>
      <c r="B472" s="7" t="str">
        <f>HYPERLINK("https://lafourche.fr/products/la-fourche-betterave-rouge-bio-origine-france-1-kg","2.7")</f>
        <v>2.7</v>
      </c>
      <c r="C472" s="2"/>
      <c r="D472" s="9" t="str">
        <f>HYPERLINK("https://www.biocoop.fr/magasin-biocoop_champollion/betterave-rouge.html","888888")</f>
        <v>888888</v>
      </c>
      <c r="E472" s="2"/>
      <c r="F472" s="9" t="str">
        <f>HYPERLINK("https://www.biocoop.fr/magasin-biocoop_fontaine/betterave-rouge.html","2.9")</f>
        <v>2.9</v>
      </c>
      <c r="G472" s="8">
        <v>-0.0169</v>
      </c>
      <c r="H472" s="7" t="str">
        <f>HYPERLINK("https://satoriz-comboire.bio/collections/fruits-et-legumes/products/lgu210-1","2.7")</f>
        <v>2.7</v>
      </c>
      <c r="I472" s="10">
        <v>0.0</v>
      </c>
      <c r="J472" s="9" t="str">
        <f>HYPERLINK("https://www.greenweez.com/produit/betterave-crue-rouge-france-1kg/1VRAC0023","888888")</f>
        <v>888888</v>
      </c>
      <c r="K472" s="18" t="s">
        <v>56</v>
      </c>
      <c r="L472" s="9" t="str">
        <f>HYPERLINK("https://metabase.lelefan.org/public/dashboard/53c41f3f-5644-466e-935e-897e7725f6bc?rayon=&amp;d%25C3%25A9signation=BETTERAVES CRUES BIO&amp;fournisseur=&amp;date_d%25C3%25A9but=&amp;date_fin=","3.38")</f>
        <v>3.38</v>
      </c>
      <c r="M472" s="2"/>
      <c r="N472" s="16">
        <v>888888.0</v>
      </c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1" t="s">
        <v>709</v>
      </c>
      <c r="B473" s="7" t="str">
        <f>HYPERLINK("https://lafourche.fr/products/la-fourche-pied-de-blettes-bio","3.6")</f>
        <v>3.6</v>
      </c>
      <c r="C473" s="2"/>
      <c r="D473" s="9" t="str">
        <f>HYPERLINK("https://www.biocoop.fr/magasin-biocoop_champollion/blette-pied.html","3.95")</f>
        <v>3.95</v>
      </c>
      <c r="E473" s="10">
        <v>0.0</v>
      </c>
      <c r="F473" s="9" t="str">
        <f>HYPERLINK("https://www.biocoop.fr/magasin-biocoop_fontaine/blette-pied.html","888888")</f>
        <v>888888</v>
      </c>
      <c r="G473" s="2"/>
      <c r="H473" s="9" t="str">
        <f>HYPERLINK("https://satoriz-comboire.bio/collections/fruits-et-legumes/products/lgu222","3.7")</f>
        <v>3.7</v>
      </c>
      <c r="I473" s="8">
        <v>-0.016</v>
      </c>
      <c r="J473" s="9" t="str">
        <f>HYPERLINK("https://www.greenweez.com/produit/pied-de-blette-france-1-3kg/1VRAC0064","888888")</f>
        <v>888888</v>
      </c>
      <c r="K473" s="2"/>
      <c r="L473" s="9" t="str">
        <f>HYPERLINK("https://metabase.lelefan.org/public/dashboard/53c41f3f-5644-466e-935e-897e7725f6bc?rayon=&amp;d%25C3%25A9signation=BLETTE BIO&amp;fournisseur=&amp;date_d%25C3%25A9but=&amp;date_fin=","3.93")</f>
        <v>3.93</v>
      </c>
      <c r="M473" s="2"/>
      <c r="N473" s="16">
        <v>888888.0</v>
      </c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1" t="s">
        <v>710</v>
      </c>
      <c r="B474" s="16">
        <v>888888.0</v>
      </c>
      <c r="C474" s="2"/>
      <c r="D474" s="9" t="str">
        <f>HYPERLINK("https://www.biocoop.fr/magasin-biocoop_champollion/chou-brocoli.html","888888")</f>
        <v>888888</v>
      </c>
      <c r="E474" s="2"/>
      <c r="F474" s="9" t="str">
        <f>HYPERLINK("https://www.biocoop.fr/magasin-biocoop_fontaine/chou-brocoli.html","5.9")</f>
        <v>5.9</v>
      </c>
      <c r="G474" s="11">
        <v>0.2041</v>
      </c>
      <c r="H474" s="7" t="str">
        <f>HYPERLINK("https://satoriz-comboire.bio/collections/fruits-et-legumes/products/lgu230","5.6")</f>
        <v>5.6</v>
      </c>
      <c r="I474" s="11">
        <v>0.129</v>
      </c>
      <c r="J474" s="9" t="str">
        <f>HYPERLINK("https://www.greenweez.com/produit/brocoli-france-800g-1/1VRAC0033","888888")</f>
        <v>888888</v>
      </c>
      <c r="K474" s="18" t="s">
        <v>56</v>
      </c>
      <c r="L474" s="9" t="str">
        <f>HYPERLINK("https://metabase.lelefan.org/public/dashboard/53c41f3f-5644-466e-935e-897e7725f6bc?rayon=&amp;d%25C3%25A9signation=BROCOLI BIO&amp;fournisseur=&amp;date_d%25C3%25A9but=&amp;date_fin=","888888")</f>
        <v>888888</v>
      </c>
      <c r="M474" s="2"/>
      <c r="N474" s="16">
        <v>888888.0</v>
      </c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1" t="s">
        <v>711</v>
      </c>
      <c r="B475" s="9" t="str">
        <f>HYPERLINK("https://lafourche.fr/products/la-fourche-carottes-bio-origine-france-2-kg-2","1.95")</f>
        <v>1.95</v>
      </c>
      <c r="C475" s="8">
        <v>-0.1333</v>
      </c>
      <c r="D475" s="9" t="str">
        <f>HYPERLINK("https://www.biocoop.fr/magasin-biocoop_champollion/carotte-lavee.html","2.5")</f>
        <v>2.5</v>
      </c>
      <c r="E475" s="10">
        <v>0.0</v>
      </c>
      <c r="F475" s="9" t="str">
        <f>HYPERLINK("https://www.biocoop.fr/magasin-biocoop_fontaine/carotte-lavee.html","2.8")</f>
        <v>2.8</v>
      </c>
      <c r="G475" s="11">
        <v>0.0769</v>
      </c>
      <c r="H475" s="7" t="str">
        <f>HYPERLINK("https://satoriz-comboire.bio/collections/fruits-et-legumes/products/lgu248","1.76")</f>
        <v>1.76</v>
      </c>
      <c r="I475" s="8">
        <v>-0.3714</v>
      </c>
      <c r="J475" s="9" t="str">
        <f>HYPERLINK("https://www.greenweez.com/produit/carottes-lavees-france-1kg/1VRAC0034","3.33")</f>
        <v>3.33</v>
      </c>
      <c r="K475" s="11">
        <v>0.1404</v>
      </c>
      <c r="L475" s="9" t="str">
        <f>HYPERLINK("https://metabase.lelefan.org/public/dashboard/53c41f3f-5644-466e-935e-897e7725f6bc?rayon=&amp;d%25C3%25A9signation=CAROTTES BIO MANGEZ BIO ISERE&amp;fournisseur=&amp;date_d%25C3%25A9but=&amp;date_fin=","2.99")</f>
        <v>2.99</v>
      </c>
      <c r="M475" s="2"/>
      <c r="N475" s="9" t="str">
        <f>HYPERLINK("https://fd11-courses.leclercdrive.fr/magasin-063801-063801-Echirolles---Comboire/fiche-produits-187942-Carottes-Bio-Bio-Village.aspx","1.99")</f>
        <v>1.99</v>
      </c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1" t="s">
        <v>712</v>
      </c>
      <c r="B476" s="16">
        <v>888888.0</v>
      </c>
      <c r="C476" s="2"/>
      <c r="D476" s="16">
        <v>888888.0</v>
      </c>
      <c r="E476" s="2"/>
      <c r="F476" s="16">
        <v>888888.0</v>
      </c>
      <c r="G476" s="2"/>
      <c r="H476" s="7" t="str">
        <f>HYPERLINK("https://satoriz-comboire.bio/collections/fruits-et-legumes/products/lgu300","3.1")</f>
        <v>3.1</v>
      </c>
      <c r="I476" s="8">
        <v>-0.0774</v>
      </c>
      <c r="J476" s="9" t="str">
        <f>HYPERLINK("https://www.greenweez.com/produit/celeri-rave-france-1-3kgs/1VRAC0422","888888")</f>
        <v>888888</v>
      </c>
      <c r="K476" s="17">
        <v>0.0</v>
      </c>
      <c r="L476" s="9" t="str">
        <f>HYPERLINK("https://metabase.lelefan.org/public/dashboard/53c41f3f-5644-466e-935e-897e7725f6bc?rayon=&amp;d%25C3%25A9signation=CELERI RAVE BIO&amp;fournisseur=&amp;date_d%25C3%25A9but=&amp;date_fin=","3.39")</f>
        <v>3.39</v>
      </c>
      <c r="M476" s="2"/>
      <c r="N476" s="22">
        <v>888888.0</v>
      </c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1" t="s">
        <v>713</v>
      </c>
      <c r="B477" s="7" t="str">
        <f>HYPERLINK("https://lafourche.fr/products/la-fourche-celeri-branche-bio-0-5kg","3.3")</f>
        <v>3.3</v>
      </c>
      <c r="C477" s="8">
        <v>-0.0833</v>
      </c>
      <c r="D477" s="9" t="str">
        <f>HYPERLINK("https://www.biocoop.fr/magasin-biocoop_champollion/celeri-branche.html","4.75")</f>
        <v>4.75</v>
      </c>
      <c r="E477" s="11">
        <v>0.7273</v>
      </c>
      <c r="F477" s="9" t="str">
        <f>HYPERLINK("https://www.biocoop.fr/magasin-biocoop_fontaine/celeri-branche.html","3.9")</f>
        <v>3.9</v>
      </c>
      <c r="G477" s="10">
        <v>0.0</v>
      </c>
      <c r="H477" s="9" t="str">
        <f>HYPERLINK("https://satoriz-comboire.bio/collections/fruits-et-legumes/products/lgu301","3.36")</f>
        <v>3.36</v>
      </c>
      <c r="I477" s="11">
        <v>0.3125</v>
      </c>
      <c r="J477" s="9" t="str">
        <f>HYPERLINK("https://www.greenweez.com/produit/celeri-branche-france-800g/1VRAC0040","5.74")</f>
        <v>5.74</v>
      </c>
      <c r="K477" s="11">
        <v>0.5266</v>
      </c>
      <c r="L477" s="16">
        <v>888888.0</v>
      </c>
      <c r="M477" s="2"/>
      <c r="N477" s="16">
        <v>888888.0</v>
      </c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1" t="s">
        <v>714</v>
      </c>
      <c r="B478" s="9" t="str">
        <f>HYPERLINK("https://lafourche.fr/products/la-fourche-champignons-de-paris-bio-origine-france-0-5-kg-2","10.8")</f>
        <v>10.8</v>
      </c>
      <c r="C478" s="11">
        <v>0.102</v>
      </c>
      <c r="D478" s="9" t="str">
        <f>HYPERLINK("https://www.biocoop.fr/magasin-biocoop_champollion/champignon-blond.html","9.99")</f>
        <v>9.99</v>
      </c>
      <c r="E478" s="2"/>
      <c r="F478" s="7" t="str">
        <f>HYPERLINK("https://www.biocoop.fr/magasin-biocoop_fontaine/champignon-blond.html","9.9")</f>
        <v>9.9</v>
      </c>
      <c r="G478" s="10">
        <v>0.0</v>
      </c>
      <c r="H478" s="9" t="str">
        <f>HYPERLINK("https://satoriz-comboire.bio/collections/fruits-et-legumes/products/lgu321","12.95")</f>
        <v>12.95</v>
      </c>
      <c r="I478" s="11">
        <v>0.0197</v>
      </c>
      <c r="J478" s="9" t="str">
        <f>HYPERLINK("https://www.greenweez.com/produit/champignons-blancs/1VRAC0150","888888")</f>
        <v>888888</v>
      </c>
      <c r="K478" s="17">
        <v>0.0</v>
      </c>
      <c r="L478" s="9" t="str">
        <f>HYPERLINK("https://metabase.lelefan.org/public/dashboard/53c41f3f-5644-466e-935e-897e7725f6bc?rayon=&amp;d%25C3%25A9signation=CHAMPIGNON DE PARIS BIO&amp;fournisseur=&amp;date_d%25C3%25A9but=&amp;date_fin=","888888")</f>
        <v>888888</v>
      </c>
      <c r="M478" s="2"/>
      <c r="N478" s="9" t="str">
        <f>HYPERLINK("https://fd11-courses.leclercdrive.fr/magasin-063801-063801-Echirolles---Comboire/fiche-produits-102077-Champignons-de-Paris-bruns-Bio.aspx","10.95")</f>
        <v>10.95</v>
      </c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1" t="s">
        <v>715</v>
      </c>
      <c r="B479" s="9" t="str">
        <f>HYPERLINK("https://lafourche.fr/products/la-fourche-pleurotes-bio-origine-france-0-5kg","13.98")</f>
        <v>13.98</v>
      </c>
      <c r="C479" s="17">
        <v>-1.0</v>
      </c>
      <c r="D479" s="16">
        <v>888888.0</v>
      </c>
      <c r="E479" s="2"/>
      <c r="F479" s="16">
        <v>888888.0</v>
      </c>
      <c r="G479" s="2"/>
      <c r="H479" s="9" t="str">
        <f>HYPERLINK("https://satoriz-comboire.bio/collections/fruits-et-legumes/products/lgu325","15.0")</f>
        <v>15.0</v>
      </c>
      <c r="I479" s="11">
        <v>0.0345</v>
      </c>
      <c r="J479" s="9" t="str">
        <f>HYPERLINK("https://www.greenweez.com/produit/champignon-pleurote-ile-de-france-1/1VRAC0311","888888")</f>
        <v>888888</v>
      </c>
      <c r="K479" s="17">
        <v>0.0</v>
      </c>
      <c r="L479" s="7" t="str">
        <f>HYPERLINK("https://metabase.lelefan.org/public/dashboard/53c41f3f-5644-466e-935e-897e7725f6bc?rayon=&amp;d%25C3%25A9signation=PLEUROTE BIO VRAC&amp;fournisseur=&amp;date_d%25C3%25A9but=&amp;date_fin=","12.53")</f>
        <v>12.53</v>
      </c>
      <c r="M479" s="2"/>
      <c r="N479" s="16">
        <v>888888.0</v>
      </c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1" t="s">
        <v>716</v>
      </c>
      <c r="B480" s="9" t="str">
        <f>HYPERLINK("https://lafourche.fr/products/la-fourche-choux-de-bruxelles-origine-france-0-25kg","11.96")</f>
        <v>11.96</v>
      </c>
      <c r="C480" s="11">
        <v>0.0205</v>
      </c>
      <c r="D480" s="16">
        <v>888888.0</v>
      </c>
      <c r="E480" s="2"/>
      <c r="F480" s="16">
        <v>888888.0</v>
      </c>
      <c r="G480" s="2"/>
      <c r="H480" s="7" t="str">
        <f>HYPERLINK("https://satoriz-comboire.bio/collections/fruits-et-legumes/products/lgu338","11.52")</f>
        <v>11.52</v>
      </c>
      <c r="I480" s="11">
        <v>0.0511</v>
      </c>
      <c r="J480" s="16">
        <v>888888.0</v>
      </c>
      <c r="K480" s="2"/>
      <c r="L480" s="9" t="str">
        <f>HYPERLINK("https://metabase.lelefan.org/public/dashboard/53c41f3f-5644-466e-935e-897e7725f6bc?rayon=&amp;d%25C3%25A9signation=CHOU DE BRUXELLES BIO&amp;fournisseur=&amp;date_d%25C3%25A9but=&amp;date_fin=","888888")</f>
        <v>888888</v>
      </c>
      <c r="M480" s="2"/>
      <c r="N480" s="22">
        <v>888888.0</v>
      </c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1" t="s">
        <v>717</v>
      </c>
      <c r="B481" s="16">
        <v>888888.0</v>
      </c>
      <c r="C481" s="2"/>
      <c r="D481" s="7" t="str">
        <f>HYPERLINK("https://www.biocoop.fr/magasin-biocoop_champollion/chou-rouge-fel1980-000-france.html","3.5")</f>
        <v>3.5</v>
      </c>
      <c r="E481" s="11">
        <v>0.2727</v>
      </c>
      <c r="F481" s="9" t="str">
        <f>HYPERLINK("https://www.biocoop.fr/magasin-biocoop_fontaine/chou-rouge-fel1980-000-france.html","888888")</f>
        <v>888888</v>
      </c>
      <c r="G481" s="2"/>
      <c r="H481" s="9" t="str">
        <f>HYPERLINK("https://satoriz-comboire.bio/collections/fruits-et-legumes/products/lgu330","3.71")</f>
        <v>3.71</v>
      </c>
      <c r="I481" s="11">
        <v>0.484</v>
      </c>
      <c r="J481" s="16">
        <v>888888.0</v>
      </c>
      <c r="K481" s="2"/>
      <c r="L481" s="16">
        <v>888888.0</v>
      </c>
      <c r="M481" s="2"/>
      <c r="N481" s="22">
        <v>888888.0</v>
      </c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1" t="s">
        <v>718</v>
      </c>
      <c r="B482" s="16">
        <v>888888.0</v>
      </c>
      <c r="C482" s="2"/>
      <c r="D482" s="9" t="str">
        <f>HYPERLINK("https://www.biocoop.fr/magasin-biocoop_champollion/courge-butternut-fel4759-000-france.html","888888")</f>
        <v>888888</v>
      </c>
      <c r="E482" s="18" t="s">
        <v>56</v>
      </c>
      <c r="F482" s="7" t="str">
        <f>HYPERLINK("https://www.biocoop.fr/magasin-biocoop_fontaine/courge-butternut-fel4759-000-france.html","2.9")</f>
        <v>2.9</v>
      </c>
      <c r="G482" s="8">
        <v>-0.0169</v>
      </c>
      <c r="H482" s="7" t="str">
        <f>HYPERLINK("https://satoriz-comboire.bio/collections/fruits-et-legumes/products/lgu401","2.9")</f>
        <v>2.9</v>
      </c>
      <c r="I482" s="11">
        <v>0.381</v>
      </c>
      <c r="J482" s="9" t="str">
        <f>HYPERLINK("https://www.greenweez.com/produit/courge-butternut-france-2kg/1VRAC0036","888888")</f>
        <v>888888</v>
      </c>
      <c r="K482" s="18" t="s">
        <v>56</v>
      </c>
      <c r="L482" s="16">
        <v>888888.0</v>
      </c>
      <c r="M482" s="2"/>
      <c r="N482" s="16">
        <v>888888.0</v>
      </c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1" t="s">
        <v>719</v>
      </c>
      <c r="B483" s="16">
        <v>888888.0</v>
      </c>
      <c r="C483" s="2"/>
      <c r="D483" s="16">
        <v>888888.0</v>
      </c>
      <c r="E483" s="2"/>
      <c r="F483" s="9" t="str">
        <f>HYPERLINK("https://www.biocoop.fr/magasin-biocoop_fontaine/potimarron-orange-fel3130-000-france.html","2.95")</f>
        <v>2.95</v>
      </c>
      <c r="G483" s="2"/>
      <c r="H483" s="7" t="str">
        <f>HYPERLINK("https://satoriz-comboire.bio/collections/fruits-et-legumes/products/lgu791","2.7")</f>
        <v>2.7</v>
      </c>
      <c r="I483" s="2"/>
      <c r="J483" s="9" t="str">
        <f>HYPERLINK("https://www.greenweez.com/produit/courge-potimarron-orange-france-1500g/1VRAC0051","5.22")</f>
        <v>5.22</v>
      </c>
      <c r="K483" s="2"/>
      <c r="L483" s="16">
        <v>888888.0</v>
      </c>
      <c r="M483" s="2"/>
      <c r="N483" s="16">
        <v>888888.0</v>
      </c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1" t="s">
        <v>720</v>
      </c>
      <c r="B484" s="9" t="str">
        <f>HYPERLINK("https://lafourche.fr/products/la-fourche-echalotes-bio-origine-france-0-5kg","4.98")</f>
        <v>4.98</v>
      </c>
      <c r="C484" s="11">
        <v>0.2513</v>
      </c>
      <c r="D484" s="7" t="str">
        <f>HYPERLINK("https://www.biocoop.fr/magasin-biocoop_champollion/echalote-vrac.html","4.5")</f>
        <v>4.5</v>
      </c>
      <c r="E484" s="11">
        <v>0.2</v>
      </c>
      <c r="F484" s="9" t="str">
        <f>HYPERLINK("https://www.biocoop.fr/magasin-biocoop_fontaine/echalote-vrac.html","6.5")</f>
        <v>6.5</v>
      </c>
      <c r="G484" s="11">
        <v>0.4444</v>
      </c>
      <c r="H484" s="9" t="str">
        <f>HYPERLINK("https://satoriz-comboire.bio/collections/fruits-et-legumes/products/lgu420","7.5")</f>
        <v>7.5</v>
      </c>
      <c r="I484" s="11">
        <v>0.875</v>
      </c>
      <c r="J484" s="9" t="str">
        <f>HYPERLINK("https://www.greenweez.com/produit/echalote-nouvelle/1VRAC0053","5.74")</f>
        <v>5.74</v>
      </c>
      <c r="K484" s="11">
        <v>0.3732</v>
      </c>
      <c r="L484" s="16">
        <v>888888.0</v>
      </c>
      <c r="M484" s="2"/>
      <c r="N484" s="16">
        <v>888888.0</v>
      </c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1" t="s">
        <v>721</v>
      </c>
      <c r="B485" s="7" t="str">
        <f>HYPERLINK("https://lafourche.fr/products/la-fourche-endives-bio-origine-france-0-5kg","7.98")</f>
        <v>7.98</v>
      </c>
      <c r="C485" s="11">
        <v>0.0364</v>
      </c>
      <c r="D485" s="16">
        <v>888888.0</v>
      </c>
      <c r="E485" s="2"/>
      <c r="F485" s="16">
        <v>888888.0</v>
      </c>
      <c r="G485" s="2"/>
      <c r="H485" s="9" t="str">
        <f>HYPERLINK("https://satoriz-comboire.bio/collections/fruits-et-legumes/products/lgu422","8.1")</f>
        <v>8.1</v>
      </c>
      <c r="I485" s="11">
        <v>0.5283</v>
      </c>
      <c r="J485" s="9" t="str">
        <f>HYPERLINK("https://www.greenweez.com/produit/endive-france-4/1VRAC0047","888888")</f>
        <v>888888</v>
      </c>
      <c r="K485" s="18" t="s">
        <v>56</v>
      </c>
      <c r="L485" s="9" t="str">
        <f>HYPERLINK("https://metabase.lelefan.org/public/dashboard/53c41f3f-5644-466e-935e-897e7725f6bc?rayon=&amp;d%25C3%25A9signation=ENDIVE BIO MANGEZ BIO ISERE&amp;fournisseur=&amp;date_d%25C3%25A9but=&amp;date_fin=","888888")</f>
        <v>888888</v>
      </c>
      <c r="M485" s="2"/>
      <c r="N485" s="16">
        <v>888888.0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1" t="s">
        <v>722</v>
      </c>
      <c r="B486" s="16">
        <v>888888.0</v>
      </c>
      <c r="C486" s="2"/>
      <c r="D486" s="16">
        <v>888888.0</v>
      </c>
      <c r="E486" s="2"/>
      <c r="F486" s="16">
        <v>888888.0</v>
      </c>
      <c r="G486" s="2"/>
      <c r="H486" s="9" t="str">
        <f>HYPERLINK("https://satoriz-comboire.bio/collections/fruits-et-legumes/products/lgu440","4.52")</f>
        <v>4.52</v>
      </c>
      <c r="I486" s="8">
        <v>-0.0174</v>
      </c>
      <c r="J486" s="9" t="str">
        <f>HYPERLINK("https://www.greenweez.com/produit/epinards/1VRAC0083","888888")</f>
        <v>888888</v>
      </c>
      <c r="K486" s="17">
        <v>0.0</v>
      </c>
      <c r="L486" s="7" t="str">
        <f>HYPERLINK("https://metabase.lelefan.org/public/dashboard/53c41f3f-5644-466e-935e-897e7725f6bc?rayon=&amp;d%25C3%25A9signation=EPINARD BIO&amp;fournisseur=&amp;date_d%25C3%25A9but=&amp;date_fin=","3.93")</f>
        <v>3.93</v>
      </c>
      <c r="M486" s="2"/>
      <c r="N486" s="16">
        <v>888888.0</v>
      </c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1" t="s">
        <v>723</v>
      </c>
      <c r="B487" s="16">
        <v>888888.0</v>
      </c>
      <c r="C487" s="2"/>
      <c r="D487" s="9" t="str">
        <f>HYPERLINK("https://www.biocoop.fr/magasin-biocoop_champollion/fenouil-fel4515-000-france.html","4.75")</f>
        <v>4.75</v>
      </c>
      <c r="E487" s="11">
        <v>0.0556</v>
      </c>
      <c r="F487" s="9" t="str">
        <f>HYPERLINK("https://www.biocoop.fr/magasin-biocoop_fontaine/fenouil-fel4515-000-france.html","5.5")</f>
        <v>5.5</v>
      </c>
      <c r="G487" s="11">
        <v>0.1224</v>
      </c>
      <c r="H487" s="9" t="str">
        <f>HYPERLINK("https://satoriz-comboire.bio/collections/fruits-et-legumes/products/lgu460","4.8")</f>
        <v>4.8</v>
      </c>
      <c r="I487" s="11">
        <v>0.2632</v>
      </c>
      <c r="J487" s="9" t="str">
        <f>HYPERLINK("https://www.greenweez.com/produit/fenouil-france-800g-1/1VRAC0029","7.2")</f>
        <v>7.2</v>
      </c>
      <c r="K487" s="2"/>
      <c r="L487" s="7" t="str">
        <f>HYPERLINK("https://metabase.lelefan.org/public/dashboard/53c41f3f-5644-466e-935e-897e7725f6bc?rayon=&amp;d%25C3%25A9signation=FENOUIL BIO&amp;fournisseur=&amp;date_d%25C3%25A9but=&amp;date_fin=","4.48")</f>
        <v>4.48</v>
      </c>
      <c r="M487" s="2"/>
      <c r="N487" s="16">
        <v>888888.0</v>
      </c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1" t="s">
        <v>724</v>
      </c>
      <c r="B488" s="9" t="str">
        <f>HYPERLINK("https://lafourche.fr/products/la-fourche-navets-nouveaux-bio-origine-france-0-5kg","3.2")</f>
        <v>3.2</v>
      </c>
      <c r="C488" s="2"/>
      <c r="D488" s="9" t="str">
        <f>HYPERLINK("https://www.biocoop.fr/magasin-biocoop_champollion/navet-vrac-violet.html","2.95")</f>
        <v>2.95</v>
      </c>
      <c r="E488" s="2"/>
      <c r="F488" s="7" t="str">
        <f>HYPERLINK("https://www.biocoop.fr/magasin-biocoop_fontaine/navet-vrac-violet.html","2.9")</f>
        <v>2.9</v>
      </c>
      <c r="G488" s="2"/>
      <c r="H488" s="16">
        <v>888888.0</v>
      </c>
      <c r="I488" s="2"/>
      <c r="J488" s="9" t="str">
        <f>HYPERLINK("https://www.greenweez.com/produit/navet-violet-france-500g/1VRAC0045","3.76")</f>
        <v>3.76</v>
      </c>
      <c r="K488" s="2"/>
      <c r="L488" s="9" t="str">
        <f>HYPERLINK("https://metabase.lelefan.org/public/dashboard/53c41f3f-5644-466e-935e-897e7725f6bc?rayon=&amp;d%25C3%25A9signation=NAVET BIO&amp;fournisseur=&amp;date_d%25C3%25A9but=&amp;date_fin=","3.65")</f>
        <v>3.65</v>
      </c>
      <c r="M488" s="2"/>
      <c r="N488" s="16">
        <v>888888.0</v>
      </c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1" t="s">
        <v>725</v>
      </c>
      <c r="B489" s="9" t="str">
        <f>HYPERLINK("https://lafourche.fr/products/la-fourche-panais-bio-origine-france-0-5kg","3.98")</f>
        <v>3.98</v>
      </c>
      <c r="C489" s="10">
        <v>0.0</v>
      </c>
      <c r="D489" s="16">
        <v>888888.0</v>
      </c>
      <c r="E489" s="2"/>
      <c r="F489" s="16">
        <v>888888.0</v>
      </c>
      <c r="G489" s="2"/>
      <c r="H489" s="7" t="str">
        <f>HYPERLINK("https://satoriz-comboire.bio/collections/fruits-et-legumes/products/lgu620","3.7")</f>
        <v>3.7</v>
      </c>
      <c r="I489" s="8">
        <v>-0.119</v>
      </c>
      <c r="J489" s="9" t="str">
        <f>HYPERLINK("https://www.greenweez.com/produit/panais-france-500g-1/1VRAC0031","4.18")</f>
        <v>4.18</v>
      </c>
      <c r="K489" s="8">
        <v>-0.1469</v>
      </c>
      <c r="L489" s="9" t="str">
        <f>HYPERLINK("https://metabase.lelefan.org/public/dashboard/53c41f3f-5644-466e-935e-897e7725f6bc?rayon=&amp;d%25C3%25A9signation=PANAIS BIO&amp;fournisseur=&amp;date_d%25C3%25A9but=&amp;date_fin=","888888")</f>
        <v>888888</v>
      </c>
      <c r="M489" s="2"/>
      <c r="N489" s="22">
        <v>888888.0</v>
      </c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1" t="s">
        <v>726</v>
      </c>
      <c r="B490" s="9" t="str">
        <f>HYPERLINK("https://lafourche.fr/products/la-fourche-patates-douces-roses-bio-origine-france-1kg","3.45")</f>
        <v>3.45</v>
      </c>
      <c r="C490" s="2"/>
      <c r="D490" s="9" t="str">
        <f>HYPERLINK("https://www.biocoop.fr/magasin-biocoop_champollion/patate-douce-fel4074-000-france.html","4.5")</f>
        <v>4.5</v>
      </c>
      <c r="E490" s="11">
        <v>0.0588</v>
      </c>
      <c r="F490" s="9" t="str">
        <f>HYPERLINK("https://www.biocoop.fr/magasin-biocoop_fontaine/patate-douce-fel4074-000-france.html","4.9")</f>
        <v>4.9</v>
      </c>
      <c r="G490" s="11">
        <v>0.0889</v>
      </c>
      <c r="H490" s="7" t="str">
        <f>HYPERLINK("https://satoriz-comboire.bio/collections/fruits-et-legumes/products/lgu631","2.46")</f>
        <v>2.46</v>
      </c>
      <c r="I490" s="8">
        <v>-0.016</v>
      </c>
      <c r="J490" s="9" t="str">
        <f>HYPERLINK("https://www.greenweez.com/produit/patate-douce-espagne-1kg-1/1VRAC0426","2.82")</f>
        <v>2.82</v>
      </c>
      <c r="K490" s="8">
        <v>-0.3396</v>
      </c>
      <c r="L490" s="9" t="str">
        <f>HYPERLINK("https://metabase.lelefan.org/public/dashboard/53c41f3f-5644-466e-935e-897e7725f6bc?rayon=&amp;d%25C3%25A9signation=PATATE DOUCE BIO&amp;fournisseur=&amp;date_d%25C3%25A9but=&amp;date_fin=","4.12")</f>
        <v>4.12</v>
      </c>
      <c r="M490" s="2"/>
      <c r="N490" s="9" t="str">
        <f>HYPERLINK("https://fd11-courses.leclercdrive.fr/magasin-063801-063801-Echirolles---Comboire/fiche-produits-122403-Patate-douce-Bio-Bio-Village.aspx","4.58")</f>
        <v>4.58</v>
      </c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1" t="s">
        <v>727</v>
      </c>
      <c r="B491" s="7" t="str">
        <f>HYPERLINK("https://lafourche.fr/products/la-fourche-poireaux-bio-origine-france-1kg","3.75")</f>
        <v>3.75</v>
      </c>
      <c r="C491" s="8">
        <v>-0.0385</v>
      </c>
      <c r="D491" s="9" t="str">
        <f>HYPERLINK("https://www.biocoop.fr/magasin-biocoop_champollion/poireau.html","888888")</f>
        <v>888888</v>
      </c>
      <c r="E491" s="2"/>
      <c r="F491" s="9" t="str">
        <f>HYPERLINK("https://www.biocoop.fr/magasin-biocoop_fontaine/poireau.html","3.95")</f>
        <v>3.95</v>
      </c>
      <c r="G491" s="11">
        <v>0.0128</v>
      </c>
      <c r="H491" s="9" t="str">
        <f>HYPERLINK("https://satoriz-comboire.bio/collections/fruits-et-legumes/products/lgu710","4.3")</f>
        <v>4.3</v>
      </c>
      <c r="I491" s="8">
        <v>-0.0227</v>
      </c>
      <c r="J491" s="9" t="str">
        <f>HYPERLINK("https://www.greenweez.com/produit/poireau-primeur-france-1000g/1VRAC0024","888888")</f>
        <v>888888</v>
      </c>
      <c r="K491" s="18" t="s">
        <v>56</v>
      </c>
      <c r="L491" s="9" t="str">
        <f>HYPERLINK("https://metabase.lelefan.org/public/dashboard/53c41f3f-5644-466e-935e-897e7725f6bc?rayon=&amp;d%25C3%25A9signation=POIREAU BIO&amp;fournisseur=&amp;date_d%25C3%25A9but=&amp;date_fin=","888888")</f>
        <v>888888</v>
      </c>
      <c r="M491" s="2"/>
      <c r="N491" s="9" t="str">
        <f>HYPERLINK("https://fd11-courses.leclercdrive.fr/magasin-063801-063801-Echirolles---Comboire/fiche-produits-93029-Poireau-Bio-Bio-Village.aspx","5.05")</f>
        <v>5.05</v>
      </c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1" t="s">
        <v>728</v>
      </c>
      <c r="B492" s="9" t="str">
        <f>HYPERLINK("https://lafourche.fr/products/la-fourche-pommes-de-terre-chair-ferme-bio-origine-france-2-kg","2")</f>
        <v>2</v>
      </c>
      <c r="C492" s="8">
        <v>-0.0909</v>
      </c>
      <c r="D492" s="9" t="str">
        <f>HYPERLINK("https://www.biocoop.fr/magasin-biocoop_champollion/pomme-de-terre-tendre-autre.html","888888")</f>
        <v>888888</v>
      </c>
      <c r="E492" s="2"/>
      <c r="F492" s="9" t="str">
        <f>HYPERLINK("https://www.biocoop.fr/magasin-biocoop_fontaine/pomme-de-terre-tendre-autre.html","2.5")</f>
        <v>2.5</v>
      </c>
      <c r="G492" s="2"/>
      <c r="H492" s="7" t="str">
        <f>HYPERLINK("https://satoriz-comboire.bio/collections/fruits-et-legumes/products/lgu761","1.8")</f>
        <v>1.8</v>
      </c>
      <c r="I492" s="10">
        <v>0.0</v>
      </c>
      <c r="J492" s="9" t="str">
        <f>HYPERLINK("https://www.greenweez.com/produit/pomme-de-terre-ferme-en-filet-france-2-5kg/1FLEG0596","2.79")</f>
        <v>2.79</v>
      </c>
      <c r="K492" s="11">
        <v>0.116</v>
      </c>
      <c r="L492" s="9" t="str">
        <f>HYPERLINK("https://metabase.lelefan.org/public/dashboard/53c41f3f-5644-466e-935e-897e7725f6bc?rayon=&amp;d%25C3%25A9signation=POMME DE TERRE GROSSE BIO MANGEZ BIO&amp;fournisseur=&amp;date_d%25C3%25A9but=&amp;date_fin=","2.43")</f>
        <v>2.43</v>
      </c>
      <c r="M492" s="2"/>
      <c r="N492" s="9" t="str">
        <f>HYPERLINK("https://fd11-courses.leclercdrive.fr/magasin-063801-063801-Echirolles---Comboire/fiche-produits-191661-Pommes-de-terre-Bio-Bio-Village.aspx","2.33")</f>
        <v>2.33</v>
      </c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1" t="s">
        <v>729</v>
      </c>
      <c r="B493" s="7" t="str">
        <f>HYPERLINK("https://lafourche.fr/products/la-fourche-topinambour-origine-france-0-5kg","4.4")</f>
        <v>4.4</v>
      </c>
      <c r="C493" s="2"/>
      <c r="D493" s="16">
        <v>888888.0</v>
      </c>
      <c r="E493" s="2"/>
      <c r="F493" s="16">
        <v>888888.0</v>
      </c>
      <c r="G493" s="2"/>
      <c r="H493" s="16">
        <v>888888.0</v>
      </c>
      <c r="I493" s="2"/>
      <c r="J493" s="9" t="str">
        <f>HYPERLINK("https://www.greenweez.com/produit/topinambour-france-1000g/1VRAC0093","888888")</f>
        <v>888888</v>
      </c>
      <c r="K493" s="2"/>
      <c r="L493" s="16">
        <v>888888.0</v>
      </c>
      <c r="M493" s="2"/>
      <c r="N493" s="16">
        <v>888888.0</v>
      </c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5" t="s">
        <v>730</v>
      </c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1" t="s">
        <v>731</v>
      </c>
      <c r="B495" s="7" t="str">
        <f t="shared" ref="B495:B496" si="379">HYPERLINK("https://lafourche.fr/products/taifun-tofu-nature-bio-0-2kg","7.8")</f>
        <v>7.8</v>
      </c>
      <c r="C495" s="2"/>
      <c r="D495" s="9" t="str">
        <f>HYPERLINK("https://www.biocoop.fr/magasin-biocoop_champollion/tofu-nature-500g-to7084-000.html","8.7")</f>
        <v>8.7</v>
      </c>
      <c r="E495" s="2"/>
      <c r="F495" s="9" t="str">
        <f>HYPERLINK("https://www.biocoop.fr/magasin-biocoop_fontaine/tofu-nature-500g-to7084-000.html","8.7")</f>
        <v>8.7</v>
      </c>
      <c r="G495" s="2"/>
      <c r="H495" s="9" t="str">
        <f>HYPERLINK("https://satoriz-comboire.bio/collections/produits-frais/products/re1507","8.15")</f>
        <v>8.15</v>
      </c>
      <c r="I495" s="2"/>
      <c r="J495" s="9" t="str">
        <f t="shared" ref="J495:J496" si="380">HYPERLINK("https://www.greenweez.com/produit/tofu-nature-200g/1TAIF0030","9.7")</f>
        <v>9.7</v>
      </c>
      <c r="K495" s="2"/>
      <c r="L495" s="16">
        <v>888888.0</v>
      </c>
      <c r="M495" s="2"/>
      <c r="N495" s="9" t="str">
        <f t="shared" ref="N495:N496" si="381">HYPERLINK("https://fd11-courses.leclercdrive.fr/magasin-063801-063801-Echirolles---Comboire/fiche-produits-90627-Tofu-Cereal-Bio.aspx","9.04")</f>
        <v>9.04</v>
      </c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1" t="s">
        <v>732</v>
      </c>
      <c r="B496" s="7" t="str">
        <f t="shared" si="379"/>
        <v>7.8</v>
      </c>
      <c r="C496" s="2"/>
      <c r="D496" s="16">
        <v>888888.0</v>
      </c>
      <c r="E496" s="2"/>
      <c r="F496" s="9" t="str">
        <f>HYPERLINK("https://www.biocoop.fr/magasin-biocoop_fontaine/tofu-nature-2x125g-to7081-000.html","11.96")</f>
        <v>11.96</v>
      </c>
      <c r="G496" s="2"/>
      <c r="H496" s="9" t="str">
        <f>HYPERLINK("https://satoriz-comboire.bio/collections/produits-frais/products/sttona","10.0")</f>
        <v>10.0</v>
      </c>
      <c r="I496" s="2"/>
      <c r="J496" s="9" t="str">
        <f t="shared" si="380"/>
        <v>9.7</v>
      </c>
      <c r="K496" s="2"/>
      <c r="L496" s="16">
        <v>888888.0</v>
      </c>
      <c r="M496" s="2"/>
      <c r="N496" s="9" t="str">
        <f t="shared" si="381"/>
        <v>9.04</v>
      </c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1" t="s">
        <v>733</v>
      </c>
      <c r="B497" s="7" t="str">
        <f t="shared" ref="B497:B498" si="382">HYPERLINK("https://lafourche.fr/products/taifun-tofu-fume-bio-0-2kg","11.95")</f>
        <v>11.95</v>
      </c>
      <c r="C497" s="2"/>
      <c r="D497" s="9" t="str">
        <f t="shared" ref="D497:D498" si="383">HYPERLINK("https://www.biocoop.fr/magasin-biocoop_champollion/tofou-fume-2x100g-sy9938-000.html","17.5")</f>
        <v>17.5</v>
      </c>
      <c r="E497" s="2"/>
      <c r="F497" s="9" t="str">
        <f t="shared" ref="F497:F498" si="384">HYPERLINK("https://www.biocoop.fr/magasin-biocoop_fontaine/tofou-fume-2x100g-sy9938-000.html","17.5")</f>
        <v>17.5</v>
      </c>
      <c r="G497" s="2"/>
      <c r="H497" s="9" t="str">
        <f>HYPERLINK("https://satoriz-comboire.bio/collections/produits-frais/products/sttfu500","13.1")</f>
        <v>13.1</v>
      </c>
      <c r="I497" s="2"/>
      <c r="J497" s="9" t="str">
        <f t="shared" ref="J497:J498" si="385">HYPERLINK("https://www.greenweez.com/produit/tofu-fume-200g/1TAIF0024","14.1")</f>
        <v>14.1</v>
      </c>
      <c r="K497" s="2"/>
      <c r="L497" s="9" t="str">
        <f t="shared" ref="L497:L498" si="386">HYPERLINK("https://metabase.lelefan.org/public/dashboard/53c41f3f-5644-466e-935e-897e7725f6bc?rayon=&amp;d%25C3%25A9signation=TOFU FUME&amp;fournisseur=&amp;date_d%25C3%25A9but=&amp;date_fin=","13.6")</f>
        <v>13.6</v>
      </c>
      <c r="M497" s="2"/>
      <c r="N497" s="7" t="str">
        <f t="shared" ref="N497:N498" si="387">HYPERLINK("https://fd11-courses.leclercdrive.fr/magasin-063801-063801-Echirolles---Comboire/fiche-produits-127552-Tofu-fume-Cereal-Bio.aspx","11.25")</f>
        <v>11.25</v>
      </c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1" t="s">
        <v>734</v>
      </c>
      <c r="B498" s="7" t="str">
        <f t="shared" si="382"/>
        <v>11.95</v>
      </c>
      <c r="C498" s="2"/>
      <c r="D498" s="9" t="str">
        <f t="shared" si="383"/>
        <v>17.5</v>
      </c>
      <c r="E498" s="2"/>
      <c r="F498" s="9" t="str">
        <f t="shared" si="384"/>
        <v>17.5</v>
      </c>
      <c r="G498" s="2"/>
      <c r="H498" s="9" t="str">
        <f>HYPERLINK("https://satoriz-comboire.bio/collections/produits-frais/products/sttf","16.25")</f>
        <v>16.25</v>
      </c>
      <c r="I498" s="2"/>
      <c r="J498" s="9" t="str">
        <f t="shared" si="385"/>
        <v>14.1</v>
      </c>
      <c r="K498" s="2"/>
      <c r="L498" s="9" t="str">
        <f t="shared" si="386"/>
        <v>13.6</v>
      </c>
      <c r="M498" s="2"/>
      <c r="N498" s="7" t="str">
        <f t="shared" si="387"/>
        <v>11.25</v>
      </c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1" t="s">
        <v>735</v>
      </c>
      <c r="B499" s="7" t="str">
        <f t="shared" ref="B499:B500" si="388">HYPERLINK("https://lafourche.fr/products/taifun-tofu-soyeux-bio-0-4kg","6.68")</f>
        <v>6.68</v>
      </c>
      <c r="C499" s="2"/>
      <c r="D499" s="9" t="str">
        <f>HYPERLINK("https://www.biocoop.fr/magasin-biocoop_champollion/tofou-soyeux-400g-sy9829-000.html","7.48")</f>
        <v>7.48</v>
      </c>
      <c r="E499" s="2"/>
      <c r="F499" s="9" t="str">
        <f>HYPERLINK("https://www.biocoop.fr/magasin-biocoop_fontaine/tofou-soyeux-400g-sy9829-000.html","7.48")</f>
        <v>7.48</v>
      </c>
      <c r="G499" s="2"/>
      <c r="H499" s="9" t="str">
        <f>HYPERLINK("https://satoriz-comboire.bio/collections/produits-frais/products/aa5425","7.38")</f>
        <v>7.38</v>
      </c>
      <c r="I499" s="2"/>
      <c r="J499" s="9" t="str">
        <f>HYPERLINK("https://www.greenweez.com/produit/tofu-soyeux-400g-1/1TAIF0029","8.3")</f>
        <v>8.3</v>
      </c>
      <c r="K499" s="2"/>
      <c r="L499" s="9" t="str">
        <f>HYPERLINK("https://metabase.lelefan.org/public/dashboard/53c41f3f-5644-466e-935e-897e7725f6bc?rayon=&amp;d%25C3%25A9signation=TOFU SOYEUX&amp;fournisseur=&amp;date_d%25C3%25A9but=&amp;date_fin=","8.5")</f>
        <v>8.5</v>
      </c>
      <c r="M499" s="2"/>
      <c r="N499" s="7" t="str">
        <f>HYPERLINK("https://fd11-courses.leclercdrive.fr/magasin-063801-063801-Echirolles---Comboire/fiche-produits-90625-Tofu-soyeux-Cereal-Bio.aspx","4.88")</f>
        <v>4.88</v>
      </c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1" t="s">
        <v>736</v>
      </c>
      <c r="B500" s="7" t="str">
        <f t="shared" si="388"/>
        <v>6.68</v>
      </c>
      <c r="C500" s="2"/>
      <c r="D500" s="9" t="str">
        <f>HYPERLINK("https://www.biocoop.fr/magasin-biocoop_champollion/tofou-soyeux-nature-2x120g-sy9844-000.html","12.29")</f>
        <v>12.29</v>
      </c>
      <c r="E500" s="2"/>
      <c r="F500" s="9" t="str">
        <f>HYPERLINK("https://www.biocoop.fr/magasin-biocoop_fontaine/tofou-soyeux-nature-2x120g-sy9844-000.html","888888")</f>
        <v>888888</v>
      </c>
      <c r="G500" s="2"/>
      <c r="H500" s="9" t="str">
        <f>HYPERLINK("https://satoriz-comboire.bio/collections/produits-frais/products/aa197792","10.42")</f>
        <v>10.42</v>
      </c>
      <c r="I500" s="2"/>
      <c r="J500" s="9" t="str">
        <f>HYPERLINK("https://www.greenweez.com/produit/tofu-soyeux-2x120g/1SOYY0059","888888")</f>
        <v>888888</v>
      </c>
      <c r="K500" s="2"/>
      <c r="L500" s="16">
        <v>888888.0</v>
      </c>
      <c r="M500" s="2"/>
      <c r="N500" s="16">
        <v>888888.0</v>
      </c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5" t="s">
        <v>737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1" t="s">
        <v>738</v>
      </c>
      <c r="B502" s="9" t="str">
        <f>HYPERLINK("https://lafourche.fr/products/coquelicot-provence-gnocchi-nature-bio-0-3kg","9.53")</f>
        <v>9.53</v>
      </c>
      <c r="C502" s="2"/>
      <c r="D502" s="16">
        <v>888888.0</v>
      </c>
      <c r="E502" s="2"/>
      <c r="F502" s="16">
        <v>888888.0</v>
      </c>
      <c r="G502" s="2"/>
      <c r="H502" s="7" t="str">
        <f>HYPERLINK("https://satoriz-comboire.bio/products/fs6","3.3")</f>
        <v>3.3</v>
      </c>
      <c r="I502" s="2"/>
      <c r="J502" s="9" t="str">
        <f>HYPERLINK("https://www.greenweez.com/produit/gnocchi-originaux-400g/1BVER0039","7.85")</f>
        <v>7.85</v>
      </c>
      <c r="K502" s="2"/>
      <c r="L502" s="9" t="str">
        <f>HYPERLINK("https://metabase.lelefan.org/public/dashboard/53c41f3f-5644-466e-935e-897e7725f6bc?rayon=&amp;d%25C3%25A9signation=GNOCCHI BLANC VRAC&amp;fournisseur=&amp;date_d%25C3%25A9but=&amp;date_fin=","4.35")</f>
        <v>4.35</v>
      </c>
      <c r="M502" s="2"/>
      <c r="N502" s="9" t="str">
        <f>HYPERLINK("https://fd11-courses.leclercdrive.fr/magasin-063801-063801-Echirolles---Comboire/fiche-produits-52961-Gnocchi-Bio-Village.aspx","6.63")</f>
        <v>6.63</v>
      </c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1" t="s">
        <v>739</v>
      </c>
      <c r="B503" s="9" t="str">
        <f>HYPERLINK("https://lafourche.fr/products/comptoir-du-pastier-gnocchi-frais-a-poeler-bio-0-3kg","9.93")</f>
        <v>9.93</v>
      </c>
      <c r="C503" s="2"/>
      <c r="D503" s="9" t="str">
        <f>HYPERLINK("https://www.biocoop.fr/magasin-biocoop_champollion/gnocchi-a-poeler-300g-sj3014-000.html","11.67")</f>
        <v>11.67</v>
      </c>
      <c r="E503" s="2"/>
      <c r="F503" s="9" t="str">
        <f>HYPERLINK("https://www.biocoop.fr/magasin-biocoop_fontaine/gnocchi-a-poeler-pommes-de-terre-300g-co9058-000.html","9.33")</f>
        <v>9.33</v>
      </c>
      <c r="G503" s="2"/>
      <c r="H503" s="9" t="str">
        <f>HYPERLINK("https://satoriz-comboire.bio/products/re14647","9.5")</f>
        <v>9.5</v>
      </c>
      <c r="I503" s="2"/>
      <c r="J503" s="9" t="str">
        <f>HYPERLINK("https://www.greenweez.com/produit/gnocchetti-frais-nature-400g/1BVER0031","888888")</f>
        <v>888888</v>
      </c>
      <c r="K503" s="2"/>
      <c r="L503" s="7" t="str">
        <f>HYPERLINK("https://metabase.lelefan.org/public/dashboard/53c41f3f-5644-466e-935e-897e7725f6bc?rayon=&amp;d%25C3%25A9signation=GNOCCHI BIO A POELER&amp;fournisseur=&amp;date_d%25C3%25A9but=&amp;date_fin=","7.9")</f>
        <v>7.9</v>
      </c>
      <c r="M503" s="2"/>
      <c r="N503" s="16">
        <v>888888.0</v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1" t="s">
        <v>740</v>
      </c>
      <c r="B504" s="9" t="str">
        <f>HYPERLINK("https://lafourche.fr/products/comptoir-du-pastier-ravioles-fraiche-emmental-bio-0-24kg","18.88")</f>
        <v>18.88</v>
      </c>
      <c r="C504" s="2"/>
      <c r="D504" s="7" t="str">
        <f>HYPERLINK("https://www.biocoop.fr/magasin-biocoop_champollion/ravioles-emmental-sj3017-000.html","17.71")</f>
        <v>17.71</v>
      </c>
      <c r="E504" s="2"/>
      <c r="F504" s="7" t="str">
        <f>HYPERLINK("https://www.biocoop.fr/magasin-biocoop_fontaine/ravioles-emmental-sj3017-000.html","17.71")</f>
        <v>17.71</v>
      </c>
      <c r="G504" s="2"/>
      <c r="H504" s="9" t="str">
        <f>HYPERLINK("https://satoriz-comboire.bio/products/sj132100","17.92")</f>
        <v>17.92</v>
      </c>
      <c r="I504" s="2"/>
      <c r="J504" s="9" t="str">
        <f>HYPERLINK("https://www.greenweez.com/produit/ravioles-a-lemmental-240g/1CDPA0002","23.29")</f>
        <v>23.29</v>
      </c>
      <c r="K504" s="2"/>
      <c r="L504" s="9" t="str">
        <f>HYPERLINK("https://metabase.lelefan.org/public/dashboard/53c41f3f-5644-466e-935e-897e7725f6bc?rayon=&amp;d%25C3%25A9signation=RAVIOLES EMMENTAL BIO 4 PLAQUES&amp;fournisseur=&amp;date_d%25C3%25A9but=&amp;date_fin=","888888")</f>
        <v>888888</v>
      </c>
      <c r="M504" s="2"/>
      <c r="N504" s="16">
        <v>888888.0</v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1" t="s">
        <v>741</v>
      </c>
      <c r="B505" s="7" t="str">
        <f>HYPERLINK("https://lafourche.fr/products/wieninger-levure-fraiche-en-cube-bio-kg","19.05")</f>
        <v>19.05</v>
      </c>
      <c r="C505" s="2"/>
      <c r="D505" s="9" t="str">
        <f>HYPERLINK("https://www.biocoop.fr/magasin-biocoop_champollion/levure-boulangere-fraiche-cube-42g-ra6007-000.html","20.95")</f>
        <v>20.95</v>
      </c>
      <c r="E505" s="2"/>
      <c r="F505" s="9" t="str">
        <f>HYPERLINK("https://www.biocoop.fr/magasin-biocoop_fontaine/levure-boulangere-fraiche-cube-42g-ra6007-000.html","20.95")</f>
        <v>20.95</v>
      </c>
      <c r="G505" s="2"/>
      <c r="H505" s="7" t="str">
        <f>HYPERLINK("https://satoriz-comboire.bio/collections/produits-frais/products/re17063","19.05")</f>
        <v>19.05</v>
      </c>
      <c r="I505" s="2"/>
      <c r="J505" s="9" t="str">
        <f>HYPERLINK("https://www.greenweez.com/produit/levure-fraiche-en-cube-42g/2BIOR0046","25.24")</f>
        <v>25.24</v>
      </c>
      <c r="K505" s="2"/>
      <c r="L505" s="9" t="str">
        <f>HYPERLINK("https://metabase.lelefan.org/public/dashboard/53c41f3f-5644-466e-935e-897e7725f6bc?rayon=&amp;d%25C3%25A9signation=LEVURE FRAICHE&amp;fournisseur=&amp;date_d%25C3%25A9but=&amp;date_fin=","25.71")</f>
        <v>25.71</v>
      </c>
      <c r="M505" s="2"/>
      <c r="N505" s="16">
        <v>888888.0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1" t="s">
        <v>742</v>
      </c>
      <c r="B506" s="9" t="str">
        <f>HYPERLINK("https://lafourche.fr/products/biobleud-pate-feuilletee-beurre-multicereales-bio-0-25kg","10.36")</f>
        <v>10.36</v>
      </c>
      <c r="C506" s="2"/>
      <c r="D506" s="9" t="str">
        <f>HYPERLINK("https://www.biocoop.fr/magasin-biocoop_champollion/pate-brisee-pur-beurre-250g-mt9340-000.html","12.4")</f>
        <v>12.4</v>
      </c>
      <c r="E506" s="2"/>
      <c r="F506" s="9" t="str">
        <f>HYPERLINK("https://www.biocoop.fr/magasin-biocoop_fontaine/pate-brisee-pur-beurre-250g-mt9340-000.html","888888")</f>
        <v>888888</v>
      </c>
      <c r="G506" s="2"/>
      <c r="H506" s="7" t="str">
        <f>HYPERLINK("https://satoriz-comboire.bio/collections/produits-frais/products/vi0111001","10.0")</f>
        <v>10.0</v>
      </c>
      <c r="I506" s="2"/>
      <c r="J506" s="9" t="str">
        <f>HYPERLINK("https://www.greenweez.com/produit/pate-feuilletee-pur-beurre-250g-1/1NATA0083","14.72")</f>
        <v>14.72</v>
      </c>
      <c r="K506" s="2"/>
      <c r="L506" s="9" t="str">
        <f>HYPERLINK("https://metabase.lelefan.org/public/dashboard/53c41f3f-5644-466e-935e-897e7725f6bc?rayon=&amp;d%25C3%25A9signation=PATE FEUILLETEE PUR BEURRE&amp;fournisseur=&amp;date_d%25C3%25A9but=&amp;date_fin=","11.28")</f>
        <v>11.28</v>
      </c>
      <c r="M506" s="2"/>
      <c r="N506" s="7" t="str">
        <f>HYPERLINK("https://fd11-courses.leclercdrive.fr/magasin-063801-063801-Echirolles---Comboire/fiche-produits-16433-Pate-feuilletee-Bio.aspx","7.17")</f>
        <v>7.17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1" t="s">
        <v>743</v>
      </c>
      <c r="B507" s="9" t="str">
        <f>HYPERLINK("https://lafourche.fr/products/natur-avenir-pate-brisee-pur-beurre-bio-0-25kg","11.96")</f>
        <v>11.96</v>
      </c>
      <c r="C507" s="2"/>
      <c r="D507" s="9" t="str">
        <f>HYPERLINK("https://www.biocoop.fr/magasin-biocoop_champollion/pate-feuilletee-pur-beurre-250g-mt9341-000.html","12.4")</f>
        <v>12.4</v>
      </c>
      <c r="E507" s="2"/>
      <c r="F507" s="9" t="str">
        <f>HYPERLINK("https://www.biocoop.fr/magasin-biocoop_fontaine/pate-feuilletee-pur-beurre-250g-mt9341-000.html","888888")</f>
        <v>888888</v>
      </c>
      <c r="G507" s="2"/>
      <c r="H507" s="9" t="str">
        <f>HYPERLINK("https://satoriz-comboire.bio/collections/produits-frais/products/vi0112001","10.0")</f>
        <v>10.0</v>
      </c>
      <c r="I507" s="2"/>
      <c r="J507" s="9" t="str">
        <f>HYPERLINK("https://www.greenweez.com/produit/pate-brisee-pur-beurre-250g-1/1NATA0082","888888")</f>
        <v>888888</v>
      </c>
      <c r="K507" s="2"/>
      <c r="L507" s="7" t="str">
        <f>HYPERLINK("https://metabase.lelefan.org/public/dashboard/53c41f3f-5644-466e-935e-897e7725f6bc?rayon=&amp;d%25C3%25A9signation=PATE BRISEE PUR BEURRE&amp;fournisseur=&amp;date_d%25C3%25A9but=&amp;date_fin=","9.2")</f>
        <v>9.2</v>
      </c>
      <c r="M507" s="2"/>
      <c r="N507" s="7" t="str">
        <f>HYPERLINK("https://fd11-courses.leclercdrive.fr/magasin-063801-063801-Echirolles---Comboire/fiche-produits-16432-Pate-brisee-Bio-.aspx","8.65")</f>
        <v>8.65</v>
      </c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1" t="s">
        <v>744</v>
      </c>
      <c r="B508" s="7" t="str">
        <f>HYPERLINK("https://lafourche.fr/products/biobleud-pate-a-pizza-bio-0-27kg","7.33")</f>
        <v>7.33</v>
      </c>
      <c r="C508" s="2"/>
      <c r="D508" s="9" t="str">
        <f>HYPERLINK("https://www.biocoop.fr/magasin-biocoop_champollion/pate-a-pizza-aux-cereales-completes-430g-mt9335-000.html","7.67")</f>
        <v>7.67</v>
      </c>
      <c r="E508" s="2"/>
      <c r="F508" s="9" t="str">
        <f>HYPERLINK("https://www.biocoop.fr/magasin-biocoop_fontaine/pate-a-pizza-aux-cereales-completes-430g-mt9335-000.html","9.42")</f>
        <v>9.42</v>
      </c>
      <c r="G508" s="2"/>
      <c r="H508" s="9" t="str">
        <f>HYPERLINK("https://satoriz-comboire.bio/collections/produits-frais/products/vi10104008","8.15")</f>
        <v>8.15</v>
      </c>
      <c r="I508" s="2"/>
      <c r="J508" s="16">
        <v>888888.0</v>
      </c>
      <c r="K508" s="2"/>
      <c r="L508" s="9" t="str">
        <f>HYPERLINK("https://metabase.lelefan.org/public/dashboard/53c41f3f-5644-466e-935e-897e7725f6bc?rayon=&amp;d%25C3%25A9signation=PATE A PIZZA&amp;fournisseur=&amp;date_d%25C3%25A9but=&amp;date_fin=","888888")</f>
        <v>888888</v>
      </c>
      <c r="M508" s="2"/>
      <c r="N508" s="7" t="str">
        <f>HYPERLINK("https://fd11-courses.leclercdrive.fr/magasin-063801-063801-Echirolles---Comboire/fiche-produits-25393-Pate-a-pizza-Bio.aspx","7.0")</f>
        <v>7.0</v>
      </c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1" t="s">
        <v>745</v>
      </c>
      <c r="B509" s="9" t="str">
        <f>HYPERLINK("https://lafourche.fr/products/tossolia-hache-vegetal-a-la-bolognaise-bio-0-24kg","15.25")</f>
        <v>15.25</v>
      </c>
      <c r="C509" s="2"/>
      <c r="D509" s="9" t="str">
        <f>HYPERLINK("https://www.biocoop.fr/magasin-biocoop_champollion/hache-vegetal-a-la-bolognaise-240g-to7142-000.html","15.62")</f>
        <v>15.62</v>
      </c>
      <c r="E509" s="2"/>
      <c r="F509" s="9" t="str">
        <f>HYPERLINK("https://www.biocoop.fr/magasin-biocoop_fontaine/hache-vegetal-a-la-bolognaise-240g-to7142-000.html","15.63")</f>
        <v>15.63</v>
      </c>
      <c r="G509" s="2"/>
      <c r="H509" s="7" t="str">
        <f>HYPERLINK("https://satoriz-comboire.bio/collections/produits-frais/products/sthvb","15.0")</f>
        <v>15.0</v>
      </c>
      <c r="I509" s="2"/>
      <c r="J509" s="9" t="str">
        <f>HYPERLINK("https://www.greenweez.com/produit/hache-vegetal-facon-bolognaise-240g/1IDEE0001","888888")</f>
        <v>888888</v>
      </c>
      <c r="K509" s="2"/>
      <c r="L509" s="9" t="str">
        <f>HYPERLINK("https://metabase.lelefan.org/public/dashboard/53c41f3f-5644-466e-935e-897e7725f6bc?rayon=&amp;d%25C3%25A9signation=HACHE VEGETAL A LA BOLOGNAISE&amp;fournisseur=&amp;date_d%25C3%25A9but=&amp;date_fin=","20.1")</f>
        <v>20.1</v>
      </c>
      <c r="M509" s="2"/>
      <c r="N509" s="16">
        <v>888888.0</v>
      </c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1" t="s">
        <v>746</v>
      </c>
      <c r="B510" s="9" t="str">
        <f>HYPERLINK("https://lafourche.fr/products/soy-steak-vegan-bio-0-18kg","21.89")</f>
        <v>21.89</v>
      </c>
      <c r="C510" s="2"/>
      <c r="D510" s="7" t="str">
        <f>HYPERLINK("https://www.biocoop.fr/magasin-biocoop_champollion/steak-vegan-2x90g-sy9895-000.html","19.72")</f>
        <v>19.72</v>
      </c>
      <c r="E510" s="2"/>
      <c r="F510" s="9" t="str">
        <f>HYPERLINK("https://www.biocoop.fr/magasin-biocoop_fontaine/steak-vegan-2x90g-sy9895-000.html","22.17")</f>
        <v>22.17</v>
      </c>
      <c r="G510" s="2"/>
      <c r="H510" s="9" t="str">
        <f>HYPERLINK("https://satoriz-comboire.bio/collections/produits-frais/products/re15525","21.94")</f>
        <v>21.94</v>
      </c>
      <c r="I510" s="2"/>
      <c r="J510" s="9" t="str">
        <f>HYPERLINK("https://www.greenweez.com/produit/steak-vegan-2-x-90g/1SOYY0100","26.5")</f>
        <v>26.5</v>
      </c>
      <c r="K510" s="2"/>
      <c r="L510" s="9" t="str">
        <f>HYPERLINK("https://metabase.lelefan.org/public/dashboard/53c41f3f-5644-466e-935e-897e7725f6bc?rayon=&amp;d%25C3%25A9signation=STEAK VEGAN&amp;fournisseur=&amp;date_d%25C3%25A9but=&amp;date_fin=","25.44")</f>
        <v>25.44</v>
      </c>
      <c r="M510" s="2"/>
      <c r="N510" s="16">
        <v>888888.0</v>
      </c>
      <c r="O510" s="2"/>
      <c r="P510" s="1" t="s">
        <v>747</v>
      </c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1" t="s">
        <v>748</v>
      </c>
      <c r="B511" s="7" t="str">
        <f>HYPERLINK("https://lafourche.fr/products/nudj-nuggets-vegetales-jacquier-0-16kg","22.44")</f>
        <v>22.44</v>
      </c>
      <c r="C511" s="2"/>
      <c r="D511" s="9" t="str">
        <f>HYPERLINK("https://www.biocoop.fr/magasin-biocoop_champollion/nuggets-veggie-6-170g-sy9890-000.html","28.41")</f>
        <v>28.41</v>
      </c>
      <c r="E511" s="2"/>
      <c r="F511" s="9" t="str">
        <f>HYPERLINK("https://www.biocoop.fr/magasin-biocoop_fontaine/nuggets-veggie-6-170g-sy9890-000.html","27.94")</f>
        <v>27.94</v>
      </c>
      <c r="G511" s="2"/>
      <c r="H511" s="9" t="str">
        <f>HYPERLINK("https://satoriz-comboire.bio/collections/produits-frais/products/aa209400","25.29")</f>
        <v>25.29</v>
      </c>
      <c r="I511" s="2"/>
      <c r="J511" s="9" t="str">
        <f>HYPERLINK("https://www.greenweez.com/produit/6-nuggets-vegan-170g/1SOYY0101","27.59")</f>
        <v>27.59</v>
      </c>
      <c r="K511" s="2"/>
      <c r="L511" s="16">
        <v>888888.0</v>
      </c>
      <c r="M511" s="2"/>
      <c r="N511" s="16">
        <v>888888.0</v>
      </c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1" t="s">
        <v>749</v>
      </c>
      <c r="B512" s="7" t="str">
        <f>HYPERLINK("https://lafourche.fr/products/soto-falafel-traditionnel-bio-0-22kg","13.36")</f>
        <v>13.36</v>
      </c>
      <c r="C512" s="2"/>
      <c r="D512" s="16">
        <v>888888.0</v>
      </c>
      <c r="E512" s="2"/>
      <c r="F512" s="16">
        <v>888888.0</v>
      </c>
      <c r="G512" s="2"/>
      <c r="H512" s="9" t="str">
        <f>HYPERLINK("https://satoriz-comboire.bio/collections/produits-frais/products/aa204786","17.8")</f>
        <v>17.8</v>
      </c>
      <c r="I512" s="2"/>
      <c r="J512" s="9" t="str">
        <f>HYPERLINK("https://www.greenweez.com/produit/falafel-220g/1SOTO0010","14.59")</f>
        <v>14.59</v>
      </c>
      <c r="K512" s="2"/>
      <c r="L512" s="9" t="str">
        <f>HYPERLINK("https://metabase.lelefan.org/public/dashboard/53c41f3f-5644-466e-935e-897e7725f6bc?rayon=&amp;d%25C3%25A9signation=FALAFEL TRADITIONNEL&amp;fournisseur=&amp;date_d%25C3%25A9but=&amp;date_fin=","22.0")</f>
        <v>22.0</v>
      </c>
      <c r="M512" s="2"/>
      <c r="N512" s="16">
        <v>888888.0</v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3" t="s">
        <v>750</v>
      </c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5" t="s">
        <v>751</v>
      </c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1" t="s">
        <v>752</v>
      </c>
      <c r="B516" s="9" t="str">
        <f>HYPERLINK("https://lafourche.fr/products/la-fourche-vinaigre-blanc-12-5l","1.8")</f>
        <v>1.8</v>
      </c>
      <c r="C516" s="10">
        <v>0.0</v>
      </c>
      <c r="D516" s="9" t="str">
        <f t="shared" ref="D516:D517" si="389">HYPERLINK("https://www.biocoop.fr/magasin-biocoop_champollion/vinaigre-d-alcool-8-1l-se4010-000.html","2.15")</f>
        <v>2.15</v>
      </c>
      <c r="E516" s="10">
        <v>0.0</v>
      </c>
      <c r="F516" s="9" t="str">
        <f t="shared" ref="F516:F517" si="390">HYPERLINK("https://www.biocoop.fr/magasin-biocoop_fontaine/vinaigre-d-alcool-8-1l-se4010-000.html","2.15")</f>
        <v>2.15</v>
      </c>
      <c r="G516" s="10">
        <v>0.0</v>
      </c>
      <c r="H516" s="7" t="str">
        <f>HYPERLINK("https://satoriz-comboire.bio/collections/maison/products/cb4405","1.59")</f>
        <v>1.59</v>
      </c>
      <c r="I516" s="10">
        <v>0.0</v>
      </c>
      <c r="J516" s="9" t="str">
        <f>HYPERLINK("https://www.greenweez.com/produit/vinaigre-blanc-9-5deg-5l/2WEEZ0344","1.92")</f>
        <v>1.92</v>
      </c>
      <c r="K516" s="11">
        <v>0.0726</v>
      </c>
      <c r="L516" s="9" t="str">
        <f t="shared" ref="L516:L517" si="391">HYPERLINK("https://metabase.lelefan.org/public/dashboard/53c41f3f-5644-466e-935e-897e7725f6bc?rayon=&amp;d%25C3%25A9signation=VINAIGRE NATUREL 14° VRAC&amp;fournisseur=&amp;date_d%25C3%25A9but=&amp;date_fin=","2.03")</f>
        <v>2.03</v>
      </c>
      <c r="M516" s="2"/>
      <c r="N516" s="16">
        <v>888888.0</v>
      </c>
      <c r="O516" s="2"/>
      <c r="P516" s="1" t="s">
        <v>501</v>
      </c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1" t="s">
        <v>753</v>
      </c>
      <c r="B517" s="9" t="str">
        <f>HYPERLINK("https://lafourche.fr/products/la-fourche-vinaigre-blanc-12-1l","1.86")</f>
        <v>1.86</v>
      </c>
      <c r="C517" s="11">
        <v>0.0333</v>
      </c>
      <c r="D517" s="9" t="str">
        <f t="shared" si="389"/>
        <v>2.15</v>
      </c>
      <c r="E517" s="10">
        <v>0.0</v>
      </c>
      <c r="F517" s="9" t="str">
        <f t="shared" si="390"/>
        <v>2.15</v>
      </c>
      <c r="G517" s="10">
        <v>0.0</v>
      </c>
      <c r="H517" s="7" t="str">
        <f>HYPERLINK("https://satoriz-comboire.bio/products/cb3405","1.8")</f>
        <v>1.8</v>
      </c>
      <c r="I517" s="11">
        <v>0.1321</v>
      </c>
      <c r="J517" s="9" t="str">
        <f>HYPERLINK("https://www.greenweez.com/produit/vinaigre-menager-blanc-12-1l/1ECOD0089","2.45")</f>
        <v>2.45</v>
      </c>
      <c r="K517" s="11">
        <v>0.3687</v>
      </c>
      <c r="L517" s="9" t="str">
        <f t="shared" si="391"/>
        <v>2.03</v>
      </c>
      <c r="M517" s="2"/>
      <c r="N517" s="16">
        <v>888888.0</v>
      </c>
      <c r="O517" s="2"/>
      <c r="P517" s="1" t="s">
        <v>501</v>
      </c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1" t="s">
        <v>754</v>
      </c>
      <c r="B518" s="9" t="str">
        <f>HYPERLINK("https://lafourche.fr/products/bicarbonate-la-fourche-2kg","3.38")</f>
        <v>3.38</v>
      </c>
      <c r="C518" s="8">
        <v>-0.0059</v>
      </c>
      <c r="D518" s="9" t="str">
        <f t="shared" ref="D518:D519" si="392">HYPERLINK("https://www.biocoop.fr/magasin-biocoop_champollion/bicarbonate-de-soude-se4001-000.html","4.9")</f>
        <v>4.9</v>
      </c>
      <c r="E518" s="10">
        <v>0.0</v>
      </c>
      <c r="F518" s="9" t="str">
        <f t="shared" ref="F518:F519" si="393">HYPERLINK("https://www.biocoop.fr/magasin-biocoop_fontaine/bicarbonate-soude-se4066-000.html","3.1")</f>
        <v>3.1</v>
      </c>
      <c r="G518" s="10">
        <v>0.0</v>
      </c>
      <c r="H518" s="9" t="str">
        <f>HYPERLINK("https://satoriz-comboire.bio/products/eco001","3.18")</f>
        <v>3.18</v>
      </c>
      <c r="I518" s="11">
        <v>0.2231</v>
      </c>
      <c r="J518" s="9" t="str">
        <f t="shared" ref="J518:J519" si="394">HYPERLINK("https://www.greenweez.com/produit/bicarbonate-de-soude-technique-1kg-3/2ECOD0202","888888")</f>
        <v>888888</v>
      </c>
      <c r="K518" s="18" t="s">
        <v>56</v>
      </c>
      <c r="L518" s="7" t="str">
        <f t="shared" ref="L518:L519" si="395">HYPERLINK("https://metabase.lelefan.org/public/dashboard/53c41f3f-5644-466e-935e-897e7725f6bc?rayon=&amp;d%25C3%25A9signation=BICARBONATE TECHNIQUE VRAC&amp;fournisseur=&amp;date_d%25C3%25A9but=&amp;date_fin=","1.89")</f>
        <v>1.89</v>
      </c>
      <c r="M518" s="2"/>
      <c r="N518" s="7" t="str">
        <f>HYPERLINK("https://fd11-courses.leclercdrive.fr/magasin-063801-063801-Echirolles---Comboire/fiche-produits-71599-Bicarbonate-de-soude-Clair.aspx","3.0")</f>
        <v>3.0</v>
      </c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1" t="s">
        <v>755</v>
      </c>
      <c r="B519" s="9" t="str">
        <f>HYPERLINK("https://lafourche.fr/products/bicarbonate-la-fourche-1kg","3.55")</f>
        <v>3.55</v>
      </c>
      <c r="C519" s="11">
        <v>0.0441</v>
      </c>
      <c r="D519" s="9" t="str">
        <f t="shared" si="392"/>
        <v>4.9</v>
      </c>
      <c r="E519" s="10">
        <v>0.0</v>
      </c>
      <c r="F519" s="9" t="str">
        <f t="shared" si="393"/>
        <v>3.1</v>
      </c>
      <c r="G519" s="10">
        <v>0.0</v>
      </c>
      <c r="H519" s="16">
        <v>888888.0</v>
      </c>
      <c r="I519" s="18" t="s">
        <v>56</v>
      </c>
      <c r="J519" s="9" t="str">
        <f t="shared" si="394"/>
        <v>888888</v>
      </c>
      <c r="K519" s="18" t="s">
        <v>56</v>
      </c>
      <c r="L519" s="7" t="str">
        <f t="shared" si="395"/>
        <v>1.89</v>
      </c>
      <c r="M519" s="2"/>
      <c r="N519" s="16">
        <v>888888.0</v>
      </c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1" t="s">
        <v>756</v>
      </c>
      <c r="B520" s="9" t="str">
        <f>HYPERLINK("https://lafourche.fr/products/cristaux-de-soude-la-fourche-1kg","3.99")</f>
        <v>3.99</v>
      </c>
      <c r="C520" s="8">
        <v>-0.0268</v>
      </c>
      <c r="D520" s="9" t="str">
        <f t="shared" ref="D520:D521" si="396">HYPERLINK("https://www.biocoop.fr/magasin-biocoop_champollion/soude-en-cristaux-concentree-500g-se4005-000.html","5.8")</f>
        <v>5.8</v>
      </c>
      <c r="E520" s="10">
        <v>0.0</v>
      </c>
      <c r="F520" s="9" t="str">
        <f t="shared" ref="F520:F521" si="397">HYPERLINK("https://www.biocoop.fr/magasin-biocoop_fontaine/soude-en-cristaux-concentree-500g-se4005-000.html","6.2")</f>
        <v>6.2</v>
      </c>
      <c r="G520" s="10">
        <v>0.0</v>
      </c>
      <c r="H520" s="9" t="str">
        <f t="shared" ref="H520:H521" si="398">HYPERLINK("https://satoriz-comboire.bio/collections/maison/products/eu7667","6.3")</f>
        <v>6.3</v>
      </c>
      <c r="I520" s="10">
        <v>0.0</v>
      </c>
      <c r="J520" s="9" t="str">
        <f>HYPERLINK("https://www.greenweez.com/produit/lot-de-2-soude-en-cristaux-1kg/1PACK1039","3.81")</f>
        <v>3.81</v>
      </c>
      <c r="K520" s="10">
        <v>0.0</v>
      </c>
      <c r="L520" s="7" t="str">
        <f t="shared" ref="L520:L521" si="399">HYPERLINK("https://metabase.lelefan.org/public/dashboard/53c41f3f-5644-466e-935e-897e7725f6bc?rayon=&amp;d%25C3%25A9signation=CRISTAUX DE SOUDE VRAC&amp;fournisseur=&amp;date_d%25C3%25A9but=&amp;date_fin=","2.85")</f>
        <v>2.85</v>
      </c>
      <c r="M520" s="2"/>
      <c r="N520" s="9" t="str">
        <f t="shared" ref="N520:N521" si="400">HYPERLINK("https://fd11-courses.leclercdrive.fr/magasin-063801-063801-Echirolles---Comboire/fiche-produits-120224-Cristaux-de-soude-Clair.aspx","3.9")</f>
        <v>3.9</v>
      </c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1" t="s">
        <v>757</v>
      </c>
      <c r="B521" s="9" t="str">
        <f>HYPERLINK("https://lafourche.fr/products/maison-pinson-soude-en-cristaux-500g","4.02")</f>
        <v>4.02</v>
      </c>
      <c r="C521" s="8">
        <v>-0.0195</v>
      </c>
      <c r="D521" s="9" t="str">
        <f t="shared" si="396"/>
        <v>5.8</v>
      </c>
      <c r="E521" s="10">
        <v>0.0</v>
      </c>
      <c r="F521" s="9" t="str">
        <f t="shared" si="397"/>
        <v>6.2</v>
      </c>
      <c r="G521" s="10">
        <v>0.0</v>
      </c>
      <c r="H521" s="9" t="str">
        <f t="shared" si="398"/>
        <v>6.3</v>
      </c>
      <c r="I521" s="10">
        <v>0.0</v>
      </c>
      <c r="J521" s="9" t="str">
        <f>HYPERLINK("https://www.greenweez.com/produit/soude-en-cristaux-500g-2/2ECOD0217","5.98")</f>
        <v>5.98</v>
      </c>
      <c r="K521" s="11">
        <v>0.5696</v>
      </c>
      <c r="L521" s="7" t="str">
        <f t="shared" si="399"/>
        <v>2.85</v>
      </c>
      <c r="M521" s="2"/>
      <c r="N521" s="9" t="str">
        <f t="shared" si="400"/>
        <v>3.9</v>
      </c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1" t="s">
        <v>758</v>
      </c>
      <c r="B522" s="7" t="str">
        <f>HYPERLINK("https://lafourche.fr/products/percarbonate-2kg-la-fourche","4.64")</f>
        <v>4.64</v>
      </c>
      <c r="C522" s="10">
        <v>0.0</v>
      </c>
      <c r="D522" s="9" t="str">
        <f t="shared" ref="D522:D523" si="401">HYPERLINK("https://www.biocoop.fr/magasin-biocoop_champollion/percarbonate-de-soude-1kg-se4004-000.html","6.15")</f>
        <v>6.15</v>
      </c>
      <c r="E522" s="10">
        <v>0.0</v>
      </c>
      <c r="F522" s="9" t="str">
        <f t="shared" ref="F522:F523" si="402">HYPERLINK("https://www.biocoop.fr/magasin-biocoop_fontaine/percarbonate-de-soude-1kg-se4004-000.html","5.95")</f>
        <v>5.95</v>
      </c>
      <c r="G522" s="8">
        <v>-0.0067</v>
      </c>
      <c r="H522" s="9" t="str">
        <f t="shared" ref="H522:H523" si="403">HYPERLINK("https://satoriz-comboire.bio/collections/maison/products/eco014","5.5")</f>
        <v>5.5</v>
      </c>
      <c r="I522" s="8">
        <v>-0.0179</v>
      </c>
      <c r="J522" s="9" t="str">
        <f t="shared" ref="J522:J523" si="404">HYPERLINK("https://www.greenweez.com/produit/percarbonate-de-soude-1kg-2/2WEEZ0347","6.38")</f>
        <v>6.38</v>
      </c>
      <c r="K522" s="11">
        <v>0.1642</v>
      </c>
      <c r="L522" s="9" t="str">
        <f>HYPERLINK("https://metabase.lelefan.org/public/dashboard/53c41f3f-5644-466e-935e-897e7725f6bc?rayon=&amp;d%25C3%25A9signation=PERCARBONATE DE SOUDE&amp;fournisseur=&amp;date_d%25C3%25A9but=&amp;date_fin=","888888")</f>
        <v>888888</v>
      </c>
      <c r="M522" s="2"/>
      <c r="N522" s="9" t="str">
        <f>HYPERLINK("https://fd11-courses.leclercdrive.fr/magasin-063801-063801-Echirolles---Comboire/fiche-produits-120225-Percarbonate-de-sodium-Clair.aspx","5.98")</f>
        <v>5.98</v>
      </c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1" t="s">
        <v>759</v>
      </c>
      <c r="B523" s="7" t="str">
        <f>HYPERLINK("https://lafourche.fr/products/percarbonate-1kg-la-fourche","4.89")</f>
        <v>4.89</v>
      </c>
      <c r="C523" s="11">
        <v>0.0539</v>
      </c>
      <c r="D523" s="9" t="str">
        <f t="shared" si="401"/>
        <v>6.15</v>
      </c>
      <c r="E523" s="10">
        <v>0.0</v>
      </c>
      <c r="F523" s="9" t="str">
        <f t="shared" si="402"/>
        <v>5.95</v>
      </c>
      <c r="G523" s="8">
        <v>-0.0067</v>
      </c>
      <c r="H523" s="9" t="str">
        <f t="shared" si="403"/>
        <v>5.5</v>
      </c>
      <c r="I523" s="8">
        <v>-0.0179</v>
      </c>
      <c r="J523" s="9" t="str">
        <f t="shared" si="404"/>
        <v>6.38</v>
      </c>
      <c r="K523" s="11">
        <v>0.1642</v>
      </c>
      <c r="L523" s="16">
        <v>888888.0</v>
      </c>
      <c r="M523" s="2"/>
      <c r="N523" s="16">
        <v>888888.0</v>
      </c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1" t="s">
        <v>760</v>
      </c>
      <c r="B524" s="7" t="str">
        <f>HYPERLINK("https://lafourche.fr/products/artisan-savonnier-blanc-de-meudon-500g","5.7")</f>
        <v>5.7</v>
      </c>
      <c r="C524" s="10">
        <v>0.0</v>
      </c>
      <c r="D524" s="9" t="str">
        <f>HYPERLINK("https://www.biocoop.fr/magasin-biocoop_champollion/blanc-de-meudon-500g-se4075-000.html","7.4")</f>
        <v>7.4</v>
      </c>
      <c r="E524" s="10">
        <v>0.0</v>
      </c>
      <c r="F524" s="9" t="str">
        <f>HYPERLINK("https://www.biocoop.fr/magasin-biocoop_fontaine/blanc-de-meudon-500g-se4075-000.html","7.7")</f>
        <v>7.7</v>
      </c>
      <c r="G524" s="10">
        <v>0.0</v>
      </c>
      <c r="H524" s="9" t="str">
        <f>HYPERLINK("https://satoriz-comboire.bio/collections/maison/products/ecod008","7.3")</f>
        <v>7.3</v>
      </c>
      <c r="I524" s="10">
        <v>0.0</v>
      </c>
      <c r="J524" s="9" t="str">
        <f>HYPERLINK("https://www.greenweez.com/produit/blanc-de-meudon-diy-500g/1ARTI0062","888888")</f>
        <v>888888</v>
      </c>
      <c r="K524" s="18" t="s">
        <v>56</v>
      </c>
      <c r="L524" s="16">
        <v>888888.0</v>
      </c>
      <c r="M524" s="2"/>
      <c r="N524" s="16">
        <v>888888.0</v>
      </c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1" t="s">
        <v>761</v>
      </c>
      <c r="B525" s="7" t="str">
        <f>HYPERLINK("https://lafourche.fr/products/la-fourche-mon-savon-noir-liquide-5l","4.19")</f>
        <v>4.19</v>
      </c>
      <c r="C525" s="8">
        <v>-0.285</v>
      </c>
      <c r="D525" s="9" t="str">
        <f t="shared" ref="D525:D526" si="405">HYPERLINK("https://www.biocoop.fr/magasin-biocoop_champollion/savon-noir-concentre-a-l-huile-d-olive-1l-se4041-000.html","9.05")</f>
        <v>9.05</v>
      </c>
      <c r="E525" s="10">
        <v>0.0</v>
      </c>
      <c r="F525" s="9" t="str">
        <f t="shared" ref="F525:F526" si="406">HYPERLINK("https://www.biocoop.fr/magasin-biocoop_fontaine/savon-noir-concentre-a-l-huile-d-olive-1l-se4041-000.html","8.8")</f>
        <v>8.8</v>
      </c>
      <c r="G525" s="8">
        <v>-0.0785</v>
      </c>
      <c r="H525" s="9" t="str">
        <f t="shared" ref="H525:H526" si="407">HYPERLINK("https://satoriz-comboire.bio/collections/maison/products/eu9721","5.55")</f>
        <v>5.55</v>
      </c>
      <c r="I525" s="10">
        <v>0.0</v>
      </c>
      <c r="J525" s="9" t="str">
        <f>HYPERLINK("https://www.greenweez.com/produit/savon-noir-maison-5l-1/2WEEZ0042","4.99")</f>
        <v>4.99</v>
      </c>
      <c r="K525" s="11">
        <v>0.0895</v>
      </c>
      <c r="L525" s="9" t="str">
        <f t="shared" ref="L525:L526" si="408">HYPERLINK("https://metabase.lelefan.org/public/dashboard/53c41f3f-5644-466e-935e-897e7725f6bc?rayon=&amp;d%25C3%25A9signation=SAVON NOIR TRADITION VRAC&amp;fournisseur=&amp;date_d%25C3%25A9but=&amp;date_fin=","5.0")</f>
        <v>5.0</v>
      </c>
      <c r="M525" s="2"/>
      <c r="N525" s="16">
        <v>888888.0</v>
      </c>
      <c r="O525" s="2"/>
      <c r="P525" s="1" t="s">
        <v>372</v>
      </c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1" t="s">
        <v>762</v>
      </c>
      <c r="B526" s="7" t="str">
        <f>HYPERLINK("https://lafourche.fr/products/la-fourche-mon-savon-noir-liquide-1l","4.95")</f>
        <v>4.95</v>
      </c>
      <c r="C526" s="8">
        <v>-0.1553</v>
      </c>
      <c r="D526" s="9" t="str">
        <f t="shared" si="405"/>
        <v>9.05</v>
      </c>
      <c r="E526" s="10">
        <v>0.0</v>
      </c>
      <c r="F526" s="9" t="str">
        <f t="shared" si="406"/>
        <v>8.8</v>
      </c>
      <c r="G526" s="8">
        <v>-0.0785</v>
      </c>
      <c r="H526" s="9" t="str">
        <f t="shared" si="407"/>
        <v>5.55</v>
      </c>
      <c r="I526" s="10">
        <v>0.0</v>
      </c>
      <c r="J526" s="9" t="str">
        <f>HYPERLINK("https://www.greenweez.com/produit/savon-noir-liquide-authentique-1l/1ARTI0072","5.29")</f>
        <v>5.29</v>
      </c>
      <c r="K526" s="11">
        <v>0.155</v>
      </c>
      <c r="L526" s="9" t="str">
        <f t="shared" si="408"/>
        <v>5.0</v>
      </c>
      <c r="M526" s="2"/>
      <c r="N526" s="16">
        <v>888888.0</v>
      </c>
      <c r="O526" s="2"/>
      <c r="P526" s="1" t="s">
        <v>372</v>
      </c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1" t="s">
        <v>763</v>
      </c>
      <c r="B527" s="7" t="str">
        <f t="shared" ref="B527:B528" si="409">HYPERLINK("https://lafourche.fr/products/acide-citrique-la-fourche-1kg","7.45")</f>
        <v>7.45</v>
      </c>
      <c r="C527" s="10">
        <v>0.0</v>
      </c>
      <c r="D527" s="9" t="str">
        <f t="shared" ref="D527:D528" si="410">HYPERLINK("https://www.biocoop.fr/magasin-biocoop_champollion/acide-citrique-1kg-se4000-000.html","10.55")</f>
        <v>10.55</v>
      </c>
      <c r="E527" s="10">
        <v>0.0</v>
      </c>
      <c r="F527" s="9" t="str">
        <f t="shared" ref="F527:F528" si="411">HYPERLINK("https://www.biocoop.fr/magasin-biocoop_fontaine/acide-citrique-1kg-se4000-000.html","8.99")</f>
        <v>8.99</v>
      </c>
      <c r="G527" s="8">
        <v>-0.0684</v>
      </c>
      <c r="H527" s="9" t="str">
        <f t="shared" ref="H527:H528" si="412">HYPERLINK("https://satoriz-comboire.bio/collections/maison/products/eco012","7.5")</f>
        <v>7.5</v>
      </c>
      <c r="I527" s="8">
        <v>-0.0683</v>
      </c>
      <c r="J527" s="9" t="str">
        <f>HYPERLINK("https://www.greenweez.com/produit/lot-de-2-acide-citrique-1kg/1PACK0470","8.4")</f>
        <v>8.4</v>
      </c>
      <c r="K527" s="8">
        <v>-0.0625</v>
      </c>
      <c r="L527" s="9" t="str">
        <f t="shared" ref="L527:L528" si="413">HYPERLINK("https://metabase.lelefan.org/public/dashboard/53c41f3f-5644-466e-935e-897e7725f6bc?rayon=&amp;d%25C3%25A9signation=ACIDE CITRIQUE VRAC&amp;fournisseur=&amp;date_d%25C3%25A9but=&amp;date_fin=","8.51")</f>
        <v>8.51</v>
      </c>
      <c r="M527" s="2"/>
      <c r="N527" s="16">
        <v>888888.0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1" t="s">
        <v>764</v>
      </c>
      <c r="B528" s="7" t="str">
        <f t="shared" si="409"/>
        <v>7.45</v>
      </c>
      <c r="C528" s="10">
        <v>0.0</v>
      </c>
      <c r="D528" s="9" t="str">
        <f t="shared" si="410"/>
        <v>10.55</v>
      </c>
      <c r="E528" s="10">
        <v>0.0</v>
      </c>
      <c r="F528" s="9" t="str">
        <f t="shared" si="411"/>
        <v>8.99</v>
      </c>
      <c r="G528" s="8">
        <v>-0.0684</v>
      </c>
      <c r="H528" s="9" t="str">
        <f t="shared" si="412"/>
        <v>7.5</v>
      </c>
      <c r="I528" s="8">
        <v>-0.0683</v>
      </c>
      <c r="J528" s="9" t="str">
        <f>HYPERLINK("https://www.greenweez.com/produit/acide-citrique-1kg-2/2ECOD0277","8.48")</f>
        <v>8.48</v>
      </c>
      <c r="K528" s="8">
        <v>-0.0536</v>
      </c>
      <c r="L528" s="9" t="str">
        <f t="shared" si="413"/>
        <v>8.51</v>
      </c>
      <c r="M528" s="2"/>
      <c r="N528" s="16">
        <v>888888.0</v>
      </c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1" t="s">
        <v>765</v>
      </c>
      <c r="B529" s="9" t="str">
        <f t="shared" ref="B529:B530" si="414">HYPERLINK("https://lafourche.fr/products/la-fourche-mon-savon-de-marseille-en-copeaux-1kg","9.95")</f>
        <v>9.95</v>
      </c>
      <c r="C529" s="10">
        <v>0.0</v>
      </c>
      <c r="D529" s="9" t="str">
        <f t="shared" ref="D529:D530" si="415">HYPERLINK("https://www.biocoop.fr/magasin-biocoop_champollion/paillettes-de-savon-1kg-se4009-000.html","12.25")</f>
        <v>12.25</v>
      </c>
      <c r="E529" s="10">
        <v>0.0</v>
      </c>
      <c r="F529" s="9" t="str">
        <f t="shared" ref="F529:F530" si="416">HYPERLINK("https://www.biocoop.fr/magasin-biocoop_fontaine/paillettes-de-savon-1kg-se4009-000.html","10.6")</f>
        <v>10.6</v>
      </c>
      <c r="G529" s="10">
        <v>0.0</v>
      </c>
      <c r="H529" s="9" t="str">
        <f t="shared" ref="H529:H530" si="417">HYPERLINK("https://satoriz-comboire.bio/collections/maison/products/sle8163","12.85")</f>
        <v>12.85</v>
      </c>
      <c r="I529" s="10">
        <v>0.0</v>
      </c>
      <c r="J529" s="9" t="str">
        <f>HYPERLINK("https://www.greenweez.com/produit/lot-de-2-paillettes-de-savon-bio-1kg/1PACK1072","11.82")</f>
        <v>11.82</v>
      </c>
      <c r="K529" s="11">
        <v>0.2198</v>
      </c>
      <c r="L529" s="7" t="str">
        <f t="shared" ref="L529:L530" si="418">HYPERLINK("https://metabase.lelefan.org/public/dashboard/53c41f3f-5644-466e-935e-897e7725f6bc?rayon=&amp;d%25C3%25A9signation=PAILLETTE DE SAVON VRAC&amp;fournisseur=&amp;date_d%25C3%25A9but=&amp;date_fin=","9.75")</f>
        <v>9.75</v>
      </c>
      <c r="M529" s="2"/>
      <c r="N529" s="16">
        <v>888888.0</v>
      </c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1" t="s">
        <v>766</v>
      </c>
      <c r="B530" s="9" t="str">
        <f t="shared" si="414"/>
        <v>9.95</v>
      </c>
      <c r="C530" s="10">
        <v>0.0</v>
      </c>
      <c r="D530" s="9" t="str">
        <f t="shared" si="415"/>
        <v>12.25</v>
      </c>
      <c r="E530" s="10">
        <v>0.0</v>
      </c>
      <c r="F530" s="9" t="str">
        <f t="shared" si="416"/>
        <v>10.6</v>
      </c>
      <c r="G530" s="10">
        <v>0.0</v>
      </c>
      <c r="H530" s="9" t="str">
        <f t="shared" si="417"/>
        <v>12.85</v>
      </c>
      <c r="I530" s="10">
        <v>0.0</v>
      </c>
      <c r="J530" s="9" t="str">
        <f>HYPERLINK("https://www.greenweez.com/produit/copeaux-de-savon-de-marseille-olive-750g-3/2WEEZ0459","11.92")</f>
        <v>11.92</v>
      </c>
      <c r="K530" s="11">
        <v>0.2301</v>
      </c>
      <c r="L530" s="7" t="str">
        <f t="shared" si="418"/>
        <v>9.75</v>
      </c>
      <c r="M530" s="2"/>
      <c r="N530" s="16">
        <v>888888.0</v>
      </c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5" t="s">
        <v>767</v>
      </c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1" t="s">
        <v>768</v>
      </c>
      <c r="B532" s="7" t="str">
        <f>HYPERLINK("https://lafourche.fr/products/la-fourche-lessive-liquide-5l","2.6")</f>
        <v>2.6</v>
      </c>
      <c r="C532" s="10">
        <v>0.0</v>
      </c>
      <c r="D532" s="9" t="str">
        <f>HYPERLINK("https://www.biocoop.fr/magasin-biocoop_champollion/lessive-liquide-lavande-lg1104-000.html","3.98")</f>
        <v>3.98</v>
      </c>
      <c r="E532" s="8">
        <v>-0.0635</v>
      </c>
      <c r="F532" s="9" t="str">
        <f t="shared" ref="F532:F533" si="419">HYPERLINK("https://www.biocoop.fr/magasin-biocoop_fontaine/lessive-liquide-lavande-lg1103-000.html","4.99")</f>
        <v>4.99</v>
      </c>
      <c r="G532" s="10">
        <v>0.0</v>
      </c>
      <c r="H532" s="9" t="str">
        <f>HYPERLINK("https://satoriz-comboire.bio/collections/maison/products/lgase3606","3.63")</f>
        <v>3.63</v>
      </c>
      <c r="I532" s="10">
        <v>0.0</v>
      </c>
      <c r="J532" s="9" t="str">
        <f>HYPERLINK("https://www.greenweez.com/produit/lessive-liquide-lavande-ecologique-5l/2WEEZ0510","3.1")</f>
        <v>3.1</v>
      </c>
      <c r="K532" s="11">
        <v>0.0368</v>
      </c>
      <c r="L532" s="9" t="str">
        <f t="shared" ref="L532:L533" si="420">HYPERLINK("https://metabase.lelefan.org/public/dashboard/53c41f3f-5644-466e-935e-897e7725f6bc?rayon=&amp;d%25C3%25A9signation=LESSIVE HYPOALLERGENIQUE VRAC&amp;fournisseur=&amp;date_d%25C3%25A9but=&amp;date_fin=","4.02")</f>
        <v>4.02</v>
      </c>
      <c r="M532" s="2"/>
      <c r="N532" s="9" t="str">
        <f t="shared" ref="N532:N533" si="421">HYPERLINK("https://fd11-courses.leclercdrive.fr/magasin-063801-063801-Echirolles---Comboire/fiche-produits-166404-Lessive-eco-recharge-Uni-Vert-.aspx","3.93")</f>
        <v>3.93</v>
      </c>
      <c r="O532" s="2"/>
      <c r="P532" s="1" t="s">
        <v>501</v>
      </c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1" t="s">
        <v>769</v>
      </c>
      <c r="B533" s="7" t="str">
        <f>HYPERLINK("https://lafourche.fr/products/la-fourche-lessive-liquide-1-5l","2.66")</f>
        <v>2.66</v>
      </c>
      <c r="C533" s="11">
        <v>0.0231</v>
      </c>
      <c r="D533" s="9" t="str">
        <f>HYPERLINK("https://www.biocoop.fr/magasin-biocoop_champollion/lessive-liquide-lavande-lg1103-000.html","5.65")</f>
        <v>5.65</v>
      </c>
      <c r="E533" s="11">
        <v>0.3294</v>
      </c>
      <c r="F533" s="9" t="str">
        <f t="shared" si="419"/>
        <v>4.99</v>
      </c>
      <c r="G533" s="10">
        <v>0.0</v>
      </c>
      <c r="H533" s="9" t="str">
        <f>HYPERLINK("https://satoriz-comboire.bio/products/lgase3601?_pos=3&amp;_sid=4faeebba0&amp;_ss=r","3.83")</f>
        <v>3.83</v>
      </c>
      <c r="I533" s="11">
        <v>0.0551</v>
      </c>
      <c r="J533" s="9" t="str">
        <f>HYPERLINK("https://www.greenweez.com/produit/lessive-ecologique-savon-de-marseille-250g/1WRAP0007","9.96")</f>
        <v>9.96</v>
      </c>
      <c r="K533" s="11">
        <v>2.3311</v>
      </c>
      <c r="L533" s="9" t="str">
        <f t="shared" si="420"/>
        <v>4.02</v>
      </c>
      <c r="M533" s="2"/>
      <c r="N533" s="9" t="str">
        <f t="shared" si="421"/>
        <v>3.93</v>
      </c>
      <c r="O533" s="2"/>
      <c r="P533" s="1" t="s">
        <v>501</v>
      </c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1" t="s">
        <v>770</v>
      </c>
      <c r="B534" s="9" t="str">
        <f>HYPERLINK("https://lafourche.fr/products/la-fourche-lessive-en-poudre-blanc-et-couleurs-certifiee-ecodetergent-1kg","7.25")</f>
        <v>7.25</v>
      </c>
      <c r="C534" s="8">
        <v>-0.0136</v>
      </c>
      <c r="D534" s="9" t="str">
        <f>HYPERLINK("https://www.biocoop.fr/magasin-biocoop_champollion/lessive-poudre-ultra-concentree-800g-se4057-000.html","12.44")</f>
        <v>12.44</v>
      </c>
      <c r="E534" s="10">
        <v>0.0</v>
      </c>
      <c r="F534" s="9" t="str">
        <f>HYPERLINK("https://www.biocoop.fr/magasin-biocoop_fontaine/lessive-poudre-ultra-concentree-800g-se4057-000.html","12.69")</f>
        <v>12.69</v>
      </c>
      <c r="G534" s="10">
        <v>0.0</v>
      </c>
      <c r="H534" s="9" t="str">
        <f>HYPERLINK("https://satoriz-comboire.bio/products/ecdo430","11.0")</f>
        <v>11.0</v>
      </c>
      <c r="I534" s="10">
        <v>0.0</v>
      </c>
      <c r="J534" s="9" t="str">
        <f>HYPERLINK("https://www.greenweez.com/produit/4-mois-de-lessive-en-poudre-ecologique-1kg/2WEEZ0229","8.48")</f>
        <v>8.48</v>
      </c>
      <c r="K534" s="17">
        <v>-1.0</v>
      </c>
      <c r="L534" s="7" t="str">
        <f>HYPERLINK("https://metabase.lelefan.org/public/dashboard/53c41f3f-5644-466e-935e-897e7725f6bc?rayon=&amp;d%25C3%25A9signation=LESSIVE POUDRE ACTIVE VRAC&amp;fournisseur=&amp;date_d%25C3%25A9but=&amp;date_fin=","5.69")</f>
        <v>5.69</v>
      </c>
      <c r="M534" s="2"/>
      <c r="N534" s="16">
        <v>888888.0</v>
      </c>
      <c r="O534" s="2"/>
      <c r="P534" s="1" t="s">
        <v>91</v>
      </c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1" t="s">
        <v>771</v>
      </c>
      <c r="B535" s="7" t="str">
        <f>HYPERLINK("https://lafourche.fr/products/la-fourche-adoucissant-a-la-lavande-5l","2.59")</f>
        <v>2.59</v>
      </c>
      <c r="C535" s="8">
        <v>-0.075</v>
      </c>
      <c r="D535" s="9" t="str">
        <f t="shared" ref="D535:D536" si="422">HYPERLINK("https://www.biocoop.fr/magasin-biocoop_champollion/assouplissant-lavande-lg1030-000.html","3.7")</f>
        <v>3.7</v>
      </c>
      <c r="E535" s="8">
        <v>-0.0513</v>
      </c>
      <c r="F535" s="9" t="str">
        <f t="shared" ref="F535:F536" si="423">HYPERLINK("https://www.biocoop.fr/magasin-biocoop_fontaine/assouplissant-lavande-lg1030-000.html","3.7")</f>
        <v>3.7</v>
      </c>
      <c r="G535" s="8">
        <v>-0.0513</v>
      </c>
      <c r="H535" s="9" t="str">
        <f t="shared" ref="H535:H536" si="424">HYPERLINK("https://satoriz-comboire.bio/collections/maison/products/lgase3619","3.37")</f>
        <v>3.37</v>
      </c>
      <c r="I535" s="10">
        <v>0.0</v>
      </c>
      <c r="J535" s="9" t="str">
        <f t="shared" ref="J535:J536" si="425">HYPERLINK("https://www.greenweez.com/produit/assouplissant-concentre-lavande-1-5l/1LERU0042","3.47")</f>
        <v>3.47</v>
      </c>
      <c r="K535" s="10">
        <v>0.0</v>
      </c>
      <c r="L535" s="9" t="str">
        <f>HYPERLINK("https://metabase.lelefan.org/public/dashboard/53c41f3f-5644-466e-935e-897e7725f6bc?rayon=&amp;d%25C3%25A9signation=ASSOUPLISSANT CONCENTRE&amp;fournisseur=&amp;date_d%25C3%25A9but=&amp;date_fin=","3.5")</f>
        <v>3.5</v>
      </c>
      <c r="M535" s="2"/>
      <c r="N535" s="9" t="str">
        <f t="shared" ref="N535:N536" si="426">HYPERLINK("https://fd11-courses.leclercdrive.fr/magasin-063801-063801-Echirolles---Comboire/fiche-produits-243970-Adoucissant-Eco-pack-Winnis.aspx","3.12")</f>
        <v>3.12</v>
      </c>
      <c r="O535" s="2"/>
      <c r="P535" s="1" t="s">
        <v>372</v>
      </c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1" t="s">
        <v>772</v>
      </c>
      <c r="B536" s="7" t="str">
        <f>HYPERLINK("https://lafourche.fr/products/la-fourche-adoucissant-a-la-lavande-1-5l","2.83")</f>
        <v>2.83</v>
      </c>
      <c r="C536" s="11">
        <v>0.0107</v>
      </c>
      <c r="D536" s="9" t="str">
        <f t="shared" si="422"/>
        <v>3.7</v>
      </c>
      <c r="E536" s="8">
        <v>-0.0513</v>
      </c>
      <c r="F536" s="9" t="str">
        <f t="shared" si="423"/>
        <v>3.7</v>
      </c>
      <c r="G536" s="8">
        <v>-0.0513</v>
      </c>
      <c r="H536" s="9" t="str">
        <f t="shared" si="424"/>
        <v>3.37</v>
      </c>
      <c r="I536" s="10">
        <v>0.0</v>
      </c>
      <c r="J536" s="9" t="str">
        <f t="shared" si="425"/>
        <v>3.47</v>
      </c>
      <c r="K536" s="10">
        <v>0.0</v>
      </c>
      <c r="L536" s="16">
        <v>888888.0</v>
      </c>
      <c r="M536" s="2"/>
      <c r="N536" s="9" t="str">
        <f t="shared" si="426"/>
        <v>3.12</v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5" t="s">
        <v>773</v>
      </c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1" t="s">
        <v>774</v>
      </c>
      <c r="B538" s="7" t="str">
        <f>HYPERLINK("https://lafourche.fr/products/la-fourche-liquide-vaisselle-certifie-ecodetergent-5l","1.98")</f>
        <v>1.98</v>
      </c>
      <c r="C538" s="10">
        <v>0.0</v>
      </c>
      <c r="D538" s="9" t="str">
        <f t="shared" ref="D538:D539" si="427">HYPERLINK("https://www.biocoop.fr/magasin-biocoop_champollion/liquide-vaisselle-citron-lg1002-000.html","2.75")</f>
        <v>2.75</v>
      </c>
      <c r="E538" s="10">
        <v>0.0</v>
      </c>
      <c r="F538" s="9" t="str">
        <f t="shared" ref="F538:F539" si="428">HYPERLINK("https://www.biocoop.fr/magasin-biocoop_fontaine/vaisselle-liquide-sans-parfum-1l-lg1122-000.html","3.2")</f>
        <v>3.2</v>
      </c>
      <c r="G538" s="10">
        <v>0.0</v>
      </c>
      <c r="H538" s="9" t="str">
        <f>HYPERLINK("https://satoriz-comboire.bio/collections/maison/products/lgase3608","2.75")</f>
        <v>2.75</v>
      </c>
      <c r="I538" s="10">
        <v>0.0</v>
      </c>
      <c r="J538" s="9" t="str">
        <f t="shared" ref="J538:J539" si="429">HYPERLINK("https://www.greenweez.com/produit/liquide-vaisselle-verveine-1l/2WEEZ0589","2.7")</f>
        <v>2.7</v>
      </c>
      <c r="K538" s="11">
        <v>0.0465</v>
      </c>
      <c r="L538" s="9" t="str">
        <f t="shared" ref="L538:L539" si="430">HYPERLINK("https://metabase.lelefan.org/public/dashboard/53c41f3f-5644-466e-935e-897e7725f6bc?rayon=&amp;d%25C3%25A9signation=LIQUIDE VAISSELLE VRAC&amp;fournisseur=&amp;date_d%25C3%25A9but=&amp;date_fin=","3.05")</f>
        <v>3.05</v>
      </c>
      <c r="M538" s="2"/>
      <c r="N538" s="9" t="str">
        <f>HYPERLINK("https://fd11-courses.leclercdrive.fr/magasin-063801-063801-Echirolles---Comboire/fiche-produits-115013-Liquide-vaisselle-Uni-Vert.aspx","2.13")</f>
        <v>2.13</v>
      </c>
      <c r="O538" s="2"/>
      <c r="P538" s="1" t="s">
        <v>372</v>
      </c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1" t="s">
        <v>774</v>
      </c>
      <c r="B539" s="7" t="str">
        <f>HYPERLINK("https://lafourche.fr/products/la-fourche-liquide-vaisselle-certifie-ecodetergent-1l","2.1")</f>
        <v>2.1</v>
      </c>
      <c r="C539" s="11">
        <v>0.0606</v>
      </c>
      <c r="D539" s="9" t="str">
        <f t="shared" si="427"/>
        <v>2.75</v>
      </c>
      <c r="E539" s="10">
        <v>0.0</v>
      </c>
      <c r="F539" s="9" t="str">
        <f t="shared" si="428"/>
        <v>3.2</v>
      </c>
      <c r="G539" s="10">
        <v>0.0</v>
      </c>
      <c r="H539" s="9" t="str">
        <f>HYPERLINK("https://satoriz-comboire.bio/products/lgase3600?_pos=1&amp;_sid=622e2e5cf&amp;_ss=r","2.95")</f>
        <v>2.95</v>
      </c>
      <c r="I539" s="11">
        <v>0.0727</v>
      </c>
      <c r="J539" s="9" t="str">
        <f t="shared" si="429"/>
        <v>2.7</v>
      </c>
      <c r="K539" s="11">
        <v>0.0465</v>
      </c>
      <c r="L539" s="9" t="str">
        <f t="shared" si="430"/>
        <v>3.05</v>
      </c>
      <c r="M539" s="2"/>
      <c r="N539" s="16">
        <v>888888.0</v>
      </c>
      <c r="O539" s="2"/>
      <c r="P539" s="1" t="s">
        <v>372</v>
      </c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1" t="s">
        <v>775</v>
      </c>
      <c r="B540" s="7" t="str">
        <f>HYPERLINK("https://lafourche.fr/products/la-fourche-savon-vaisselle-200g","11.25")</f>
        <v>11.25</v>
      </c>
      <c r="C540" s="10">
        <v>0.0</v>
      </c>
      <c r="D540" s="9" t="str">
        <f>HYPERLINK("https://www.biocoop.fr/magasin-biocoop_champollion/savon-solide-vaisselle-aloe-vera-200g-cm0103-000.html","888888")</f>
        <v>888888</v>
      </c>
      <c r="E540" s="18" t="s">
        <v>56</v>
      </c>
      <c r="F540" s="9" t="str">
        <f>HYPERLINK("https://www.biocoop.fr/magasin-biocoop_fontaine/savon-solide-vaisselle-aloe-vera-200g-cm0103-000.html","20.75")</f>
        <v>20.75</v>
      </c>
      <c r="G540" s="11">
        <v>4.0</v>
      </c>
      <c r="H540" s="9" t="str">
        <f>HYPERLINK("https://satoriz-comboire.bio/collections/maison/products/lc6","18.75")</f>
        <v>18.75</v>
      </c>
      <c r="I540" s="10">
        <v>0.0</v>
      </c>
      <c r="J540" s="9" t="str">
        <f>HYPERLINK("https://www.greenweez.com/produit/savon-vaisselle-ecologique-solide-romarin-200g/1WRAP0009","888888")</f>
        <v>888888</v>
      </c>
      <c r="K540" s="18" t="s">
        <v>56</v>
      </c>
      <c r="L540" s="16">
        <v>888888.0</v>
      </c>
      <c r="M540" s="2"/>
      <c r="N540" s="16">
        <v>888888.0</v>
      </c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3" t="s">
        <v>776</v>
      </c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5" t="s">
        <v>777</v>
      </c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1" t="s">
        <v>778</v>
      </c>
      <c r="B544" s="9" t="str">
        <f>HYPERLINK("https://lafourche.fr/products/la-fourche-huile-essentielle-de-tea-tree-0-03l","263.33")</f>
        <v>263.33</v>
      </c>
      <c r="C544" s="2"/>
      <c r="D544" s="9" t="str">
        <f>HYPERLINK("https://www.biocoop.fr/magasin-biocoop_champollion/he-tea-tree-50ml-he1055-000.html","399.0")</f>
        <v>399.0</v>
      </c>
      <c r="E544" s="2"/>
      <c r="F544" s="9" t="str">
        <f>HYPERLINK("https://www.biocoop.fr/magasin-biocoop_fontaine/he-tea-tree-50ml-he1055-000.html","419.8")</f>
        <v>419.8</v>
      </c>
      <c r="G544" s="2"/>
      <c r="H544" s="9" t="str">
        <f t="shared" ref="H544:H545" si="431">HYPERLINK("https://satoriz-comboire.bio/products/c7339635","695.0")</f>
        <v>695.0</v>
      </c>
      <c r="I544" s="2"/>
      <c r="J544" s="7" t="str">
        <f>HYPERLINK("https://www.greenweez.com/produit/huile-essentielle-de-tea-tree-bio-30ml/2WEEZ0447","231.33")</f>
        <v>231.33</v>
      </c>
      <c r="K544" s="2"/>
      <c r="L544" s="16">
        <v>888888.0</v>
      </c>
      <c r="M544" s="2"/>
      <c r="N544" s="9" t="str">
        <f t="shared" ref="N544:N545" si="432">HYPERLINK("https://fd11-courses.leclercdrive.fr/magasin-063801-063801-Echirolles---Comboire/fiche-produits-141678-Huile-essentielle-Puressentiel.aspx","490.0")</f>
        <v>490.0</v>
      </c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1" t="s">
        <v>779</v>
      </c>
      <c r="B545" s="16">
        <v>888888.0</v>
      </c>
      <c r="C545" s="2"/>
      <c r="D545" s="9" t="str">
        <f>HYPERLINK("https://www.biocoop.fr/magasin-biocoop_champollion/he-tea-tree-10ml-he1144-000.html","630.0")</f>
        <v>630.0</v>
      </c>
      <c r="E545" s="2"/>
      <c r="F545" s="9" t="str">
        <f>HYPERLINK("https://www.biocoop.fr/magasin-biocoop_fontaine/magasin-biocoop_fontaine/he-tea-tree-10ml-he1144-000.html","888888")</f>
        <v>888888</v>
      </c>
      <c r="G545" s="2"/>
      <c r="H545" s="9" t="str">
        <f t="shared" si="431"/>
        <v>695.0</v>
      </c>
      <c r="I545" s="2"/>
      <c r="J545" s="7" t="str">
        <f>HYPERLINK("https://www.greenweez.com/produit/huile-essentielle-tea-tree-bio-10ml-3/2WEEZ0319","388.0")</f>
        <v>388.0</v>
      </c>
      <c r="K545" s="2"/>
      <c r="L545" s="16">
        <v>888888.0</v>
      </c>
      <c r="M545" s="2"/>
      <c r="N545" s="9" t="str">
        <f t="shared" si="432"/>
        <v>490.0</v>
      </c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1" t="s">
        <v>780</v>
      </c>
      <c r="B546" s="9" t="str">
        <f t="shared" ref="B546:B547" si="433">HYPERLINK("https://lafourche.fr/products/la-fourche-huile-essentielle-de-citron-0-01l","398")</f>
        <v>398</v>
      </c>
      <c r="C546" s="2"/>
      <c r="D546" s="9" t="str">
        <f t="shared" ref="D546:D547" si="434">HYPERLINK("https://www.biocoop.fr/magasin-biocoop_champollion/he-citron-zeste-10ml-he1139-000.html","517.0")</f>
        <v>517.0</v>
      </c>
      <c r="E546" s="2"/>
      <c r="F546" s="7" t="str">
        <f>HYPERLINK("https://www.biocoop.fr/magasin-biocoop_fontaine/he-citron-zeste-50ml-he1036-000.html","313.0")</f>
        <v>313.0</v>
      </c>
      <c r="G546" s="2"/>
      <c r="H546" s="9" t="str">
        <f t="shared" ref="H546:H547" si="435">HYPERLINK("https://satoriz-comboire.bio/collections/bien-etre-sante/products/c7339641","790.0")</f>
        <v>790.0</v>
      </c>
      <c r="I546" s="2"/>
      <c r="J546" s="9" t="str">
        <f t="shared" ref="J546:J547" si="436">HYPERLINK("https://www.greenweez.com/produit/huile-essentielle-citron-bio-10ml-2/2WEEZ0315","379.0")</f>
        <v>379.0</v>
      </c>
      <c r="K546" s="2"/>
      <c r="L546" s="16">
        <v>888888.0</v>
      </c>
      <c r="M546" s="2"/>
      <c r="N546" s="9" t="str">
        <f t="shared" ref="N546:N547" si="437">HYPERLINK("https://fd11-courses.leclercdrive.fr/magasin-063801-063801-Echirolles---Comboire/fiche-produits-141684-Huile-essentielle-Puressentiel.aspx","399.0")</f>
        <v>399.0</v>
      </c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1" t="s">
        <v>781</v>
      </c>
      <c r="B547" s="9" t="str">
        <f t="shared" si="433"/>
        <v>398</v>
      </c>
      <c r="C547" s="2"/>
      <c r="D547" s="9" t="str">
        <f t="shared" si="434"/>
        <v>517.0</v>
      </c>
      <c r="E547" s="2"/>
      <c r="F547" s="9" t="str">
        <f>HYPERLINK("https://www.biocoop.fr/magasin-biocoop_fontaine/he-citron-zeste-10ml-he1139-000.html","530.0")</f>
        <v>530.0</v>
      </c>
      <c r="G547" s="2"/>
      <c r="H547" s="9" t="str">
        <f t="shared" si="435"/>
        <v>790.0</v>
      </c>
      <c r="I547" s="2"/>
      <c r="J547" s="7" t="str">
        <f t="shared" si="436"/>
        <v>379.0</v>
      </c>
      <c r="K547" s="2"/>
      <c r="L547" s="16">
        <v>888888.0</v>
      </c>
      <c r="M547" s="2"/>
      <c r="N547" s="9" t="str">
        <f t="shared" si="437"/>
        <v>399.0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1" t="s">
        <v>782</v>
      </c>
      <c r="B548" s="9" t="str">
        <f t="shared" ref="B548:B549" si="438">HYPERLINK("https://lafourche.fr/products/la-fourche-huile-essentielle-de-lavandin-super-0-01l","296")</f>
        <v>296</v>
      </c>
      <c r="C548" s="2"/>
      <c r="D548" s="7" t="str">
        <f>HYPERLINK("https://www.biocoop.fr/magasin-biocoop_champollion/he-lavandin-super-50ml-he1051-000.html","281.0")</f>
        <v>281.0</v>
      </c>
      <c r="E548" s="2"/>
      <c r="F548" s="9" t="str">
        <f>HYPERLINK("https://www.biocoop.fr/magasin-biocoop_fontaine/he-lavandin-super-50ml-he1051-000.html","302.0")</f>
        <v>302.0</v>
      </c>
      <c r="G548" s="2"/>
      <c r="H548" s="9" t="str">
        <f t="shared" ref="H548:H549" si="439">HYPERLINK("https://satoriz-comboire.bio/products/c7339718","490.0")</f>
        <v>490.0</v>
      </c>
      <c r="I548" s="2"/>
      <c r="J548" s="9" t="str">
        <f t="shared" ref="J548:J549" si="440">HYPERLINK("https://www.greenweez.com/produit/huile-essentielle-de-lavandin-diy-10ml/1ADIY0017","888888")</f>
        <v>888888</v>
      </c>
      <c r="K548" s="2"/>
      <c r="L548" s="16">
        <v>888888.0</v>
      </c>
      <c r="M548" s="2"/>
      <c r="N548" s="16">
        <v>888888.0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1" t="s">
        <v>783</v>
      </c>
      <c r="B549" s="7" t="str">
        <f t="shared" si="438"/>
        <v>296</v>
      </c>
      <c r="C549" s="2"/>
      <c r="D549" s="9" t="str">
        <f>HYPERLINK("https://www.biocoop.fr/magasin-biocoop_champollion/he-lavandin-super-10ml-he1142-000.html","456.0")</f>
        <v>456.0</v>
      </c>
      <c r="E549" s="2"/>
      <c r="F549" s="9" t="str">
        <f>HYPERLINK("https://www.biocoop.fr/magasin-biocoop_fontaine/he-lavandin-super-10ml-he1142-000.html","440.0")</f>
        <v>440.0</v>
      </c>
      <c r="G549" s="2"/>
      <c r="H549" s="9" t="str">
        <f t="shared" si="439"/>
        <v>490.0</v>
      </c>
      <c r="I549" s="2"/>
      <c r="J549" s="9" t="str">
        <f t="shared" si="440"/>
        <v>888888</v>
      </c>
      <c r="K549" s="2"/>
      <c r="L549" s="16">
        <v>888888.0</v>
      </c>
      <c r="M549" s="2"/>
      <c r="N549" s="16">
        <v>888888.0</v>
      </c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1" t="s">
        <v>784</v>
      </c>
      <c r="B550" s="7" t="str">
        <f>HYPERLINK("https://lafourche.fr/products/la-fourche-huile-essentielle-de-menthe-poivree-0-01l","456")</f>
        <v>456</v>
      </c>
      <c r="C550" s="2"/>
      <c r="D550" s="9" t="str">
        <f>HYPERLINK("https://www.biocoop.fr/magasin-biocoop_champollion/he-menthe-poivree-10ml-he1015-000.html","769.0")</f>
        <v>769.0</v>
      </c>
      <c r="E550" s="2"/>
      <c r="F550" s="9" t="str">
        <f>HYPERLINK("https://www.biocoop.fr/magasin-biocoop_fontaine/he-menthe-poivree-10ml-he1015-000.html","805.0")</f>
        <v>805.0</v>
      </c>
      <c r="G550" s="2"/>
      <c r="H550" s="9" t="str">
        <f>HYPERLINK("https://satoriz-comboire.bio/products/c7339724","815.0")</f>
        <v>815.0</v>
      </c>
      <c r="I550" s="2"/>
      <c r="J550" s="9" t="str">
        <f>HYPERLINK("https://www.greenweez.com/produit/huile-essentielle-menthe-poivree-france-bio-10ml/2WEEZ0317","549.0")</f>
        <v>549.0</v>
      </c>
      <c r="K550" s="2"/>
      <c r="L550" s="16">
        <v>888888.0</v>
      </c>
      <c r="M550" s="2"/>
      <c r="N550" s="9" t="str">
        <f>HYPERLINK("https://fd11-courses.leclercdrive.fr/magasin-063801-063801-Echirolles---Comboire/fiche-produits-141674-Menthe-poivree-bio-Puressentiel.aspx","499.0")</f>
        <v>499.0</v>
      </c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3" t="s">
        <v>785</v>
      </c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5" t="s">
        <v>786</v>
      </c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1" t="s">
        <v>787</v>
      </c>
      <c r="B554" s="9" t="str">
        <f>HYPERLINK("https://lafourche.fr/products/emma-noel-beurre-de-karite-certifie-bio-equitable-0-14kg","66")</f>
        <v>66</v>
      </c>
      <c r="C554" s="2"/>
      <c r="D554" s="9" t="str">
        <f>HYPERLINK("https://www.biocoop.fr/magasin-biocoop_champollion/karite-extra-pur-sn3012-000.html","131.5")</f>
        <v>131.5</v>
      </c>
      <c r="E554" s="2"/>
      <c r="F554" s="9" t="str">
        <f>HYPERLINK("https://www.biocoop.fr/magasin-biocoop_fontaine/karite-extra-pur-sn3012-000.html","132.0")</f>
        <v>132.0</v>
      </c>
      <c r="G554" s="2"/>
      <c r="H554" s="9" t="str">
        <f>HYPERLINK("https://satoriz-comboire.bio/products/pr1175","61.79")</f>
        <v>61.79</v>
      </c>
      <c r="I554" s="2"/>
      <c r="J554" s="7" t="str">
        <f>HYPERLINK("https://www.greenweez.com/produit/beurre-de-karite-100g-1/1NAJE0043","61.0")</f>
        <v>61.0</v>
      </c>
      <c r="K554" s="2"/>
      <c r="L554" s="16">
        <v>888888.0</v>
      </c>
      <c r="M554" s="2"/>
      <c r="N554" s="16">
        <v>888888.0</v>
      </c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1" t="s">
        <v>788</v>
      </c>
      <c r="B555" s="9" t="str">
        <f>HYPERLINK("https://lafourche.fr/products/avril-lait-corporel-beurre-de-karite-aloe-vera-bio-200ml","31.45")</f>
        <v>31.45</v>
      </c>
      <c r="C555" s="2"/>
      <c r="D555" s="16">
        <v>888888.0</v>
      </c>
      <c r="E555" s="2"/>
      <c r="F555" s="16">
        <v>888888.0</v>
      </c>
      <c r="G555" s="2"/>
      <c r="H555" s="9" t="str">
        <f>HYPERLINK("https://satoriz-comboire.bio/products/av177","40.0")</f>
        <v>40.0</v>
      </c>
      <c r="I555" s="2"/>
      <c r="J555" s="9" t="str">
        <f>HYPERLINK("https://www.greenweez.com/produit/lait-corporel-200ml-2/1AVRI0424","40.0")</f>
        <v>40.0</v>
      </c>
      <c r="K555" s="2"/>
      <c r="L555" s="7" t="str">
        <f>HYPERLINK("https://metabase.lelefan.org/public/dashboard/53c41f3f-5644-466e-935e-897e7725f6bc?rayon=&amp;d%25C3%25A9signation=LAIT CORPOREL&amp;fournisseur=&amp;date_d%25C3%25A9but=&amp;date_fin=","30.0")</f>
        <v>30.0</v>
      </c>
      <c r="M555" s="2"/>
      <c r="N555" s="16">
        <v>888888.0</v>
      </c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1" t="s">
        <v>789</v>
      </c>
      <c r="B556" s="9" t="str">
        <f>HYPERLINK("https://lafourche.fr/products/avril-dissolvant-doux-sans-acetone-200ml-1","36.1")</f>
        <v>36.1</v>
      </c>
      <c r="C556" s="2"/>
      <c r="D556" s="16">
        <v>888888.0</v>
      </c>
      <c r="E556" s="2"/>
      <c r="F556" s="16">
        <v>888888.0</v>
      </c>
      <c r="G556" s="2"/>
      <c r="H556" s="16">
        <v>888888.0</v>
      </c>
      <c r="I556" s="2"/>
      <c r="J556" s="9" t="str">
        <f>HYPERLINK("https://www.greenweez.com/produit/dissolvant-doux-200ml/1AVRI0297","38.0")</f>
        <v>38.0</v>
      </c>
      <c r="K556" s="2"/>
      <c r="L556" s="7" t="str">
        <f>HYPERLINK("https://metabase.lelefan.org/public/dashboard/53c41f3f-5644-466e-935e-897e7725f6bc?rayon=&amp;d%25C3%25A9signation=DISSOLVANT DOUX&amp;fournisseur=&amp;date_d%25C3%25A9but=&amp;date_fin=","33.75")</f>
        <v>33.75</v>
      </c>
      <c r="M556" s="2"/>
      <c r="N556" s="16">
        <v>888888.0</v>
      </c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1" t="s">
        <v>790</v>
      </c>
      <c r="B557" s="9" t="str">
        <f>HYPERLINK("https://lafourche.fr/products/avril-lait-demaquillant-bio-250ml","25")</f>
        <v>25</v>
      </c>
      <c r="C557" s="2"/>
      <c r="D557" s="9" t="str">
        <f>HYPERLINK("https://www.biocoop.fr/magasin-biocoop_champollion/lait-douceur-demaquillant-75ml-ac2006-000.html","65.33")</f>
        <v>65.33</v>
      </c>
      <c r="E557" s="2"/>
      <c r="F557" s="9" t="str">
        <f>HYPERLINK("https://www.biocoop.fr/magasin-biocoop_fontaine/lait-demaquillant-aloe-vera-200ml-lg5185-000.html","37.0")</f>
        <v>37.0</v>
      </c>
      <c r="G557" s="2"/>
      <c r="H557" s="9" t="str">
        <f>HYPERLINK("https://satoriz-comboire.bio/products/av425","32.0")</f>
        <v>32.0</v>
      </c>
      <c r="I557" s="2"/>
      <c r="J557" s="9" t="str">
        <f>HYPERLINK("https://www.greenweez.com/produit/lait-demaquillant-250ml/1AVRI0423","28.8")</f>
        <v>28.8</v>
      </c>
      <c r="K557" s="2"/>
      <c r="L557" s="7" t="str">
        <f>HYPERLINK("https://metabase.lelefan.org/public/dashboard/53c41f3f-5644-466e-935e-897e7725f6bc?rayon=&amp;d%25C3%25A9signation=LAIT DEMAQUILLANT&amp;fournisseur=&amp;date_d%25C3%25A9but=&amp;date_fin=","24.0")</f>
        <v>24.0</v>
      </c>
      <c r="M557" s="2"/>
      <c r="N557" s="7" t="str">
        <f>HYPERLINK("https://fd11-courses.leclercdrive.fr/magasin-063801-063801-Echirolles---Comboire/fiche-produits-33802-Lait-Demaquillant-bio-Bio-Naia.aspx","9.84")</f>
        <v>9.84</v>
      </c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1" t="s">
        <v>791</v>
      </c>
      <c r="B558" s="7" t="str">
        <f>HYPERLINK("https://lafourche.fr/products/la-fourche-eau-micellaire-certifiee-cosmos-organic-0-5l","9.98")</f>
        <v>9.98</v>
      </c>
      <c r="C558" s="2"/>
      <c r="D558" s="9" t="str">
        <f>HYPERLINK("https://www.biocoop.fr/magasin-biocoop_champollion/eau-micellaire-pour-toute-la-famille-500ml-ce3128-000.html","11.9")</f>
        <v>11.9</v>
      </c>
      <c r="E558" s="2"/>
      <c r="F558" s="9" t="str">
        <f>HYPERLINK("https://www.biocoop.fr/magasin-biocoop_fontaine/eau-micellaire-pour-toute-la-famille-500ml-ce3128-000.html","11.9")</f>
        <v>11.9</v>
      </c>
      <c r="G558" s="2"/>
      <c r="H558" s="9" t="str">
        <f>HYPERLINK("https://satoriz-comboire.bio/products/av228","14.0")</f>
        <v>14.0</v>
      </c>
      <c r="I558" s="2"/>
      <c r="J558" s="9" t="str">
        <f>HYPERLINK("https://www.greenweez.com/produit/lotion-micellaire-bio-500-ml/1AVRI0065","12.58")</f>
        <v>12.58</v>
      </c>
      <c r="K558" s="2"/>
      <c r="L558" s="9" t="str">
        <f>HYPERLINK("https://metabase.lelefan.org/public/dashboard/53c41f3f-5644-466e-935e-897e7725f6bc?rayon=&amp;d%25C3%25A9signation=LOTION MICELLAIRE&amp;fournisseur=&amp;date_d%25C3%25A9but=&amp;date_fin=","10.5")</f>
        <v>10.5</v>
      </c>
      <c r="M558" s="2"/>
      <c r="N558" s="7" t="str">
        <f>HYPERLINK("https://fd11-courses.leclercdrive.fr/magasin-063801-063801-Echirolles---Comboire/fiche-produits-119767-Eau-micellaire-bio-Bionaia.aspx","9.25")</f>
        <v>9.25</v>
      </c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1" t="s">
        <v>792</v>
      </c>
      <c r="B559" s="7" t="str">
        <f>HYPERLINK("https://lafourche.fr/products/najel-huile-vegetale-de-noyaux-d-abricot-certifiee-cosmos-organic-0-05l","99")</f>
        <v>99</v>
      </c>
      <c r="C559" s="2"/>
      <c r="D559" s="9" t="str">
        <f>HYPERLINK("https://www.biocoop.fr/magasin-biocoop_champollion/huile-vegetale-noyau-d-abricot-50ml-he1085-000.html","147.0")</f>
        <v>147.0</v>
      </c>
      <c r="E559" s="2"/>
      <c r="F559" s="9" t="str">
        <f>HYPERLINK("https://www.biocoop.fr/magasin-biocoop_fontaine/huile-vegetale-noyau-d-abricot-50ml-he1085-000.html","143.0")</f>
        <v>143.0</v>
      </c>
      <c r="G559" s="2"/>
      <c r="H559" s="9" t="str">
        <f>HYPERLINK("https://satoriz-comboire.bio/products/pr734","203.0")</f>
        <v>203.0</v>
      </c>
      <c r="I559" s="2"/>
      <c r="J559" s="9" t="str">
        <f>HYPERLINK("https://www.greenweez.com/produit/huile-vegetale-de-noyaux-dabricots-bio-50ml/1DESA0093","147.2")</f>
        <v>147.2</v>
      </c>
      <c r="K559" s="2"/>
      <c r="L559" s="9" t="str">
        <f>HYPERLINK("https://metabase.lelefan.org/public/dashboard/53c41f3f-5644-466e-935e-897e7725f6bc?rayon=&amp;d%25C3%25A9signation=HUILE VEGETALE DE NOYAUX ABRICOT&amp;fournisseur=&amp;date_d%25C3%25A9but=&amp;date_fin=","250.0")</f>
        <v>250.0</v>
      </c>
      <c r="M559" s="2"/>
      <c r="N559" s="16">
        <v>888888.0</v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1" t="s">
        <v>793</v>
      </c>
      <c r="B560" s="9" t="str">
        <f t="shared" ref="B560:B561" si="441">HYPERLINK("https://lafourche.fr/products/la-fourche-huile-vegetale-de-ricin-0-05l","101.6")</f>
        <v>101.6</v>
      </c>
      <c r="C560" s="2"/>
      <c r="D560" s="9" t="str">
        <f>HYPERLINK("https://www.biocoop.fr/magasin-biocoop_champollion/magasin-biocoop_champollion/huile-vegetale-ricin-50ml-he1116-000.html","888888")</f>
        <v>888888</v>
      </c>
      <c r="E560" s="2"/>
      <c r="F560" s="9" t="str">
        <f>HYPERLINK("https://www.biocoop.fr/magasin-biocoop_fontaine/huile-vegetale-de-ricin-200ml-he1217-000.html","64.95")</f>
        <v>64.95</v>
      </c>
      <c r="G560" s="2"/>
      <c r="H560" s="7" t="str">
        <f>HYPERLINK("https://satoriz-comboire.bio/products/g3210","21.2")</f>
        <v>21.2</v>
      </c>
      <c r="I560" s="2"/>
      <c r="J560" s="9" t="str">
        <f>HYPERLINK("https://www.greenweez.com/produit/huile-vierge-bio-de-ricin-100ml-1/1CENT0188","79.6")</f>
        <v>79.6</v>
      </c>
      <c r="K560" s="2"/>
      <c r="L560" s="9" t="str">
        <f>HYPERLINK("https://metabase.lelefan.org/public/dashboard/53c41f3f-5644-466e-935e-897e7725f6bc?rayon=&amp;d%25C3%25A9signation=HUILE DE RICIN&amp;fournisseur=&amp;date_d%25C3%25A9but=&amp;date_fin=","60.0")</f>
        <v>60.0</v>
      </c>
      <c r="M560" s="2"/>
      <c r="N560" s="16">
        <v>888888.0</v>
      </c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1" t="s">
        <v>794</v>
      </c>
      <c r="B561" s="9" t="str">
        <f t="shared" si="441"/>
        <v>101.6</v>
      </c>
      <c r="C561" s="2"/>
      <c r="D561" s="9" t="str">
        <f>HYPERLINK("https://www.biocoop.fr/magasin-biocoop_champollion/huile-vegetale-ricin-50ml-he1116-000.html","130.0")</f>
        <v>130.0</v>
      </c>
      <c r="E561" s="2"/>
      <c r="F561" s="9" t="str">
        <f>HYPERLINK("https://www.biocoop.fr/magasin-biocoop_fontaine/huile-vegetale-ricin-50ml-he1116-000.html","125.0")</f>
        <v>125.0</v>
      </c>
      <c r="G561" s="2"/>
      <c r="H561" s="9" t="str">
        <f>HYPERLINK("https://satoriz-comboire.bio/products/bm91","107.0")</f>
        <v>107.0</v>
      </c>
      <c r="I561" s="2"/>
      <c r="J561" s="7" t="str">
        <f>HYPERLINK("https://www.greenweez.com/produit/huile-vegetale-de-ricin-bio-50ml-1/2WEEZ0557","79.6")</f>
        <v>79.6</v>
      </c>
      <c r="K561" s="2"/>
      <c r="L561" s="16">
        <v>888888.0</v>
      </c>
      <c r="M561" s="2"/>
      <c r="N561" s="16">
        <v>888888.0</v>
      </c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1" t="s">
        <v>795</v>
      </c>
      <c r="B562" s="9" t="str">
        <f>HYPERLINK("https://lafourche.fr/products/la-fourche-huile-vegetale-d-amande-douce-0-1l","87.1")</f>
        <v>87.1</v>
      </c>
      <c r="C562" s="2"/>
      <c r="D562" s="7" t="str">
        <f>HYPERLINK("https://www.biocoop.fr/magasin-biocoop_champollion/huile-vegetale-amande-douce-200ml-he1122-000.html","59.75")</f>
        <v>59.75</v>
      </c>
      <c r="E562" s="2"/>
      <c r="F562" s="7" t="str">
        <f>HYPERLINK("https://www.biocoop.fr/magasin-biocoop_fontaine/huile-vegetale-amande-douce-200ml-he1122-000.html","59.75")</f>
        <v>59.75</v>
      </c>
      <c r="G562" s="2"/>
      <c r="H562" s="9" t="str">
        <f>HYPERLINK("https://satoriz-comboire.bio/products/pr541","76.0")</f>
        <v>76.0</v>
      </c>
      <c r="I562" s="2"/>
      <c r="J562" s="9" t="str">
        <f>HYPERLINK("https://www.greenweez.com/produit/huile-vegetale-amande-douce-bio-200ml/1DESA0095","64.1")</f>
        <v>64.1</v>
      </c>
      <c r="K562" s="2"/>
      <c r="L562" s="9" t="str">
        <f>HYPERLINK("https://metabase.lelefan.org/public/dashboard/53c41f3f-5644-466e-935e-897e7725f6bc?rayon=&amp;d%25C3%25A9signation=HUILE D AMANDE DOUCE&amp;fournisseur=&amp;date_d%25C3%25A9but=&amp;date_fin=","888888")</f>
        <v>888888</v>
      </c>
      <c r="M562" s="2"/>
      <c r="N562" s="16">
        <v>888888.0</v>
      </c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1" t="s">
        <v>796</v>
      </c>
      <c r="B563" s="9" t="str">
        <f>HYPERLINK("https://lafourche.fr/products/joayo-creme-mains","64.2")</f>
        <v>64.2</v>
      </c>
      <c r="C563" s="2"/>
      <c r="D563" s="9" t="str">
        <f>HYPERLINK("https://www.biocoop.fr/magasin-biocoop_champollion/creme-mains-nourrissante-75ml-ac2011-000.html","68.67")</f>
        <v>68.67</v>
      </c>
      <c r="E563" s="2"/>
      <c r="F563" s="9" t="str">
        <f>HYPERLINK("https://www.biocoop.fr/magasin-biocoop_fontaine/creme-mains-nourrissante-75ml-ac2011-000.html","76.0")</f>
        <v>76.0</v>
      </c>
      <c r="G563" s="2"/>
      <c r="H563" s="9" t="str">
        <f>HYPERLINK("https://satoriz-comboire.bio/products/av230","60.0")</f>
        <v>60.0</v>
      </c>
      <c r="I563" s="2"/>
      <c r="J563" s="9" t="str">
        <f>HYPERLINK("https://www.greenweez.com/produit/creme-pour-les-mains-100ml/1AVRI0428","54.8")</f>
        <v>54.8</v>
      </c>
      <c r="K563" s="2"/>
      <c r="L563" s="7" t="str">
        <f>HYPERLINK("https://metabase.lelefan.org/public/dashboard/53c41f3f-5644-466e-935e-897e7725f6bc?rayon=&amp;d%25C3%25A9signation=CREME POUR LES MAINS&amp;fournisseur=&amp;date_d%25C3%25A9but=&amp;date_fin=","45.0")</f>
        <v>45.0</v>
      </c>
      <c r="M563" s="2"/>
      <c r="N563" s="7" t="str">
        <f>HYPERLINK("https://fd11-courses.leclercdrive.fr/magasin-063801-063801-Echirolles---Comboire/fiche-produits-33792-Creme-mains-bio-Bio-NaIa.aspx","19.9")</f>
        <v>19.9</v>
      </c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1" t="s">
        <v>797</v>
      </c>
      <c r="B564" s="16">
        <v>888888.0</v>
      </c>
      <c r="C564" s="2"/>
      <c r="D564" s="16">
        <v>888888.0</v>
      </c>
      <c r="E564" s="2"/>
      <c r="F564" s="16">
        <v>888888.0</v>
      </c>
      <c r="G564" s="2"/>
      <c r="H564" s="9" t="str">
        <f>HYPERLINK("https://satoriz-comboire.bio/products/av711","50.0")</f>
        <v>50.0</v>
      </c>
      <c r="I564" s="2"/>
      <c r="J564" s="9" t="str">
        <f>HYPERLINK("https://www.greenweez.com/produit/gel-nettoyant-visage-homme-100ml-1/1AVRI0394","66.6")</f>
        <v>66.6</v>
      </c>
      <c r="K564" s="2"/>
      <c r="L564" s="7" t="str">
        <f>HYPERLINK("https://metabase.lelefan.org/public/dashboard/53c41f3f-5644-466e-935e-897e7725f6bc?rayon=&amp;d%25C3%25A9signation=GEL NETTOYANT VISAGE HOMME&amp;fournisseur=&amp;date_d%25C3%25A9but=&amp;date_fin=","37.5")</f>
        <v>37.5</v>
      </c>
      <c r="M564" s="2"/>
      <c r="N564" s="16">
        <v>888888.0</v>
      </c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1" t="s">
        <v>798</v>
      </c>
      <c r="B565" s="7" t="str">
        <f>HYPERLINK("https://lafourche.fr/products/la-fourche-gel-nettoyant-visage-certifie-cosmos-organic-0-1l","35.8")</f>
        <v>35.8</v>
      </c>
      <c r="C565" s="2"/>
      <c r="D565" s="16">
        <v>888888.0</v>
      </c>
      <c r="E565" s="2"/>
      <c r="F565" s="16">
        <v>888888.0</v>
      </c>
      <c r="G565" s="2"/>
      <c r="H565" s="9" t="str">
        <f>HYPERLINK("https://satoriz-comboire.bio/products/av625","50.0")</f>
        <v>50.0</v>
      </c>
      <c r="I565" s="2"/>
      <c r="J565" s="9" t="str">
        <f>HYPERLINK("https://www.greenweez.com/produit/gel-nettoyant-doux-visage-100ml/1AVRI0222","46.0")</f>
        <v>46.0</v>
      </c>
      <c r="K565" s="2"/>
      <c r="L565" s="9" t="str">
        <f>HYPERLINK("https://metabase.lelefan.org/public/dashboard/53c41f3f-5644-466e-935e-897e7725f6bc?rayon=&amp;d%25C3%25A9signation=GEL NETTOYANT VISAGE&amp;fournisseur=&amp;date_d%25C3%25A9but=&amp;date_fin=","37.5")</f>
        <v>37.5</v>
      </c>
      <c r="M565" s="2"/>
      <c r="N565" s="16">
        <v>888888.0</v>
      </c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1" t="s">
        <v>799</v>
      </c>
      <c r="B566" s="16">
        <v>888888.0</v>
      </c>
      <c r="C566" s="2"/>
      <c r="D566" s="16">
        <v>888888.0</v>
      </c>
      <c r="E566" s="2"/>
      <c r="F566" s="16">
        <v>888888.0</v>
      </c>
      <c r="G566" s="2"/>
      <c r="H566" s="16">
        <v>888888.0</v>
      </c>
      <c r="I566" s="2"/>
      <c r="J566" s="9" t="str">
        <f>HYPERLINK("https://www.greenweez.com/produit/serum-lissant-30ml/1AVRI0444","299.67")</f>
        <v>299.67</v>
      </c>
      <c r="K566" s="2"/>
      <c r="L566" s="7" t="str">
        <f>HYPERLINK("https://metabase.lelefan.org/public/dashboard/53c41f3f-5644-466e-935e-897e7725f6bc?rayon=&amp;d%25C3%25A9signation=SERUM VISAGE LISSANT&amp;fournisseur=&amp;date_d%25C3%25A9but=&amp;date_fin=","225.0")</f>
        <v>225.0</v>
      </c>
      <c r="M566" s="2"/>
      <c r="N566" s="16">
        <v>888888.0</v>
      </c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1" t="s">
        <v>800</v>
      </c>
      <c r="B567" s="16">
        <v>888888.0</v>
      </c>
      <c r="C567" s="2"/>
      <c r="D567" s="16">
        <v>888888.0</v>
      </c>
      <c r="E567" s="2"/>
      <c r="F567" s="16">
        <v>888888.0</v>
      </c>
      <c r="G567" s="2"/>
      <c r="H567" s="9" t="str">
        <f>HYPERLINK("https://satoriz-comboire.bio/products/av1125","300.0")</f>
        <v>300.0</v>
      </c>
      <c r="I567" s="2"/>
      <c r="J567" s="9" t="str">
        <f>HYPERLINK("https://www.greenweez.com/produit/serum-desalterant-a-lacide-hyaluronique-30ml/1AVRI0448","300.0")</f>
        <v>300.0</v>
      </c>
      <c r="K567" s="2"/>
      <c r="L567" s="7" t="str">
        <f>HYPERLINK("https://metabase.lelefan.org/public/dashboard/53c41f3f-5644-466e-935e-897e7725f6bc?rayon=&amp;d%25C3%25A9signation=SERUM VISAGE DESALTERANT&amp;fournisseur=&amp;date_d%25C3%25A9but=&amp;date_fin=","225.0")</f>
        <v>225.0</v>
      </c>
      <c r="M567" s="2"/>
      <c r="N567" s="16">
        <v>888888.0</v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1" t="s">
        <v>801</v>
      </c>
      <c r="B568" s="16">
        <v>888888.0</v>
      </c>
      <c r="C568" s="2"/>
      <c r="D568" s="16">
        <v>888888.0</v>
      </c>
      <c r="E568" s="2"/>
      <c r="F568" s="16">
        <v>888888.0</v>
      </c>
      <c r="G568" s="2"/>
      <c r="H568" s="9" t="str">
        <f>HYPERLINK("https://satoriz-comboire.bio/products/av618","100.0")</f>
        <v>100.0</v>
      </c>
      <c r="I568" s="2"/>
      <c r="J568" s="16">
        <v>888888.0</v>
      </c>
      <c r="K568" s="2"/>
      <c r="L568" s="7" t="str">
        <f>HYPERLINK("https://metabase.lelefan.org/public/dashboard/53c41f3f-5644-466e-935e-897e7725f6bc?rayon=&amp;d%25C3%25A9signation=MASQUE VISAGE PURIFIANT&amp;fournisseur=&amp;date_d%25C3%25A9but=&amp;date_fin=","75.0")</f>
        <v>75.0</v>
      </c>
      <c r="M568" s="2"/>
      <c r="N568" s="16">
        <v>888888.0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1" t="s">
        <v>802</v>
      </c>
      <c r="B569" s="9" t="str">
        <f>HYPERLINK("https://lafourche.fr/products/avril-masque-visage-energisant-et-coup-declat-0-05l","84")</f>
        <v>84</v>
      </c>
      <c r="C569" s="2"/>
      <c r="D569" s="16">
        <v>888888.0</v>
      </c>
      <c r="E569" s="2"/>
      <c r="F569" s="16">
        <v>888888.0</v>
      </c>
      <c r="G569" s="2"/>
      <c r="H569" s="9" t="str">
        <f>HYPERLINK("https://satoriz-comboire.bio/products/av1710","100.0")</f>
        <v>100.0</v>
      </c>
      <c r="I569" s="2"/>
      <c r="J569" s="9" t="str">
        <f>HYPERLINK("https://www.greenweez.com/produit/masque-visage-energisant-et-coup-declat-50ml-1/1AVRI0577","99.8")</f>
        <v>99.8</v>
      </c>
      <c r="K569" s="2"/>
      <c r="L569" s="7" t="str">
        <f>HYPERLINK("https://metabase.lelefan.org/public/dashboard/53c41f3f-5644-466e-935e-897e7725f6bc?rayon=&amp;d%25C3%25A9signation=MASQUE VISAGE ENERGISANT&amp;fournisseur=&amp;date_d%25C3%25A9but=&amp;date_fin=","75.0")</f>
        <v>75.0</v>
      </c>
      <c r="M569" s="2"/>
      <c r="N569" s="16">
        <v>888888.0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1" t="s">
        <v>803</v>
      </c>
      <c r="B570" s="16">
        <v>888888.0</v>
      </c>
      <c r="C570" s="2"/>
      <c r="D570" s="16">
        <v>888888.0</v>
      </c>
      <c r="E570" s="2"/>
      <c r="F570" s="16">
        <v>888888.0</v>
      </c>
      <c r="G570" s="2"/>
      <c r="H570" s="9" t="str">
        <f>HYPERLINK("https://satoriz-comboire.bio/products/av1133","100.0")</f>
        <v>100.0</v>
      </c>
      <c r="I570" s="2"/>
      <c r="J570" s="16">
        <v>888888.0</v>
      </c>
      <c r="K570" s="2"/>
      <c r="L570" s="7" t="str">
        <f>HYPERLINK("https://metabase.lelefan.org/public/dashboard/53c41f3f-5644-466e-935e-897e7725f6bc?rayon=&amp;d%25C3%25A9signation=MASQUE VISAGE NOURRISSANT&amp;fournisseur=&amp;date_d%25C3%25A9but=&amp;date_fin=","75.0")</f>
        <v>75.0</v>
      </c>
      <c r="M570" s="2"/>
      <c r="N570" s="16">
        <v>888888.0</v>
      </c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1" t="s">
        <v>804</v>
      </c>
      <c r="B571" s="9" t="str">
        <f>HYPERLINK("https://lafourche.fr/products/avril-gommage-visage-50ml-certifie-bio","127")</f>
        <v>127</v>
      </c>
      <c r="C571" s="2"/>
      <c r="D571" s="16">
        <v>888888.0</v>
      </c>
      <c r="E571" s="2"/>
      <c r="F571" s="16">
        <v>888888.0</v>
      </c>
      <c r="G571" s="2"/>
      <c r="H571" s="9" t="str">
        <f>HYPERLINK("https://satoriz-comboire.bio/products/av1562","160.0")</f>
        <v>160.0</v>
      </c>
      <c r="I571" s="2"/>
      <c r="J571" s="9" t="str">
        <f>HYPERLINK("https://www.greenweez.com/produit/gommage-visage-50ml-1/1AVRI0579","159.8")</f>
        <v>159.8</v>
      </c>
      <c r="K571" s="2"/>
      <c r="L571" s="7" t="str">
        <f>HYPERLINK("https://metabase.lelefan.org/public/dashboard/53c41f3f-5644-466e-935e-897e7725f6bc?rayon=&amp;d%25C3%25A9signation=GOMMAGE VISAGE&amp;fournisseur=&amp;date_d%25C3%25A9but=&amp;date_fin=","120.0")</f>
        <v>120.0</v>
      </c>
      <c r="M571" s="2"/>
      <c r="N571" s="16">
        <v>888888.0</v>
      </c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1" t="s">
        <v>805</v>
      </c>
      <c r="B572" s="9" t="str">
        <f>HYPERLINK("https://lafourche.fr/products/avril-creme-visage-corps-beurre-de-karite-aloe-vera-bio-200ml","32.6")</f>
        <v>32.6</v>
      </c>
      <c r="C572" s="2"/>
      <c r="D572" s="16">
        <v>888888.0</v>
      </c>
      <c r="E572" s="2"/>
      <c r="F572" s="16">
        <v>888888.0</v>
      </c>
      <c r="G572" s="2"/>
      <c r="H572" s="9" t="str">
        <f>HYPERLINK("https://satoriz-comboire.bio/products/av486","40.0")</f>
        <v>40.0</v>
      </c>
      <c r="I572" s="2"/>
      <c r="J572" s="9" t="str">
        <f>HYPERLINK("https://www.greenweez.com/produit/creme-visage-et-corps-200ml/1AVRI0363","34.75")</f>
        <v>34.75</v>
      </c>
      <c r="K572" s="2"/>
      <c r="L572" s="7" t="str">
        <f>HYPERLINK("https://metabase.lelefan.org/public/dashboard/53c41f3f-5644-466e-935e-897e7725f6bc?rayon=&amp;d%25C3%25A9signation=CREME VISAGE ET CORPS&amp;fournisseur=&amp;date_d%25C3%25A9but=&amp;date_fin=","30.0")</f>
        <v>30.0</v>
      </c>
      <c r="M572" s="2"/>
      <c r="N572" s="16">
        <v>888888.0</v>
      </c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1" t="s">
        <v>806</v>
      </c>
      <c r="B573" s="7" t="str">
        <f>HYPERLINK("https://lafourche.fr/products/avril-creme-jour-et-nuit-0-05l","134")</f>
        <v>134</v>
      </c>
      <c r="C573" s="2"/>
      <c r="D573" s="16">
        <v>888888.0</v>
      </c>
      <c r="E573" s="2"/>
      <c r="F573" s="16">
        <v>888888.0</v>
      </c>
      <c r="G573" s="2"/>
      <c r="H573" s="9" t="str">
        <f>HYPERLINK("https://satoriz-comboire.bio/products/av1561","160.0")</f>
        <v>160.0</v>
      </c>
      <c r="I573" s="2"/>
      <c r="J573" s="9" t="str">
        <f>HYPERLINK("https://www.greenweez.com/produit/creme-jour-et-nuit-50ml-1/1AVRI0580","159.8")</f>
        <v>159.8</v>
      </c>
      <c r="K573" s="2"/>
      <c r="L573" s="9" t="str">
        <f>HYPERLINK("https://metabase.lelefan.org/public/dashboard/53c41f3f-5644-466e-935e-897e7725f6bc?rayon=&amp;d%25C3%25A9signation=CEME JOUR ET NUIT&amp;fournisseur=&amp;date_d%25C3%25A9but=&amp;date_fin=","888888")</f>
        <v>888888</v>
      </c>
      <c r="M573" s="2"/>
      <c r="N573" s="16">
        <v>888888.0</v>
      </c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1" t="s">
        <v>807</v>
      </c>
      <c r="B574" s="16">
        <v>888888.0</v>
      </c>
      <c r="C574" s="2"/>
      <c r="D574" s="16">
        <v>888888.0</v>
      </c>
      <c r="E574" s="2"/>
      <c r="F574" s="16">
        <v>888888.0</v>
      </c>
      <c r="G574" s="2"/>
      <c r="H574" s="9" t="str">
        <f>HYPERLINK("https://satoriz-comboire.bio/products/av1444","225.0")</f>
        <v>225.0</v>
      </c>
      <c r="I574" s="2"/>
      <c r="J574" s="9" t="str">
        <f>HYPERLINK("https://www.greenweez.com/produit/soin-contour-des-yeux-et-levres-40-ml/1AVRI0670","225.0")</f>
        <v>225.0</v>
      </c>
      <c r="K574" s="2"/>
      <c r="L574" s="7" t="str">
        <f>HYPERLINK("https://metabase.lelefan.org/public/dashboard/53c41f3f-5644-466e-935e-897e7725f6bc?rayon=&amp;d%25C3%25A9signation=CREME SOIN CONTOUR YEUX ET LEVRES&amp;fournisseur=&amp;date_d%25C3%25A9but=&amp;date_fin=","168.75")</f>
        <v>168.75</v>
      </c>
      <c r="M574" s="2"/>
      <c r="N574" s="16">
        <v>888888.0</v>
      </c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1" t="s">
        <v>808</v>
      </c>
      <c r="B575" s="16">
        <v>888888.0</v>
      </c>
      <c r="C575" s="2"/>
      <c r="D575" s="16">
        <v>888888.0</v>
      </c>
      <c r="E575" s="2"/>
      <c r="F575" s="16">
        <v>888888.0</v>
      </c>
      <c r="G575" s="2"/>
      <c r="H575" s="9" t="str">
        <f>HYPERLINK("https://satoriz-comboire.bio/products/av1594","160.0")</f>
        <v>160.0</v>
      </c>
      <c r="I575" s="2"/>
      <c r="J575" s="9" t="str">
        <f>HYPERLINK("https://www.greenweez.com/produit/creme-desalterante-50ml-1/1AVRI0674","159.8")</f>
        <v>159.8</v>
      </c>
      <c r="K575" s="2"/>
      <c r="L575" s="7" t="str">
        <f>HYPERLINK("https://metabase.lelefan.org/public/dashboard/53c41f3f-5644-466e-935e-897e7725f6bc?rayon=&amp;d%25C3%25A9signation=CREME DESALTERANTE&amp;fournisseur=&amp;date_d%25C3%25A9but=&amp;date_fin=","120.0")</f>
        <v>120.0</v>
      </c>
      <c r="M575" s="2"/>
      <c r="N575" s="16">
        <v>888888.0</v>
      </c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1" t="s">
        <v>809</v>
      </c>
      <c r="B576" s="16">
        <v>888888.0</v>
      </c>
      <c r="C576" s="2"/>
      <c r="D576" s="16">
        <v>888888.0</v>
      </c>
      <c r="E576" s="2"/>
      <c r="F576" s="16">
        <v>888888.0</v>
      </c>
      <c r="G576" s="2"/>
      <c r="H576" s="9" t="str">
        <f>HYPERLINK("https://satoriz-comboire.bio/products/av816","160.0")</f>
        <v>160.0</v>
      </c>
      <c r="I576" s="2"/>
      <c r="J576" s="16">
        <v>888888.0</v>
      </c>
      <c r="K576" s="2"/>
      <c r="L576" s="7" t="str">
        <f>HYPERLINK("https://metabase.lelefan.org/public/dashboard/53c41f3f-5644-466e-935e-897e7725f6bc?rayon=&amp;d%25C3%25A9signation=CREME SOIN HYDRATANT HOMME&amp;fournisseur=&amp;date_d%25C3%25A9but=&amp;date_fin=","120.0")</f>
        <v>120.0</v>
      </c>
      <c r="M576" s="2"/>
      <c r="N576" s="16">
        <v>888888.0</v>
      </c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1" t="s">
        <v>810</v>
      </c>
      <c r="B577" s="7" t="str">
        <f>HYPERLINK("https://lafourche.fr/products/joayo-creme-de-jour-peaux-normales-et-mixtes","109.4")</f>
        <v>109.4</v>
      </c>
      <c r="C577" s="2"/>
      <c r="D577" s="16">
        <v>888888.0</v>
      </c>
      <c r="E577" s="2"/>
      <c r="F577" s="16">
        <v>888888.0</v>
      </c>
      <c r="G577" s="2"/>
      <c r="H577" s="9" t="str">
        <f>HYPERLINK("https://satoriz-comboire.bio/products/av172","160.0")</f>
        <v>160.0</v>
      </c>
      <c r="I577" s="2"/>
      <c r="J577" s="9" t="str">
        <f>HYPERLINK("https://www.greenweez.com/produit/creme-de-jour-bio-peaux-normales-mixtes-50-ml/1AVRI0069","148.4")</f>
        <v>148.4</v>
      </c>
      <c r="K577" s="2"/>
      <c r="L577" s="9" t="str">
        <f>HYPERLINK("https://metabase.lelefan.org/public/dashboard/53c41f3f-5644-466e-935e-897e7725f6bc?rayon=&amp;d%25C3%25A9signation=CREME DE JOUR PEAUX NORMALES A MIXTES&amp;fournisseur=&amp;date_d%25C3%25A9but=&amp;date_fin=","120.0")</f>
        <v>120.0</v>
      </c>
      <c r="M577" s="2"/>
      <c r="N577" s="16">
        <v>888888.0</v>
      </c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1" t="s">
        <v>811</v>
      </c>
      <c r="B578" s="7" t="str">
        <f>HYPERLINK("https://lafourche.fr/products/joayo-creme-de-jour-peaux-seches-et-sensibles","111.2")</f>
        <v>111.2</v>
      </c>
      <c r="C578" s="2"/>
      <c r="D578" s="16">
        <v>888888.0</v>
      </c>
      <c r="E578" s="2"/>
      <c r="F578" s="16">
        <v>888888.0</v>
      </c>
      <c r="G578" s="2"/>
      <c r="H578" s="9" t="str">
        <f>HYPERLINK("https://satoriz-comboire.bio/products/av1812","160.0")</f>
        <v>160.0</v>
      </c>
      <c r="I578" s="2"/>
      <c r="J578" s="9" t="str">
        <f>HYPERLINK("https://www.greenweez.com/produit/creme-de-jour-peaux-seches-et-sensibles-50ml/1AVRI0671","159.8")</f>
        <v>159.8</v>
      </c>
      <c r="K578" s="2"/>
      <c r="L578" s="9" t="str">
        <f>HYPERLINK("https://metabase.lelefan.org/public/dashboard/53c41f3f-5644-466e-935e-897e7725f6bc?rayon=&amp;d%25C3%25A9signation=CREME DE JOUR PEAUX SECHES ET SENSIBLES&amp;fournisseur=&amp;date_d%25C3%25A9but=&amp;date_fin=","120.0")</f>
        <v>120.0</v>
      </c>
      <c r="M578" s="2"/>
      <c r="N578" s="16">
        <v>888888.0</v>
      </c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5" t="s">
        <v>812</v>
      </c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1" t="s">
        <v>813</v>
      </c>
      <c r="B580" s="9" t="str">
        <f>HYPERLINK("https://lafourche.fr/products/benecos-baume-visage-et-apres-rasage-50-ml-0-05l","139")</f>
        <v>139</v>
      </c>
      <c r="C580" s="2"/>
      <c r="D580" s="9" t="str">
        <f>HYPERLINK("https://www.biocoop.fr/magasin-biocoop_champollion/baume-apres-rasage-apaisant-la5076-000.html","155.0")</f>
        <v>155.0</v>
      </c>
      <c r="E580" s="2"/>
      <c r="F580" s="9" t="str">
        <f>HYPERLINK("https://www.biocoop.fr/magasin-biocoop_fontaine/baume-apres-rasage-we0152-000.html","152.0")</f>
        <v>152.0</v>
      </c>
      <c r="G580" s="2"/>
      <c r="H580" s="9" t="str">
        <f>HYPERLINK("https://satoriz-comboire.bio/products/av684","80.0")</f>
        <v>80.0</v>
      </c>
      <c r="I580" s="2"/>
      <c r="J580" s="9" t="str">
        <f>HYPERLINK("https://www.greenweez.com/produit/baume-apres-rasage-homme-100ml/1AVRI0409","106.6")</f>
        <v>106.6</v>
      </c>
      <c r="K580" s="2"/>
      <c r="L580" s="7" t="str">
        <f>HYPERLINK("https://metabase.lelefan.org/public/dashboard/53c41f3f-5644-466e-935e-897e7725f6bc?rayon=&amp;d%25C3%25A9signation=BAUME APRES RASAGE&amp;fournisseur=&amp;date_d%25C3%25A9but=&amp;date_fin=","60.0")</f>
        <v>60.0</v>
      </c>
      <c r="M580" s="2"/>
      <c r="N580" s="16">
        <v>888888.0</v>
      </c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1" t="s">
        <v>814</v>
      </c>
      <c r="B581" s="9" t="str">
        <f>HYPERLINK("https://lafourche.fr/products/lamazuna-pain-rasage-solide","184.18")</f>
        <v>184.18</v>
      </c>
      <c r="C581" s="2"/>
      <c r="D581" s="16">
        <v>888888.0</v>
      </c>
      <c r="E581" s="2"/>
      <c r="F581" s="16">
        <v>888888.0</v>
      </c>
      <c r="G581" s="2"/>
      <c r="H581" s="9" t="str">
        <f>HYPERLINK("https://satoriz-comboire.bio/collections/soins-beaute/products/re43978","135.83")</f>
        <v>135.83</v>
      </c>
      <c r="I581" s="2"/>
      <c r="J581" s="9" t="str">
        <f>HYPERLINK("https://www.greenweez.com/produit/pain-de-rasage-homme-90g-1/1SECP0062","76.0")</f>
        <v>76.0</v>
      </c>
      <c r="K581" s="2"/>
      <c r="L581" s="7" t="str">
        <f>HYPERLINK("https://metabase.lelefan.org/public/dashboard/53c41f3f-5644-466e-935e-897e7725f6bc?rayon=&amp;d%25C3%25A9signation=CREME DE RASAGE - SAVON SOLIDE&amp;fournisseur=&amp;date_d%25C3%25A9but=&amp;date_fin=","60.0")</f>
        <v>60.0</v>
      </c>
      <c r="M581" s="2"/>
      <c r="N581" s="16">
        <v>888888.0</v>
      </c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5" t="s">
        <v>815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1" t="s">
        <v>816</v>
      </c>
      <c r="B583" s="7" t="str">
        <f>HYPERLINK("https://lafourche.fr/products/la-fourche-shampoing-a-l-aloe-vera-certifie-cosmos-organic-5l","6.2")</f>
        <v>6.2</v>
      </c>
      <c r="C583" s="2"/>
      <c r="D583" s="9" t="str">
        <f t="shared" ref="D583:D584" si="442">HYPERLINK("https://www.biocoop.fr/magasin-biocoop_champollion/shampooing-cheveux-normaux-ultra-doux-1l-el1005-000.html","9.7")</f>
        <v>9.7</v>
      </c>
      <c r="E583" s="2"/>
      <c r="F583" s="9" t="str">
        <f t="shared" ref="F583:F584" si="443">HYPERLINK("https://www.biocoop.fr/magasin-biocoop_fontaine/shampooing-cheveux-normaux-ultra-doux-1l-el1005-000.html","9.7")</f>
        <v>9.7</v>
      </c>
      <c r="G583" s="2"/>
      <c r="H583" s="9" t="str">
        <f t="shared" ref="H583:H584" si="444">HYPERLINK("https://satoriz-comboire.bio/collections/soins-beaute/products/lgcb00007050","8.35")</f>
        <v>8.35</v>
      </c>
      <c r="I583" s="2"/>
      <c r="J583" s="9" t="str">
        <f>HYPERLINK("https://www.greenweez.com/produit/shampoing-liquide-miel-avoine-calendula-5l/2WEEZ0583","6.79")</f>
        <v>6.79</v>
      </c>
      <c r="K583" s="2"/>
      <c r="L583" s="9" t="str">
        <f t="shared" ref="L583:L584" si="445">HYPERLINK("https://metabase.lelefan.org/public/dashboard/53c41f3f-5644-466e-935e-897e7725f6bc?rayon=&amp;d%25C3%25A9signation=SHAMPOING-CHEVEUX NORMAUX VRAC&amp;fournisseur=&amp;date_d%25C3%25A9but=&amp;date_fin=","9.86")</f>
        <v>9.86</v>
      </c>
      <c r="M583" s="2"/>
      <c r="N583" s="9" t="str">
        <f>HYPERLINK("https://fd11-courses.leclercdrive.fr/magasin-063801-063801-Echirolles---Comboire/fiche-produits-33849-Shampooing-bio-Bio-naia.aspx","7.0")</f>
        <v>7.0</v>
      </c>
      <c r="O583" s="2"/>
      <c r="P583" s="1" t="s">
        <v>91</v>
      </c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1" t="s">
        <v>817</v>
      </c>
      <c r="B584" s="7" t="str">
        <f>HYPERLINK("https://lafourche.fr/products/la-fourche-shampoing-a-l-aloe-vera-certifie-cosmos-organic-1l","7.8")</f>
        <v>7.8</v>
      </c>
      <c r="C584" s="2"/>
      <c r="D584" s="9" t="str">
        <f t="shared" si="442"/>
        <v>9.7</v>
      </c>
      <c r="E584" s="2"/>
      <c r="F584" s="9" t="str">
        <f t="shared" si="443"/>
        <v>9.7</v>
      </c>
      <c r="G584" s="2"/>
      <c r="H584" s="9" t="str">
        <f t="shared" si="444"/>
        <v>8.35</v>
      </c>
      <c r="I584" s="2"/>
      <c r="J584" s="9" t="str">
        <f>HYPERLINK("https://www.greenweez.com/produit/shampoing-liquide-miel-avoine-calendula-1l/2WEEZ0588","7.94")</f>
        <v>7.94</v>
      </c>
      <c r="K584" s="2"/>
      <c r="L584" s="9" t="str">
        <f t="shared" si="445"/>
        <v>9.86</v>
      </c>
      <c r="M584" s="2"/>
      <c r="N584" s="16">
        <v>888888.0</v>
      </c>
      <c r="O584" s="2"/>
      <c r="P584" s="1" t="s">
        <v>91</v>
      </c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1" t="s">
        <v>818</v>
      </c>
      <c r="B585" s="9" t="str">
        <f>HYPERLINK("https://lafourche.fr/products/cosmo-naturel-shampoing-solide-cuir-chevelu-sensible-amande-douce-bio-0-085kg","73.29")</f>
        <v>73.29</v>
      </c>
      <c r="C585" s="10">
        <v>0.0</v>
      </c>
      <c r="D585" s="9" t="str">
        <f>HYPERLINK("https://www.biocoop.fr/magasin-biocoop_champollion/shampoing-solide-cheveux-normaux-85g-aa0634-000.html","67.65")</f>
        <v>67.65</v>
      </c>
      <c r="E585" s="8">
        <v>-0.2333</v>
      </c>
      <c r="F585" s="9" t="str">
        <f>HYPERLINK("https://www.biocoop.fr/magasin-biocoop_fontaine/shampooing-solide-cheveux-secs-jojoba-aloe-vera-85g-lg5129-000.html","74.71")</f>
        <v>74.71</v>
      </c>
      <c r="G585" s="8">
        <v>-0.0916</v>
      </c>
      <c r="H585" s="9" t="str">
        <f>HYPERLINK("https://satoriz-comboire.bio/collections/soins-beaute/products/lgco6317","90.0")</f>
        <v>90.0</v>
      </c>
      <c r="I585" s="10">
        <v>0.0</v>
      </c>
      <c r="J585" s="9" t="str">
        <f>HYPERLINK("https://www.greenweez.com/produit/shampoing-solide-cuir-chevelu-sensible-85g/1COSM0217","76.24")</f>
        <v>76.24</v>
      </c>
      <c r="K585" s="10">
        <v>0.0</v>
      </c>
      <c r="L585" s="7" t="str">
        <f>HYPERLINK("https://metabase.lelefan.org/public/dashboard/53c41f3f-5644-466e-935e-897e7725f6bc?rayon=&amp;d%25C3%25A9signation=SHAMPOING SOLIDE&amp;fournisseur=&amp;date_d%25C3%25A9but=&amp;date_fin=","52.5")</f>
        <v>52.5</v>
      </c>
      <c r="M585" s="2"/>
      <c r="N585" s="16">
        <v>888888.0</v>
      </c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1" t="s">
        <v>819</v>
      </c>
      <c r="B586" s="9" t="str">
        <f>HYPERLINK("https://lafourche.fr/products/najel-savon-d-alep-40prct-huile-de-baies-de-laurier-185g-ecologique","30.54")</f>
        <v>30.54</v>
      </c>
      <c r="C586" s="10">
        <v>0.0</v>
      </c>
      <c r="D586" s="9" t="str">
        <f>HYPERLINK("https://www.biocoop.fr/magasin-biocoop_champollion/savon-d-alep-40-nj1017-000.html","41.08")</f>
        <v>41.08</v>
      </c>
      <c r="E586" s="10">
        <v>0.0</v>
      </c>
      <c r="F586" s="9" t="str">
        <f>HYPERLINK("https://www.biocoop.fr/magasin-biocoop_fontaine/savon-d-alep-40-nj1017-000.html","38.65")</f>
        <v>38.65</v>
      </c>
      <c r="G586" s="8">
        <v>-0.0773</v>
      </c>
      <c r="H586" s="9" t="str">
        <f>HYPERLINK("https://satoriz-comboire.bio/collections/soins-beaute/products/l30035","48.67")</f>
        <v>48.67</v>
      </c>
      <c r="I586" s="10">
        <v>0.0</v>
      </c>
      <c r="J586" s="7" t="str">
        <f>HYPERLINK("https://www.greenweez.com/produit/savon-dalep-traditionnel-40-200g/1LAUR0009","24.0")</f>
        <v>24.0</v>
      </c>
      <c r="K586" s="11">
        <v>0.0435</v>
      </c>
      <c r="L586" s="9" t="str">
        <f>HYPERLINK("https://metabase.lelefan.org/public/dashboard/53c41f3f-5644-466e-935e-897e7725f6bc?rayon=&amp;d%25C3%25A9signation=SAVON D ALEP 100G&amp;fournisseur=&amp;date_d%25C3%25A9but=&amp;date_fin=","888888")</f>
        <v>888888</v>
      </c>
      <c r="M586" s="2"/>
      <c r="N586" s="16">
        <v>888888.0</v>
      </c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1" t="s">
        <v>820</v>
      </c>
      <c r="B587" s="7" t="str">
        <f>HYPERLINK("https://lafourche.fr/products/la-fourche-cube-de-marseille-600g","7.17")</f>
        <v>7.17</v>
      </c>
      <c r="C587" s="10">
        <v>0.0</v>
      </c>
      <c r="D587" s="16">
        <v>888888.0</v>
      </c>
      <c r="E587" s="2"/>
      <c r="F587" s="16">
        <v>888888.0</v>
      </c>
      <c r="G587" s="2"/>
      <c r="H587" s="9" t="str">
        <f>HYPERLINK("https://satoriz-comboire.bio/products/lc20","12.4")</f>
        <v>12.4</v>
      </c>
      <c r="I587" s="10">
        <v>0.0</v>
      </c>
      <c r="J587" s="9" t="str">
        <f>HYPERLINK("https://www.greenweez.com/produit/savon-de-marseille-cube-vegetal-600g/1FERA0006","13.42")</f>
        <v>13.42</v>
      </c>
      <c r="K587" s="11">
        <v>0.1109</v>
      </c>
      <c r="L587" s="16">
        <v>888888.0</v>
      </c>
      <c r="M587" s="2"/>
      <c r="N587" s="16">
        <v>888888.0</v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1" t="s">
        <v>821</v>
      </c>
      <c r="B588" s="7" t="str">
        <f>HYPERLINK("https://lafourche.fr/products/la-fourche-mon-gel-douche-peche-passion-5l","6.37")</f>
        <v>6.37</v>
      </c>
      <c r="C588" s="2"/>
      <c r="D588" s="9" t="str">
        <f t="shared" ref="D588:D589" si="446">HYPERLINK("https://www.biocoop.fr/magasin-biocoop_champollion/gel-douche-orange-verte-1l-ra1040-000.html","8.95")</f>
        <v>8.95</v>
      </c>
      <c r="E588" s="2"/>
      <c r="F588" s="9" t="str">
        <f>HYPERLINK("https://www.biocoop.fr/magasin-biocoop_fontaine/gel-douche-aloe-vera-ecopack-650ml-ne1278-000.html","7.92")</f>
        <v>7.92</v>
      </c>
      <c r="G588" s="2"/>
      <c r="H588" s="9" t="str">
        <f t="shared" ref="H588:H589" si="447">HYPERLINK("https://satoriz-comboire.bio/collections/soins-beaute/products/jsb02gdcedxl","8.05")</f>
        <v>8.05</v>
      </c>
      <c r="I588" s="2"/>
      <c r="J588" s="9" t="str">
        <f>HYPERLINK("https://www.greenweez.com/produit/gel-douche-neutre-3-ingredients-5l/1SOLI0016","6.6")</f>
        <v>6.6</v>
      </c>
      <c r="K588" s="2"/>
      <c r="L588" s="9" t="str">
        <f t="shared" ref="L588:L589" si="448">HYPERLINK("https://metabase.lelefan.org/public/dashboard/53c41f3f-5644-466e-935e-897e7725f6bc?rayon=&amp;d%25C3%25A9signation=GEL DOUCHE AGRUMES VRAC&amp;fournisseur=&amp;date_d%25C3%25A9but=&amp;date_fin=","8.0")</f>
        <v>8.0</v>
      </c>
      <c r="M588" s="2"/>
      <c r="N588" s="7" t="str">
        <f>HYPERLINK("https://fd11-courses.leclercdrive.fr/magasin-063801-063801-Echirolles---Comboire/fiche-produits-106690-Gel-douche-Bionaia.aspx","5.6")</f>
        <v>5.6</v>
      </c>
      <c r="O588" s="2"/>
      <c r="P588" s="1" t="s">
        <v>91</v>
      </c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1" t="s">
        <v>822</v>
      </c>
      <c r="B589" s="7" t="str">
        <f>HYPERLINK("https://lafourche.fr/products/la-fourche-mon-gel-douche-peche-passion-1l","7.5")</f>
        <v>7.5</v>
      </c>
      <c r="C589" s="2"/>
      <c r="D589" s="9" t="str">
        <f t="shared" si="446"/>
        <v>8.95</v>
      </c>
      <c r="E589" s="2"/>
      <c r="F589" s="9" t="str">
        <f>HYPERLINK("https://www.biocoop.fr/magasin-biocoop_fontaine/gel-douche-orange-verte-1l-ra1040-000.html","8.95")</f>
        <v>8.95</v>
      </c>
      <c r="G589" s="2"/>
      <c r="H589" s="9" t="str">
        <f t="shared" si="447"/>
        <v>8.05</v>
      </c>
      <c r="I589" s="2"/>
      <c r="J589" s="9" t="str">
        <f>HYPERLINK("https://www.greenweez.com/produit/gel-douche-aloe-vera-1l/2WEEZ0584","7.94")</f>
        <v>7.94</v>
      </c>
      <c r="K589" s="2"/>
      <c r="L589" s="9" t="str">
        <f t="shared" si="448"/>
        <v>8.0</v>
      </c>
      <c r="M589" s="2"/>
      <c r="N589" s="16">
        <v>888888.0</v>
      </c>
      <c r="O589" s="2"/>
      <c r="P589" s="1" t="s">
        <v>91</v>
      </c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1" t="s">
        <v>823</v>
      </c>
      <c r="B590" s="7" t="str">
        <f>HYPERLINK("https://lafourche.fr/products/avril-gel-douche-coeur-d-abricot-500-ml-certifie-bio-0-5l","10.08")</f>
        <v>10.08</v>
      </c>
      <c r="C590" s="2"/>
      <c r="D590" s="16">
        <v>888888.0</v>
      </c>
      <c r="E590" s="2"/>
      <c r="F590" s="16">
        <v>888888.0</v>
      </c>
      <c r="G590" s="2"/>
      <c r="H590" s="16">
        <v>888888.0</v>
      </c>
      <c r="I590" s="2"/>
      <c r="J590" s="9" t="str">
        <f>HYPERLINK("https://www.greenweez.com/produit/gel-douche-coeur-dabricot-500-ml/1AVRI0156","14.0")</f>
        <v>14.0</v>
      </c>
      <c r="K590" s="2"/>
      <c r="L590" s="9" t="str">
        <f>HYPERLINK("https://metabase.lelefan.org/public/dashboard/53c41f3f-5644-466e-935e-897e7725f6bc?rayon=&amp;d%25C3%25A9signation=GEL DOUCHE DOUCEUR D ABRICOT&amp;fournisseur=&amp;date_d%25C3%25A9but=&amp;date_fin=","10.5")</f>
        <v>10.5</v>
      </c>
      <c r="M590" s="2"/>
      <c r="N590" s="16">
        <v>888888.0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1" t="s">
        <v>824</v>
      </c>
      <c r="B591" s="7" t="str">
        <f>HYPERLINK("https://lafourche.fr/products/la-fourche-shampoing-douche-peche-blanche-certifie-cosmos-organic-5l","6.2")</f>
        <v>6.2</v>
      </c>
      <c r="C591" s="2"/>
      <c r="D591" s="9" t="str">
        <f t="shared" ref="D591:D592" si="449">HYPERLINK("https://www.biocoop.fr/magasin-biocoop_champollion/shampooing-douche-miel-propolis-lg5024-000.html","11.25")</f>
        <v>11.25</v>
      </c>
      <c r="E591" s="2"/>
      <c r="F591" s="9" t="str">
        <f t="shared" ref="F591:F592" si="450">HYPERLINK("https://www.biocoop.fr/magasin-biocoop_fontaine/shampooing-douche-miel-propolis-lg5024-000.html","11.25")</f>
        <v>11.25</v>
      </c>
      <c r="G591" s="2"/>
      <c r="H591" s="9" t="str">
        <f t="shared" ref="H591:H592" si="451">HYPERLINK("https://satoriz-comboire.bio/collections/soins-beaute/products/jsb2025","7.6")</f>
        <v>7.6</v>
      </c>
      <c r="I591" s="2"/>
      <c r="J591" s="9" t="str">
        <f>HYPERLINK("https://www.greenweez.com/produit/shampooing-et-douche-fruits-dete-5l/1GRAV0089","8.14")</f>
        <v>8.14</v>
      </c>
      <c r="K591" s="2"/>
      <c r="L591" s="9" t="str">
        <f t="shared" ref="L591:L592" si="452">HYPERLINK("https://metabase.lelefan.org/public/dashboard/53c41f3f-5644-466e-935e-897e7725f6bc?rayon=&amp;d%25C3%25A9signation=GEL CORPS ET CHEVEUX TONIC VRAC&amp;fournisseur=&amp;date_d%25C3%25A9but=&amp;date_fin=","8.0")</f>
        <v>8.0</v>
      </c>
      <c r="M591" s="2"/>
      <c r="N591" s="16">
        <v>888888.0</v>
      </c>
      <c r="O591" s="2"/>
      <c r="P591" s="1" t="s">
        <v>91</v>
      </c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1" t="s">
        <v>825</v>
      </c>
      <c r="B592" s="9" t="str">
        <f>HYPERLINK("https://lafourche.fr/products/la-fourche-shampoing-douche-peche-blanche-certifie-cosmos-organic-1l","7.8")</f>
        <v>7.8</v>
      </c>
      <c r="C592" s="2"/>
      <c r="D592" s="9" t="str">
        <f t="shared" si="449"/>
        <v>11.25</v>
      </c>
      <c r="E592" s="2"/>
      <c r="F592" s="9" t="str">
        <f t="shared" si="450"/>
        <v>11.25</v>
      </c>
      <c r="G592" s="2"/>
      <c r="H592" s="7" t="str">
        <f t="shared" si="451"/>
        <v>7.6</v>
      </c>
      <c r="I592" s="2"/>
      <c r="J592" s="9" t="str">
        <f>HYPERLINK("https://www.greenweez.com/produit/shampooing-et-douche-rose-dantan-1l/1CBIO0031","888888")</f>
        <v>888888</v>
      </c>
      <c r="K592" s="2"/>
      <c r="L592" s="9" t="str">
        <f t="shared" si="452"/>
        <v>8.0</v>
      </c>
      <c r="M592" s="2"/>
      <c r="N592" s="16">
        <v>888888.0</v>
      </c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1" t="s">
        <v>826</v>
      </c>
      <c r="B593" s="7" t="str">
        <f>HYPERLINK("https://lafourche.fr/products/avril-dentifrice-a-la-menthe-bio-100ml","30")</f>
        <v>30</v>
      </c>
      <c r="C593" s="2"/>
      <c r="D593" s="16">
        <v>888888.0</v>
      </c>
      <c r="E593" s="2"/>
      <c r="F593" s="16">
        <v>888888.0</v>
      </c>
      <c r="G593" s="2"/>
      <c r="H593" s="9" t="str">
        <f>HYPERLINK("https://satoriz-comboire.bio/products/av705","40.0")</f>
        <v>40.0</v>
      </c>
      <c r="I593" s="2"/>
      <c r="J593" s="9" t="str">
        <f>HYPERLINK("https://www.greenweez.com/produit/dentifrice-sans-fluor-a-la-menthe-100ml/1AVRI0296","36.0")</f>
        <v>36.0</v>
      </c>
      <c r="K593" s="2"/>
      <c r="L593" s="7" t="str">
        <f>HYPERLINK("https://metabase.lelefan.org/public/dashboard/53c41f3f-5644-466e-935e-897e7725f6bc?rayon=&amp;d%25C3%25A9signation=DENTIFRICE&amp;fournisseur=&amp;date_d%25C3%25A9but=&amp;date_fin=","30.0")</f>
        <v>30.0</v>
      </c>
      <c r="M593" s="2"/>
      <c r="N593" s="16">
        <v>888888.0</v>
      </c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5" t="s">
        <v>827</v>
      </c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1" t="s">
        <v>828</v>
      </c>
      <c r="B595" s="9" t="str">
        <f>HYPERLINK("https://lafourche.fr/products/avril-gel-intime-certifie-bio-0-2l","20.25")</f>
        <v>20.25</v>
      </c>
      <c r="C595" s="2"/>
      <c r="D595" s="9" t="str">
        <f>HYPERLINK("https://www.biocoop.fr/magasin-biocoop_champollion/toilette-intime-gel-fraicheur-usage-quotidien-500ml-el1277-000.html","23.7")</f>
        <v>23.7</v>
      </c>
      <c r="E595" s="2"/>
      <c r="F595" s="9" t="str">
        <f>HYPERLINK("https://www.biocoop.fr/magasin-biocoop_fontaine/toilette-intime-gel-fraicheur-usage-quotidien-500ml-el1277-000.html","888888")</f>
        <v>888888</v>
      </c>
      <c r="G595" s="2"/>
      <c r="H595" s="9" t="str">
        <f>HYPERLINK("https://satoriz-comboire.bio/products/pr1080","20.8")</f>
        <v>20.8</v>
      </c>
      <c r="I595" s="2"/>
      <c r="J595" s="9" t="str">
        <f>HYPERLINK("https://www.greenweez.com/produit/gel-intime-200ml/1AVRI0350","23.4")</f>
        <v>23.4</v>
      </c>
      <c r="K595" s="2"/>
      <c r="L595" s="7" t="str">
        <f>HYPERLINK("https://metabase.lelefan.org/public/dashboard/53c41f3f-5644-466e-935e-897e7725f6bc?rayon=&amp;d%25C3%25A9signation=GEL INTIME&amp;fournisseur=&amp;date_d%25C3%25A9but=&amp;date_fin=","18.75")</f>
        <v>18.75</v>
      </c>
      <c r="M595" s="2"/>
      <c r="N595" s="7" t="str">
        <f>HYPERLINK("https://fd11-courses.leclercdrive.fr/magasin-063801-063801-Echirolles---Comboire/fiche-produits-115527-Gel-de-toilette-intime-Bionaia.aspx","12.95")</f>
        <v>12.95</v>
      </c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1" t="s">
        <v>829</v>
      </c>
      <c r="B596" s="7" t="str">
        <f>HYPERLINK("https://lafourche.fr/products/tadam-serviettes-dermo-sensitives-maxi-normal-18unite","0.14")</f>
        <v>0.14</v>
      </c>
      <c r="C596" s="10">
        <v>0.0</v>
      </c>
      <c r="D596" s="9" t="str">
        <f>HYPERLINK("https://www.biocoop.fr/magasin-biocoop_champollion/serviettes-ultra-regular-14-bo2111-000.html","0.23")</f>
        <v>0.23</v>
      </c>
      <c r="E596" s="10">
        <v>0.0</v>
      </c>
      <c r="F596" s="9" t="str">
        <f>HYPERLINK("https://www.biocoop.fr/magasin-biocoop_fontaine/serviettes-ultra-regular-14-bo2111-000.html","0.23")</f>
        <v>0.23</v>
      </c>
      <c r="G596" s="10">
        <v>0.0</v>
      </c>
      <c r="H596" s="9" t="str">
        <f>HYPERLINK("https://satoriz-comboire.bio/collections/soins-beaute/products/pu627","0.24")</f>
        <v>0.24</v>
      </c>
      <c r="I596" s="10">
        <v>0.0</v>
      </c>
      <c r="J596" s="9" t="str">
        <f>HYPERLINK("https://www.greenweez.com/produit/14-serviettes-normales-hypoallergeniques-0-ultra-avec-ailette/2LOVE0028","0.2")</f>
        <v>0.2</v>
      </c>
      <c r="K596" s="8">
        <v>-0.0476</v>
      </c>
      <c r="L596" s="9" t="str">
        <f>HYPERLINK("https://metabase.lelefan.org/public/dashboard/53c41f3f-5644-466e-935e-897e7725f6bc?rayon=&amp;d%25C3%25A9signation=SERVIETTE ULTRA NORMALE&amp;fournisseur=&amp;date_d%25C3%25A9but=&amp;date_fin=","0.28")</f>
        <v>0.28</v>
      </c>
      <c r="M596" s="2"/>
      <c r="N596" s="9" t="str">
        <f>HYPERLINK("https://fd11-courses.leclercdrive.fr/magasin-063801-063801-Echirolles---Comboire/fiche-produits-120428-Serviette-ecolo-Uni-Vert.aspx","0.13")</f>
        <v>0.13</v>
      </c>
      <c r="O596" s="2"/>
      <c r="P596" s="1">
        <v>8.0</v>
      </c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1" t="s">
        <v>830</v>
      </c>
      <c r="B597" s="9" t="str">
        <f>HYPERLINK("https://lafourche.fr/products/tadam-serviettes-dermo-sensitives-ultra-nuit-plus-10unite","0.25")</f>
        <v>0.25</v>
      </c>
      <c r="C597" s="10">
        <v>0.0</v>
      </c>
      <c r="D597" s="16">
        <v>888888.0</v>
      </c>
      <c r="E597" s="2"/>
      <c r="F597" s="16">
        <v>888888.0</v>
      </c>
      <c r="G597" s="2"/>
      <c r="H597" s="9" t="str">
        <f>HYPERLINK("https://satoriz-comboire.bio/collections/soins-beaute/products/pu6210","0.43")</f>
        <v>0.43</v>
      </c>
      <c r="I597" s="10">
        <v>0.0</v>
      </c>
      <c r="J597" s="7" t="str">
        <f>HYPERLINK("https://www.greenweez.com/produit/serviettes-maxi-nuit-hypoallergeniques-pliees-x12/2LOVE0059","0.24")</f>
        <v>0.24</v>
      </c>
      <c r="K597" s="8">
        <v>-0.04</v>
      </c>
      <c r="L597" s="9" t="str">
        <f>HYPERLINK("https://metabase.lelefan.org/public/dashboard/53c41f3f-5644-466e-935e-897e7725f6bc?rayon=&amp;d%25C3%25A9signation=SERVIETTE MAXI PADS NIGHT TIME&amp;fournisseur=&amp;date_d%25C3%25A9but=&amp;date_fin=","888888")</f>
        <v>888888</v>
      </c>
      <c r="M597" s="2"/>
      <c r="N597" s="16">
        <v>888888.0</v>
      </c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1" t="s">
        <v>831</v>
      </c>
      <c r="B598" s="7" t="str">
        <f>HYPERLINK("https://lafourche.fr/products/tadam-protege-lingerie-dermo-sensitif-normal-24unite","0.1")</f>
        <v>0.1</v>
      </c>
      <c r="C598" s="10">
        <v>0.0</v>
      </c>
      <c r="D598" s="16">
        <v>888888.0</v>
      </c>
      <c r="E598" s="2"/>
      <c r="F598" s="16">
        <v>888888.0</v>
      </c>
      <c r="G598" s="2"/>
      <c r="H598" s="9" t="str">
        <f>HYPERLINK("https://satoriz-comboire.bio/collections/soins-beaute/products/eu5844","0.16")</f>
        <v>0.16</v>
      </c>
      <c r="I598" s="10">
        <v>0.0</v>
      </c>
      <c r="J598" s="7" t="str">
        <f>HYPERLINK("https://www.greenweez.com/produit/30-protege-slips-hypoallergeniques-0/2LOVE0027","0.1")</f>
        <v>0.1</v>
      </c>
      <c r="K598" s="10">
        <v>0.0</v>
      </c>
      <c r="L598" s="9" t="str">
        <f>HYPERLINK("https://metabase.lelefan.org/public/dashboard/53c41f3f-5644-466e-935e-897e7725f6bc?rayon=&amp;d%25C3%25A9signation=PROTEGE-SLIP NORMAL X18&amp;fournisseur=&amp;date_d%25C3%25A9but=&amp;date_fin=","0.14")</f>
        <v>0.14</v>
      </c>
      <c r="M598" s="2"/>
      <c r="N598" s="9" t="str">
        <f>HYPERLINK("https://fd11-courses.leclercdrive.fr/magasin-063801-063801-Echirolles---Comboire/fiche-produits-120426-Protege-slip-ecolo-Uni-vert.aspx","0.07")</f>
        <v>0.07</v>
      </c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1" t="s">
        <v>832</v>
      </c>
      <c r="B599" s="7" t="str">
        <f>HYPERLINK("https://lafourche.fr/products/tadam-serviettes-dermo-sensitives-ultra-super-plus-12unite","0.21")</f>
        <v>0.21</v>
      </c>
      <c r="C599" s="10">
        <v>0.0</v>
      </c>
      <c r="D599" s="9" t="str">
        <f>HYPERLINK("https://www.biocoop.fr/magasin-biocoop_champollion/serviettes-ultra-super-12-bo2116-000.html","0.29")</f>
        <v>0.29</v>
      </c>
      <c r="E599" s="10">
        <v>0.0</v>
      </c>
      <c r="F599" s="9" t="str">
        <f>HYPERLINK("https://www.biocoop.fr/magasin-biocoop_fontaine/serviettes-ultra-super-12-bo2116-000.html","0.3")</f>
        <v>0.3</v>
      </c>
      <c r="G599" s="10">
        <v>0.0</v>
      </c>
      <c r="H599" s="9" t="str">
        <f>HYPERLINK("https://satoriz-comboire.bio/collections/soins-beaute/products/pu628","0.28")</f>
        <v>0.28</v>
      </c>
      <c r="I599" s="10">
        <v>0.0</v>
      </c>
      <c r="J599" s="7" t="str">
        <f>HYPERLINK("https://www.greenweez.com/produit/serviettes-hypoallergeniques-maxi-super-x14-sans-ailettes/2LOVE0070","0.21")</f>
        <v>0.21</v>
      </c>
      <c r="K599" s="8">
        <v>-0.087</v>
      </c>
      <c r="L599" s="9" t="str">
        <f>HYPERLINK("https://metabase.lelefan.org/public/dashboard/53c41f3f-5644-466e-935e-897e7725f6bc?rayon=&amp;d%25C3%25A9signation=SERVIETTE ULTRA SUPER&amp;fournisseur=&amp;date_d%25C3%25A9but=&amp;date_fin=","0.32")</f>
        <v>0.32</v>
      </c>
      <c r="M599" s="2"/>
      <c r="N599" s="7" t="str">
        <f>HYPERLINK("https://fd11-courses.leclercdrive.fr/magasin-063801-063801-Echirolles---Comboire/fiche-produits-120429-Serviette-ecolo-Uni-vert.aspx","0.11")</f>
        <v>0.11</v>
      </c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1" t="s">
        <v>833</v>
      </c>
      <c r="B600" s="7" t="str">
        <f>HYPERLINK("https://lafourche.fr/products/tampon-normal-avec-applicateur-x16","0.25")</f>
        <v>0.25</v>
      </c>
      <c r="C600" s="10">
        <v>0.0</v>
      </c>
      <c r="D600" s="9" t="str">
        <f>HYPERLINK("https://www.biocoop.fr/magasin-biocoop_champollion/tampons-regular-avec-applicateur-16-bo2103-000.html","0.3")</f>
        <v>0.3</v>
      </c>
      <c r="E600" s="10">
        <v>0.0</v>
      </c>
      <c r="F600" s="9" t="str">
        <f>HYPERLINK("https://www.biocoop.fr/magasin-biocoop_fontaine/tampons-regular-avec-applicateur-16-bo2103-000.html","0.33")</f>
        <v>0.33</v>
      </c>
      <c r="G600" s="11">
        <v>0.0313</v>
      </c>
      <c r="H600" s="9" t="str">
        <f>HYPERLINK("https://satoriz-comboire.bio/collections/soins-beaute/products/pu624","0.31")</f>
        <v>0.31</v>
      </c>
      <c r="I600" s="10">
        <v>0.0</v>
      </c>
      <c r="J600" s="9" t="str">
        <f>HYPERLINK("https://www.greenweez.com/produit/tampons-normal-avec-applicateur-x16/1NATR0018","888888")</f>
        <v>888888</v>
      </c>
      <c r="K600" s="18" t="s">
        <v>56</v>
      </c>
      <c r="L600" s="9" t="str">
        <f>HYPERLINK("https://metabase.lelefan.org/public/dashboard/53c41f3f-5644-466e-935e-897e7725f6bc?rayon=&amp;d%25C3%25A9signation=TAMPON NORMAL AVEC APPLICATEUR&amp;fournisseur=&amp;date_d%25C3%25A9but=&amp;date_fin=","0.29")</f>
        <v>0.29</v>
      </c>
      <c r="M600" s="2"/>
      <c r="N600" s="16">
        <v>888888.0</v>
      </c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1" t="s">
        <v>834</v>
      </c>
      <c r="B601" s="7" t="str">
        <f>HYPERLINK("https://lafourche.fr/products/natracare-tampon-normal-en-coton-bio-sans-applicateur-x20","0.17")</f>
        <v>0.17</v>
      </c>
      <c r="C601" s="10">
        <v>0.0</v>
      </c>
      <c r="D601" s="9" t="str">
        <f>HYPERLINK("https://www.biocoop.fr/magasin-biocoop_champollion/tampons-regular-sans-applicateur-20-bo2100-000.html","0.19")</f>
        <v>0.19</v>
      </c>
      <c r="E601" s="10">
        <v>0.0</v>
      </c>
      <c r="F601" s="9" t="str">
        <f>HYPERLINK("https://www.biocoop.fr/magasin-biocoop_fontaine/tampons-regular-sans-applicateur-20-bo2100-000.html","0.19")</f>
        <v>0.19</v>
      </c>
      <c r="G601" s="10">
        <v>0.0</v>
      </c>
      <c r="H601" s="9" t="str">
        <f>HYPERLINK("https://satoriz-comboire.bio/collections/soins-beaute/products/pu6213","0.2")</f>
        <v>0.2</v>
      </c>
      <c r="I601" s="10">
        <v>0.0</v>
      </c>
      <c r="J601" s="9" t="str">
        <f>HYPERLINK("https://www.greenweez.com/produit/tampons-normal-sans-applicateur-x20/1NATR0016","0.18")</f>
        <v>0.18</v>
      </c>
      <c r="K601" s="10">
        <v>0.0</v>
      </c>
      <c r="L601" s="9" t="str">
        <f>HYPERLINK("https://metabase.lelefan.org/public/dashboard/53c41f3f-5644-466e-935e-897e7725f6bc?rayon=&amp;d%25C3%25A9signation=TAMPON NORMAL SANS APPLICATEUR&amp;fournisseur=&amp;date_d%25C3%25A9but=&amp;date_fin=","0.19")</f>
        <v>0.19</v>
      </c>
      <c r="M601" s="2"/>
      <c r="N601" s="16">
        <v>888888.0</v>
      </c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1" t="s">
        <v>835</v>
      </c>
      <c r="B602" s="7" t="str">
        <f>HYPERLINK("https://lafourche.fr/products/tampon-super-avec-applicateur-x16","0.27")</f>
        <v>0.27</v>
      </c>
      <c r="C602" s="10">
        <v>0.0</v>
      </c>
      <c r="D602" s="16">
        <v>888888.0</v>
      </c>
      <c r="E602" s="2"/>
      <c r="F602" s="16">
        <v>888888.0</v>
      </c>
      <c r="G602" s="2"/>
      <c r="H602" s="9" t="str">
        <f>HYPERLINK("https://satoriz-comboire.bio/collections/soins-beaute/products/eu5847","0.41")</f>
        <v>0.41</v>
      </c>
      <c r="I602" s="10">
        <v>0.0</v>
      </c>
      <c r="J602" s="9" t="str">
        <f>HYPERLINK("https://www.greenweez.com/produit/tampons-super-avec-applicateur-x16/1NATR0020","0.28")</f>
        <v>0.28</v>
      </c>
      <c r="K602" s="10">
        <v>0.0</v>
      </c>
      <c r="L602" s="9" t="str">
        <f>HYPERLINK("https://metabase.lelefan.org/public/dashboard/53c41f3f-5644-466e-935e-897e7725f6bc?rayon=&amp;d%25C3%25A9signation=TAMPON SUPER AVEC APPLICATEUR&amp;fournisseur=&amp;date_d%25C3%25A9but=&amp;date_fin=","0.31")</f>
        <v>0.31</v>
      </c>
      <c r="M602" s="2"/>
      <c r="N602" s="16">
        <v>888888.0</v>
      </c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1" t="s">
        <v>836</v>
      </c>
      <c r="B603" s="7" t="str">
        <f>HYPERLINK("https://lafourche.fr/products/natracare-tampon-super-en-coton-bio-sans-applicateur-x20","0.18")</f>
        <v>0.18</v>
      </c>
      <c r="C603" s="10">
        <v>0.0</v>
      </c>
      <c r="D603" s="9" t="str">
        <f>HYPERLINK("https://www.biocoop.fr/magasin-biocoop_champollion/tampon-super-20-bo2101-000.html","888888")</f>
        <v>888888</v>
      </c>
      <c r="E603" s="17">
        <v>0.0</v>
      </c>
      <c r="F603" s="9" t="str">
        <f>HYPERLINK("https://www.biocoop.fr/magasin-biocoop_fontaine/tampon-super-20-bo2101-000.html","0.24")</f>
        <v>0.24</v>
      </c>
      <c r="G603" s="10">
        <v>0.0</v>
      </c>
      <c r="H603" s="9" t="str">
        <f>HYPERLINK("https://satoriz-comboire.bio/collections/soins-beaute/products/eu5850","0.28")</f>
        <v>0.28</v>
      </c>
      <c r="I603" s="10">
        <v>0.0</v>
      </c>
      <c r="J603" s="9" t="str">
        <f>HYPERLINK("https://www.greenweez.com/produit/tampons-super-sans-applicateur-x20/1NATR0019","0.2")</f>
        <v>0.2</v>
      </c>
      <c r="K603" s="11">
        <v>0.0526</v>
      </c>
      <c r="L603" s="9" t="str">
        <f>HYPERLINK("https://metabase.lelefan.org/public/dashboard/53c41f3f-5644-466e-935e-897e7725f6bc?rayon=&amp;d%25C3%25A9signation=TAMPON SUPER SANS APPLICATEUR&amp;fournisseur=&amp;date_d%25C3%25A9but=&amp;date_fin=","0.21")</f>
        <v>0.21</v>
      </c>
      <c r="M603" s="2"/>
      <c r="N603" s="16">
        <v>888888.0</v>
      </c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5" t="s">
        <v>837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1" t="s">
        <v>838</v>
      </c>
      <c r="B605" s="9" t="str">
        <f>HYPERLINK("https://lafourche.fr/products/acorelle-creme-solaire-visage-spf50-0-05l","339.8")</f>
        <v>339.8</v>
      </c>
      <c r="C605" s="2"/>
      <c r="D605" s="7" t="str">
        <f>HYPERLINK("https://www.biocoop.fr/magasin-biocoop_champollion/spray-solaire-spf50-visage-corps-125ml-as5020-000.html","152.8")</f>
        <v>152.8</v>
      </c>
      <c r="E605" s="2"/>
      <c r="F605" s="9" t="str">
        <f>HYPERLINK("https://www.biocoop.fr/magasin-biocoop_fontaine/creme-solaire-visage-spf50-50g-as5021-000.html","272.0")</f>
        <v>272.0</v>
      </c>
      <c r="G605" s="2"/>
      <c r="H605" s="9" t="str">
        <f>HYPERLINK("https://satoriz-comboire.bio/products/aco4611","375.0")</f>
        <v>375.0</v>
      </c>
      <c r="I605" s="2"/>
      <c r="J605" s="9" t="str">
        <f>HYPERLINK("https://www.greenweez.com/produit/creme-solaire-visage-spf50-50ml-2/2APLH0110","291.8")</f>
        <v>291.8</v>
      </c>
      <c r="K605" s="2"/>
      <c r="L605" s="9" t="str">
        <f>HYPERLINK("https://metabase.lelefan.org/public/dashboard/53c41f3f-5644-466e-935e-897e7725f6bc?rayon=&amp;d%25C3%25A9signation=CREME SOLAIRE VISAGE SPF 50&amp;fournisseur=&amp;date_d%25C3%25A9but=&amp;date_fin=","255.0")</f>
        <v>255.0</v>
      </c>
      <c r="M605" s="2"/>
      <c r="N605" s="16">
        <v>888888.0</v>
      </c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1" t="s">
        <v>839</v>
      </c>
      <c r="B608" s="1" t="str">
        <f>SUMPRODUCT($P5:$P607*B5:B607)</f>
        <v>#VALUE!</v>
      </c>
      <c r="C608" s="2"/>
      <c r="D608" s="1" t="str">
        <f>SUMPRODUCT($P5:$P607*D5:D607)</f>
        <v>#VALUE!</v>
      </c>
      <c r="E608" s="2"/>
      <c r="F608" s="1" t="str">
        <f>SUMPRODUCT($P5:$P607*F5:F607)</f>
        <v>#VALUE!</v>
      </c>
      <c r="G608" s="2"/>
      <c r="H608" s="1" t="str">
        <f>SUMPRODUCT($P5:$P607*H5:H607)</f>
        <v>#VALUE!</v>
      </c>
      <c r="I608" s="2"/>
      <c r="J608" s="1" t="str">
        <f>SUMPRODUCT($P5:$P607*J5:J607)</f>
        <v>#VALUE!</v>
      </c>
      <c r="K608" s="2"/>
      <c r="L608" s="1" t="str">
        <f>SUMPRODUCT($P5:$P607*L5:L607)</f>
        <v>#VALUE!</v>
      </c>
      <c r="M608" s="2"/>
      <c r="N608" s="2" t="str">
        <f>SUMPRODUCT($P5:$P606*N5:N606)</f>
        <v>#VALUE!</v>
      </c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5.75" customHeight="1">
      <c r="A1" s="23" t="s">
        <v>840</v>
      </c>
      <c r="B1" s="24" t="s">
        <v>841</v>
      </c>
    </row>
    <row r="2" ht="15.75" customHeight="1">
      <c r="A2" s="23" t="s">
        <v>842</v>
      </c>
      <c r="B2" s="24" t="s">
        <v>841</v>
      </c>
    </row>
    <row r="3" ht="15.75" customHeight="1">
      <c r="A3" s="23" t="s">
        <v>843</v>
      </c>
      <c r="B3" s="24" t="s">
        <v>844</v>
      </c>
    </row>
    <row r="4" ht="15.75" customHeight="1">
      <c r="A4" s="23" t="s">
        <v>845</v>
      </c>
      <c r="B4" s="24" t="s">
        <v>841</v>
      </c>
    </row>
    <row r="5" ht="15.75" customHeight="1">
      <c r="A5" s="23" t="s">
        <v>846</v>
      </c>
      <c r="B5" s="24" t="s">
        <v>847</v>
      </c>
    </row>
    <row r="6" ht="15.75" customHeight="1">
      <c r="A6" s="23" t="s">
        <v>848</v>
      </c>
      <c r="B6" s="24" t="s">
        <v>849</v>
      </c>
    </row>
    <row r="7" ht="15.75" customHeight="1">
      <c r="A7" s="23" t="s">
        <v>850</v>
      </c>
      <c r="B7" s="24" t="s">
        <v>847</v>
      </c>
    </row>
    <row r="8" ht="27.0" customHeight="1">
      <c r="A8" s="23" t="s">
        <v>851</v>
      </c>
      <c r="B8" s="24" t="s">
        <v>852</v>
      </c>
    </row>
    <row r="9" ht="15.75" customHeight="1">
      <c r="A9" s="23" t="s">
        <v>853</v>
      </c>
      <c r="B9" s="24" t="s">
        <v>841</v>
      </c>
    </row>
    <row r="10" ht="15.75" customHeight="1">
      <c r="A10" s="23" t="s">
        <v>854</v>
      </c>
      <c r="B10" s="24" t="s">
        <v>855</v>
      </c>
    </row>
    <row r="11" ht="15.75" customHeight="1">
      <c r="A11" s="23" t="s">
        <v>856</v>
      </c>
      <c r="B11" s="24" t="s">
        <v>847</v>
      </c>
    </row>
    <row r="12" ht="15.75" customHeight="1">
      <c r="A12" s="23" t="s">
        <v>857</v>
      </c>
      <c r="B12" s="24" t="s">
        <v>858</v>
      </c>
    </row>
    <row r="13" ht="15.75" customHeight="1">
      <c r="A13" s="23" t="s">
        <v>859</v>
      </c>
      <c r="B13" s="24" t="s">
        <v>860</v>
      </c>
    </row>
    <row r="14" ht="27.0" customHeight="1">
      <c r="A14" s="23" t="s">
        <v>861</v>
      </c>
      <c r="B14" s="24" t="s">
        <v>852</v>
      </c>
    </row>
    <row r="15" ht="15.75" customHeight="1">
      <c r="A15" s="23" t="s">
        <v>862</v>
      </c>
      <c r="B15" s="24" t="s">
        <v>841</v>
      </c>
    </row>
    <row r="16" ht="15.75" customHeight="1">
      <c r="A16" s="23" t="s">
        <v>863</v>
      </c>
      <c r="B16" s="24" t="s">
        <v>841</v>
      </c>
    </row>
    <row r="17" ht="15.75" customHeight="1">
      <c r="A17" s="23" t="s">
        <v>864</v>
      </c>
      <c r="B17" s="24" t="s">
        <v>841</v>
      </c>
    </row>
    <row r="18" ht="27.0" customHeight="1">
      <c r="A18" s="23" t="s">
        <v>865</v>
      </c>
      <c r="B18" s="24" t="s">
        <v>866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6" width="8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4.25" customHeight="1"/>
    <row r="3" ht="14.25" customHeight="1">
      <c r="A3" s="3" t="s">
        <v>15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14.25" customHeight="1">
      <c r="A4" s="5" t="s">
        <v>16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ht="14.25" customHeight="1">
      <c r="A5" s="1" t="s">
        <v>17</v>
      </c>
      <c r="B5" s="7" t="str">
        <f>HYPERLINK("https://lafourche.fr/products/la-fourche-boisson-avoine-bio-8x1l-8l","1.5")</f>
        <v>1.5</v>
      </c>
      <c r="C5" s="25" t="s">
        <v>867</v>
      </c>
      <c r="D5" s="9" t="str">
        <f t="shared" ref="D5:D6" si="1">HYPERLINK("https://www.biocoop.fr/magasin-biocoop_champollion/boisson-avoine-naturel-1l-tb0026-000.html","1.85")</f>
        <v>1.85</v>
      </c>
      <c r="E5" s="26" t="s">
        <v>868</v>
      </c>
      <c r="F5" s="9" t="str">
        <f t="shared" ref="F5:F6" si="2">HYPERLINK("https://www.biocoop.fr/magasin-biocoop_fontaine/boisson-avoine-naturel-1l-tb0026-000.html","888888")</f>
        <v>888888</v>
      </c>
      <c r="G5" s="18" t="s">
        <v>56</v>
      </c>
      <c r="H5" s="9" t="str">
        <f t="shared" ref="H5:H6" si="3">HYPERLINK("https://satoriz-comboire.bio/collections/boissons-sans-alcools/products/lbt259","1.7")</f>
        <v>1.7</v>
      </c>
      <c r="I5" s="1" t="s">
        <v>869</v>
      </c>
      <c r="J5" s="9" t="str">
        <f t="shared" ref="J5:J6" si="4">HYPERLINK("https://www.greenweez.com/produit/boisson-vegetale-avoine-sans-sucres-1l/3EVER0147","1.89")</f>
        <v>1.89</v>
      </c>
      <c r="K5" s="1" t="s">
        <v>869</v>
      </c>
      <c r="L5" s="9" t="str">
        <f t="shared" ref="L5:L6" si="5">HYPERLINK("https://metabase.lelefan.org/public/dashboard/53c41f3f-5644-466e-935e-897e7725f6bc?rayon=&amp;d%25C3%25A9signation=LAIT D AVOINE MARKAL&amp;fournisseur=&amp;date_d%25C3%25A9but=&amp;date_fin=","2.53")</f>
        <v>2.53</v>
      </c>
      <c r="M5" s="26" t="s">
        <v>870</v>
      </c>
      <c r="N5" s="9" t="str">
        <f t="shared" ref="N5:N6" si="6">HYPERLINK("https://fd11-courses.leclercdrive.fr/magasin-063801-063801-Echirolles---Comboire/fiche-produits-42298-Boisson-Avoine-bio-Bio-Village.aspx","1.53")</f>
        <v>1.53</v>
      </c>
    </row>
    <row r="6" ht="14.25" customHeight="1">
      <c r="A6" s="1" t="s">
        <v>21</v>
      </c>
      <c r="B6" s="9" t="str">
        <f>HYPERLINK("https://lafourche.fr/products/la-fourche-boisson-avoine-bio-1l","1.54")</f>
        <v>1.54</v>
      </c>
      <c r="C6" s="25" t="s">
        <v>871</v>
      </c>
      <c r="D6" s="9" t="str">
        <f t="shared" si="1"/>
        <v>1.85</v>
      </c>
      <c r="E6" s="26" t="s">
        <v>868</v>
      </c>
      <c r="F6" s="9" t="str">
        <f t="shared" si="2"/>
        <v>888888</v>
      </c>
      <c r="G6" s="18" t="s">
        <v>56</v>
      </c>
      <c r="H6" s="9" t="str">
        <f t="shared" si="3"/>
        <v>1.7</v>
      </c>
      <c r="I6" s="1" t="s">
        <v>869</v>
      </c>
      <c r="J6" s="9" t="str">
        <f t="shared" si="4"/>
        <v>1.89</v>
      </c>
      <c r="K6" s="1" t="s">
        <v>869</v>
      </c>
      <c r="L6" s="9" t="str">
        <f t="shared" si="5"/>
        <v>2.53</v>
      </c>
      <c r="M6" s="26" t="s">
        <v>870</v>
      </c>
      <c r="N6" s="7" t="str">
        <f t="shared" si="6"/>
        <v>1.53</v>
      </c>
    </row>
    <row r="7" ht="14.25" customHeight="1">
      <c r="A7" s="1" t="s">
        <v>23</v>
      </c>
      <c r="B7" s="7" t="str">
        <f>HYPERLINK("https://lafourche.fr/products/la-fourche-boisson-riz-bio-8x1l-8l","1.46")</f>
        <v>1.46</v>
      </c>
      <c r="C7" s="1" t="s">
        <v>869</v>
      </c>
      <c r="D7" s="9" t="str">
        <f t="shared" ref="D7:D8" si="7">HYPERLINK("https://www.biocoop.fr/magasin-biocoop_champollion/boisson-de-riz-naturel-1l-tb0036-000.html","1.67")</f>
        <v>1.67</v>
      </c>
      <c r="E7" s="26" t="s">
        <v>872</v>
      </c>
      <c r="F7" s="9" t="str">
        <f t="shared" ref="F7:F8" si="8">HYPERLINK("https://www.biocoop.fr/magasin-biocoop_fontaine/boisson-riz-nature-1l-tb0038-000.html","1.8")</f>
        <v>1.8</v>
      </c>
      <c r="G7" s="26" t="s">
        <v>873</v>
      </c>
      <c r="H7" s="9" t="str">
        <f t="shared" ref="H7:H8" si="9">HYPERLINK("https://satoriz-comboire.bio/collections/boissons-sans-alcools/products/in1","1.6")</f>
        <v>1.6</v>
      </c>
      <c r="I7" s="25" t="s">
        <v>874</v>
      </c>
      <c r="J7" s="9" t="str">
        <f>HYPERLINK("https://www.greenweez.com/produit/lot-de-6-boissons-vegetales-riz-sans-sucre-1l/1PACK3637","888888")</f>
        <v>888888</v>
      </c>
      <c r="K7" s="18" t="s">
        <v>56</v>
      </c>
      <c r="L7" s="9" t="str">
        <f t="shared" ref="L7:L8" si="10">HYPERLINK("https://metabase.lelefan.org/public/dashboard/53c41f3f-5644-466e-935e-897e7725f6bc?rayon=&amp;d%25C3%25A9signation=LAIT DE RIZ MARKAL&amp;fournisseur=&amp;date_d%25C3%25A9but=&amp;date_fin=","2.49")</f>
        <v>2.49</v>
      </c>
      <c r="M7" s="26" t="s">
        <v>875</v>
      </c>
      <c r="N7" s="9" t="str">
        <f t="shared" ref="N7:N8" si="11">HYPERLINK("https://fd11-courses.leclercdrive.fr/magasin-063801-063801-Echirolles---Comboire/fiche-produits-185999-Boisson-Riz-Nature-bio.aspx","1.62")</f>
        <v>1.62</v>
      </c>
    </row>
    <row r="8" ht="14.25" customHeight="1">
      <c r="A8" s="1" t="s">
        <v>26</v>
      </c>
      <c r="B8" s="7" t="str">
        <f>HYPERLINK("https://lafourche.fr/products/la-fourche-boisson-riz-bio-1l","1.54")</f>
        <v>1.54</v>
      </c>
      <c r="C8" s="25" t="s">
        <v>876</v>
      </c>
      <c r="D8" s="9" t="str">
        <f t="shared" si="7"/>
        <v>1.67</v>
      </c>
      <c r="E8" s="26" t="s">
        <v>872</v>
      </c>
      <c r="F8" s="9" t="str">
        <f t="shared" si="8"/>
        <v>1.8</v>
      </c>
      <c r="G8" s="26" t="s">
        <v>873</v>
      </c>
      <c r="H8" s="9" t="str">
        <f t="shared" si="9"/>
        <v>1.6</v>
      </c>
      <c r="I8" s="25" t="s">
        <v>874</v>
      </c>
      <c r="J8" s="9" t="str">
        <f>HYPERLINK("https://www.greenweez.com/produit/boisson-vegetale-riz-sans-sucre-1l/2WEEZ0312","888888")</f>
        <v>888888</v>
      </c>
      <c r="K8" s="18" t="s">
        <v>56</v>
      </c>
      <c r="L8" s="9" t="str">
        <f t="shared" si="10"/>
        <v>2.49</v>
      </c>
      <c r="M8" s="26" t="s">
        <v>875</v>
      </c>
      <c r="N8" s="9" t="str">
        <f t="shared" si="11"/>
        <v>1.62</v>
      </c>
    </row>
    <row r="9" ht="14.25" customHeight="1">
      <c r="A9" s="1" t="s">
        <v>28</v>
      </c>
      <c r="B9" s="9" t="str">
        <f t="shared" ref="B9:B10" si="12">HYPERLINK("https://lafourche.fr/products/la-fourche-boisson-a-lamande-intense-bio-1l","2.7")</f>
        <v>2.7</v>
      </c>
      <c r="C9" s="1" t="s">
        <v>869</v>
      </c>
      <c r="D9" s="9" t="str">
        <f t="shared" ref="D9:D10" si="13">HYPERLINK("https://www.biocoop.fr/magasin-biocoop_champollion/boisson-de-riz-amande-1l-tb0028-000.html","2.55")</f>
        <v>2.55</v>
      </c>
      <c r="E9" s="1" t="s">
        <v>869</v>
      </c>
      <c r="F9" s="9" t="str">
        <f t="shared" ref="F9:F10" si="14">HYPERLINK("https://www.biocoop.fr/magasin-biocoop_fontaine/boisson-amande-intense-1l-hm1044-000.html","2.85")</f>
        <v>2.85</v>
      </c>
      <c r="G9" s="1" t="s">
        <v>869</v>
      </c>
      <c r="H9" s="9" t="str">
        <f t="shared" ref="H9:H10" si="15">HYPERLINK("https://satoriz-comboire.bio/collections/boissons-sans-alcools/products/lbt235","2.95")</f>
        <v>2.95</v>
      </c>
      <c r="I9" s="1" t="s">
        <v>869</v>
      </c>
      <c r="J9" s="9" t="str">
        <f>HYPERLINK("https://www.greenweez.com/produit/lot-de-6-boissons-vegetales-amande-sans-sucre-1l/1PACK3639","888888")</f>
        <v>888888</v>
      </c>
      <c r="K9" s="18" t="s">
        <v>56</v>
      </c>
      <c r="L9" s="9" t="str">
        <f t="shared" ref="L9:L10" si="16">HYPERLINK("https://metabase.lelefan.org/public/dashboard/53c41f3f-5644-466e-935e-897e7725f6bc?rayon=&amp;d%25C3%25A9signation=BOISSON VEGETALE AMANDE INTENSE &amp;fournisseur=&amp;date_d%25C3%25A9but=&amp;date_fin=","2.27")</f>
        <v>2.27</v>
      </c>
      <c r="M9" s="1" t="s">
        <v>869</v>
      </c>
      <c r="N9" s="7" t="str">
        <f t="shared" ref="N9:N10" si="17">HYPERLINK("https://fd11-courses.leclercdrive.fr/magasin-063801-063801-Echirolles---Comboire/fiche-produits-68986-Lait-damande-bio-Bio-Village.aspx","1.45")</f>
        <v>1.45</v>
      </c>
    </row>
    <row r="10" ht="14.25" customHeight="1">
      <c r="A10" s="1" t="s">
        <v>31</v>
      </c>
      <c r="B10" s="9" t="str">
        <f t="shared" si="12"/>
        <v>2.7</v>
      </c>
      <c r="C10" s="1" t="s">
        <v>869</v>
      </c>
      <c r="D10" s="9" t="str">
        <f t="shared" si="13"/>
        <v>2.55</v>
      </c>
      <c r="E10" s="1" t="s">
        <v>869</v>
      </c>
      <c r="F10" s="9" t="str">
        <f t="shared" si="14"/>
        <v>2.85</v>
      </c>
      <c r="G10" s="1" t="s">
        <v>869</v>
      </c>
      <c r="H10" s="9" t="str">
        <f t="shared" si="15"/>
        <v>2.95</v>
      </c>
      <c r="I10" s="1" t="s">
        <v>869</v>
      </c>
      <c r="J10" s="9" t="str">
        <f>HYPERLINK("https://www.greenweez.com/produit/boisson-vegetale-amande-sans-sucre-1l/2WEEZ0314","888888")</f>
        <v>888888</v>
      </c>
      <c r="K10" s="18" t="s">
        <v>56</v>
      </c>
      <c r="L10" s="9" t="str">
        <f t="shared" si="16"/>
        <v>2.27</v>
      </c>
      <c r="M10" s="1" t="s">
        <v>869</v>
      </c>
      <c r="N10" s="7" t="str">
        <f t="shared" si="17"/>
        <v>1.45</v>
      </c>
    </row>
    <row r="11" ht="14.25" customHeight="1">
      <c r="A11" s="1" t="s">
        <v>33</v>
      </c>
      <c r="B11" s="9" t="str">
        <f>HYPERLINK("https://lafourche.fr/products/la-fourche-boisson-soja-bio-1l","1.23")</f>
        <v>1.23</v>
      </c>
      <c r="C11" s="26" t="s">
        <v>877</v>
      </c>
      <c r="D11" s="9" t="str">
        <f>HYPERLINK("https://www.biocoop.fr/magasin-biocoop_champollion/boisson-soja-proteines-75cl-ti3049-000.html","3.33")</f>
        <v>3.33</v>
      </c>
      <c r="E11" s="1" t="s">
        <v>869</v>
      </c>
      <c r="F11" s="9" t="str">
        <f>HYPERLINK("https://www.biocoop.fr/magasin-biocoop_fontaine/boisson-soja-nature-1l-sy1723-000.html","1.55")</f>
        <v>1.55</v>
      </c>
      <c r="G11" s="26" t="s">
        <v>878</v>
      </c>
      <c r="H11" s="9" t="str">
        <f>HYPERLINK("https://satoriz-comboire.bio/collections/boissons-sans-alcools/products/re42896","1.5")</f>
        <v>1.5</v>
      </c>
      <c r="I11" s="25" t="s">
        <v>879</v>
      </c>
      <c r="J11" s="9" t="str">
        <f>HYPERLINK("https://www.greenweez.com/produit/boisson-vegetale-soja-nature-1l/1BTER0574","2.14")</f>
        <v>2.14</v>
      </c>
      <c r="K11" s="26" t="s">
        <v>880</v>
      </c>
      <c r="L11" s="9" t="str">
        <f>HYPERLINK("https://metabase.lelefan.org/public/dashboard/53c41f3f-5644-466e-935e-897e7725f6bc?rayon=&amp;d%25C3%25A9signation=BOISSON SOJA NATURE &amp;fournisseur=&amp;date_d%25C3%25A9but=&amp;date_fin=","1.49")</f>
        <v>1.49</v>
      </c>
      <c r="M11" s="25" t="s">
        <v>881</v>
      </c>
      <c r="N11" s="7" t="str">
        <f>HYPERLINK("https://fd11-courses.leclercdrive.fr/magasin-063801-063801-Echirolles---Comboire/fiche-produits-22804-Boisson-soja-bio-Bio-Village.aspx","0.88")</f>
        <v>0.88</v>
      </c>
    </row>
    <row r="12" ht="14.25" customHeight="1">
      <c r="A12" s="5" t="s">
        <v>35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ht="14.25" customHeight="1">
      <c r="A13" s="1" t="s">
        <v>36</v>
      </c>
      <c r="B13" s="9" t="str">
        <f>HYPERLINK("https://lafourche.fr/products/coteaux-nantais-jus-de-pommes-demeter-bib-bio-5l","2.55")</f>
        <v>2.55</v>
      </c>
      <c r="C13" s="1" t="s">
        <v>869</v>
      </c>
      <c r="D13" s="9" t="str">
        <f t="shared" ref="D13:D14" si="18">HYPERLINK("https://www.biocoop.fr/magasin-biocoop_champollion/jus-de-pomme-tetra-1l-ls4001-000.html","2.72")</f>
        <v>2.72</v>
      </c>
      <c r="E13" s="1" t="s">
        <v>869</v>
      </c>
      <c r="F13" s="9" t="str">
        <f t="shared" ref="F13:F14" si="19">HYPERLINK("https://www.biocoop.fr/magasin-biocoop_fontaine/jus-de-pomme-tetra-1l-ls4001-000.html","2.55")</f>
        <v>2.55</v>
      </c>
      <c r="G13" s="1" t="s">
        <v>869</v>
      </c>
      <c r="H13" s="9" t="str">
        <f t="shared" ref="H13:H14" si="20">HYPERLINK("https://satoriz-comboire.bio/collections/boissons-sans-alcools/products/vt4310292","3.2")</f>
        <v>3.2</v>
      </c>
      <c r="I13" s="25" t="s">
        <v>882</v>
      </c>
      <c r="J13" s="9" t="str">
        <f>HYPERLINK("https://www.greenweez.com/produit/lot-de-3-jus-de-pomme-bio-1l/1PACK3598","3.06")</f>
        <v>3.06</v>
      </c>
      <c r="K13" s="26" t="s">
        <v>883</v>
      </c>
      <c r="L13" s="9" t="str">
        <f>HYPERLINK("https://metabase.lelefan.org/public/dashboard/53c41f3f-5644-466e-935e-897e7725f6bc?rayon=&amp;d%25C3%25A9signation=JUS BIO DE POMME 5L&amp;fournisseur=&amp;date_d%25C3%25A9but=&amp;date_fin=","3.13")</f>
        <v>3.13</v>
      </c>
      <c r="M13" s="25" t="s">
        <v>884</v>
      </c>
      <c r="N13" s="7" t="str">
        <f t="shared" ref="N13:N14" si="21">HYPERLINK("https://fd11-courses.leclercdrive.fr/magasin-063801-063801-Echirolles---Comboire/fiche-produits-3310-Pur-jus-de-pomme-Bio-Village.aspx","1.49")</f>
        <v>1.49</v>
      </c>
      <c r="P13" s="1">
        <v>1.0</v>
      </c>
    </row>
    <row r="14" ht="14.25" customHeight="1">
      <c r="A14" s="1" t="s">
        <v>39</v>
      </c>
      <c r="B14" s="9" t="str">
        <f>HYPERLINK("https://lafourche.fr/products/pur-jus-de-pomme","2.55")</f>
        <v>2.55</v>
      </c>
      <c r="C14" s="1" t="s">
        <v>869</v>
      </c>
      <c r="D14" s="9" t="str">
        <f t="shared" si="18"/>
        <v>2.72</v>
      </c>
      <c r="E14" s="1" t="s">
        <v>869</v>
      </c>
      <c r="F14" s="9" t="str">
        <f t="shared" si="19"/>
        <v>2.55</v>
      </c>
      <c r="G14" s="1" t="s">
        <v>869</v>
      </c>
      <c r="H14" s="9" t="str">
        <f t="shared" si="20"/>
        <v>3.2</v>
      </c>
      <c r="I14" s="25" t="s">
        <v>882</v>
      </c>
      <c r="J14" s="9" t="str">
        <f>HYPERLINK("https://www.greenweez.com/produit/jus-de-pomme-bio-1l-2/2WEEZ0113","3.08")</f>
        <v>3.08</v>
      </c>
      <c r="K14" s="26" t="s">
        <v>885</v>
      </c>
      <c r="L14" s="9" t="str">
        <f>HYPERLINK("https://metabase.lelefan.org/public/dashboard/53c41f3f-5644-466e-935e-897e7725f6bc?rayon=&amp;d%25C3%25A9signation=JUS BIO DE POMME 1L&amp;fournisseur=&amp;date_d%25C3%25A9but=&amp;date_fin=","3.39")</f>
        <v>3.39</v>
      </c>
      <c r="M14" s="25" t="s">
        <v>886</v>
      </c>
      <c r="N14" s="7" t="str">
        <f t="shared" si="21"/>
        <v>1.49</v>
      </c>
      <c r="P14" s="1">
        <v>1.0</v>
      </c>
    </row>
    <row r="15" ht="14.25" customHeight="1">
      <c r="A15" s="1" t="s">
        <v>41</v>
      </c>
      <c r="B15" s="9" t="str">
        <f t="shared" ref="B15:B16" si="22">HYPERLINK("https://lafourche.fr/products/bio-pour-tous-pur-jus-dorange-bio-1l","3.15")</f>
        <v>3.15</v>
      </c>
      <c r="C15" s="1" t="s">
        <v>869</v>
      </c>
      <c r="D15" s="9" t="str">
        <f>HYPERLINK("https://www.biocoop.fr/magasin-biocoop_champollion/jus-orange-tetra-2l-em1007-000.html","3.4")</f>
        <v>3.4</v>
      </c>
      <c r="E15" s="25" t="s">
        <v>887</v>
      </c>
      <c r="F15" s="9" t="str">
        <f>HYPERLINK("https://www.biocoop.fr/magasin-biocoop_fontaine/jus-orange-tetra-2l-em1007-000.html","3.4")</f>
        <v>3.4</v>
      </c>
      <c r="G15" s="1" t="s">
        <v>869</v>
      </c>
      <c r="H15" s="9" t="str">
        <f t="shared" ref="H15:H16" si="23">HYPERLINK("https://satoriz-comboire.bio/collections/boissons-sans-alcools/products/re39815","3.25")</f>
        <v>3.25</v>
      </c>
      <c r="I15" s="1" t="s">
        <v>869</v>
      </c>
      <c r="J15" s="9" t="str">
        <f>HYPERLINK("https://www.greenweez.com/produit/lot-de-3-jus-dorange-bio-1l/1PACK3600","3.65")</f>
        <v>3.65</v>
      </c>
      <c r="K15" s="1" t="s">
        <v>869</v>
      </c>
      <c r="L15" s="9" t="str">
        <f t="shared" ref="L15:L16" si="24">HYPERLINK("https://metabase.lelefan.org/public/dashboard/53c41f3f-5644-466e-935e-897e7725f6bc?rayon=&amp;d%25C3%25A9signation=JUS D ORANGE DE GRECE BIO&amp;fournisseur=&amp;date_d%25C3%25A9but=&amp;date_fin=","4.33")</f>
        <v>4.33</v>
      </c>
      <c r="M15" s="1" t="s">
        <v>869</v>
      </c>
      <c r="N15" s="7" t="str">
        <f t="shared" ref="N15:N16" si="25">HYPERLINK("https://fd11-courses.leclercdrive.fr/magasin-063801-063801-Echirolles---Comboire/fiche-produits-5399-Pur-jus-dorange-Bio-Village.aspx","2.45")</f>
        <v>2.45</v>
      </c>
      <c r="P15" s="1">
        <v>1.0</v>
      </c>
    </row>
    <row r="16" ht="14.25" customHeight="1">
      <c r="A16" s="1" t="s">
        <v>44</v>
      </c>
      <c r="B16" s="9" t="str">
        <f t="shared" si="22"/>
        <v>3.15</v>
      </c>
      <c r="C16" s="1" t="s">
        <v>869</v>
      </c>
      <c r="D16" s="9" t="str">
        <f>HYPERLINK("https://www.biocoop.fr/magasin-biocoop_champollion/pur-jus-d-orange-1l-em1002-000.html","888888")</f>
        <v>888888</v>
      </c>
      <c r="E16" s="18" t="s">
        <v>56</v>
      </c>
      <c r="F16" s="9" t="str">
        <f>HYPERLINK("https://www.biocoop.fr/magasin-biocoop_fontaine/pur-jus-d-orange-1l-em1002-000.html","888888")</f>
        <v>888888</v>
      </c>
      <c r="G16" s="18" t="s">
        <v>56</v>
      </c>
      <c r="H16" s="9" t="str">
        <f t="shared" si="23"/>
        <v>3.25</v>
      </c>
      <c r="I16" s="1" t="s">
        <v>869</v>
      </c>
      <c r="J16" s="9" t="str">
        <f>HYPERLINK("https://www.greenweez.com/produit/jus-dorange-bio-1l-2/2WEEZ0115","3.68")</f>
        <v>3.68</v>
      </c>
      <c r="K16" s="25" t="s">
        <v>888</v>
      </c>
      <c r="L16" s="9" t="str">
        <f t="shared" si="24"/>
        <v>4.33</v>
      </c>
      <c r="M16" s="1" t="s">
        <v>869</v>
      </c>
      <c r="N16" s="7" t="str">
        <f t="shared" si="25"/>
        <v>2.45</v>
      </c>
    </row>
    <row r="17" ht="14.25" customHeight="1">
      <c r="A17" s="1" t="s">
        <v>48</v>
      </c>
      <c r="B17" s="9" t="str">
        <f t="shared" ref="B17:B18" si="26">HYPERLINK("https://lafourche.fr/products/vitamont-cocktail-kids-junior-bio-1l","3.5")</f>
        <v>3.5</v>
      </c>
      <c r="C17" s="25" t="s">
        <v>889</v>
      </c>
      <c r="D17" s="9" t="str">
        <f t="shared" ref="D17:D18" si="27">HYPERLINK("https://www.biocoop.fr/magasin-biocoop_champollion/jus-d-orange-mandarine-raisin-1l-ls4004-000.html","3.85")</f>
        <v>3.85</v>
      </c>
      <c r="E17" s="25" t="s">
        <v>890</v>
      </c>
      <c r="F17" s="9" t="str">
        <f t="shared" ref="F17:F18" si="28">HYPERLINK("https://www.biocoop.fr/magasin-biocoop_fontaine/cocktail-5-fruits-1l-vt4728-000.html","4.1")</f>
        <v>4.1</v>
      </c>
      <c r="G17" s="25" t="s">
        <v>891</v>
      </c>
      <c r="H17" s="9" t="str">
        <f t="shared" ref="H17:H18" si="29">HYPERLINK("https://satoriz-comboire.bio/collections/boissons-sans-alcools/products/re39816","3.6")</f>
        <v>3.6</v>
      </c>
      <c r="I17" s="1" t="s">
        <v>869</v>
      </c>
      <c r="J17" s="9" t="str">
        <f>HYPERLINK("https://www.greenweez.com/produit/lot-de-3-jus-multifruits-bio-1l/1PACK3599","3.85")</f>
        <v>3.85</v>
      </c>
      <c r="K17" s="1" t="s">
        <v>869</v>
      </c>
      <c r="L17" s="16">
        <v>888888.0</v>
      </c>
      <c r="N17" s="7" t="str">
        <f t="shared" ref="N17:N18" si="30">HYPERLINK("https://fd11-courses.leclercdrive.fr/magasin-063801-063801-Echirolles---Comboire/fiche-produits-113851-100-pur-Jus-bio-Bio-Village.aspx","2.87")</f>
        <v>2.87</v>
      </c>
    </row>
    <row r="18" ht="14.25" customHeight="1">
      <c r="A18" s="1" t="s">
        <v>52</v>
      </c>
      <c r="B18" s="9" t="str">
        <f t="shared" si="26"/>
        <v>3.5</v>
      </c>
      <c r="C18" s="25" t="s">
        <v>889</v>
      </c>
      <c r="D18" s="9" t="str">
        <f t="shared" si="27"/>
        <v>3.85</v>
      </c>
      <c r="E18" s="25" t="s">
        <v>890</v>
      </c>
      <c r="F18" s="9" t="str">
        <f t="shared" si="28"/>
        <v>4.1</v>
      </c>
      <c r="G18" s="25" t="s">
        <v>891</v>
      </c>
      <c r="H18" s="9" t="str">
        <f t="shared" si="29"/>
        <v>3.6</v>
      </c>
      <c r="I18" s="1" t="s">
        <v>869</v>
      </c>
      <c r="J18" s="9" t="str">
        <f>HYPERLINK("https://www.greenweez.com/produit/jus-multifruits-bio-1l-2/2WEEZ0114","3.88")</f>
        <v>3.88</v>
      </c>
      <c r="K18" s="25" t="s">
        <v>892</v>
      </c>
      <c r="L18" s="16">
        <v>888888.0</v>
      </c>
      <c r="N18" s="7" t="str">
        <f t="shared" si="30"/>
        <v>2.87</v>
      </c>
    </row>
    <row r="19" ht="14.25" customHeight="1">
      <c r="A19" s="1" t="s">
        <v>54</v>
      </c>
      <c r="B19" s="9" t="str">
        <f>HYPERLINK("https://lafourche.fr/products/vitamont-jus-matin-tonique-orange-sanguine-et-pamplemousse-1l-bio","3.95")</f>
        <v>3.95</v>
      </c>
      <c r="C19" s="25" t="s">
        <v>893</v>
      </c>
      <c r="D19" s="9" t="str">
        <f>HYPERLINK("https://www.biocoop.fr/magasin-biocoop_champollion/jus-de-raisin-rouge-1l-ls4005-000.html","2.8")</f>
        <v>2.8</v>
      </c>
      <c r="E19" s="26" t="s">
        <v>894</v>
      </c>
      <c r="F19" s="9" t="str">
        <f>HYPERLINK("https://www.biocoop.fr/magasin-biocoop_fontaine/jus-de-raisin-rouge-1l-ls4005-000.html","888888")</f>
        <v>888888</v>
      </c>
      <c r="G19" s="16" t="s">
        <v>869</v>
      </c>
      <c r="H19" s="9" t="str">
        <f>HYPERLINK("https://satoriz-comboire.bio/products/vt4310042","3.95")</f>
        <v>3.95</v>
      </c>
      <c r="I19" s="25" t="s">
        <v>895</v>
      </c>
      <c r="J19" s="9" t="str">
        <f>HYPERLINK("https://www.greenweez.com/produit/pur-jus-de-raisin-bio-tetra-pak-1l/5VITA0126","4.39")</f>
        <v>4.39</v>
      </c>
      <c r="K19" s="16" t="s">
        <v>896</v>
      </c>
      <c r="L19" s="9" t="str">
        <f>HYPERLINK("https://metabase.lelefan.org/public/dashboard/53c41f3f-5644-466e-935e-897e7725f6bc?rayon=&amp;d%25C3%25A9signation=JUS DE RAISIN NOIR 100%&amp;fournisseur=&amp;date_d%25C3%25A9but=&amp;date_fin=","888888")</f>
        <v>888888</v>
      </c>
      <c r="M19" s="16" t="s">
        <v>869</v>
      </c>
      <c r="N19" s="7" t="str">
        <f>HYPERLINK("https://fd11-courses.leclercdrive.fr/magasin-063801-063801-Echirolles---Comboire/fiche-produits-12470-Pur-Jus-de-raisin-Bio-Village.aspx","2.45")</f>
        <v>2.45</v>
      </c>
    </row>
    <row r="20" ht="14.25" customHeight="1">
      <c r="A20" s="5" t="s">
        <v>57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ht="14.25" customHeight="1">
      <c r="A21" s="1" t="s">
        <v>58</v>
      </c>
      <c r="B21" s="9" t="str">
        <f>HYPERLINK("https://lafourche.fr/products/la-fourche-lait-demi-ecreme-bio-et-equitable-6x1l-6l","1.11")</f>
        <v>1.11</v>
      </c>
      <c r="C21" s="1" t="s">
        <v>869</v>
      </c>
      <c r="D21" s="9" t="str">
        <f t="shared" ref="D21:D22" si="31">HYPERLINK("https://www.biocoop.fr/magasin-biocoop_champollion/lait-demi-ecreme-sterilise-uht-ad6922-000.html","1.2")</f>
        <v>1.2</v>
      </c>
      <c r="E21" s="1" t="s">
        <v>869</v>
      </c>
      <c r="F21" s="9" t="str">
        <f t="shared" ref="F21:F22" si="32">HYPERLINK("https://www.biocoop.fr/magasin-biocoop_fontaine/lait-demi-ecreme-sterilise-uht-1l-ad6923-000.html","1.15")</f>
        <v>1.15</v>
      </c>
      <c r="G21" s="1" t="s">
        <v>869</v>
      </c>
      <c r="H21" s="9" t="str">
        <f t="shared" ref="H21:H22" si="33">HYPERLINK("https://satoriz-comboire.bio/collections/produits-frais/products/cbvi6916","1.2")</f>
        <v>1.2</v>
      </c>
      <c r="I21" s="1" t="s">
        <v>869</v>
      </c>
      <c r="J21" s="9" t="str">
        <f t="shared" ref="J21:J22" si="34">HYPERLINK("https://www.greenweez.com/produit/lait-sterilise-uht-demi-ecreme-1l/1BTER0554","1.94")</f>
        <v>1.94</v>
      </c>
      <c r="K21" s="1" t="s">
        <v>869</v>
      </c>
      <c r="L21" s="9" t="str">
        <f t="shared" ref="L21:L22" si="35">HYPERLINK("https://metabase.lelefan.org/public/dashboard/53c41f3f-5644-466e-935e-897e7725f6bc?rayon=&amp;d%25C3%25A9signation=LAIT 1/2 ECREME ARDECHE UHT BIO&amp;fournisseur=&amp;date_d%25C3%25A9but=&amp;date_fin=","2.22")</f>
        <v>2.22</v>
      </c>
      <c r="M21" s="1" t="s">
        <v>869</v>
      </c>
      <c r="N21" s="7" t="str">
        <f>HYPERLINK("https://fd11-courses.leclercdrive.fr/magasin-063801-063801-Echirolles---Comboire/fiche-produits-97135-Lait-bio-Bio-Village-Brique.aspx","1.05")</f>
        <v>1.05</v>
      </c>
      <c r="P21" s="1">
        <v>3.0</v>
      </c>
    </row>
    <row r="22" ht="14.25" customHeight="1">
      <c r="A22" s="1" t="s">
        <v>60</v>
      </c>
      <c r="B22" s="7" t="str">
        <f>HYPERLINK("https://lafourche.fr/products/la-fourche-lait-demi-ecreme-bio-et-equitable-1l","1.11")</f>
        <v>1.11</v>
      </c>
      <c r="C22" s="1" t="s">
        <v>869</v>
      </c>
      <c r="D22" s="9" t="str">
        <f t="shared" si="31"/>
        <v>1.2</v>
      </c>
      <c r="E22" s="1" t="s">
        <v>869</v>
      </c>
      <c r="F22" s="9" t="str">
        <f t="shared" si="32"/>
        <v>1.15</v>
      </c>
      <c r="G22" s="1" t="s">
        <v>869</v>
      </c>
      <c r="H22" s="9" t="str">
        <f t="shared" si="33"/>
        <v>1.2</v>
      </c>
      <c r="I22" s="1" t="s">
        <v>869</v>
      </c>
      <c r="J22" s="9" t="str">
        <f t="shared" si="34"/>
        <v>1.94</v>
      </c>
      <c r="K22" s="1" t="s">
        <v>869</v>
      </c>
      <c r="L22" s="9" t="str">
        <f t="shared" si="35"/>
        <v>2.22</v>
      </c>
      <c r="M22" s="1" t="s">
        <v>869</v>
      </c>
      <c r="N22" s="9" t="str">
        <f>HYPERLINK("https://fd11-courses.leclercdrive.fr/magasin-063801-063801-Echirolles---Comboire/fiche-produits-77335-Lait-frais-demi-ecreme-.aspx","888888")</f>
        <v>888888</v>
      </c>
      <c r="P22" s="1">
        <v>3.0</v>
      </c>
    </row>
    <row r="23" ht="14.25" customHeight="1">
      <c r="A23" s="5" t="s">
        <v>62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ht="14.25" customHeight="1">
      <c r="A24" s="1" t="s">
        <v>63</v>
      </c>
      <c r="B24" s="9" t="str">
        <f>HYPERLINK("https://lafourche.fr/products/elibio-sirop-de-menthe-bio-0-5l","5.99")</f>
        <v>5.99</v>
      </c>
      <c r="C24" s="1" t="s">
        <v>869</v>
      </c>
      <c r="D24" s="9" t="str">
        <f>HYPERLINK("https://www.biocoop.fr/magasin-biocoop_champollion/sirop-menthe-70cl-bg5003-000.html","888888")</f>
        <v>888888</v>
      </c>
      <c r="E24" s="16" t="s">
        <v>869</v>
      </c>
      <c r="F24" s="9" t="str">
        <f>HYPERLINK("https://www.biocoop.fr/magasin-biocoop_fontaine/sirop-menthe-70cl-bg5003-000.html","9.29")</f>
        <v>9.29</v>
      </c>
      <c r="G24" s="26" t="s">
        <v>897</v>
      </c>
      <c r="H24" s="9" t="str">
        <f>HYPERLINK("https://satoriz-comboire.bio/products/big7430","9.14")</f>
        <v>9.14</v>
      </c>
      <c r="I24" s="25" t="s">
        <v>898</v>
      </c>
      <c r="J24" s="9" t="str">
        <f>HYPERLINK("https://www.greenweez.com/produit/sirop-de-menthe-1l/1MENE0020","8.95")</f>
        <v>8.95</v>
      </c>
      <c r="K24" s="1" t="s">
        <v>869</v>
      </c>
      <c r="L24" s="9" t="str">
        <f>HYPERLINK("https://metabase.lelefan.org/public/dashboard/53c41f3f-5644-466e-935e-897e7725f6bc?rayon=&amp;d%25C3%25A9signation=SIROP DE MENTHE&amp;fournisseur=&amp;date_d%25C3%25A9but=&amp;date_fin=","4.88")</f>
        <v>4.88</v>
      </c>
      <c r="M24" s="1" t="s">
        <v>869</v>
      </c>
      <c r="N24" s="7" t="str">
        <f>HYPERLINK("https://fd11-courses.leclercdrive.fr/magasin-063801-063801-Echirolles---Comboire/fiche-produits-182181-Sirop-de-Menthe-Bio-Village.aspx","4.7")</f>
        <v>4.7</v>
      </c>
    </row>
    <row r="25" ht="14.25" customHeight="1">
      <c r="A25" s="1" t="s">
        <v>66</v>
      </c>
      <c r="B25" s="9" t="str">
        <f>HYPERLINK("https://lafourche.fr/products/elibio-sirop-de-genadine-bio-0-5l","5.99")</f>
        <v>5.99</v>
      </c>
      <c r="C25" s="1" t="s">
        <v>869</v>
      </c>
      <c r="D25" s="9" t="str">
        <f>HYPERLINK("https://www.biocoop.fr/magasin-biocoop_champollion/sirop-grenadine-70cl-bg5000-000.html","888888")</f>
        <v>888888</v>
      </c>
      <c r="E25" s="16" t="s">
        <v>869</v>
      </c>
      <c r="F25" s="9" t="str">
        <f>HYPERLINK("https://www.biocoop.fr/magasin-biocoop_fontaine/sirop-grenadine-70cl-bg5000-000.html","9.64")</f>
        <v>9.64</v>
      </c>
      <c r="G25" s="1" t="s">
        <v>869</v>
      </c>
      <c r="H25" s="9" t="str">
        <f>HYPERLINK("https://satoriz-comboire.bio/products/st60234","9.65")</f>
        <v>9.65</v>
      </c>
      <c r="I25" s="25" t="s">
        <v>899</v>
      </c>
      <c r="J25" s="9" t="str">
        <f>HYPERLINK("https://www.greenweez.com/produit/sirop-de-grenadine-1l/1MENE0019","8.95")</f>
        <v>8.95</v>
      </c>
      <c r="K25" s="1" t="s">
        <v>869</v>
      </c>
      <c r="L25" s="9" t="str">
        <f>HYPERLINK("https://metabase.lelefan.org/public/dashboard/53c41f3f-5644-466e-935e-897e7725f6bc?rayon=&amp;d%25C3%25A9signation=SIROP DE GRENADINE FRUITEE&amp;fournisseur=&amp;date_d%25C3%25A9but=&amp;date_fin=","5.43")</f>
        <v>5.43</v>
      </c>
      <c r="M25" s="1" t="s">
        <v>869</v>
      </c>
      <c r="N25" s="7" t="str">
        <f>HYPERLINK("https://fd11-courses.leclercdrive.fr/magasin-063801-063801-Echirolles---Comboire/fiche-produits-182180-Sirop-de-Grenadine-Bio-Village.aspx","4.86")</f>
        <v>4.86</v>
      </c>
    </row>
    <row r="26" ht="14.25" customHeight="1">
      <c r="A26" s="1" t="s">
        <v>67</v>
      </c>
      <c r="B26" s="9" t="str">
        <f>HYPERLINK("https://lafourche.fr/products/elibio-sirop-de-citron-bio-1l","5.95")</f>
        <v>5.95</v>
      </c>
      <c r="C26" s="26" t="s">
        <v>900</v>
      </c>
      <c r="D26" s="9" t="str">
        <f>HYPERLINK("https://www.biocoop.fr/magasin-biocoop_champollion/sirop-de-citron-au-sucre-de-canne-70cl-ro6000-000.html","7.07")</f>
        <v>7.07</v>
      </c>
      <c r="E26" s="1" t="s">
        <v>869</v>
      </c>
      <c r="F26" s="9" t="str">
        <f>HYPERLINK("https://www.biocoop.fr/magasin-biocoop_fontaine/sirop-de-citron-au-sucre-de-canne-70cl-ro6000-000.html","7.21")</f>
        <v>7.21</v>
      </c>
      <c r="G26" s="1" t="s">
        <v>869</v>
      </c>
      <c r="H26" s="9" t="str">
        <f>HYPERLINK("https://satoriz-comboire.bio/products/st60236","9.35")</f>
        <v>9.35</v>
      </c>
      <c r="I26" s="25" t="s">
        <v>901</v>
      </c>
      <c r="J26" s="9" t="str">
        <f>HYPERLINK("https://www.greenweez.com/produit/sirop-de-citron-1l/1MENE0021","8.95")</f>
        <v>8.95</v>
      </c>
      <c r="K26" s="1" t="s">
        <v>869</v>
      </c>
      <c r="L26" s="9" t="str">
        <f>HYPERLINK("https://metabase.lelefan.org/public/dashboard/53c41f3f-5644-466e-935e-897e7725f6bc?rayon=&amp;d%25C3%25A9signation=SIROP BIO CITRON&amp;fournisseur=&amp;date_d%25C3%25A9but=&amp;date_fin=","5.59")</f>
        <v>5.59</v>
      </c>
      <c r="M26" s="1" t="s">
        <v>869</v>
      </c>
      <c r="N26" s="7" t="str">
        <f>HYPERLINK("https://fd11-courses.leclercdrive.fr/magasin-063801-063801-Echirolles---Comboire/fiche-produits-180556-Sirop-de-Citron-Bio-Village.aspx","4.44")</f>
        <v>4.44</v>
      </c>
    </row>
    <row r="27" ht="14.25" customHeight="1">
      <c r="A27" s="1" t="s">
        <v>68</v>
      </c>
      <c r="B27" s="9" t="str">
        <f>HYPERLINK("https://lafourche.fr/products/maison-meneau-sirop-dorgeat-bio-0-5l","11.9")</f>
        <v>11.9</v>
      </c>
      <c r="C27" s="25" t="s">
        <v>902</v>
      </c>
      <c r="D27" s="9" t="str">
        <f>HYPERLINK("https://www.biocoop.fr/magasin-biocoop_champollion/sirop-d-orgeat-au-sucre-de-canne-50cl-mb0006-000.html","13.3")</f>
        <v>13.3</v>
      </c>
      <c r="E27" s="1" t="s">
        <v>869</v>
      </c>
      <c r="F27" s="7" t="str">
        <f>HYPERLINK("https://www.biocoop.fr/magasin-biocoop_fontaine/sirop-d-orgeat-au-sucre-de-canne-50cl-mb0006-000.html","11.04")</f>
        <v>11.04</v>
      </c>
      <c r="G27" s="26" t="s">
        <v>903</v>
      </c>
      <c r="H27" s="9" t="str">
        <f>HYPERLINK("https://satoriz-comboire.bio/products/st97029","14.1")</f>
        <v>14.1</v>
      </c>
      <c r="I27" s="25" t="s">
        <v>904</v>
      </c>
      <c r="J27" s="9" t="str">
        <f>HYPERLINK("https://www.greenweez.com/produit/sirop-dorgeat-50cl/1MENE0053","13.18")</f>
        <v>13.18</v>
      </c>
      <c r="K27" s="1" t="s">
        <v>869</v>
      </c>
      <c r="L27" s="9" t="str">
        <f>HYPERLINK("https://metabase.lelefan.org/public/dashboard/53c41f3f-5644-466e-935e-897e7725f6bc?rayon=&amp;d%25C3%25A9signation=SIROP D ORGEAT&amp;fournisseur=&amp;date_d%25C3%25A9but=&amp;date_fin=","888888")</f>
        <v>888888</v>
      </c>
      <c r="M27" s="16" t="s">
        <v>869</v>
      </c>
      <c r="N27" s="16">
        <v>888888.0</v>
      </c>
    </row>
    <row r="28" ht="14.25" customHeight="1">
      <c r="A28" s="1" t="s">
        <v>71</v>
      </c>
      <c r="B28" s="9" t="str">
        <f>HYPERLINK("https://lafourche.fr/products/maison-meneau-sirop-peche-50cl-bio","13.58")</f>
        <v>13.58</v>
      </c>
      <c r="C28" s="1" t="s">
        <v>869</v>
      </c>
      <c r="D28" s="16">
        <v>888888.0</v>
      </c>
      <c r="F28" s="16">
        <v>888888.0</v>
      </c>
      <c r="H28" s="9" t="str">
        <f>HYPERLINK("https://satoriz-comboire.bio/products/st97047","15.4")</f>
        <v>15.4</v>
      </c>
      <c r="I28" s="25" t="s">
        <v>905</v>
      </c>
      <c r="J28" s="9" t="str">
        <f>HYPERLINK("https://www.greenweez.com/produit/sirop-de-peche-50cl/1MENE0056","14.58")</f>
        <v>14.58</v>
      </c>
      <c r="K28" s="1" t="s">
        <v>869</v>
      </c>
      <c r="L28" s="7" t="str">
        <f>HYPERLINK("https://metabase.lelefan.org/public/dashboard/53c41f3f-5644-466e-935e-897e7725f6bc?rayon=&amp;d%25C3%25A9signation=SIROP DE PECHE&amp;fournisseur=&amp;date_d%25C3%25A9but=&amp;date_fin=","6.3")</f>
        <v>6.3</v>
      </c>
      <c r="M28" s="1" t="s">
        <v>869</v>
      </c>
      <c r="N28" s="16">
        <v>888888.0</v>
      </c>
    </row>
    <row r="29" ht="14.25" customHeight="1">
      <c r="A29" s="5" t="s">
        <v>73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ht="14.25" customHeight="1">
      <c r="A30" s="1" t="s">
        <v>74</v>
      </c>
      <c r="B30" s="7" t="str">
        <f>HYPERLINK("https://lafourche.fr/products/cola-bio","3.15")</f>
        <v>3.15</v>
      </c>
      <c r="C30" s="25" t="s">
        <v>906</v>
      </c>
      <c r="D30" s="9" t="str">
        <f>HYPERLINK("https://www.biocoop.fr/magasin-biocoop_champollion/cola-1l-vt0680-000.html","4.02")</f>
        <v>4.02</v>
      </c>
      <c r="E30" s="1" t="s">
        <v>869</v>
      </c>
      <c r="F30" s="9" t="str">
        <f>HYPERLINK("https://www.biocoop.fr/magasin-biocoop_fontaine/cola-1l-vt0680-000.html","3.99")</f>
        <v>3.99</v>
      </c>
      <c r="G30" s="26" t="s">
        <v>875</v>
      </c>
      <c r="H30" s="9" t="str">
        <f>HYPERLINK("https://satoriz-comboire.bio/products/vtcola","3.7")</f>
        <v>3.7</v>
      </c>
      <c r="I30" s="25" t="s">
        <v>907</v>
      </c>
      <c r="J30" s="9" t="str">
        <f>HYPERLINK("https://www.greenweez.com/produit/cola-bio-equitable-1l/5VITA0045","3.99")</f>
        <v>3.99</v>
      </c>
      <c r="K30" s="26" t="s">
        <v>908</v>
      </c>
      <c r="L30" s="9" t="str">
        <f>HYPERLINK("https://metabase.lelefan.org/public/dashboard/53c41f3f-5644-466e-935e-897e7725f6bc?rayon=&amp;d%25C3%25A9signation=YAUTE COLA  BS 33 CL BOUTEILLE&amp;fournisseur=&amp;date_d%25C3%25A9but=&amp;date_fin=","3.97")</f>
        <v>3.97</v>
      </c>
      <c r="M30" s="1" t="s">
        <v>869</v>
      </c>
      <c r="N30" s="16">
        <v>888888.0</v>
      </c>
    </row>
    <row r="31" ht="14.25" customHeight="1">
      <c r="A31" s="1" t="s">
        <v>77</v>
      </c>
      <c r="B31" s="9" t="str">
        <f>HYPERLINK("https://lafourche.fr/products/vitamont-limonade-d-antan-75cl-bio","3.87")</f>
        <v>3.87</v>
      </c>
      <c r="C31" s="25" t="s">
        <v>909</v>
      </c>
      <c r="D31" s="9" t="str">
        <f>HYPERLINK("https://www.biocoop.fr/magasin-biocoop_champollion/limonade-75cl-mb0067-000.html","3.13")</f>
        <v>3.13</v>
      </c>
      <c r="E31" s="1" t="s">
        <v>869</v>
      </c>
      <c r="F31" s="9" t="str">
        <f>HYPERLINK("https://www.biocoop.fr/magasin-biocoop_fontaine/limonade-75cl-mb0067-000.html","3.13")</f>
        <v>3.13</v>
      </c>
      <c r="G31" s="1" t="s">
        <v>869</v>
      </c>
      <c r="H31" s="9" t="str">
        <f>HYPERLINK("https://satoriz-comboire.bio/products/selm1","2.95")</f>
        <v>2.95</v>
      </c>
      <c r="I31" s="25" t="s">
        <v>910</v>
      </c>
      <c r="J31" s="9" t="str">
        <f>HYPERLINK("https://www.greenweez.com/produit/limonade-dantan-75cl-25-cl-offerts/5VITA0081","888888")</f>
        <v>888888</v>
      </c>
      <c r="K31" s="18" t="s">
        <v>56</v>
      </c>
      <c r="L31" s="9" t="str">
        <f>HYPERLINK("https://metabase.lelefan.org/public/dashboard/53c41f3f-5644-466e-935e-897e7725f6bc?rayon=&amp;d%25C3%25A9signation=LIMONADE PUR CITRON 100CL&amp;fournisseur=&amp;date_d%25C3%25A9but=&amp;date_fin=","4.41")</f>
        <v>4.41</v>
      </c>
      <c r="M31" s="1" t="s">
        <v>869</v>
      </c>
      <c r="N31" s="7" t="str">
        <f>HYPERLINK("https://fd11-courses.leclercdrive.fr/magasin-063801-063801-Echirolles---Comboire/fiche-produits-17112-Limonade-Bio-village.aspx","0.96")</f>
        <v>0.96</v>
      </c>
    </row>
    <row r="32" ht="14.25" customHeight="1">
      <c r="A32" s="1" t="s">
        <v>80</v>
      </c>
      <c r="B32" s="9" t="str">
        <f>HYPERLINK("https://lafourche.fr/products/vitamont-citronnade-au-pur-jus-de-citron-jaune-75cl-bio","3.47")</f>
        <v>3.47</v>
      </c>
      <c r="C32" s="26" t="s">
        <v>911</v>
      </c>
      <c r="D32" s="9" t="str">
        <f>HYPERLINK("https://www.biocoop.fr/magasin-biocoop_champollion/citronnade-citron-vert-75cl-vt4959-000.html","888888")</f>
        <v>888888</v>
      </c>
      <c r="E32" s="16" t="s">
        <v>869</v>
      </c>
      <c r="F32" s="9" t="str">
        <f>HYPERLINK("https://www.biocoop.fr/magasin-biocoop_fontaine/citronnade-citron-vert-75cl-vt4959-000.html","4.07")</f>
        <v>4.07</v>
      </c>
      <c r="G32" s="1" t="s">
        <v>869</v>
      </c>
      <c r="H32" s="9" t="str">
        <f>HYPERLINK("https://satoriz-comboire.bio/products/vt10883","3.53")</f>
        <v>3.53</v>
      </c>
      <c r="I32" s="25" t="s">
        <v>25</v>
      </c>
      <c r="J32" s="9" t="str">
        <f>HYPERLINK("https://www.greenweez.com/produit/citronnade-citrons-jaunes-bio-75cl/5VITA0060","888888")</f>
        <v>888888</v>
      </c>
      <c r="K32" s="16" t="s">
        <v>869</v>
      </c>
      <c r="L32" s="9" t="str">
        <f>HYPERLINK("https://metabase.lelefan.org/public/dashboard/53c41f3f-5644-466e-935e-897e7725f6bc?rayon=&amp;d%25C3%25A9signation=CITRONNADE&amp;fournisseur=&amp;date_d%25C3%25A9but=&amp;date_fin=","3.13")</f>
        <v>3.13</v>
      </c>
      <c r="M32" s="25" t="s">
        <v>912</v>
      </c>
      <c r="N32" s="7" t="str">
        <f>HYPERLINK("https://fd11-courses.leclercdrive.fr/magasin-063801-063801-Echirolles---Comboire/fiche-produits-111700-Citronnade-Bio-Village.aspx","1.25")</f>
        <v>1.25</v>
      </c>
    </row>
    <row r="33" ht="14.25" customHeight="1">
      <c r="A33" s="1" t="s">
        <v>82</v>
      </c>
      <c r="B33" s="7" t="str">
        <f>HYPERLINK("https://lafourche.fr/products/coteaux-nantais-bio-apibul-pommes-75cl","4.67")</f>
        <v>4.67</v>
      </c>
      <c r="C33" s="25" t="s">
        <v>913</v>
      </c>
      <c r="D33" s="9" t="str">
        <f>HYPERLINK("https://www.biocoop.fr/magasin-biocoop_champollion/petillant-de-fruit-100-pomme-75cl-or1100-000.html","5.13")</f>
        <v>5.13</v>
      </c>
      <c r="E33" s="25" t="s">
        <v>237</v>
      </c>
      <c r="F33" s="9" t="str">
        <f>HYPERLINK("https://www.biocoop.fr/magasin-biocoop_fontaine/apibul-pommes-75cl-cn0040-000.html","5.24")</f>
        <v>5.24</v>
      </c>
      <c r="G33" s="1" t="s">
        <v>869</v>
      </c>
      <c r="H33" s="9" t="str">
        <f>HYPERLINK("https://satoriz-comboire.bio/collections/boissons-sans-alcools/products/cn0057","5.47")</f>
        <v>5.47</v>
      </c>
      <c r="I33" s="25" t="s">
        <v>914</v>
      </c>
      <c r="J33" s="9" t="str">
        <f>HYPERLINK("https://www.greenweez.com/produit/apibul-pommes-75cl/1COTE0197","6.12")</f>
        <v>6.12</v>
      </c>
      <c r="K33" s="1" t="s">
        <v>869</v>
      </c>
      <c r="L33" s="16">
        <v>888888.0</v>
      </c>
      <c r="N33" s="16">
        <v>888888.0</v>
      </c>
    </row>
    <row r="34" ht="14.25" customHeight="1">
      <c r="A34" s="1" t="s">
        <v>84</v>
      </c>
      <c r="B34" s="7" t="str">
        <f>HYPERLINK("https://lafourche.fr/products/coteaux-nantais-bio-apibul-pommes-framboises-75cl","5.32")</f>
        <v>5.32</v>
      </c>
      <c r="C34" s="25" t="s">
        <v>915</v>
      </c>
      <c r="D34" s="16">
        <v>888888.0</v>
      </c>
      <c r="F34" s="16">
        <v>888888.0</v>
      </c>
      <c r="H34" s="9" t="str">
        <f>HYPERLINK("https://satoriz-comboire.bio/collections/boissons-sans-alcools/products/cn0039","6.6")</f>
        <v>6.6</v>
      </c>
      <c r="I34" s="25" t="s">
        <v>916</v>
      </c>
      <c r="J34" s="9" t="str">
        <f>HYPERLINK("https://www.greenweez.com/produit/apibul-pommes-framboises-75cl/1COTE0031","7.44")</f>
        <v>7.44</v>
      </c>
      <c r="K34" s="1" t="s">
        <v>869</v>
      </c>
      <c r="L34" s="16">
        <v>888888.0</v>
      </c>
      <c r="N34" s="16">
        <v>888888.0</v>
      </c>
    </row>
    <row r="35" ht="14.25" customHeight="1">
      <c r="A35" s="5" t="s">
        <v>917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ht="14.25" customHeight="1">
      <c r="A36" s="1" t="s">
        <v>87</v>
      </c>
      <c r="B36" s="9" t="str">
        <f>HYPERLINK("https://lafourche.fr/products/la-fourche-cafe-moulu-equilibre-arabica-honduras-bio-equitable-0-5kg","14.9")</f>
        <v>14.9</v>
      </c>
      <c r="C36" s="25" t="s">
        <v>918</v>
      </c>
      <c r="D36" s="9" t="str">
        <f>HYPERLINK("https://www.biocoop.fr/magasin-biocoop_champollion/cafe-arabica-melange-origine-equilibre-250g-mx0055-000.html","18.8")</f>
        <v>18.8</v>
      </c>
      <c r="E36" s="25" t="s">
        <v>919</v>
      </c>
      <c r="F36" s="9" t="str">
        <f>HYPERLINK("https://www.biocoop.fr/magasin-biocoop_fontaine/cafe-melange-tresor-des-andes-500g-cp4107-000.html","15.9")</f>
        <v>15.9</v>
      </c>
      <c r="G36" s="25" t="s">
        <v>920</v>
      </c>
      <c r="H36" s="9" t="str">
        <f>HYPERLINK("https://satoriz-comboire.bio/collections/epicerie-sucree/products/st13500","15.0")</f>
        <v>15.0</v>
      </c>
      <c r="I36" s="25" t="s">
        <v>921</v>
      </c>
      <c r="J36" s="9" t="str">
        <f>HYPERLINK("https://www.greenweez.com/produit/cafe-moulu-100-arabica-medium-500g/2BIOD0016","18.9")</f>
        <v>18.9</v>
      </c>
      <c r="K36" s="26" t="s">
        <v>922</v>
      </c>
      <c r="L36" s="9" t="str">
        <f t="shared" ref="L36:L37" si="36">HYPERLINK("https://metabase.lelefan.org/public/dashboard/53c41f3f-5644-466e-935e-897e7725f6bc?rayon=&amp;d%25C3%25A9signation=CAFE GRAIN LEKEMPTI VRAC&amp;fournisseur=&amp;date_d%25C3%25A9but=&amp;date_fin=","21.5")</f>
        <v>21.5</v>
      </c>
      <c r="M36" s="1" t="s">
        <v>869</v>
      </c>
      <c r="N36" s="7" t="str">
        <f>HYPERLINK("https://fd11-courses.leclercdrive.fr/magasin-063801-063801-Echirolles---Comboire/fiche-produits-99857-Cafe-moulu-Naturela.aspx","12.04")</f>
        <v>12.04</v>
      </c>
      <c r="P36" s="1">
        <v>0.1</v>
      </c>
    </row>
    <row r="37" ht="14.25" customHeight="1">
      <c r="A37" s="1" t="s">
        <v>92</v>
      </c>
      <c r="B37" s="9" t="str">
        <f>HYPERLINK("https://lafourche.fr/products/la-fourche-cafe-en-grains-equilibre-arabica-honduras-bio-equitable-1kg","15.23")</f>
        <v>15.23</v>
      </c>
      <c r="C37" s="25" t="s">
        <v>923</v>
      </c>
      <c r="D37" s="9" t="str">
        <f>HYPERLINK("https://www.biocoop.fr/magasin-biocoop_champollion/cafe-mexique-grains-bio-mx0046-000.html","21.45")</f>
        <v>21.45</v>
      </c>
      <c r="E37" s="1" t="s">
        <v>869</v>
      </c>
      <c r="F37" s="9" t="str">
        <f>HYPERLINK("https://www.biocoop.fr/magasin-biocoop_fontaine/cafe-melange-tresor-peuples-grains-500g-cp4105-000.html","22.2")</f>
        <v>22.2</v>
      </c>
      <c r="G37" s="25" t="s">
        <v>924</v>
      </c>
      <c r="H37" s="9" t="str">
        <f>HYPERLINK("https://satoriz-comboire.bio/collections/epicerie-sucree/products/dag53","14.6")</f>
        <v>14.6</v>
      </c>
      <c r="I37" s="25" t="s">
        <v>925</v>
      </c>
      <c r="J37" s="9" t="str">
        <f>HYPERLINK("https://www.greenweez.com/produit/cafe-en-grains-100-arabica-medium-1kg/2BIOD0010","888888")</f>
        <v>888888</v>
      </c>
      <c r="K37" s="18" t="s">
        <v>56</v>
      </c>
      <c r="L37" s="9" t="str">
        <f t="shared" si="36"/>
        <v>21.5</v>
      </c>
      <c r="M37" s="1" t="s">
        <v>869</v>
      </c>
      <c r="N37" s="7" t="str">
        <f>HYPERLINK("https://fd11-courses.leclercdrive.fr/magasin-063801-063801-Echirolles---Comboire/fiche-produits-115644-Cafe-en-grains-Naturela.aspx","10.77")</f>
        <v>10.77</v>
      </c>
    </row>
    <row r="38" ht="14.25" customHeight="1">
      <c r="A38" s="1" t="s">
        <v>96</v>
      </c>
      <c r="B38" s="7" t="str">
        <f>HYPERLINK("https://lafourche.fr/products/lima-chicoree-bio-500g","9.98")</f>
        <v>9.98</v>
      </c>
      <c r="C38" s="26" t="s">
        <v>926</v>
      </c>
      <c r="D38" s="9" t="str">
        <f>HYPERLINK("https://www.biocoop.fr/magasin-biocoop_champollion/magasin-biocoop_champollion/chicoree-bio-lr5005-000.html","888888")</f>
        <v>888888</v>
      </c>
      <c r="E38" s="16" t="s">
        <v>869</v>
      </c>
      <c r="F38" s="9" t="str">
        <f>HYPERLINK("https://www.biocoop.fr/magasin-biocoop_fontaine/chicoree-torrefiee-gout-doux-lr5001-000.html","21.25")</f>
        <v>21.25</v>
      </c>
      <c r="G38" s="1" t="s">
        <v>869</v>
      </c>
      <c r="H38" s="9" t="str">
        <f>HYPERLINK("https://satoriz-comboire.bio/collections/epicerie-sucree/products/re42658","12.0")</f>
        <v>12.0</v>
      </c>
      <c r="I38" s="26" t="s">
        <v>927</v>
      </c>
      <c r="J38" s="9" t="str">
        <f>HYPERLINK("https://www.greenweez.com/produit/chicoree-cicoria-original-filtre-500g/1LIMA0071","11.2")</f>
        <v>11.2</v>
      </c>
      <c r="K38" s="16" t="s">
        <v>896</v>
      </c>
      <c r="L38" s="16">
        <v>888888.0</v>
      </c>
      <c r="N38" s="16">
        <v>888888.0</v>
      </c>
    </row>
    <row r="39" ht="14.25" customHeight="1">
      <c r="A39" s="1" t="s">
        <v>98</v>
      </c>
      <c r="B39" s="7" t="str">
        <f>HYPERLINK("https://lafourche.fr/products/bio-pour-tous-chicoree-torrefiee-soluble-bio-0-2kg","29.95")</f>
        <v>29.95</v>
      </c>
      <c r="C39" s="26" t="s">
        <v>928</v>
      </c>
      <c r="D39" s="9" t="str">
        <f>HYPERLINK("https://www.biocoop.fr/magasin-biocoop_champollion/magasin-biocoop_champollion/chicoree-soluble-200g-lr5007-000.html","888888")</f>
        <v>888888</v>
      </c>
      <c r="E39" s="16" t="s">
        <v>869</v>
      </c>
      <c r="F39" s="9" t="str">
        <f>HYPERLINK("https://www.biocoop.fr/magasin-biocoop_fontaine/chicoree-instantanee-recharge-180g-pr5353-000.html","40.83")</f>
        <v>40.83</v>
      </c>
      <c r="G39" s="25" t="s">
        <v>907</v>
      </c>
      <c r="H39" s="9" t="str">
        <f>HYPERLINK("https://satoriz-comboire.bio/collections/epicerie-sucree/products/re41362","33.25")</f>
        <v>33.25</v>
      </c>
      <c r="I39" s="25" t="s">
        <v>929</v>
      </c>
      <c r="J39" s="9" t="str">
        <f>HYPERLINK("https://www.greenweez.com/produit/chicoree-torrefiee-soluble-bio-200g/1DAGO0034","39.7")</f>
        <v>39.7</v>
      </c>
      <c r="K39" s="1" t="s">
        <v>869</v>
      </c>
      <c r="L39" s="16">
        <v>888888.0</v>
      </c>
      <c r="N39" s="16">
        <v>888888.0</v>
      </c>
    </row>
    <row r="40" ht="14.25" customHeight="1">
      <c r="A40" s="1" t="s">
        <v>100</v>
      </c>
      <c r="B40" s="9" t="str">
        <f>HYPERLINK("https://lafourche.fr/products/biodyssee-poudre-chocolatee-32-bio-800g","9.13")</f>
        <v>9.13</v>
      </c>
      <c r="C40" s="26" t="s">
        <v>930</v>
      </c>
      <c r="D40" s="9" t="str">
        <f>HYPERLINK("https://www.biocoop.fr/magasin-biocoop_champollion/poudre-cacaotee-pour-le-petit-dejeuner-jk1001-000.html","9.31")</f>
        <v>9.31</v>
      </c>
      <c r="E40" s="25" t="s">
        <v>931</v>
      </c>
      <c r="F40" s="9" t="str">
        <f>HYPERLINK("https://www.biocoop.fr/magasin-biocoop_fontaine/poudre-cacaotee-pour-le-petit-dejeuner-jk1001-000.html","7.49")</f>
        <v>7.49</v>
      </c>
      <c r="G40" s="1" t="s">
        <v>869</v>
      </c>
      <c r="H40" s="7" t="str">
        <f>HYPERLINK("https://satoriz-comboire.bio/collections/epicerie-sucree/products/re47003","6.5")</f>
        <v>6.5</v>
      </c>
      <c r="I40" s="1" t="s">
        <v>869</v>
      </c>
      <c r="J40" s="9" t="str">
        <f>HYPERLINK("https://www.greenweez.com/produit/preparation-en-poudre-cacao-cool-matin-500g/1VITA0049","888888")</f>
        <v>888888</v>
      </c>
      <c r="K40" s="16" t="s">
        <v>869</v>
      </c>
      <c r="L40" s="9" t="str">
        <f>HYPERLINK("https://metabase.lelefan.org/public/dashboard/53c41f3f-5644-466e-935e-897e7725f6bc?rayon=&amp;d%25C3%25A9signation=CHOCOLAT EN POUDRE&amp;fournisseur=&amp;date_d%25C3%25A9but=&amp;date_fin=","19.2")</f>
        <v>19.2</v>
      </c>
      <c r="M40" s="25" t="s">
        <v>932</v>
      </c>
      <c r="N40" s="9" t="str">
        <f>HYPERLINK("https://fd11-courses.leclercdrive.fr/magasin-063801-063801-Echirolles---Comboire/fiche-produits-86725-Poudre-de-cacao-bio-Bio-Village.aspx","8.2")</f>
        <v>8.2</v>
      </c>
    </row>
    <row r="41" ht="14.25" customHeight="1">
      <c r="A41" s="1" t="s">
        <v>102</v>
      </c>
      <c r="B41" s="9" t="str">
        <f>HYPERLINK("https://lafourche.fr/products/biodyssee-poudre-de-cacao-maigre-10-12-mg-250g","19.96")</f>
        <v>19.96</v>
      </c>
      <c r="C41" s="25" t="s">
        <v>933</v>
      </c>
      <c r="D41" s="9" t="str">
        <f>HYPERLINK("https://www.biocoop.fr/magasin-biocoop_champollion/poudre-cacao-pur-250g-jk1000-000.html","26.2")</f>
        <v>26.2</v>
      </c>
      <c r="E41" s="25" t="s">
        <v>934</v>
      </c>
      <c r="F41" s="9" t="str">
        <f>HYPERLINK("https://www.biocoop.fr/magasin-biocoop_fontaine/poudre-cacao-pur-250g-jk1000-000.html","26.2")</f>
        <v>26.2</v>
      </c>
      <c r="G41" s="25" t="s">
        <v>935</v>
      </c>
      <c r="H41" s="7" t="str">
        <f>HYPERLINK("https://satoriz-comboire.bio/collections/epicerie-sucree/products/ma9011","14.6")</f>
        <v>14.6</v>
      </c>
      <c r="I41" s="26" t="s">
        <v>936</v>
      </c>
      <c r="J41" s="9" t="str">
        <f>HYPERLINK("https://www.greenweez.com/produit/poudre-de-cacao-bio-500g/2WEEZ0158","888888")</f>
        <v>888888</v>
      </c>
      <c r="K41" s="18" t="s">
        <v>56</v>
      </c>
      <c r="L41" s="9" t="str">
        <f>HYPERLINK("https://metabase.lelefan.org/public/dashboard/53c41f3f-5644-466e-935e-897e7725f6bc?rayon=&amp;d%25C3%25A9signation=CACAO MAIGRE EN POUDRE&amp;fournisseur=&amp;date_d%25C3%25A9but=&amp;date_fin=","16.68")</f>
        <v>16.68</v>
      </c>
      <c r="M41" s="1" t="s">
        <v>869</v>
      </c>
      <c r="N41" s="9" t="str">
        <f>HYPERLINK("https://fd11-courses.leclercdrive.fr/magasin-063801-063801-Echirolles---Comboire/fiche-produits-134746-Chocolat-en-poudre-Bio-Village.aspx","888888")</f>
        <v>888888</v>
      </c>
    </row>
    <row r="42" ht="14.25" customHeight="1">
      <c r="A42" s="1" t="s">
        <v>105</v>
      </c>
      <c r="B42" s="9" t="str">
        <f>HYPERLINK("https://lafourche.fr/products/biodyssee-the-vert-gunpowder-de-chine-bio-100g","40.4")</f>
        <v>40.4</v>
      </c>
      <c r="C42" s="26" t="s">
        <v>937</v>
      </c>
      <c r="D42" s="9" t="str">
        <f>HYPERLINK("https://www.biocoop.fr/magasin-biocoop_champollion/the-vert-chine-gunpowder-jg0161-000.html","65.5")</f>
        <v>65.5</v>
      </c>
      <c r="E42" s="1" t="s">
        <v>869</v>
      </c>
      <c r="F42" s="9" t="str">
        <f>HYPERLINK("https://www.biocoop.fr/magasin-biocoop_fontaine/the-vert-chine-gunpowder-jg0161-000.html","67.5")</f>
        <v>67.5</v>
      </c>
      <c r="G42" s="25" t="s">
        <v>938</v>
      </c>
      <c r="H42" s="9" t="str">
        <f>HYPERLINK("https://satoriz-comboire.bio/collections/epicerie-sucree/products/st23518","54.75")</f>
        <v>54.75</v>
      </c>
      <c r="I42" s="25" t="s">
        <v>939</v>
      </c>
      <c r="J42" s="7" t="str">
        <f>HYPERLINK("https://www.greenweez.com/produit/the-vert-gunpowder-bio-vrac-200g/2WEEZ0431","27.5")</f>
        <v>27.5</v>
      </c>
      <c r="K42" s="26" t="s">
        <v>908</v>
      </c>
      <c r="L42" s="16">
        <v>888888.0</v>
      </c>
      <c r="N42" s="16">
        <v>888888.0</v>
      </c>
    </row>
    <row r="43" ht="14.25" customHeight="1">
      <c r="A43" s="1" t="s">
        <v>108</v>
      </c>
      <c r="B43" s="7" t="str">
        <f>HYPERLINK("https://lafourche.fr/products/biodyssee-the-vert-sencha-de-chine-bio-100g","42.9")</f>
        <v>42.9</v>
      </c>
      <c r="C43" s="25" t="s">
        <v>940</v>
      </c>
      <c r="D43" s="9" t="str">
        <f>HYPERLINK("https://www.biocoop.fr/magasin-biocoop_champollion/the-vert-chine-sencha-zhejiang-bio-jg0679-000.html","52.9")</f>
        <v>52.9</v>
      </c>
      <c r="E43" s="1" t="s">
        <v>869</v>
      </c>
      <c r="F43" s="9" t="str">
        <f>HYPERLINK("https://www.biocoop.fr/magasin-biocoop_fontaine/the-vert-chine-sencha-zhejiang-bio-jg0679-000.html","52.9")</f>
        <v>52.9</v>
      </c>
      <c r="G43" s="25" t="s">
        <v>941</v>
      </c>
      <c r="H43" s="9" t="str">
        <f>HYPERLINK("https://satoriz-comboire.bio/collections/epicerie-sucree/products/st23515","65.75")</f>
        <v>65.75</v>
      </c>
      <c r="I43" s="25" t="s">
        <v>942</v>
      </c>
      <c r="J43" s="9" t="str">
        <f>HYPERLINK("https://www.greenweez.com/produit/the-vert-sencha-origine-chine-200g/1DEST0533","65.8")</f>
        <v>65.8</v>
      </c>
      <c r="K43" s="25" t="s">
        <v>943</v>
      </c>
      <c r="L43" s="16">
        <v>888888.0</v>
      </c>
      <c r="N43" s="16">
        <v>888888.0</v>
      </c>
    </row>
    <row r="44" ht="14.25" customHeight="1">
      <c r="A44" s="1" t="s">
        <v>110</v>
      </c>
      <c r="B44" s="9" t="str">
        <f>HYPERLINK("https://lafourche.fr/products/biodyssee-the-noir-breakfast-de-ceylan-bio-100g","44.9")</f>
        <v>44.9</v>
      </c>
      <c r="C44" s="25" t="s">
        <v>944</v>
      </c>
      <c r="D44" s="9" t="str">
        <f>HYPERLINK("https://www.biocoop.fr/magasin-biocoop_champollion/the-noir-english-breakfast-bio-jg0155-000.html","52.43")</f>
        <v>52.43</v>
      </c>
      <c r="E44" s="1" t="s">
        <v>869</v>
      </c>
      <c r="F44" s="9" t="str">
        <f>HYPERLINK("https://www.biocoop.fr/magasin-biocoop_fontaine/the-noir-breakfast-ceylan-100g-to1025-000.html","59.9")</f>
        <v>59.9</v>
      </c>
      <c r="G44" s="25" t="s">
        <v>945</v>
      </c>
      <c r="H44" s="9" t="str">
        <f>HYPERLINK("https://satoriz-comboire.bio/products/jg7832","66.5")</f>
        <v>66.5</v>
      </c>
      <c r="I44" s="25" t="s">
        <v>946</v>
      </c>
      <c r="J44" s="7" t="str">
        <f>HYPERLINK("https://www.greenweez.com/produit/the-noir-breakfast-bio-vrac-200g/2WEEZ0434","34.5")</f>
        <v>34.5</v>
      </c>
      <c r="K44" s="1" t="s">
        <v>869</v>
      </c>
      <c r="L44" s="9" t="str">
        <f>HYPERLINK("https://metabase.lelefan.org/public/dashboard/53c41f3f-5644-466e-935e-897e7725f6bc?rayon=&amp;d%25C3%25A9signation=THE BREAKFAST VRAC&amp;fournisseur=&amp;date_d%25C3%25A9but=&amp;date_fin=","46.17")</f>
        <v>46.17</v>
      </c>
      <c r="M44" s="1" t="s">
        <v>869</v>
      </c>
      <c r="N44" s="16">
        <v>888888.0</v>
      </c>
    </row>
    <row r="45" ht="14.25" customHeight="1">
      <c r="A45" s="1" t="s">
        <v>116</v>
      </c>
      <c r="B45" s="7" t="str">
        <f>HYPERLINK("https://lafourche.fr/products/la-fourche-the-vert-menthe-bio-equitable-0-1kg","33.7")</f>
        <v>33.7</v>
      </c>
      <c r="C45" s="26" t="s">
        <v>947</v>
      </c>
      <c r="D45" s="9" t="str">
        <f>HYPERLINK("https://www.biocoop.fr/magasin-biocoop_champollion/the-vert-menthe-parfum-de-medina-bio-jg0677-000.html","52.29")</f>
        <v>52.29</v>
      </c>
      <c r="E45" s="1" t="s">
        <v>869</v>
      </c>
      <c r="F45" s="9" t="str">
        <f>HYPERLINK("https://www.biocoop.fr/magasin-biocoop_fontaine/the-vert-menthe-parfum-de-medina-bio-jg0677-000.html","51.9")</f>
        <v>51.9</v>
      </c>
      <c r="G45" s="1" t="s">
        <v>869</v>
      </c>
      <c r="H45" s="9" t="str">
        <f>HYPERLINK("https://satoriz-comboire.bio/products/st23516","888888")</f>
        <v>888888</v>
      </c>
      <c r="I45" s="16" t="s">
        <v>869</v>
      </c>
      <c r="J45" s="9" t="str">
        <f>HYPERLINK("https://www.greenweez.com/produit/the-vert-a-la-menthe-200g/1DEST0423","75.0")</f>
        <v>75.0</v>
      </c>
      <c r="K45" s="25" t="s">
        <v>948</v>
      </c>
      <c r="L45" s="9" t="str">
        <f>HYPERLINK("https://metabase.lelefan.org/public/dashboard/53c41f3f-5644-466e-935e-897e7725f6bc?rayon=&amp;d%25C3%25A9signation=THE VERT MENTHE - CASBAH VRAC&amp;fournisseur=&amp;date_d%25C3%25A9but=&amp;date_fin=","48.8")</f>
        <v>48.8</v>
      </c>
      <c r="M45" s="1" t="s">
        <v>869</v>
      </c>
      <c r="N45" s="16">
        <v>888888.0</v>
      </c>
    </row>
    <row r="46" ht="14.25" customHeight="1">
      <c r="A46" s="1" t="s">
        <v>117</v>
      </c>
      <c r="B46" s="9" t="str">
        <f t="shared" ref="B46:B47" si="37">HYPERLINK("https://lafourche.fr/products/biodyssee-the-vert-fleuri-au-jasmin-bio-0-1kg","49.9")</f>
        <v>49.9</v>
      </c>
      <c r="C46" s="25" t="s">
        <v>949</v>
      </c>
      <c r="D46" s="9" t="str">
        <f t="shared" ref="D46:D47" si="38">HYPERLINK("https://www.biocoop.fr/magasin-biocoop_champollion/the-vert-jasmin-flowers-bio-jg0087-000.html","70.82")</f>
        <v>70.82</v>
      </c>
      <c r="E46" s="1" t="s">
        <v>869</v>
      </c>
      <c r="F46" s="9" t="str">
        <f>HYPERLINK("https://www.biocoop.fr/magasin-biocoop_fontaine/the-vert-jasmin-ft2003-000.html","67.71")</f>
        <v>67.71</v>
      </c>
      <c r="G46" s="1" t="s">
        <v>869</v>
      </c>
      <c r="H46" s="9" t="str">
        <f>HYPERLINK("https://satoriz-comboire.bio/products/ma04628","66.67")</f>
        <v>66.67</v>
      </c>
      <c r="I46" s="25" t="s">
        <v>881</v>
      </c>
      <c r="J46" s="7" t="str">
        <f>HYPERLINK("https://www.greenweez.com/produit/the-vert-jasmin-bio-vrac-200g/2WEEZ0433","44.95")</f>
        <v>44.95</v>
      </c>
      <c r="K46" s="25" t="s">
        <v>950</v>
      </c>
      <c r="L46" s="16">
        <v>888888.0</v>
      </c>
      <c r="N46" s="16">
        <v>888888.0</v>
      </c>
    </row>
    <row r="47" ht="14.25" customHeight="1">
      <c r="A47" s="1" t="s">
        <v>121</v>
      </c>
      <c r="B47" s="7" t="str">
        <f t="shared" si="37"/>
        <v>49.9</v>
      </c>
      <c r="C47" s="25" t="s">
        <v>949</v>
      </c>
      <c r="D47" s="9" t="str">
        <f t="shared" si="38"/>
        <v>70.82</v>
      </c>
      <c r="E47" s="1" t="s">
        <v>869</v>
      </c>
      <c r="F47" s="9" t="str">
        <f>HYPERLINK("https://www.biocoop.fr/magasin-biocoop_fontaine/the-vert-jasmin-100g-rc3364-000.html","79.9")</f>
        <v>79.9</v>
      </c>
      <c r="G47" s="25" t="s">
        <v>951</v>
      </c>
      <c r="H47" s="9" t="str">
        <f>HYPERLINK("https://satoriz-comboire.bio/products/jg7362","89.5")</f>
        <v>89.5</v>
      </c>
      <c r="I47" s="25" t="s">
        <v>952</v>
      </c>
      <c r="J47" s="9" t="str">
        <f>HYPERLINK("https://www.greenweez.com/produit/the-vert-au-jasmin-100g/1DEST0203","83.5")</f>
        <v>83.5</v>
      </c>
      <c r="K47" s="25" t="s">
        <v>953</v>
      </c>
      <c r="L47" s="16">
        <v>888888.0</v>
      </c>
      <c r="N47" s="16">
        <v>888888.0</v>
      </c>
    </row>
    <row r="48" ht="14.25" customHeight="1">
      <c r="A48" s="1" t="s">
        <v>125</v>
      </c>
      <c r="B48" s="9" t="str">
        <f>HYPERLINK("https://lafourche.fr/products/gaia-rooibos-nature-100g","49.5")</f>
        <v>49.5</v>
      </c>
      <c r="C48" s="25" t="s">
        <v>954</v>
      </c>
      <c r="D48" s="9" t="str">
        <f>HYPERLINK("https://www.biocoop.fr/magasin-biocoop_champollion/rooibos-nature-to1011-000.html","47.5")</f>
        <v>47.5</v>
      </c>
      <c r="E48" s="1" t="s">
        <v>869</v>
      </c>
      <c r="F48" s="7" t="str">
        <f>HYPERLINK("https://www.biocoop.fr/magasin-biocoop_fontaine/rooibos-nature-to1011-000.html","46.0")</f>
        <v>46.0</v>
      </c>
      <c r="G48" s="26" t="s">
        <v>955</v>
      </c>
      <c r="H48" s="9" t="str">
        <f>HYPERLINK("https://satoriz-comboire.bio/collections/epicerie-sucree/products/st6062","59.5")</f>
        <v>59.5</v>
      </c>
      <c r="I48" s="25" t="s">
        <v>956</v>
      </c>
      <c r="J48" s="9" t="str">
        <f>HYPERLINK("https://www.greenweez.com/produit/rooibos-nature-dafrique-du-sud-100g/1DEST0413","56.5")</f>
        <v>56.5</v>
      </c>
      <c r="K48" s="25" t="s">
        <v>957</v>
      </c>
      <c r="L48" s="9" t="str">
        <f>HYPERLINK("https://metabase.lelefan.org/public/dashboard/53c41f3f-5644-466e-935e-897e7725f6bc?rayon=&amp;d%25C3%25A9signation=ROOIBOS DES VERGERS PECHE POMME VRAC&amp;fournisseur=&amp;date_d%25C3%25A9but=&amp;date_fin=","50.12")</f>
        <v>50.12</v>
      </c>
      <c r="M48" s="1" t="s">
        <v>869</v>
      </c>
      <c r="N48" s="16">
        <v>888888.0</v>
      </c>
    </row>
    <row r="49" ht="14.25" customHeight="1">
      <c r="A49" s="1" t="s">
        <v>129</v>
      </c>
      <c r="B49" s="9" t="str">
        <f>HYPERLINK("https://lafourche.fr/products/yogi-tea-infusion-chai-tea-bio-90g","46.67")</f>
        <v>46.67</v>
      </c>
      <c r="C49" s="25" t="s">
        <v>958</v>
      </c>
      <c r="D49" s="9" t="str">
        <f>HYPERLINK("https://www.biocoop.fr/magasin-biocoop_champollion/tisane-classic-chai-90g-gt1000-000.html","53.89")</f>
        <v>53.89</v>
      </c>
      <c r="E49" s="25" t="s">
        <v>959</v>
      </c>
      <c r="F49" s="9" t="str">
        <f>HYPERLINK("https://www.biocoop.fr/magasin-biocoop_fontaine/tisane-classic-chai-90g-gt1000-000.html","52.78")</f>
        <v>52.78</v>
      </c>
      <c r="G49" s="25" t="s">
        <v>960</v>
      </c>
      <c r="H49" s="9" t="str">
        <f>HYPERLINK("https://satoriz-comboire.bio/products/pu710051","47.78")</f>
        <v>47.78</v>
      </c>
      <c r="I49" s="25" t="s">
        <v>961</v>
      </c>
      <c r="J49" s="9" t="str">
        <f>HYPERLINK("https://www.greenweez.com/produit/infusion-vrac-classic-chai-90g/1YOGI0049","51.0")</f>
        <v>51.0</v>
      </c>
      <c r="K49" s="26" t="s">
        <v>962</v>
      </c>
      <c r="L49" s="7" t="str">
        <f>HYPERLINK("https://metabase.lelefan.org/public/dashboard/53c41f3f-5644-466e-935e-897e7725f6bc?rayon=&amp;d%25C3%25A9signation=ATMA CHAI 5 EPICES (SANS THE) VRAC&amp;fournisseur=&amp;date_d%25C3%25A9but=&amp;date_fin=","32.5")</f>
        <v>32.5</v>
      </c>
      <c r="M49" s="1" t="s">
        <v>869</v>
      </c>
      <c r="N49" s="16">
        <v>888888.0</v>
      </c>
    </row>
    <row r="50" ht="14.25" customHeight="1">
      <c r="A50" s="1" t="s">
        <v>131</v>
      </c>
      <c r="B50" s="7" t="str">
        <f>HYPERLINK("https://lafourche.fr/products/gaia-tisane-bonne-nuit-50g","108")</f>
        <v>108</v>
      </c>
      <c r="C50" s="25" t="s">
        <v>963</v>
      </c>
      <c r="D50" s="9" t="str">
        <f>HYPERLINK("https://www.biocoop.fr/magasin-biocoop_champollion/tisane-bonne-nuit-jg0634-000.html","128.0")</f>
        <v>128.0</v>
      </c>
      <c r="E50" s="1" t="s">
        <v>869</v>
      </c>
      <c r="F50" s="9" t="str">
        <f>HYPERLINK("https://www.biocoop.fr/magasin-biocoop_fontaine/tisane-bonne-nuit-jg0634-000.html","128.0")</f>
        <v>128.0</v>
      </c>
      <c r="G50" s="1" t="s">
        <v>869</v>
      </c>
      <c r="H50" s="9" t="str">
        <f>HYPERLINK("https://satoriz-comboire.bio/collections/epicerie-sucree/products/jgth502","126.0")</f>
        <v>126.0</v>
      </c>
      <c r="I50" s="25" t="s">
        <v>964</v>
      </c>
      <c r="J50" s="9" t="str">
        <f>HYPERLINK("https://www.greenweez.com/produit/tisane-bonne-nuit-50g/3JARD0022","149.0")</f>
        <v>149.0</v>
      </c>
      <c r="K50" s="25" t="s">
        <v>965</v>
      </c>
      <c r="L50" s="16">
        <v>888888.0</v>
      </c>
      <c r="N50" s="16">
        <v>888888.0</v>
      </c>
    </row>
    <row r="51" ht="14.25" customHeight="1">
      <c r="A51" s="1" t="s">
        <v>132</v>
      </c>
      <c r="B51" s="7" t="str">
        <f>HYPERLINK("https://lafourche.fr/products/gaia-tisane-calmetoux-50g","111")</f>
        <v>111</v>
      </c>
      <c r="C51" s="25" t="s">
        <v>966</v>
      </c>
      <c r="D51" s="9" t="str">
        <f>HYPERLINK("https://www.biocoop.fr/magasin-biocoop_champollion/tisane-calmetoux-jg0637-000.html","888888")</f>
        <v>888888</v>
      </c>
      <c r="E51" s="16" t="s">
        <v>869</v>
      </c>
      <c r="F51" s="9" t="str">
        <f>HYPERLINK("https://www.biocoop.fr/magasin-biocoop_fontaine/tisane-calmetoux-jg0637-000.html","888888")</f>
        <v>888888</v>
      </c>
      <c r="G51" s="16" t="s">
        <v>869</v>
      </c>
      <c r="H51" s="9" t="str">
        <f>HYPERLINK("https://satoriz-comboire.bio/collections/epicerie-sucree/products/jgth508","126.0")</f>
        <v>126.0</v>
      </c>
      <c r="I51" s="25" t="s">
        <v>964</v>
      </c>
      <c r="J51" s="9" t="str">
        <f>HYPERLINK("https://www.greenweez.com/produit/tisane-calme-toux-50g/3JARD0074","133.8")</f>
        <v>133.8</v>
      </c>
      <c r="K51" s="25" t="s">
        <v>187</v>
      </c>
      <c r="L51" s="16">
        <v>888888.0</v>
      </c>
      <c r="N51" s="16">
        <v>888888.0</v>
      </c>
    </row>
    <row r="52" ht="14.25" customHeight="1">
      <c r="A52" s="1" t="s">
        <v>134</v>
      </c>
      <c r="B52" s="7" t="str">
        <f>HYPERLINK("https://lafourche.fr/products/les-jardins-de-gaia-tisane-remede-elfique-bio-0-05kg","104")</f>
        <v>104</v>
      </c>
      <c r="C52" s="26" t="s">
        <v>967</v>
      </c>
      <c r="D52" s="9" t="str">
        <f>HYPERLINK("https://www.biocoop.fr/magasin-biocoop_champollion/tisane-remede-elfique-50g-aa0429-000.html","888888")</f>
        <v>888888</v>
      </c>
      <c r="E52" s="16" t="s">
        <v>869</v>
      </c>
      <c r="F52" s="9" t="str">
        <f>HYPERLINK("https://www.biocoop.fr/magasin-biocoop_fontaine/tisane-remede-elfique-50g-aa0429-000.html","149.0")</f>
        <v>149.0</v>
      </c>
      <c r="G52" s="26" t="s">
        <v>968</v>
      </c>
      <c r="H52" s="9" t="str">
        <f>HYPERLINK("https://satoriz-comboire.bio/collections/epicerie-sucree/products/jgth517","126.0")</f>
        <v>126.0</v>
      </c>
      <c r="I52" s="25" t="s">
        <v>964</v>
      </c>
      <c r="J52" s="9" t="str">
        <f>HYPERLINK("https://www.greenweez.com/produit/tisane-remede-elfique-detox-50g/3JARD0021","108.0")</f>
        <v>108.0</v>
      </c>
      <c r="K52" s="26" t="s">
        <v>969</v>
      </c>
      <c r="L52" s="16">
        <v>888888.0</v>
      </c>
      <c r="N52" s="16">
        <v>888888.0</v>
      </c>
    </row>
    <row r="53" ht="14.25" customHeight="1"/>
    <row r="54" ht="14.25" customHeight="1">
      <c r="A54" s="3" t="s">
        <v>136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ht="14.25" customHeight="1">
      <c r="A55" s="5" t="s">
        <v>137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ht="14.25" customHeight="1">
      <c r="A56" s="1" t="s">
        <v>138</v>
      </c>
      <c r="B56" s="7" t="str">
        <f>HYPERLINK("https://lafourche.fr/products/la-fourche-couches-ecologiques-t2-56unite","0.23")</f>
        <v>0.23</v>
      </c>
      <c r="C56" s="1" t="s">
        <v>869</v>
      </c>
      <c r="D56" s="9" t="str">
        <f>HYPERLINK("https://www.biocoop.fr/magasin-biocoop_champollion/couches-bebe-t2-mini-3-6kg-58-ts4023-000.html","0.34")</f>
        <v>0.34</v>
      </c>
      <c r="E56" s="1" t="s">
        <v>869</v>
      </c>
      <c r="F56" s="9" t="str">
        <f>HYPERLINK("https://www.biocoop.fr/magasin-biocoop_fontaine/couches-bebe-t2-mini-3-6kg-58-ts4023-000.html","0.34")</f>
        <v>0.34</v>
      </c>
      <c r="G56" s="1" t="s">
        <v>869</v>
      </c>
      <c r="H56" s="9" t="str">
        <f>HYPERLINK("https://satoriz-comboire.bio/collections/bebe/products/bb01","0.33")</f>
        <v>0.33</v>
      </c>
      <c r="I56" s="1" t="s">
        <v>869</v>
      </c>
      <c r="J56" s="9" t="str">
        <f>HYPERLINK("https://www.greenweez.com/produit/couches-ecologiques-t2-mini-3-6kg-anti-fuites-x38/2WEEZ0544","0.24")</f>
        <v>0.24</v>
      </c>
      <c r="K56" s="25" t="s">
        <v>970</v>
      </c>
      <c r="L56" s="9" t="str">
        <f>HYPERLINK("https://metabase.lelefan.org/public/dashboard/53c41f3f-5644-466e-935e-897e7725f6bc?rayon=&amp;d%25C3%25A9signation=COUCHE BIBOU DRY TAILLE 2 | 3-6KG&amp;fournisseur=&amp;date_d%25C3%25A9but=&amp;date_fin=","0.25")</f>
        <v>0.25</v>
      </c>
      <c r="M56" s="1" t="s">
        <v>869</v>
      </c>
      <c r="N56" s="16">
        <v>888888.0</v>
      </c>
    </row>
    <row r="57" ht="14.25" customHeight="1">
      <c r="A57" s="1" t="s">
        <v>139</v>
      </c>
      <c r="B57" s="9" t="str">
        <f>HYPERLINK("https://lafourche.fr/products/la-fourche-couches-ecologiques-t3-54unite","0.28")</f>
        <v>0.28</v>
      </c>
      <c r="C57" s="1" t="s">
        <v>869</v>
      </c>
      <c r="D57" s="9" t="str">
        <f>HYPERLINK("https://www.biocoop.fr/magasin-biocoop_champollion/couches-bebe-t3-midi-4-9kg-56-ts4001-000.html","0.37")</f>
        <v>0.37</v>
      </c>
      <c r="E57" s="1" t="s">
        <v>869</v>
      </c>
      <c r="F57" s="9" t="str">
        <f>HYPERLINK("https://www.biocoop.fr/magasin-biocoop_fontaine/couches-bebe-t3-midi-4-9kg-56-ts4001-000.html","0.37")</f>
        <v>0.37</v>
      </c>
      <c r="G57" s="1" t="s">
        <v>869</v>
      </c>
      <c r="H57" s="9" t="str">
        <f>HYPERLINK("https://satoriz-comboire.bio/collections/bebe/products/bb02","0.33")</f>
        <v>0.33</v>
      </c>
      <c r="I57" s="1" t="s">
        <v>869</v>
      </c>
      <c r="J57" s="7" t="str">
        <f>HYPERLINK("https://www.greenweez.com/produit/couches-ecologiques-t3-midi-4-9kg-anti-fuites-x56/2WEEZ0543","0.25")</f>
        <v>0.25</v>
      </c>
      <c r="K57" s="25" t="s">
        <v>971</v>
      </c>
      <c r="L57" s="7" t="str">
        <f>HYPERLINK("https://metabase.lelefan.org/public/dashboard/53c41f3f-5644-466e-935e-897e7725f6bc?rayon=&amp;d%25C3%25A9signation=COUCHE BIBOU DRY TAILLE 3 | 4-9KG&amp;fournisseur=&amp;date_d%25C3%25A9but=&amp;date_fin=","0.25")</f>
        <v>0.25</v>
      </c>
      <c r="M57" s="1" t="s">
        <v>869</v>
      </c>
      <c r="N57" s="7" t="str">
        <f>HYPERLINK("https://fd11-courses.leclercdrive.fr/magasin-063801-063801-Echirolles---Comboire/fiche-produits-27228-Couches-bebe-Mots-dEnfants.aspx","0.25")</f>
        <v>0.25</v>
      </c>
    </row>
    <row r="58" ht="14.25" customHeight="1">
      <c r="A58" s="1" t="s">
        <v>140</v>
      </c>
      <c r="B58" s="9" t="str">
        <f>HYPERLINK("https://lafourche.fr/products/la-fourche-couches-ecologiques-t4-48unite","0.31")</f>
        <v>0.31</v>
      </c>
      <c r="C58" s="1" t="s">
        <v>869</v>
      </c>
      <c r="D58" s="9" t="str">
        <f>HYPERLINK("https://www.biocoop.fr/magasin-biocoop_champollion/couches-bebe-t4-maxi-7-18-kg-50-ts4002-000.html","0.42")</f>
        <v>0.42</v>
      </c>
      <c r="E58" s="1" t="s">
        <v>869</v>
      </c>
      <c r="F58" s="9" t="str">
        <f>HYPERLINK("https://www.biocoop.fr/magasin-biocoop_fontaine/couches-bebe-t4-maxi-7-18-kg-50-ts4002-000.html","888888")</f>
        <v>888888</v>
      </c>
      <c r="G58" s="16" t="s">
        <v>869</v>
      </c>
      <c r="H58" s="9" t="str">
        <f>HYPERLINK("https://satoriz-comboire.bio/collections/bebe/products/bb03","0.37")</f>
        <v>0.37</v>
      </c>
      <c r="I58" s="1" t="s">
        <v>869</v>
      </c>
      <c r="J58" s="9" t="str">
        <f>HYPERLINK("https://www.greenweez.com/produit/couches-ecologiques-t4-maxi-7-14kg-anti-fuites-x50/2WEEZ0545","0.29")</f>
        <v>0.29</v>
      </c>
      <c r="K58" s="25" t="s">
        <v>972</v>
      </c>
      <c r="L58" s="7" t="str">
        <f>HYPERLINK("https://metabase.lelefan.org/public/dashboard/53c41f3f-5644-466e-935e-897e7725f6bc?rayon=&amp;d%25C3%25A9signation=COUCHE BIBOU DRY TAILLE 4 MAX | 7-18KG&amp;fournisseur=&amp;date_d%25C3%25A9but=&amp;date_fin=","0.25")</f>
        <v>0.25</v>
      </c>
      <c r="M58" s="1" t="s">
        <v>869</v>
      </c>
      <c r="N58" s="9" t="str">
        <f>HYPERLINK("https://fd11-courses.leclercdrive.fr/magasin-063801-063801-Echirolles---Comboire/fiche-produits-27229-Couches-bebe-Mots-dEnfants.aspx","0.29")</f>
        <v>0.29</v>
      </c>
    </row>
    <row r="59" ht="14.25" customHeight="1">
      <c r="A59" s="1" t="s">
        <v>141</v>
      </c>
      <c r="B59" s="9" t="str">
        <f>HYPERLINK("https://lafourche.fr/products/la-fourche-couches-ecologiques-t5-40unite","0.36")</f>
        <v>0.36</v>
      </c>
      <c r="C59" s="1" t="s">
        <v>869</v>
      </c>
      <c r="D59" s="9" t="str">
        <f>HYPERLINK("https://www.biocoop.fr/magasin-biocoop_champollion/couches-bebe-t5-junior-12-25kg-46-ts4004-000.html","0.45")</f>
        <v>0.45</v>
      </c>
      <c r="E59" s="1" t="s">
        <v>869</v>
      </c>
      <c r="F59" s="9" t="str">
        <f>HYPERLINK("https://www.biocoop.fr/magasin-biocoop_fontaine/couches-bebe-t5-junior-12-25kg-46-ts4004-000.html","888888")</f>
        <v>888888</v>
      </c>
      <c r="G59" s="16" t="s">
        <v>869</v>
      </c>
      <c r="H59" s="9" t="str">
        <f>HYPERLINK("https://satoriz-comboire.bio/collections/bebe/products/bb04","0.42")</f>
        <v>0.42</v>
      </c>
      <c r="I59" s="1" t="s">
        <v>869</v>
      </c>
      <c r="J59" s="9" t="str">
        <f>HYPERLINK("https://www.greenweez.com/produit/couches-ecologiques-t5-junior-11-16kg-anti-fuites-x44/2WEEZ0546","0.33")</f>
        <v>0.33</v>
      </c>
      <c r="K59" s="25" t="s">
        <v>973</v>
      </c>
      <c r="L59" s="7" t="str">
        <f>HYPERLINK("https://metabase.lelefan.org/public/dashboard/53c41f3f-5644-466e-935e-897e7725f6bc?rayon=&amp;d%25C3%25A9signation=COUCHE BIBOU DRY TAILLE 5 | 11-25KG&amp;fournisseur=&amp;date_d%25C3%25A9but=&amp;date_fin=","0.25")</f>
        <v>0.25</v>
      </c>
      <c r="M59" s="1" t="s">
        <v>869</v>
      </c>
      <c r="N59" s="16">
        <v>888888.0</v>
      </c>
    </row>
    <row r="60" ht="14.25" customHeight="1">
      <c r="A60" s="1" t="s">
        <v>142</v>
      </c>
      <c r="B60" s="9" t="str">
        <f>HYPERLINK("https://lafourche.fr/products/la-fourche-liniment-oleo-calcaire-certifie-cosmos-organic-1l","13.86")</f>
        <v>13.86</v>
      </c>
      <c r="C60" s="1" t="s">
        <v>869</v>
      </c>
      <c r="D60" s="9" t="str">
        <f>HYPERLINK("https://www.biocoop.fr/magasin-biocoop_champollion/liniment-oleo-calcaire-bebe-lg5038-000.html","888888")</f>
        <v>888888</v>
      </c>
      <c r="E60" s="16" t="s">
        <v>869</v>
      </c>
      <c r="F60" s="9" t="str">
        <f>HYPERLINK("https://www.biocoop.fr/magasin-biocoop_fontaine/liniment-oleo-calcaire-bebe-lg5038-000.html","888888")</f>
        <v>888888</v>
      </c>
      <c r="G60" s="16" t="s">
        <v>869</v>
      </c>
      <c r="H60" s="9" t="str">
        <f>HYPERLINK("https://satoriz-comboire.bio/products/ecoae035?_pos=3&amp;_sid=db2ea40dc&amp;_ss=r","888888")</f>
        <v>888888</v>
      </c>
      <c r="I60" s="18" t="s">
        <v>56</v>
      </c>
      <c r="J60" s="7" t="str">
        <f>HYPERLINK("https://www.greenweez.com/produit/liniment-bebe-oleocalcaire-1l/2WEEZ0527","10.9")</f>
        <v>10.9</v>
      </c>
      <c r="K60" s="1" t="s">
        <v>869</v>
      </c>
      <c r="L60" s="9" t="str">
        <f>HYPERLINK("https://metabase.lelefan.org/public/dashboard/53c41f3f-5644-466e-935e-897e7725f6bc?rayon=&amp;d%25C3%25A9signation=LINIMENT VRAC&amp;fournisseur=&amp;date_d%25C3%25A9but=&amp;date_fin=","19.25")</f>
        <v>19.25</v>
      </c>
      <c r="M60" s="1" t="s">
        <v>869</v>
      </c>
      <c r="N60" s="16">
        <v>888888.0</v>
      </c>
    </row>
    <row r="61" ht="14.25" customHeight="1">
      <c r="A61" s="5" t="s">
        <v>144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ht="14.25" customHeight="1">
      <c r="A62" s="1" t="s">
        <v>145</v>
      </c>
      <c r="B62" s="9" t="str">
        <f>HYPERLINK("https://lafourche.fr/products/holle-lait-1-bio-demeter-pour-nourrissons-des-la-naissance-jusqu-a-6-mois-0-4kg","20.92")</f>
        <v>20.92</v>
      </c>
      <c r="C62" s="26" t="s">
        <v>974</v>
      </c>
      <c r="D62" s="9" t="str">
        <f>HYPERLINK("https://www.biocoop.fr/magasin-biocoop_champollion/lait-infantile-1er-age-800g-nt2000-000.html","19.7")</f>
        <v>19.7</v>
      </c>
      <c r="E62" s="1" t="s">
        <v>869</v>
      </c>
      <c r="F62" s="9" t="str">
        <f>HYPERLINK("https://www.biocoop.fr/magasin-biocoop_fontaine/lait-infantile-1er-age-800g-nt2000-000.html","18.9")</f>
        <v>18.9</v>
      </c>
      <c r="G62" s="1" t="s">
        <v>869</v>
      </c>
      <c r="H62" s="9" t="str">
        <f>HYPERLINK("https://satoriz-comboire.bio/collections/bebe/products/pu660168808","22.38")</f>
        <v>22.38</v>
      </c>
      <c r="I62" s="26" t="s">
        <v>975</v>
      </c>
      <c r="J62" s="9" t="str">
        <f>HYPERLINK("https://www.greenweez.com/produit/lait-nourrisson-vache-1er-age-800g-de-0-a-6-mois/1JUNE0012","21.81")</f>
        <v>21.81</v>
      </c>
      <c r="K62" s="1" t="s">
        <v>869</v>
      </c>
      <c r="L62" s="9" t="str">
        <f>HYPERLINK("https://metabase.lelefan.org/public/dashboard/53c41f3f-5644-466e-935e-897e7725f6bc?rayon=&amp;d%25C3%25A9signation=LAIT EN POUDRE PRIMEA / 0 A 6 MOIS&amp;fournisseur=&amp;date_d%25C3%25A9but=&amp;date_fin=","888888")</f>
        <v>888888</v>
      </c>
      <c r="M62" s="16" t="s">
        <v>869</v>
      </c>
      <c r="N62" s="7" t="str">
        <f>HYPERLINK("https://fd11-courses.leclercdrive.fr/magasin-063801-063801-Echirolles---Comboire/fiche-produits-123695-Lait-Primea-1-Bio-BabyBio.aspx","18.8")</f>
        <v>18.8</v>
      </c>
    </row>
    <row r="63" ht="14.25" customHeight="1">
      <c r="A63" s="1" t="s">
        <v>148</v>
      </c>
      <c r="B63" s="9" t="str">
        <f>HYPERLINK("https://lafourche.fr/products/holle-lait-de-suite-2-demeter-bio-des-6-mois-0-6kg","19.65")</f>
        <v>19.65</v>
      </c>
      <c r="C63" s="1" t="s">
        <v>869</v>
      </c>
      <c r="D63" s="9" t="str">
        <f>HYPERLINK("https://www.biocoop.fr/magasin-biocoop_champollion/lait-infantile-2eme-age-800g-nt2001-000.html","19.99")</f>
        <v>19.99</v>
      </c>
      <c r="E63" s="1" t="s">
        <v>869</v>
      </c>
      <c r="F63" s="7" t="str">
        <f>HYPERLINK("https://www.biocoop.fr/magasin-biocoop_fontaine/lait-infantile-2eme-age-800g-nt2001-000.html","17.99")</f>
        <v>17.99</v>
      </c>
      <c r="G63" s="25" t="s">
        <v>976</v>
      </c>
      <c r="H63" s="9" t="str">
        <f>HYPERLINK("https://satoriz-comboire.bio/collections/bebe/products/pu660154208","21.75")</f>
        <v>21.75</v>
      </c>
      <c r="I63" s="26" t="s">
        <v>977</v>
      </c>
      <c r="J63" s="9" t="str">
        <f>HYPERLINK("https://www.greenweez.com/produit/lait-de-suite-2-600g-apres-6-mois/2HOLL0116","19.65")</f>
        <v>19.65</v>
      </c>
      <c r="K63" s="26" t="s">
        <v>978</v>
      </c>
      <c r="L63" s="9" t="str">
        <f>HYPERLINK("https://metabase.lelefan.org/public/dashboard/53c41f3f-5644-466e-935e-897e7725f6bc?rayon=&amp;d%25C3%25A9signation=LAIT EN POUDRE PRIMEA / + DE 6 MOIS&amp;fournisseur=&amp;date_d%25C3%25A9but=&amp;date_fin=","888888")</f>
        <v>888888</v>
      </c>
      <c r="M63" s="16" t="s">
        <v>869</v>
      </c>
      <c r="N63" s="9" t="str">
        <f>HYPERLINK("https://fd11-courses.leclercdrive.fr/magasin-063801-063801-Echirolles---Comboire/fiche-produits-123622-Lait-poudre-Optima-2-Babybio-.aspx","20.44")</f>
        <v>20.44</v>
      </c>
    </row>
    <row r="64" ht="14.25" customHeight="1">
      <c r="A64" s="1" t="s">
        <v>151</v>
      </c>
      <c r="B64" s="9" t="str">
        <f>HYPERLINK("https://lafourche.fr/products/hipp-lait-3-de-croissance-essentia-bio-0-6kg","19.25")</f>
        <v>19.25</v>
      </c>
      <c r="C64" s="25" t="s">
        <v>979</v>
      </c>
      <c r="D64" s="9" t="str">
        <f>HYPERLINK("https://www.biocoop.fr/magasin-biocoop_champollion/lait-infantile-3eme-age-800g-nt2002-000.html","18.9")</f>
        <v>18.9</v>
      </c>
      <c r="E64" s="1" t="s">
        <v>869</v>
      </c>
      <c r="F64" s="7" t="str">
        <f>HYPERLINK("https://www.biocoop.fr/magasin-biocoop_fontaine/lait-infantile-3eme-age-800g-nt2002-000.html","16.99")</f>
        <v>16.99</v>
      </c>
      <c r="G64" s="25" t="s">
        <v>980</v>
      </c>
      <c r="H64" s="9" t="str">
        <f>HYPERLINK("https://satoriz-comboire.bio/collections/bebe/products/pu660154308","21.0")</f>
        <v>21.0</v>
      </c>
      <c r="I64" s="25" t="s">
        <v>112</v>
      </c>
      <c r="J64" s="9" t="str">
        <f>HYPERLINK("https://www.greenweez.com/produit/lait-de-suite-3-600g-des-10-mois/2HOLL0114","19.65")</f>
        <v>19.65</v>
      </c>
      <c r="K64" s="26" t="s">
        <v>978</v>
      </c>
      <c r="L64" s="9" t="str">
        <f>HYPERLINK("https://metabase.lelefan.org/public/dashboard/53c41f3f-5644-466e-935e-897e7725f6bc?rayon=&amp;d%25C3%25A9signation=LAIT EN POUDRE CROISSANCE / + DE 10 MOIS&amp;fournisseur=&amp;date_d%25C3%25A9but=&amp;date_fin=","888888")</f>
        <v>888888</v>
      </c>
      <c r="M64" s="16" t="s">
        <v>869</v>
      </c>
      <c r="N64" s="9" t="str">
        <f>HYPERLINK("https://fd11-courses.leclercdrive.fr/magasin-063801-063801-Echirolles---Comboire/fiche-produits-76895-Lait-croissance-Bio-Guigoz.aspx","17.39")</f>
        <v>17.39</v>
      </c>
    </row>
    <row r="65" ht="14.25" customHeight="1"/>
    <row r="66" ht="14.25" customHeight="1">
      <c r="A66" s="3" t="s">
        <v>155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ht="14.25" customHeight="1">
      <c r="A67" s="5" t="s">
        <v>156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ht="14.25" customHeight="1">
      <c r="A68" s="1" t="s">
        <v>157</v>
      </c>
      <c r="B68" s="7" t="str">
        <f>HYPERLINK("https://lafourche.fr/products/la-fourche-gressins-a-l-huile-d-olive-bio-0-16kg","11.56")</f>
        <v>11.56</v>
      </c>
      <c r="C68" s="25" t="s">
        <v>981</v>
      </c>
      <c r="D68" s="9" t="str">
        <f>HYPERLINK("https://www.biocoop.fr/magasin-biocoop_champollion/gressins-a-l-huile-d-olive-vierge-sd2008-000.html","38.0")</f>
        <v>38.0</v>
      </c>
      <c r="E68" s="1" t="s">
        <v>869</v>
      </c>
      <c r="F68" s="9" t="str">
        <f>HYPERLINK("https://www.biocoop.fr/magasin-biocoop_fontaine/gressin-nature-150g-gr4007-000.html","12.33")</f>
        <v>12.33</v>
      </c>
      <c r="G68" s="26" t="s">
        <v>982</v>
      </c>
      <c r="H68" s="9" t="str">
        <f>HYPERLINK("https://satoriz-comboire.bio/collections/epicerie-salee/products/tgc01","12.67")</f>
        <v>12.67</v>
      </c>
      <c r="I68" s="1" t="s">
        <v>869</v>
      </c>
      <c r="J68" s="9" t="str">
        <f>HYPERLINK("https://www.greenweez.com/produit/gressins-au-sesame-160g/1LAZZ0072","888888")</f>
        <v>888888</v>
      </c>
      <c r="K68" s="16" t="s">
        <v>869</v>
      </c>
      <c r="L68" s="9" t="str">
        <f>HYPERLINK("https://metabase.lelefan.org/public/dashboard/53c41f3f-5644-466e-935e-897e7725f6bc?rayon=&amp;d%25C3%25A9signation=GRESSINS AUX TROIS GRAINES&amp;fournisseur=&amp;date_d%25C3%25A9but=&amp;date_fin=","15.44")</f>
        <v>15.44</v>
      </c>
      <c r="M68" s="25" t="s">
        <v>983</v>
      </c>
      <c r="N68" s="9" t="str">
        <f>HYPERLINK("https://fd11-courses.leclercdrive.fr/magasin-063801-063801-Echirolles---Comboire/fiche-produits-62742-Gressins-sesames-bio.aspx","11.92")</f>
        <v>11.92</v>
      </c>
    </row>
    <row r="69" ht="14.25" customHeight="1">
      <c r="A69" s="1" t="s">
        <v>158</v>
      </c>
      <c r="B69" s="7" t="str">
        <f>HYPERLINK("https://lafourche.fr/products/moulin-des-moines-sticks-depeautre-200g-bio","9.95")</f>
        <v>9.95</v>
      </c>
      <c r="C69" s="1" t="s">
        <v>869</v>
      </c>
      <c r="D69" s="9" t="str">
        <f>HYPERLINK("https://www.biocoop.fr/magasin-biocoop_champollion/sticks-epeautre-pur-200g-ml1211-000.html","888888")</f>
        <v>888888</v>
      </c>
      <c r="E69" s="16" t="s">
        <v>869</v>
      </c>
      <c r="F69" s="9" t="str">
        <f>HYPERLINK("https://www.biocoop.fr/magasin-biocoop_fontaine/sticks-epeautre-pur-200g-ml1211-000.html","888888")</f>
        <v>888888</v>
      </c>
      <c r="G69" s="16" t="s">
        <v>869</v>
      </c>
      <c r="H69" s="16">
        <v>888888.0</v>
      </c>
      <c r="J69" s="9" t="str">
        <f>HYPERLINK("https://www.greenweez.com/produit/sticks-depeautre-a-lhuile-dolive-200g/1MOUL0035","11.5")</f>
        <v>11.5</v>
      </c>
      <c r="K69" s="25" t="s">
        <v>984</v>
      </c>
      <c r="L69" s="16">
        <v>888888.0</v>
      </c>
      <c r="N69" s="16">
        <v>888888.0</v>
      </c>
    </row>
    <row r="70" ht="14.25" customHeight="1">
      <c r="A70" s="1" t="s">
        <v>159</v>
      </c>
      <c r="B70" s="9" t="str">
        <f>HYPERLINK("https://lafourche.fr/products/moulin-des-moines-bretzels-depeautre-150g-bio","10.67")</f>
        <v>10.67</v>
      </c>
      <c r="C70" s="26" t="s">
        <v>985</v>
      </c>
      <c r="D70" s="9" t="str">
        <f>HYPERLINK("https://www.biocoop.fr/magasin-biocoop_champollion/bretzel-epeautre-bio-ml1218-000.html","8.85")</f>
        <v>8.85</v>
      </c>
      <c r="E70" s="26" t="s">
        <v>986</v>
      </c>
      <c r="F70" s="9" t="str">
        <f>HYPERLINK("https://www.biocoop.fr/magasin-biocoop_fontaine/bretzel-epeautre-bio-ml1218-000.html","9.3")</f>
        <v>9.3</v>
      </c>
      <c r="G70" s="1" t="s">
        <v>869</v>
      </c>
      <c r="H70" s="9" t="str">
        <f>HYPERLINK("https://satoriz-comboire.bio/products/eu1740","16.25")</f>
        <v>16.25</v>
      </c>
      <c r="I70" s="25" t="s">
        <v>987</v>
      </c>
      <c r="J70" s="9" t="str">
        <f>HYPERLINK("https://www.greenweez.com/produit/bretzels-epeautre-sesame-et-huile-dolive-150g/1MOUL0033","13.07")</f>
        <v>13.07</v>
      </c>
      <c r="K70" s="25" t="s">
        <v>919</v>
      </c>
      <c r="L70" s="9" t="str">
        <f>HYPERLINK("https://metabase.lelefan.org/public/dashboard/53c41f3f-5644-466e-935e-897e7725f6bc?rayon=&amp;d%25C3%25A9signation=BRETZELS D EPEAUTRE&amp;fournisseur=&amp;date_d%25C3%25A9but=&amp;date_fin=","11.53")</f>
        <v>11.53</v>
      </c>
      <c r="M70" s="1" t="s">
        <v>869</v>
      </c>
      <c r="N70" s="7" t="str">
        <f>HYPERLINK("https://fd11-courses.leclercdrive.fr/magasin-063801-063801-Echirolles---Comboire/fiche-produits-137897-Bretzels-bio-Bio-Village.aspx","7.13")</f>
        <v>7.13</v>
      </c>
    </row>
    <row r="71" ht="14.25" customHeight="1">
      <c r="A71" s="1" t="s">
        <v>162</v>
      </c>
      <c r="B71" s="7" t="str">
        <f>HYPERLINK("https://lafourche.fr/products/pural-chips-au-mais-nature-bio-0-2kg","10.75")</f>
        <v>10.75</v>
      </c>
      <c r="C71" s="26" t="s">
        <v>988</v>
      </c>
      <c r="D71" s="9" t="str">
        <f>HYPERLINK("https://www.biocoop.fr/magasin-biocoop_champollion/tortilla-chips-mais-natures-200g-ap0010-000.html","12.5")</f>
        <v>12.5</v>
      </c>
      <c r="E71" s="1" t="s">
        <v>869</v>
      </c>
      <c r="F71" s="9" t="str">
        <f>HYPERLINK("https://www.biocoop.fr/magasin-biocoop_fontaine/tortilla-chips-mais-natures-200g-ap0010-000.html","12.5")</f>
        <v>12.5</v>
      </c>
      <c r="G71" s="1" t="s">
        <v>869</v>
      </c>
      <c r="H71" s="9" t="str">
        <f>HYPERLINK("https://satoriz-comboire.bio/products/pu6901460","12.0")</f>
        <v>12.0</v>
      </c>
      <c r="I71" s="1" t="s">
        <v>869</v>
      </c>
      <c r="J71" s="9" t="str">
        <f>HYPERLINK("https://www.greenweez.com/produit/chips-de-mais-nature-125g/1PURA0072","17.6")</f>
        <v>17.6</v>
      </c>
      <c r="K71" s="25" t="s">
        <v>989</v>
      </c>
      <c r="L71" s="9" t="str">
        <f>HYPERLINK("https://metabase.lelefan.org/public/dashboard/53c41f3f-5644-466e-935e-897e7725f6bc?rayon=&amp;d%25C3%25A9signation=TORTILLAS NATURE SANS GLUTEN&amp;fournisseur=&amp;date_d%25C3%25A9but=&amp;date_fin=","17.12")</f>
        <v>17.12</v>
      </c>
      <c r="M71" s="1" t="s">
        <v>869</v>
      </c>
      <c r="N71" s="9" t="str">
        <f>HYPERLINK("https://fd11-courses.leclercdrive.fr/magasin-063801-063801-Echirolles---Comboire/fiche-produits-54492-Tortillas-chips-Bio-village.aspx","11.47")</f>
        <v>11.47</v>
      </c>
    </row>
    <row r="72" ht="14.25" customHeight="1">
      <c r="A72" s="1" t="s">
        <v>166</v>
      </c>
      <c r="B72" s="7" t="str">
        <f>HYPERLINK("https://lafourche.fr/products/trafo-chips-salees-125g","15.92")</f>
        <v>15.92</v>
      </c>
      <c r="C72" s="25" t="s">
        <v>990</v>
      </c>
      <c r="D72" s="9" t="str">
        <f>HYPERLINK("https://www.biocoop.fr/magasin-biocoop_champollion/chips-pdt-natures-100g-cs5010-000.html","27.0")</f>
        <v>27.0</v>
      </c>
      <c r="E72" s="1" t="s">
        <v>869</v>
      </c>
      <c r="F72" s="9" t="str">
        <f>HYPERLINK("https://www.biocoop.fr/magasin-biocoop_fontaine/chips-pdt-natures-200g-ao4005-000.html","20.75")</f>
        <v>20.75</v>
      </c>
      <c r="G72" s="25" t="s">
        <v>991</v>
      </c>
      <c r="H72" s="9" t="str">
        <f>HYPERLINK("https://satoriz-comboire.bio/collections/epicerie-salee/products/ma5776","16.4")</f>
        <v>16.4</v>
      </c>
      <c r="I72" s="25" t="s">
        <v>992</v>
      </c>
      <c r="J72" s="9" t="str">
        <f>HYPERLINK("https://www.greenweez.com/produit/chips-nature-format-familial-220g/1APER0002","19.23")</f>
        <v>19.23</v>
      </c>
      <c r="K72" s="16" t="s">
        <v>896</v>
      </c>
      <c r="L72" s="9" t="str">
        <f>HYPERLINK("https://metabase.lelefan.org/public/dashboard/53c41f3f-5644-466e-935e-897e7725f6bc?rayon=&amp;d%25C3%25A9signation=CHIPS NATURE&amp;fournisseur=&amp;date_d%25C3%25A9but=&amp;date_fin=","19.92")</f>
        <v>19.92</v>
      </c>
      <c r="M72" s="1" t="s">
        <v>869</v>
      </c>
      <c r="N72" s="7" t="str">
        <f>HYPERLINK("https://fd11-courses.leclercdrive.fr/magasin-063801-063801-Echirolles---Comboire/fiche-produits-23227-Chips-Bio-Village.aspx","15.92")</f>
        <v>15.92</v>
      </c>
    </row>
    <row r="73" ht="14.25" customHeight="1">
      <c r="A73" s="1" t="s">
        <v>167</v>
      </c>
      <c r="B73" s="9" t="str">
        <f>HYPERLINK("https://lafourche.fr/products/la-fourche-250g-de-pistaches-en-coque-grillees-salees-en-vrac-bio","23.8")</f>
        <v>23.8</v>
      </c>
      <c r="C73" s="25" t="s">
        <v>902</v>
      </c>
      <c r="D73" s="9" t="str">
        <f>HYPERLINK("https://www.biocoop.fr/magasin-biocoop_champollion/pistaches-coques-grillees-salees-bio-ag3041-000.html","30.5")</f>
        <v>30.5</v>
      </c>
      <c r="E73" s="1" t="s">
        <v>869</v>
      </c>
      <c r="F73" s="9" t="str">
        <f>HYPERLINK("https://www.biocoop.fr/magasin-biocoop_fontaine/pistaches-coques-grillees-salees-bio-ag3041-000.html","888888")</f>
        <v>888888</v>
      </c>
      <c r="G73" s="16" t="s">
        <v>869</v>
      </c>
      <c r="H73" s="9" t="str">
        <f>HYPERLINK("https://satoriz-comboire.bio/collections/vrac/products/ag0653","23.5")</f>
        <v>23.5</v>
      </c>
      <c r="I73" s="25" t="s">
        <v>993</v>
      </c>
      <c r="J73" s="9" t="str">
        <f>HYPERLINK("https://www.greenweez.com/produit/pistaches-en-coques-grillees-salees-500g/2WEEZ0404","888888")</f>
        <v>888888</v>
      </c>
      <c r="K73" s="16" t="s">
        <v>869</v>
      </c>
      <c r="L73" s="7" t="str">
        <f>HYPERLINK("https://metabase.lelefan.org/public/dashboard/53c41f3f-5644-466e-935e-897e7725f6bc?rayon=&amp;d%25C3%25A9signation=PISTACHE COQUE GRILLEE-SALEE VRAC&amp;fournisseur=&amp;date_d%25C3%25A9but=&amp;date_fin=","23.28")</f>
        <v>23.28</v>
      </c>
      <c r="M73" s="25" t="s">
        <v>994</v>
      </c>
      <c r="N73" s="9" t="str">
        <f>HYPERLINK("https://fd11-courses.leclercdrive.fr/magasin-063801-063801-Echirolles---Comboire/fiche-produits-68870-Pistaches-Bio-Village.aspx","26.0")</f>
        <v>26.0</v>
      </c>
    </row>
    <row r="74" ht="14.25" customHeight="1">
      <c r="A74" s="1" t="s">
        <v>171</v>
      </c>
      <c r="B74" s="9" t="str">
        <f>HYPERLINK("https://lafourche.fr/products/la-fourche-cacahuetes-grillees-salees-bio-en-vrac-0-5kg","7.8")</f>
        <v>7.8</v>
      </c>
      <c r="C74" s="1" t="s">
        <v>869</v>
      </c>
      <c r="D74" s="9" t="str">
        <f>HYPERLINK("https://www.biocoop.fr/magasin-biocoop_champollion/arachide-grillee-nature-bio-ag3062-000.html","9.9")</f>
        <v>9.9</v>
      </c>
      <c r="E74" s="26" t="s">
        <v>995</v>
      </c>
      <c r="F74" s="9" t="str">
        <f>HYPERLINK("https://www.biocoop.fr/magasin-biocoop_fontaine/arachides-grillees-et-salees-egypte-bio-ag3063-000.html","11.8")</f>
        <v>11.8</v>
      </c>
      <c r="G74" s="1" t="s">
        <v>869</v>
      </c>
      <c r="H74" s="9" t="str">
        <f>HYPERLINK("https://satoriz-comboire.bio/collections/vrac/products/bof3707","7.95")</f>
        <v>7.95</v>
      </c>
      <c r="I74" s="26" t="s">
        <v>996</v>
      </c>
      <c r="J74" s="9" t="str">
        <f>HYPERLINK("https://www.greenweez.com/produit/arachides-decortiquees-grillees-nature-500g/2WEEZ0360","9.9")</f>
        <v>9.9</v>
      </c>
      <c r="K74" s="1" t="s">
        <v>869</v>
      </c>
      <c r="L74" s="7" t="str">
        <f>HYPERLINK("https://metabase.lelefan.org/public/dashboard/53c41f3f-5644-466e-935e-897e7725f6bc?rayon=&amp;d%25C3%25A9signation=ARACHIDE DECORTIQUEE GRILLEE VRAC&amp;fournisseur=&amp;date_d%25C3%25A9but=&amp;date_fin=","7.72")</f>
        <v>7.72</v>
      </c>
      <c r="M74" s="26" t="s">
        <v>997</v>
      </c>
      <c r="N74" s="9" t="str">
        <f>HYPERLINK("https://fd11-courses.leclercdrive.fr/magasin-063801-063801-Echirolles---Comboire/fiche-produits-121993-Cachuetes-grillees-Bio-Village.aspx","9.9")</f>
        <v>9.9</v>
      </c>
      <c r="P74" s="1">
        <v>0.5</v>
      </c>
    </row>
    <row r="75" ht="14.25" customHeight="1">
      <c r="A75" s="5" t="s">
        <v>176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ht="14.25" customHeight="1">
      <c r="A76" s="1" t="s">
        <v>177</v>
      </c>
      <c r="B76" s="9" t="str">
        <f>HYPERLINK("https://lafourche.fr/products/autour-du-riz-feuilles-de-riz-bio-150g","18.33")</f>
        <v>18.33</v>
      </c>
      <c r="C76" s="1" t="s">
        <v>869</v>
      </c>
      <c r="D76" s="7" t="str">
        <f>HYPERLINK("https://www.biocoop.fr/magasin-biocoop_champollion/feuilles-de-riz-150g-mf1143-000.html","17.8")</f>
        <v>17.8</v>
      </c>
      <c r="E76" s="26" t="s">
        <v>998</v>
      </c>
      <c r="F76" s="16">
        <v>888888.0</v>
      </c>
      <c r="H76" s="9" t="str">
        <f>HYPERLINK("https://satoriz-comboire.bio/products/re38474","22.67")</f>
        <v>22.67</v>
      </c>
      <c r="I76" s="1" t="s">
        <v>869</v>
      </c>
      <c r="J76" s="9" t="str">
        <f>HYPERLINK("https://www.greenweez.com/produit/feuilles-de-riz-22cm-150g/1FITN0053","19.93")</f>
        <v>19.93</v>
      </c>
      <c r="K76" s="26" t="s">
        <v>999</v>
      </c>
      <c r="L76" s="9" t="str">
        <f>HYPERLINK("https://metabase.lelefan.org/public/dashboard/53c41f3f-5644-466e-935e-897e7725f6bc?rayon=&amp;d%25C3%25A9signation=FEUILLE DE RIZ BLANC 22CM&amp;fournisseur=&amp;date_d%25C3%25A9but=&amp;date_fin=","18.53")</f>
        <v>18.53</v>
      </c>
      <c r="M76" s="1" t="s">
        <v>869</v>
      </c>
      <c r="N76" s="16">
        <v>888888.0</v>
      </c>
    </row>
    <row r="77" ht="14.25" customHeight="1">
      <c r="A77" s="1" t="s">
        <v>178</v>
      </c>
      <c r="B77" s="9" t="str">
        <f t="shared" ref="B77:B78" si="39">HYPERLINK("https://lafourche.fr/products/philia-bouillon-de-legumes-cubes-66g-bio","15.91")</f>
        <v>15.91</v>
      </c>
      <c r="C77" s="25" t="s">
        <v>1000</v>
      </c>
      <c r="D77" s="9" t="str">
        <f t="shared" ref="D77:D78" si="40">HYPERLINK("https://www.biocoop.fr/magasin-biocoop_champollion/bouillon-legumes-cube-ss-levure-8-80g-ra1400-000.html","22.5")</f>
        <v>22.5</v>
      </c>
      <c r="E77" s="1" t="s">
        <v>869</v>
      </c>
      <c r="F77" s="9" t="str">
        <f t="shared" ref="F77:F78" si="41">HYPERLINK("https://www.biocoop.fr/magasin-biocoop_fontaine/bouillon-de-legumes-en-cube-hl1004-000.html","20.45")</f>
        <v>20.45</v>
      </c>
      <c r="G77" s="26" t="s">
        <v>1001</v>
      </c>
      <c r="H77" s="7" t="str">
        <f>HYPERLINK("https://satoriz-comboire.bio/products/ralegplu","15.9")</f>
        <v>15.9</v>
      </c>
      <c r="I77" s="26" t="s">
        <v>1002</v>
      </c>
      <c r="J77" s="9" t="str">
        <f>HYPERLINK("https://www.greenweez.com/produit/bouillon-de-legumes-en-poudre-sans-levure-500g/1RAPU0182","16.8")</f>
        <v>16.8</v>
      </c>
      <c r="K77" s="1" t="s">
        <v>869</v>
      </c>
      <c r="L77" s="9" t="str">
        <f>HYPERLINK("https://metabase.lelefan.org/public/dashboard/53c41f3f-5644-466e-935e-897e7725f6bc?rayon=&amp;d%25C3%25A9signation=BOUILLON DE LEGUMES&amp;fournisseur=&amp;date_d%25C3%25A9but=&amp;date_fin=","888888")</f>
        <v>888888</v>
      </c>
      <c r="M77" s="16" t="s">
        <v>869</v>
      </c>
      <c r="N77" s="9" t="str">
        <f t="shared" ref="N77:N78" si="42">HYPERLINK("https://fd11-courses.leclercdrive.fr/magasin-063801-063801-Echirolles---Comboire/fiche-produits-23500-Bouillon-de-legumes-Bio-Village.aspx","21.13")</f>
        <v>21.13</v>
      </c>
    </row>
    <row r="78" ht="14.25" customHeight="1">
      <c r="A78" s="1" t="s">
        <v>180</v>
      </c>
      <c r="B78" s="9" t="str">
        <f t="shared" si="39"/>
        <v>15.91</v>
      </c>
      <c r="D78" s="9" t="str">
        <f t="shared" si="40"/>
        <v>22.5</v>
      </c>
      <c r="F78" s="9" t="str">
        <f t="shared" si="41"/>
        <v>20.45</v>
      </c>
      <c r="H78" s="9" t="str">
        <f>HYPERLINK("https://satoriz-comboire.bio/products/re39242","18.94")</f>
        <v>18.94</v>
      </c>
      <c r="J78" s="9" t="str">
        <f>HYPERLINK("https://www.greenweez.com/produit/bouillon-de-legumes-en-cubes-sans-levure-80g/1RAPU0055","21.25")</f>
        <v>21.25</v>
      </c>
      <c r="L78" s="7" t="str">
        <f>HYPERLINK("https://metabase.lelefan.org/public/dashboard/53c41f3f-5644-466e-935e-897e7725f6bc?rayon=&amp;d%25C3%25A9signation=BOUILLON CUBE LEGUMES DEGRAISSE&amp;fournisseur=&amp;date_d%25C3%25A9but=&amp;date_fin=","2.51")</f>
        <v>2.51</v>
      </c>
      <c r="N78" s="9" t="str">
        <f t="shared" si="42"/>
        <v>21.13</v>
      </c>
    </row>
    <row r="79" ht="14.25" customHeight="1">
      <c r="A79" s="1" t="s">
        <v>181</v>
      </c>
      <c r="B79" s="7" t="str">
        <f>HYPERLINK("https://lafourche.fr/products/danival-cube-miso-bio-8x10g-bio","45.63")</f>
        <v>45.63</v>
      </c>
      <c r="C79" s="25" t="s">
        <v>1003</v>
      </c>
      <c r="D79" s="9" t="str">
        <f>HYPERLINK("https://www.biocoop.fr/magasin-biocoop_champollion/miso-cube-original-8-80g-dn1090-000.html","888888")</f>
        <v>888888</v>
      </c>
      <c r="E79" s="16" t="s">
        <v>869</v>
      </c>
      <c r="F79" s="9" t="str">
        <f>HYPERLINK("https://www.biocoop.fr/magasin-biocoop_fontaine/miso-cube-original-8-80g-dn1090-000.html","49.38")</f>
        <v>49.38</v>
      </c>
      <c r="G79" s="1" t="s">
        <v>869</v>
      </c>
      <c r="H79" s="9" t="str">
        <f>HYPERLINK("https://satoriz-comboire.bio/products/da2889","888888")</f>
        <v>888888</v>
      </c>
      <c r="I79" s="18" t="s">
        <v>56</v>
      </c>
      <c r="J79" s="9" t="str">
        <f>HYPERLINK("https://www.greenweez.com/produit/miso-en-cubes-original-8x10g/1DANI0197","888888")</f>
        <v>888888</v>
      </c>
      <c r="K79" s="18" t="s">
        <v>56</v>
      </c>
      <c r="L79" s="16">
        <v>888888.0</v>
      </c>
      <c r="N79" s="16">
        <v>888888.0</v>
      </c>
    </row>
    <row r="80" ht="14.25" customHeight="1">
      <c r="A80" s="1" t="s">
        <v>183</v>
      </c>
      <c r="B80" s="7" t="str">
        <f>HYPERLINK("https://lafourche.fr/products/danival-miso-riz-bio-0-39kg","17.92")</f>
        <v>17.92</v>
      </c>
      <c r="C80" s="1" t="s">
        <v>869</v>
      </c>
      <c r="D80" s="9" t="str">
        <f>HYPERLINK("https://www.biocoop.fr/magasin-biocoop_champollion/miso-riz-200g-dn0733-000.html","24.95")</f>
        <v>24.95</v>
      </c>
      <c r="E80" s="1" t="s">
        <v>869</v>
      </c>
      <c r="F80" s="9" t="str">
        <f>HYPERLINK("https://www.biocoop.fr/magasin-biocoop_fontaine/miso-riz-200g-dn0733-000.html","24.95")</f>
        <v>24.95</v>
      </c>
      <c r="G80" s="25" t="s">
        <v>1004</v>
      </c>
      <c r="H80" s="9" t="str">
        <f>HYPERLINK("https://satoriz-comboire.bio/products/re2573","888888")</f>
        <v>888888</v>
      </c>
      <c r="I80" s="18" t="s">
        <v>56</v>
      </c>
      <c r="J80" s="9" t="str">
        <f>HYPERLINK("https://www.greenweez.com/produit/miso-de-riz-390g/1DANI0048","888888")</f>
        <v>888888</v>
      </c>
      <c r="K80" s="18" t="s">
        <v>56</v>
      </c>
      <c r="L80" s="16">
        <v>888888.0</v>
      </c>
      <c r="N80" s="16">
        <v>888888.0</v>
      </c>
    </row>
    <row r="81" ht="14.25" customHeight="1">
      <c r="A81" s="1" t="s">
        <v>186</v>
      </c>
      <c r="B81" s="7" t="str">
        <f>HYPERLINK("https://lafourche.fr/products/la-fourche-gomasio-bio-0-5kg","9.98")</f>
        <v>9.98</v>
      </c>
      <c r="C81" s="1" t="s">
        <v>869</v>
      </c>
      <c r="D81" s="9" t="str">
        <f>HYPERLINK("https://www.biocoop.fr/magasin-biocoop_champollion/gomasio-300g-he0775-000.html","20.17")</f>
        <v>20.17</v>
      </c>
      <c r="E81" s="1" t="s">
        <v>869</v>
      </c>
      <c r="F81" s="9" t="str">
        <f>HYPERLINK("https://www.biocoop.fr/magasin-biocoop_fontaine/gomasio-300g-he0775-000.html","15.5")</f>
        <v>15.5</v>
      </c>
      <c r="G81" s="26" t="s">
        <v>1005</v>
      </c>
      <c r="H81" s="9" t="str">
        <f>HYPERLINK("https://satoriz-comboire.bio/products/go300","15.67")</f>
        <v>15.67</v>
      </c>
      <c r="I81" s="26" t="s">
        <v>1006</v>
      </c>
      <c r="J81" s="9" t="str">
        <f>HYPERLINK("https://www.greenweez.com/produit/gomasio-loriginal-500g/1SENF0012","13.38")</f>
        <v>13.38</v>
      </c>
      <c r="K81" s="1" t="s">
        <v>869</v>
      </c>
      <c r="L81" s="9" t="str">
        <f>HYPERLINK("https://metabase.lelefan.org/public/dashboard/53c41f3f-5644-466e-935e-897e7725f6bc?rayon=&amp;d%25C3%25A9signation=GOMASIO&amp;fournisseur=&amp;date_d%25C3%25A9but=&amp;date_fin=","23.2")</f>
        <v>23.2</v>
      </c>
      <c r="M81" s="25" t="s">
        <v>1007</v>
      </c>
      <c r="N81" s="16">
        <v>888888.0</v>
      </c>
    </row>
    <row r="82" ht="14.25" customHeight="1">
      <c r="A82" s="1" t="s">
        <v>188</v>
      </c>
      <c r="B82" s="7" t="str">
        <f>HYPERLINK("https://lafourche.fr/products/la-fourche-curcuma-moulu-bio-0-25kg","14.2")</f>
        <v>14.2</v>
      </c>
      <c r="C82" s="26" t="s">
        <v>1008</v>
      </c>
      <c r="D82" s="9" t="str">
        <f t="shared" ref="D82:D83" si="43">HYPERLINK("https://www.biocoop.fr/magasin-biocoop_champollion/curcuma-racine-poudre-bio-ck2048-000.html","19.7")</f>
        <v>19.7</v>
      </c>
      <c r="E82" s="1" t="s">
        <v>869</v>
      </c>
      <c r="F82" s="9" t="str">
        <f t="shared" ref="F82:F83" si="44">HYPERLINK("https://www.biocoop.fr/magasin-biocoop_fontaine/curcuma-poudre-35g-ck0906-000.html","56.86")</f>
        <v>56.86</v>
      </c>
      <c r="G82" s="26" t="s">
        <v>1009</v>
      </c>
      <c r="H82" s="9" t="str">
        <f>HYPERLINK("https://satoriz-comboire.bio/products/cocurcrapc500","888888")</f>
        <v>888888</v>
      </c>
      <c r="I82" s="16" t="s">
        <v>869</v>
      </c>
      <c r="J82" s="9" t="str">
        <f>HYPERLINK("https://www.greenweez.com/produit/curcuma-poudre-bio-250g/2WEEZ0074","15.8")</f>
        <v>15.8</v>
      </c>
      <c r="K82" s="25" t="s">
        <v>1010</v>
      </c>
      <c r="L82" s="9" t="str">
        <f>HYPERLINK("https://metabase.lelefan.org/public/dashboard/53c41f3f-5644-466e-935e-897e7725f6bc?rayon=&amp;d%25C3%25A9signation=CURCUMA&amp;fournisseur=&amp;date_d%25C3%25A9but=&amp;date_fin=","56.75")</f>
        <v>56.75</v>
      </c>
      <c r="M82" s="26" t="s">
        <v>1011</v>
      </c>
      <c r="N82" s="16">
        <v>888888.0</v>
      </c>
    </row>
    <row r="83" ht="14.25" customHeight="1">
      <c r="A83" s="1" t="s">
        <v>191</v>
      </c>
      <c r="B83" s="9" t="str">
        <f>HYPERLINK("https://lafourche.fr/products/cook-curcuma-en-poudre-bio-0-035kg","61.43")</f>
        <v>61.43</v>
      </c>
      <c r="C83" s="25" t="s">
        <v>192</v>
      </c>
      <c r="D83" s="7" t="str">
        <f t="shared" si="43"/>
        <v>19.7</v>
      </c>
      <c r="E83" s="1" t="s">
        <v>869</v>
      </c>
      <c r="F83" s="9" t="str">
        <f t="shared" si="44"/>
        <v>56.86</v>
      </c>
      <c r="G83" s="26" t="s">
        <v>1009</v>
      </c>
      <c r="H83" s="9" t="str">
        <f>HYPERLINK("https://satoriz-comboire.bio/products/cocurcrapr","51.43")</f>
        <v>51.43</v>
      </c>
      <c r="I83" s="16" t="s">
        <v>275</v>
      </c>
      <c r="J83" s="9" t="str">
        <f>HYPERLINK("https://www.greenweez.com/produit/curcuma-en-poudre-eco-recharge-35g/1COOK0174","58.57")</f>
        <v>58.57</v>
      </c>
      <c r="K83" s="25" t="s">
        <v>1012</v>
      </c>
      <c r="L83" s="16">
        <v>888888.0</v>
      </c>
      <c r="M83" s="18" t="s">
        <v>56</v>
      </c>
      <c r="N83" s="16">
        <v>888888.0</v>
      </c>
    </row>
    <row r="84" ht="14.25" customHeight="1">
      <c r="A84" s="1" t="s">
        <v>195</v>
      </c>
      <c r="B84" s="9" t="str">
        <f>HYPERLINK("https://lafourche.fr/products/la-fourche-curry-jaune-moulu-bio-0-15kg","30.6")</f>
        <v>30.6</v>
      </c>
      <c r="C84" s="1" t="s">
        <v>869</v>
      </c>
      <c r="D84" s="7" t="str">
        <f t="shared" ref="D84:D85" si="45">HYPERLINK("https://www.biocoop.fr/magasin-biocoop_champollion/curry-bio-ck2049-000.html","29.5")</f>
        <v>29.5</v>
      </c>
      <c r="E84" s="1" t="s">
        <v>869</v>
      </c>
      <c r="F84" s="9" t="str">
        <f t="shared" ref="F84:F85" si="46">HYPERLINK("https://www.biocoop.fr/magasin-biocoop_fontaine/curry-en-poudre-35g-ck0907-000.html","91.43")</f>
        <v>91.43</v>
      </c>
      <c r="G84" s="1" t="s">
        <v>869</v>
      </c>
      <c r="H84" s="9" t="str">
        <f>HYPERLINK("https://satoriz-comboire.bio/products/cocurrmapc","32.7")</f>
        <v>32.7</v>
      </c>
      <c r="I84" s="1" t="s">
        <v>869</v>
      </c>
      <c r="J84" s="9" t="str">
        <f>HYPERLINK("https://www.greenweez.com/produit/curry-en-poudre-bio-150g/2WEEZ0162","30.6")</f>
        <v>30.6</v>
      </c>
      <c r="K84" s="26" t="s">
        <v>962</v>
      </c>
      <c r="L84" s="9" t="str">
        <f>HYPERLINK("https://metabase.lelefan.org/public/dashboard/53c41f3f-5644-466e-935e-897e7725f6bc?rayon=&amp;d%25C3%25A9signation=CURRY INDIEN&amp;fournisseur=&amp;date_d%25C3%25A9but=&amp;date_fin=","86.29")</f>
        <v>86.29</v>
      </c>
      <c r="M84" s="25" t="s">
        <v>1013</v>
      </c>
      <c r="N84" s="9" t="str">
        <f t="shared" ref="N84:N85" si="47">HYPERLINK("https://fd11-courses.leclercdrive.fr/magasin-063801-063801-Echirolles---Comboire/fiche-produits-71655-Curry-moulu-Bio-Village.aspx","33.78")</f>
        <v>33.78</v>
      </c>
      <c r="P84" s="1">
        <v>0.01</v>
      </c>
    </row>
    <row r="85" ht="14.25" customHeight="1">
      <c r="A85" s="1" t="s">
        <v>199</v>
      </c>
      <c r="B85" s="9" t="str">
        <f>HYPERLINK("https://lafourche.fr/products/cook-curry-madras-35g","71.43")</f>
        <v>71.43</v>
      </c>
      <c r="C85" s="25" t="s">
        <v>200</v>
      </c>
      <c r="D85" s="7" t="str">
        <f t="shared" si="45"/>
        <v>29.5</v>
      </c>
      <c r="E85" s="1" t="s">
        <v>869</v>
      </c>
      <c r="F85" s="9" t="str">
        <f t="shared" si="46"/>
        <v>91.43</v>
      </c>
      <c r="G85" s="1" t="s">
        <v>869</v>
      </c>
      <c r="H85" s="9" t="str">
        <f>HYPERLINK("https://satoriz-comboire.bio/products/cocurry","78.57")</f>
        <v>78.57</v>
      </c>
      <c r="I85" s="25" t="s">
        <v>1014</v>
      </c>
      <c r="J85" s="9" t="str">
        <f>HYPERLINK("https://www.greenweez.com/produit/curry-de-madras-poudre-bio-35g/1COOK0128","76.57")</f>
        <v>76.57</v>
      </c>
      <c r="K85" s="25" t="s">
        <v>1015</v>
      </c>
      <c r="L85" s="16">
        <v>888888.0</v>
      </c>
      <c r="M85" s="18" t="s">
        <v>56</v>
      </c>
      <c r="N85" s="9" t="str">
        <f t="shared" si="47"/>
        <v>33.78</v>
      </c>
    </row>
    <row r="86" ht="14.25" customHeight="1">
      <c r="A86" s="1" t="s">
        <v>203</v>
      </c>
      <c r="B86" s="7" t="str">
        <f>HYPERLINK("https://lafourche.fr/products/la-fourche-cannelle-moulue-bio-0-15kg","26.6")</f>
        <v>26.6</v>
      </c>
      <c r="C86" s="1" t="s">
        <v>869</v>
      </c>
      <c r="D86" s="9" t="str">
        <f>HYPERLINK("https://www.biocoop.fr/magasin-biocoop_champollion/cannelle-poudre-100g-ck2151-000.html","51.5")</f>
        <v>51.5</v>
      </c>
      <c r="E86" s="1" t="s">
        <v>869</v>
      </c>
      <c r="F86" s="9" t="str">
        <f t="shared" ref="F86:F87" si="48">HYPERLINK("https://www.biocoop.fr/magasin-biocoop_fontaine/cannelle-moulue-35g-ck1419-000.html","70.0")</f>
        <v>70.0</v>
      </c>
      <c r="G86" s="1" t="s">
        <v>869</v>
      </c>
      <c r="H86" s="9" t="str">
        <f>HYPERLINK("https://satoriz-comboire.bio/products/cocannegpc","26.9")</f>
        <v>26.9</v>
      </c>
      <c r="I86" s="25" t="s">
        <v>1016</v>
      </c>
      <c r="J86" s="9" t="str">
        <f>HYPERLINK("https://www.greenweez.com/produit/cannelle-de-ceylan-en-poudre-500g/1COOK0184","29.9")</f>
        <v>29.9</v>
      </c>
      <c r="K86" s="25" t="s">
        <v>901</v>
      </c>
      <c r="L86" s="9" t="str">
        <f>HYPERLINK("https://metabase.lelefan.org/public/dashboard/53c41f3f-5644-466e-935e-897e7725f6bc?rayon=&amp;d%25C3%25A9signation=CANNELLE&amp;fournisseur=&amp;date_d%25C3%25A9but=&amp;date_fin=","91.07")</f>
        <v>91.07</v>
      </c>
      <c r="M86" s="25" t="s">
        <v>358</v>
      </c>
      <c r="N86" s="16">
        <v>888888.0</v>
      </c>
      <c r="P86" s="1">
        <v>0.01</v>
      </c>
    </row>
    <row r="87" ht="14.25" customHeight="1">
      <c r="A87" s="1" t="s">
        <v>206</v>
      </c>
      <c r="B87" s="7" t="str">
        <f>HYPERLINK("https://lafourche.fr/products/cook-cannelle-en-poudre-bio-0-035kg","63.14")</f>
        <v>63.14</v>
      </c>
      <c r="C87" s="25" t="s">
        <v>1017</v>
      </c>
      <c r="D87" s="9" t="str">
        <f>HYPERLINK("https://www.biocoop.fr/magasin-biocoop_champollion/cannelle-moulue-35g-ck1419-000.html","70.0")</f>
        <v>70.0</v>
      </c>
      <c r="E87" s="25" t="s">
        <v>1018</v>
      </c>
      <c r="F87" s="9" t="str">
        <f t="shared" si="48"/>
        <v>70.0</v>
      </c>
      <c r="G87" s="1" t="s">
        <v>869</v>
      </c>
      <c r="H87" s="9" t="str">
        <f>HYPERLINK("https://satoriz-comboire.bio/products/cocannel","65.71")</f>
        <v>65.71</v>
      </c>
      <c r="I87" s="25" t="s">
        <v>208</v>
      </c>
      <c r="J87" s="9" t="str">
        <f>HYPERLINK("https://www.greenweez.com/produit/cannelle-poudre-bio-35g/1COOK0007","76.29")</f>
        <v>76.29</v>
      </c>
      <c r="K87" s="25" t="s">
        <v>1019</v>
      </c>
      <c r="L87" s="9" t="str">
        <f>HYPERLINK("https://metabase.lelefan.org/public/dashboard/53c41f3f-5644-466e-935e-897e7725f6bc?rayon=&amp;d%25C3%25A9signation=PAPRIKA POUDRE&amp;fournisseur=&amp;date_d%25C3%25A9but=&amp;date_fin=","84.0")</f>
        <v>84.0</v>
      </c>
      <c r="M87" s="26" t="s">
        <v>345</v>
      </c>
      <c r="N87" s="16">
        <v>888888.0</v>
      </c>
      <c r="P87" s="1">
        <v>0.01</v>
      </c>
    </row>
    <row r="88" ht="14.25" customHeight="1">
      <c r="A88" s="1" t="s">
        <v>210</v>
      </c>
      <c r="B88" s="9" t="str">
        <f>HYPERLINK("https://lafourche.fr/products/la-fourche-paprika-doux-bio-0-15kg","29")</f>
        <v>29</v>
      </c>
      <c r="C88" s="25" t="s">
        <v>1020</v>
      </c>
      <c r="D88" s="9" t="str">
        <f t="shared" ref="D88:D89" si="49">HYPERLINK("https://www.biocoop.fr/magasin-biocoop_champollion/paprika-doux-de-hongrie-40g-ck0922-000.html","88.75")</f>
        <v>88.75</v>
      </c>
      <c r="E88" s="1" t="s">
        <v>869</v>
      </c>
      <c r="F88" s="9" t="str">
        <f t="shared" ref="F88:F89" si="50">HYPERLINK("https://www.biocoop.fr/magasin-biocoop_fontaine/paprika-doux-de-hongrie-40g-ck0922-000.html","87.5")</f>
        <v>87.5</v>
      </c>
      <c r="G88" s="1" t="s">
        <v>869</v>
      </c>
      <c r="H88" s="9" t="str">
        <f t="shared" ref="H88:H89" si="51">HYPERLINK("https://satoriz-comboire.bio/products/copapdfr","72.5")</f>
        <v>72.5</v>
      </c>
      <c r="I88" s="1" t="s">
        <v>869</v>
      </c>
      <c r="J88" s="7" t="str">
        <f>HYPERLINK("https://www.greenweez.com/produit/paprika-doux-en-poudre-bio-150g/2WEEZ0165","27.93")</f>
        <v>27.93</v>
      </c>
      <c r="K88" s="26" t="s">
        <v>1021</v>
      </c>
      <c r="L88" s="16">
        <v>888888.0</v>
      </c>
      <c r="N88" s="16">
        <v>888888.0</v>
      </c>
    </row>
    <row r="89" ht="14.25" customHeight="1">
      <c r="A89" s="1" t="s">
        <v>212</v>
      </c>
      <c r="B89" s="9" t="str">
        <f>HYPERLINK("https://lafourche.fr/products/paprika-doux","74.75")</f>
        <v>74.75</v>
      </c>
      <c r="C89" s="25" t="s">
        <v>213</v>
      </c>
      <c r="D89" s="9" t="str">
        <f t="shared" si="49"/>
        <v>88.75</v>
      </c>
      <c r="E89" s="1" t="s">
        <v>869</v>
      </c>
      <c r="F89" s="9" t="str">
        <f t="shared" si="50"/>
        <v>87.5</v>
      </c>
      <c r="G89" s="1" t="s">
        <v>869</v>
      </c>
      <c r="H89" s="7" t="str">
        <f t="shared" si="51"/>
        <v>72.5</v>
      </c>
      <c r="I89" s="1" t="s">
        <v>869</v>
      </c>
      <c r="J89" s="9" t="str">
        <f>HYPERLINK("https://www.greenweez.com/produit/paprika-doux-de-hongrie-poudre-bio-40g/1COOK0035","93.0")</f>
        <v>93.0</v>
      </c>
      <c r="K89" s="25" t="s">
        <v>1022</v>
      </c>
      <c r="L89" s="16">
        <v>888888.0</v>
      </c>
      <c r="N89" s="16">
        <v>888888.0</v>
      </c>
    </row>
    <row r="90" ht="14.25" customHeight="1">
      <c r="A90" s="1" t="s">
        <v>215</v>
      </c>
      <c r="B90" s="9" t="str">
        <f>HYPERLINK("https://lafourche.fr/products/la-fourche-paprika-fume-bio-0-15kg","35.33")</f>
        <v>35.33</v>
      </c>
      <c r="C90" s="25" t="s">
        <v>94</v>
      </c>
      <c r="D90" s="9" t="str">
        <f>HYPERLINK("https://www.biocoop.fr/magasin-biocoop_champollion/paprika-fume-fl1217-000.html","77.5")</f>
        <v>77.5</v>
      </c>
      <c r="E90" s="1" t="s">
        <v>869</v>
      </c>
      <c r="F90" s="9" t="str">
        <f>HYPERLINK("https://www.biocoop.fr/magasin-biocoop_fontaine/paprika-fume-fl1217-000.html","888888")</f>
        <v>888888</v>
      </c>
      <c r="G90" s="16" t="s">
        <v>869</v>
      </c>
      <c r="H90" s="9" t="str">
        <f>HYPERLINK("https://satoriz-comboire.bio/products/emhbe58b?_pos=2&amp;_sid=3ef3d1d3c&amp;_ss=r","888888")</f>
        <v>888888</v>
      </c>
      <c r="I90" s="16" t="s">
        <v>869</v>
      </c>
      <c r="J90" s="7" t="str">
        <f>HYPERLINK("https://www.greenweez.com/produit/paprika-fume-sachet-recharge-250g/1ECOI0084","31.04")</f>
        <v>31.04</v>
      </c>
      <c r="K90" s="1" t="s">
        <v>869</v>
      </c>
      <c r="L90" s="16">
        <v>888888.0</v>
      </c>
      <c r="N90" s="16">
        <v>888888.0</v>
      </c>
    </row>
    <row r="91" ht="14.25" customHeight="1">
      <c r="A91" s="1" t="s">
        <v>217</v>
      </c>
      <c r="B91" s="7" t="str">
        <f>HYPERLINK("https://lafourche.fr/products/la-fourche-gingembre-moulu-bio-0-2kg","27.45")</f>
        <v>27.45</v>
      </c>
      <c r="C91" s="26" t="s">
        <v>1023</v>
      </c>
      <c r="D91" s="9" t="str">
        <f t="shared" ref="D91:D92" si="52">HYPERLINK("https://www.biocoop.fr/magasin-biocoop_champollion/gingembre-racine-poudre-bio-ck2051-000.html","33.65")</f>
        <v>33.65</v>
      </c>
      <c r="E91" s="1" t="s">
        <v>869</v>
      </c>
      <c r="F91" s="9" t="str">
        <f t="shared" ref="F91:F92" si="53">HYPERLINK("https://www.biocoop.fr/magasin-biocoop_fontaine/gingembre-poudre-30g-ck0908-000.html","95.0")</f>
        <v>95.0</v>
      </c>
      <c r="G91" s="1" t="s">
        <v>869</v>
      </c>
      <c r="H91" s="9" t="str">
        <f>HYPERLINK("https://satoriz-comboire.bio/products/cogingse","52.0")</f>
        <v>52.0</v>
      </c>
      <c r="I91" s="26" t="s">
        <v>974</v>
      </c>
      <c r="J91" s="7" t="str">
        <f>HYPERLINK("https://www.greenweez.com/produit/gingembre-en-poudre-bio-200g/2WEEZ0161","27.45")</f>
        <v>27.45</v>
      </c>
      <c r="K91" s="25" t="s">
        <v>1024</v>
      </c>
      <c r="L91" s="9" t="str">
        <f t="shared" ref="L91:L92" si="54">HYPERLINK("https://metabase.lelefan.org/public/dashboard/53c41f3f-5644-466e-935e-897e7725f6bc?rayon=&amp;d%25C3%25A9signation=GINGEMBRE POUDRE&amp;fournisseur=&amp;date_d%25C3%25A9but=&amp;date_fin=","107.6")</f>
        <v>107.6</v>
      </c>
      <c r="M91" s="25" t="s">
        <v>963</v>
      </c>
      <c r="N91" s="16">
        <v>888888.0</v>
      </c>
      <c r="P91" s="1">
        <v>0.01</v>
      </c>
    </row>
    <row r="92" ht="14.25" customHeight="1">
      <c r="A92" s="1" t="s">
        <v>222</v>
      </c>
      <c r="B92" s="9" t="str">
        <f>HYPERLINK("https://lafourche.fr/products/cook-gingembre-en-poudre-bio-0-03kg","83")</f>
        <v>83</v>
      </c>
      <c r="C92" s="25" t="s">
        <v>1025</v>
      </c>
      <c r="D92" s="7" t="str">
        <f t="shared" si="52"/>
        <v>33.65</v>
      </c>
      <c r="E92" s="1" t="s">
        <v>869</v>
      </c>
      <c r="F92" s="9" t="str">
        <f t="shared" si="53"/>
        <v>95.0</v>
      </c>
      <c r="G92" s="1" t="s">
        <v>869</v>
      </c>
      <c r="H92" s="9" t="str">
        <f>HYPERLINK("https://satoriz-comboire.bio/products/coginge","85.0")</f>
        <v>85.0</v>
      </c>
      <c r="I92" s="25" t="s">
        <v>1026</v>
      </c>
      <c r="J92" s="9" t="str">
        <f>HYPERLINK("https://www.greenweez.com/produit/gingembre-poudre-bio-80-g/1COOK0081","888888")</f>
        <v>888888</v>
      </c>
      <c r="K92" s="18" t="s">
        <v>56</v>
      </c>
      <c r="L92" s="9" t="str">
        <f t="shared" si="54"/>
        <v>107.6</v>
      </c>
      <c r="M92" s="25" t="s">
        <v>963</v>
      </c>
      <c r="N92" s="16">
        <v>888888.0</v>
      </c>
    </row>
    <row r="93" ht="14.25" customHeight="1">
      <c r="A93" s="1" t="s">
        <v>225</v>
      </c>
      <c r="B93" s="9" t="str">
        <f>HYPERLINK("https://lafourche.fr/products/cook-ecorecharge-coriandre-poudre-bio-0-03kg","53.33")</f>
        <v>53.33</v>
      </c>
      <c r="C93" s="25" t="s">
        <v>1027</v>
      </c>
      <c r="D93" s="9" t="str">
        <f>HYPERLINK("https://www.biocoop.fr/magasin-biocoop_champollion/coriandre-moulue-30g-ck0925-000.html","73.33")</f>
        <v>73.33</v>
      </c>
      <c r="E93" s="1" t="s">
        <v>869</v>
      </c>
      <c r="F93" s="9" t="str">
        <f>HYPERLINK("https://www.biocoop.fr/magasin-biocoop_fontaine/coriandre-moulue-30g-ck0925-000.html","75.0")</f>
        <v>75.0</v>
      </c>
      <c r="G93" s="1" t="s">
        <v>869</v>
      </c>
      <c r="H93" s="9" t="str">
        <f>HYPERLINK("https://satoriz-comboire.bio/collections/epicerie-salee/products/cocorpc","65.0")</f>
        <v>65.0</v>
      </c>
      <c r="I93" s="1" t="s">
        <v>869</v>
      </c>
      <c r="J93" s="7" t="str">
        <f>HYPERLINK("https://www.greenweez.com/produit/poudre-de-graines-de-coriandre-35g/2BIOD0049","42.57")</f>
        <v>42.57</v>
      </c>
      <c r="K93" s="26" t="s">
        <v>1028</v>
      </c>
      <c r="L93" s="9" t="str">
        <f>HYPERLINK("https://metabase.lelefan.org/public/dashboard/53c41f3f-5644-466e-935e-897e7725f6bc?rayon=&amp;d%25C3%25A9signation=CORIANDRE&amp;fournisseur=&amp;date_d%25C3%25A9but=&amp;date_fin=","91.2")</f>
        <v>91.2</v>
      </c>
      <c r="M93" s="25" t="s">
        <v>1029</v>
      </c>
      <c r="N93" s="16">
        <v>888888.0</v>
      </c>
      <c r="P93" s="1">
        <v>0.01</v>
      </c>
    </row>
    <row r="94" ht="14.25" customHeight="1">
      <c r="A94" s="1" t="s">
        <v>229</v>
      </c>
      <c r="B94" s="7" t="str">
        <f>HYPERLINK("https://lafourche.fr/products/cook-fenugrec-poudre-55g","37.82")</f>
        <v>37.82</v>
      </c>
      <c r="C94" s="1" t="s">
        <v>869</v>
      </c>
      <c r="D94" s="9" t="str">
        <f>HYPERLINK("https://www.biocoop.fr/magasin-biocoop_champollion/fenugrec-moulu-55g-ck1209-000.html","47.27")</f>
        <v>47.27</v>
      </c>
      <c r="E94" s="1" t="s">
        <v>869</v>
      </c>
      <c r="F94" s="9" t="str">
        <f>HYPERLINK("https://www.biocoop.fr/magasin-biocoop_fontaine/fenugrec-moulu-55g-ck1209-000.html","888888")</f>
        <v>888888</v>
      </c>
      <c r="G94" s="16" t="s">
        <v>869</v>
      </c>
      <c r="H94" s="9" t="str">
        <f>HYPERLINK("https://satoriz-comboire.bio/products/cofenuc","40.91")</f>
        <v>40.91</v>
      </c>
      <c r="I94" s="26" t="s">
        <v>1030</v>
      </c>
      <c r="J94" s="9" t="str">
        <f>HYPERLINK("https://www.greenweez.com/produit/fenugrec-poudre-bio-50g/1COOK0022","51.4")</f>
        <v>51.4</v>
      </c>
      <c r="K94" s="26" t="s">
        <v>1031</v>
      </c>
      <c r="L94" s="9" t="str">
        <f>HYPERLINK("https://metabase.lelefan.org/public/dashboard/53c41f3f-5644-466e-935e-897e7725f6bc?rayon=&amp;d%25C3%25A9signation=FENUGREC&amp;fournisseur=&amp;date_d%25C3%25A9but=&amp;date_fin=","58.0")</f>
        <v>58.0</v>
      </c>
      <c r="M94" s="1" t="s">
        <v>869</v>
      </c>
      <c r="N94" s="16">
        <v>888888.0</v>
      </c>
    </row>
    <row r="95" ht="14.25" customHeight="1">
      <c r="A95" s="1" t="s">
        <v>231</v>
      </c>
      <c r="B95" s="7" t="str">
        <f t="shared" ref="B95:B96" si="55">HYPERLINK("https://lafourche.fr/products/la-fourche-ras-el-hanout-bio-0-15kg","48")</f>
        <v>48</v>
      </c>
      <c r="C95" s="25" t="s">
        <v>1032</v>
      </c>
      <c r="D95" s="9" t="str">
        <f t="shared" ref="D95:D96" si="56">HYPERLINK("https://www.biocoop.fr/magasin-biocoop_champollion/ras-el-hanout-35g-ar0215-000.html","94.86")</f>
        <v>94.86</v>
      </c>
      <c r="E95" s="1" t="s">
        <v>869</v>
      </c>
      <c r="F95" s="9" t="str">
        <f t="shared" ref="F95:F96" si="57">HYPERLINK("https://www.biocoop.fr/magasin-biocoop_fontaine/ras-el-hanout-35g-ar0215-000.html","102.86")</f>
        <v>102.86</v>
      </c>
      <c r="G95" s="1" t="s">
        <v>869</v>
      </c>
      <c r="H95" s="9" t="str">
        <f t="shared" ref="H95:H96" si="58">HYPERLINK("https://satoriz-comboire.bio/products/corasec","88.57")</f>
        <v>88.57</v>
      </c>
      <c r="I95" s="1" t="s">
        <v>869</v>
      </c>
      <c r="J95" s="9" t="str">
        <f t="shared" ref="J95:J96" si="59">HYPERLINK("https://www.greenweez.com/produit/melange-ras-el-hanout-bio-35g/1COOK0072","83.43")</f>
        <v>83.43</v>
      </c>
      <c r="K95" s="26" t="s">
        <v>1033</v>
      </c>
      <c r="L95" s="16">
        <v>888888.0</v>
      </c>
      <c r="N95" s="16">
        <v>888888.0</v>
      </c>
    </row>
    <row r="96" ht="14.25" customHeight="1">
      <c r="A96" s="1" t="s">
        <v>232</v>
      </c>
      <c r="B96" s="7" t="str">
        <f t="shared" si="55"/>
        <v>48</v>
      </c>
      <c r="C96" s="25" t="s">
        <v>1032</v>
      </c>
      <c r="D96" s="9" t="str">
        <f t="shared" si="56"/>
        <v>94.86</v>
      </c>
      <c r="E96" s="1" t="s">
        <v>869</v>
      </c>
      <c r="F96" s="9" t="str">
        <f t="shared" si="57"/>
        <v>102.86</v>
      </c>
      <c r="G96" s="1" t="s">
        <v>869</v>
      </c>
      <c r="H96" s="9" t="str">
        <f t="shared" si="58"/>
        <v>88.57</v>
      </c>
      <c r="I96" s="1" t="s">
        <v>869</v>
      </c>
      <c r="J96" s="9" t="str">
        <f t="shared" si="59"/>
        <v>83.43</v>
      </c>
      <c r="K96" s="26" t="s">
        <v>1033</v>
      </c>
      <c r="L96" s="16">
        <v>888888.0</v>
      </c>
      <c r="N96" s="16">
        <v>888888.0</v>
      </c>
    </row>
    <row r="97" ht="14.25" customHeight="1">
      <c r="A97" s="1" t="s">
        <v>233</v>
      </c>
      <c r="B97" s="9" t="str">
        <f>HYPERLINK("https://lafourche.fr/products/la-fourche-herbes-de-provence-bio-0-2kg","48.5")</f>
        <v>48.5</v>
      </c>
      <c r="C97" s="25" t="s">
        <v>1034</v>
      </c>
      <c r="D97" s="9" t="str">
        <f t="shared" ref="D97:D98" si="60">HYPERLINK("https://www.biocoop.fr/magasin-biocoop_champollion/herbes-de-provence-50g-ar0035-000.html","69.0")</f>
        <v>69.0</v>
      </c>
      <c r="E97" s="1" t="s">
        <v>869</v>
      </c>
      <c r="F97" s="7" t="str">
        <f t="shared" ref="F97:F98" si="61">HYPERLINK("https://www.biocoop.fr/magasin-biocoop_fontaine/herbes-de-provence-sans-marjolaine-bio-ck2106-000.html","34.0")</f>
        <v>34.0</v>
      </c>
      <c r="G97" s="1" t="s">
        <v>869</v>
      </c>
      <c r="H97" s="9" t="str">
        <f>HYPERLINK("https://satoriz-comboire.bio/products/apla0034","55.0")</f>
        <v>55.0</v>
      </c>
      <c r="I97" s="1" t="s">
        <v>869</v>
      </c>
      <c r="J97" s="9" t="str">
        <f t="shared" ref="J97:J98" si="62">HYPERLINK("https://www.greenweez.com/produit/herbes-de-provence-60g/2BIOD0053","61.33")</f>
        <v>61.33</v>
      </c>
      <c r="K97" s="26" t="s">
        <v>1035</v>
      </c>
      <c r="L97" s="9" t="str">
        <f>HYPERLINK("https://metabase.lelefan.org/public/dashboard/53c41f3f-5644-466e-935e-897e7725f6bc?rayon=&amp;d%25C3%25A9signation=HERBES DE PROVENCE&amp;fournisseur=&amp;date_d%25C3%25A9but=&amp;date_fin=","127.5")</f>
        <v>127.5</v>
      </c>
      <c r="M97" s="25" t="s">
        <v>1036</v>
      </c>
      <c r="N97" s="9" t="str">
        <f>HYPERLINK("https://fd11-courses.leclercdrive.fr/magasin-063801-063801-Echirolles---Comboire/fiche-produits-71649-Herbe-Provence-bio-Bio-Village.aspx","56.43")</f>
        <v>56.43</v>
      </c>
      <c r="P97" s="1">
        <v>0.01</v>
      </c>
    </row>
    <row r="98" ht="14.25" customHeight="1">
      <c r="A98" s="1" t="s">
        <v>236</v>
      </c>
      <c r="B98" s="9" t="str">
        <f>HYPERLINK("https://lafourche.fr/products/biodyssee-herbes-de-provence-bio-0-06kg","888888")</f>
        <v>888888</v>
      </c>
      <c r="C98" s="18" t="s">
        <v>56</v>
      </c>
      <c r="D98" s="9" t="str">
        <f t="shared" si="60"/>
        <v>69.0</v>
      </c>
      <c r="E98" s="1" t="s">
        <v>869</v>
      </c>
      <c r="F98" s="7" t="str">
        <f t="shared" si="61"/>
        <v>34.0</v>
      </c>
      <c r="G98" s="1" t="s">
        <v>869</v>
      </c>
      <c r="H98" s="9" t="str">
        <f>HYPERLINK("https://satoriz-comboire.bio/products/apla0035","77.5")</f>
        <v>77.5</v>
      </c>
      <c r="I98" s="25" t="s">
        <v>1037</v>
      </c>
      <c r="J98" s="9" t="str">
        <f t="shared" si="62"/>
        <v>61.33</v>
      </c>
      <c r="K98" s="26" t="s">
        <v>1035</v>
      </c>
      <c r="L98" s="16">
        <v>888888.0</v>
      </c>
      <c r="M98" s="18" t="s">
        <v>56</v>
      </c>
      <c r="N98" s="16">
        <v>888888.0</v>
      </c>
    </row>
    <row r="99" ht="14.25" customHeight="1">
      <c r="A99" s="1" t="s">
        <v>239</v>
      </c>
      <c r="B99" s="7" t="str">
        <f>HYPERLINK("https://lafourche.fr/products/la-fourche-cumin-graines-bio-0-15kg","59")</f>
        <v>59</v>
      </c>
      <c r="C99" s="1" t="s">
        <v>869</v>
      </c>
      <c r="D99" s="9" t="str">
        <f t="shared" ref="D99:D100" si="63">HYPERLINK("https://www.biocoop.fr/magasin-biocoop_champollion/cumin-graines-40g-ck0924-000.html","96.25")</f>
        <v>96.25</v>
      </c>
      <c r="E99" s="1" t="s">
        <v>869</v>
      </c>
      <c r="F99" s="9" t="str">
        <f t="shared" ref="F99:F100" si="64">HYPERLINK("https://www.biocoop.fr/magasin-biocoop_fontaine/cumin-graines-40g-ck0924-000.html","95.0")</f>
        <v>95.0</v>
      </c>
      <c r="G99" s="1" t="s">
        <v>869</v>
      </c>
      <c r="H99" s="9" t="str">
        <f t="shared" ref="H99:H100" si="65">HYPERLINK("https://satoriz-comboire.bio/products/cocum?_pos=1&amp;_sid=d9ea7a39f&amp;_ss=r","87.5")</f>
        <v>87.5</v>
      </c>
      <c r="I99" s="1" t="s">
        <v>869</v>
      </c>
      <c r="J99" s="9" t="str">
        <f t="shared" ref="J99:J100" si="66">HYPERLINK("https://www.greenweez.com/produit/graines-de-cumin-eco-recharge-40g/1COOK0177","87.0")</f>
        <v>87.0</v>
      </c>
      <c r="K99" s="16" t="s">
        <v>275</v>
      </c>
      <c r="L99" s="16">
        <v>888888.0</v>
      </c>
      <c r="N99" s="16">
        <v>888888.0</v>
      </c>
    </row>
    <row r="100" ht="14.25" customHeight="1">
      <c r="A100" s="1" t="s">
        <v>240</v>
      </c>
      <c r="B100" s="7" t="str">
        <f>HYPERLINK("https://lafourche.fr/products/cook-cumin-graines-40g","87")</f>
        <v>87</v>
      </c>
      <c r="C100" s="25" t="s">
        <v>1038</v>
      </c>
      <c r="D100" s="9" t="str">
        <f t="shared" si="63"/>
        <v>96.25</v>
      </c>
      <c r="E100" s="1" t="s">
        <v>869</v>
      </c>
      <c r="F100" s="9" t="str">
        <f t="shared" si="64"/>
        <v>95.0</v>
      </c>
      <c r="G100" s="1" t="s">
        <v>869</v>
      </c>
      <c r="H100" s="9" t="str">
        <f t="shared" si="65"/>
        <v>87.5</v>
      </c>
      <c r="I100" s="1" t="s">
        <v>869</v>
      </c>
      <c r="J100" s="7" t="str">
        <f t="shared" si="66"/>
        <v>87.0</v>
      </c>
      <c r="K100" s="16" t="s">
        <v>275</v>
      </c>
      <c r="L100" s="16">
        <v>888888.0</v>
      </c>
      <c r="N100" s="16">
        <v>888888.0</v>
      </c>
    </row>
    <row r="101" ht="14.25" customHeight="1">
      <c r="A101" s="1" t="s">
        <v>242</v>
      </c>
      <c r="B101" s="9" t="str">
        <f>HYPERLINK("https://lafourche.fr/products/la-fourche-cumin-moulu-bio-0-15kg","58.6")</f>
        <v>58.6</v>
      </c>
      <c r="C101" s="1" t="s">
        <v>869</v>
      </c>
      <c r="D101" s="9" t="str">
        <f>HYPERLINK("https://www.biocoop.fr/magasin-biocoop_champollion/cumin-poudre-100g-ck2152-000.html","82.0")</f>
        <v>82.0</v>
      </c>
      <c r="E101" s="1" t="s">
        <v>869</v>
      </c>
      <c r="F101" s="7" t="str">
        <f>HYPERLINK("https://www.biocoop.fr/magasin-biocoop_fontaine/cumin-graines-poudre-bio-ck2050-000.html","35.9")</f>
        <v>35.9</v>
      </c>
      <c r="G101" s="1" t="s">
        <v>869</v>
      </c>
      <c r="H101" s="9" t="str">
        <f>HYPERLINK("https://satoriz-comboire.bio/products/cocumipse","77.5")</f>
        <v>77.5</v>
      </c>
      <c r="I101" s="26" t="s">
        <v>1039</v>
      </c>
      <c r="J101" s="9" t="str">
        <f>HYPERLINK("https://www.greenweez.com/produit/cumin-poudre-bio-80g/1COOK0138","91.9")</f>
        <v>91.9</v>
      </c>
      <c r="K101" s="1" t="s">
        <v>869</v>
      </c>
      <c r="L101" s="9" t="str">
        <f>HYPERLINK("https://metabase.lelefan.org/public/dashboard/53c41f3f-5644-466e-935e-897e7725f6bc?rayon=&amp;d%25C3%25A9signation=CUMIN&amp;fournisseur=&amp;date_d%25C3%25A9but=&amp;date_fin=","113.14")</f>
        <v>113.14</v>
      </c>
      <c r="M101" s="25" t="s">
        <v>923</v>
      </c>
      <c r="N101" s="16">
        <v>888888.0</v>
      </c>
      <c r="P101" s="1">
        <v>0.02</v>
      </c>
    </row>
    <row r="102" ht="14.25" customHeight="1">
      <c r="A102" s="1" t="s">
        <v>248</v>
      </c>
      <c r="B102" s="7" t="str">
        <f>HYPERLINK("https://lafourche.fr/products/biodyssee-noix-de-muscade-moulue-bio-0-05kg","67")</f>
        <v>67</v>
      </c>
      <c r="C102" s="1" t="s">
        <v>869</v>
      </c>
      <c r="D102" s="9" t="str">
        <f>HYPERLINK("https://www.biocoop.fr/magasin-biocoop_champollion/muscade-moulue-35g-ck0926-000.html","142.57")</f>
        <v>142.57</v>
      </c>
      <c r="E102" s="1" t="s">
        <v>869</v>
      </c>
      <c r="F102" s="9" t="str">
        <f>HYPERLINK("https://www.biocoop.fr/magasin-biocoop_fontaine/muscade-moulue-35g-ck0926-000.html","141.43")</f>
        <v>141.43</v>
      </c>
      <c r="G102" s="26" t="s">
        <v>1040</v>
      </c>
      <c r="H102" s="9" t="str">
        <f>HYPERLINK("https://satoriz-comboire.bio/products/comusmou","118.57")</f>
        <v>118.57</v>
      </c>
      <c r="I102" s="26" t="s">
        <v>1041</v>
      </c>
      <c r="J102" s="9" t="str">
        <f>HYPERLINK("https://www.greenweez.com/produit/noix-de-muscade-moulue-50g/2BIOD0044","888888")</f>
        <v>888888</v>
      </c>
      <c r="K102" s="16" t="s">
        <v>869</v>
      </c>
      <c r="L102" s="9" t="str">
        <f>HYPERLINK("https://metabase.lelefan.org/public/dashboard/53c41f3f-5644-466e-935e-897e7725f6bc?rayon=&amp;d%25C3%25A9signation=NOIX DE MUSCADE&amp;fournisseur=&amp;date_d%25C3%25A9but=&amp;date_fin=","139.69")</f>
        <v>139.69</v>
      </c>
      <c r="M102" s="25" t="s">
        <v>1042</v>
      </c>
      <c r="N102" s="16">
        <v>888888.0</v>
      </c>
    </row>
    <row r="103" ht="14.25" customHeight="1">
      <c r="A103" s="1" t="s">
        <v>250</v>
      </c>
      <c r="B103" s="7" t="str">
        <f>HYPERLINK("https://lafourche.fr/products/cook-colombo-poudre-35g","56.86")</f>
        <v>56.86</v>
      </c>
      <c r="C103" s="1" t="s">
        <v>869</v>
      </c>
      <c r="D103" s="9" t="str">
        <f>HYPERLINK("https://www.biocoop.fr/magasin-biocoop_champollion/melange-epices-colombo-35g-ck0947-000.html","67.14")</f>
        <v>67.14</v>
      </c>
      <c r="E103" s="1" t="s">
        <v>869</v>
      </c>
      <c r="F103" s="9" t="str">
        <f>HYPERLINK("https://www.biocoop.fr/magasin-biocoop_fontaine/melange-epices-colombo-35g-ck0947-000.html","888888")</f>
        <v>888888</v>
      </c>
      <c r="G103" s="16" t="s">
        <v>869</v>
      </c>
      <c r="H103" s="9" t="str">
        <f>HYPERLINK("https://satoriz-comboire.bio/products/coloc","62.86")</f>
        <v>62.86</v>
      </c>
      <c r="I103" s="1" t="s">
        <v>869</v>
      </c>
      <c r="J103" s="9" t="str">
        <f>HYPERLINK("https://www.greenweez.com/produit/colombo-bio-50g/1LACA0042","888888")</f>
        <v>888888</v>
      </c>
      <c r="K103" s="16" t="s">
        <v>869</v>
      </c>
      <c r="L103" s="16">
        <v>888888.0</v>
      </c>
      <c r="N103" s="16">
        <v>888888.0</v>
      </c>
    </row>
    <row r="104" ht="14.25" customHeight="1">
      <c r="A104" s="1" t="s">
        <v>252</v>
      </c>
      <c r="B104" s="7" t="str">
        <f>HYPERLINK("https://lafourche.fr/products/cook-piment-doux-40g","67.5")</f>
        <v>67.5</v>
      </c>
      <c r="C104" s="25" t="s">
        <v>1043</v>
      </c>
      <c r="D104" s="9" t="str">
        <f>HYPERLINK("https://www.biocoop.fr/magasin-biocoop_champollion/piment-doux-d-espagne-40g-ck0940-000.html","83.75")</f>
        <v>83.75</v>
      </c>
      <c r="E104" s="25" t="s">
        <v>187</v>
      </c>
      <c r="F104" s="9" t="str">
        <f>HYPERLINK("https://www.biocoop.fr/magasin-biocoop_fontaine/piment-doux-d-espagne-40g-ck0940-000.html","85.0")</f>
        <v>85.0</v>
      </c>
      <c r="G104" s="25" t="s">
        <v>1044</v>
      </c>
      <c r="H104" s="9" t="str">
        <f>HYPERLINK("https://satoriz-comboire.bio/products/copimdou","73.75")</f>
        <v>73.75</v>
      </c>
      <c r="I104" s="25" t="s">
        <v>168</v>
      </c>
      <c r="J104" s="9" t="str">
        <f>HYPERLINK("https://www.greenweez.com/produit/piment-doux-despagne-bio-40g/1COOK0038","888888")</f>
        <v>888888</v>
      </c>
      <c r="K104" s="18" t="s">
        <v>56</v>
      </c>
      <c r="L104" s="9" t="str">
        <f>HYPERLINK("https://metabase.lelefan.org/public/dashboard/53c41f3f-5644-466e-935e-897e7725f6bc?rayon=&amp;d%25C3%25A9signation=PIMENT DOUX&amp;fournisseur=&amp;date_d%25C3%25A9but=&amp;date_fin=","96.88")</f>
        <v>96.88</v>
      </c>
      <c r="M104" s="25" t="s">
        <v>1045</v>
      </c>
      <c r="N104" s="16">
        <v>888888.0</v>
      </c>
    </row>
    <row r="105" ht="14.25" customHeight="1">
      <c r="A105" s="1" t="s">
        <v>254</v>
      </c>
      <c r="B105" s="7" t="str">
        <f>HYPERLINK("https://lafourche.fr/products/cook-melange-pour-chili-35g","84.57")</f>
        <v>84.57</v>
      </c>
      <c r="C105" s="25" t="s">
        <v>1046</v>
      </c>
      <c r="D105" s="9" t="str">
        <f>HYPERLINK("https://www.biocoop.fr/magasin-biocoop_champollion/melange-epices-du-chili-35g-ck2014-000.html","100.0")</f>
        <v>100.0</v>
      </c>
      <c r="E105" s="1" t="s">
        <v>869</v>
      </c>
      <c r="F105" s="9" t="str">
        <f>HYPERLINK("https://www.biocoop.fr/magasin-biocoop_fontaine/melange-epices-du-chili-35g-ck2014-000.html","888888")</f>
        <v>888888</v>
      </c>
      <c r="G105" s="16" t="s">
        <v>869</v>
      </c>
      <c r="H105" s="9" t="str">
        <f>HYPERLINK("https://satoriz-comboire.bio/products/cochilc","95.71")</f>
        <v>95.71</v>
      </c>
      <c r="I105" s="25" t="s">
        <v>1047</v>
      </c>
      <c r="J105" s="9" t="str">
        <f>HYPERLINK("https://www.greenweez.com/produit/melange-bio-chili-35g/1COOK0075","108.57")</f>
        <v>108.57</v>
      </c>
      <c r="K105" s="25" t="s">
        <v>1048</v>
      </c>
      <c r="L105" s="16">
        <v>888888.0</v>
      </c>
      <c r="N105" s="16">
        <v>888888.0</v>
      </c>
    </row>
    <row r="106" ht="14.25" customHeight="1">
      <c r="A106" s="1" t="s">
        <v>256</v>
      </c>
      <c r="B106" s="7" t="str">
        <f>HYPERLINK("https://lafourche.fr/products/garam-masala","84.57")</f>
        <v>84.57</v>
      </c>
      <c r="C106" s="1" t="s">
        <v>869</v>
      </c>
      <c r="D106" s="9" t="str">
        <f>HYPERLINK("https://www.biocoop.fr/magasin-biocoop_champollion/garam-masala-35g-ck2059-000.html","110.0")</f>
        <v>110.0</v>
      </c>
      <c r="E106" s="1" t="s">
        <v>869</v>
      </c>
      <c r="F106" s="9" t="str">
        <f>HYPERLINK("https://www.biocoop.fr/magasin-biocoop_fontaine/garam-masala-35g-ck2059-000.html","102.86")</f>
        <v>102.86</v>
      </c>
      <c r="G106" s="26" t="s">
        <v>1021</v>
      </c>
      <c r="H106" s="9" t="str">
        <f>HYPERLINK("https://satoriz-comboire.bio/products/map2garp","95.71")</f>
        <v>95.71</v>
      </c>
      <c r="I106" s="25" t="s">
        <v>1049</v>
      </c>
      <c r="J106" s="9" t="str">
        <f>HYPERLINK("https://www.greenweez.com/produit/melange-garam-masala-bio-35g/1COOK0071","94.29")</f>
        <v>94.29</v>
      </c>
      <c r="K106" s="26" t="s">
        <v>1050</v>
      </c>
      <c r="L106" s="16">
        <v>888888.0</v>
      </c>
      <c r="N106" s="16">
        <v>888888.0</v>
      </c>
    </row>
    <row r="107" ht="14.25" customHeight="1">
      <c r="A107" s="1" t="s">
        <v>257</v>
      </c>
      <c r="B107" s="7" t="str">
        <f>HYPERLINK("https://lafourche.fr/products/la-fourche-origan-bio-0-15kg","84.67")</f>
        <v>84.67</v>
      </c>
      <c r="C107" s="1" t="s">
        <v>869</v>
      </c>
      <c r="D107" s="9" t="str">
        <f t="shared" ref="D107:D108" si="67">HYPERLINK("https://www.biocoop.fr/magasin-biocoop_champollion/feuille-coupees-d-origan-13g-ck1216-000.html","160.0")</f>
        <v>160.0</v>
      </c>
      <c r="E107" s="1" t="s">
        <v>869</v>
      </c>
      <c r="F107" s="9" t="str">
        <f t="shared" ref="F107:F108" si="68">HYPERLINK("https://www.biocoop.fr/magasin-biocoop_fontaine/feuille-coupees-d-origan-13g-ck1216-000.html","170.0")</f>
        <v>170.0</v>
      </c>
      <c r="G107" s="1" t="s">
        <v>869</v>
      </c>
      <c r="H107" s="9" t="str">
        <f t="shared" ref="H107:H108" si="69">HYPERLINK("https://satoriz-comboire.bio/collections/epicerie-salee/products/coorigfeer","123.08")</f>
        <v>123.08</v>
      </c>
      <c r="I107" s="25" t="s">
        <v>874</v>
      </c>
      <c r="J107" s="9" t="str">
        <f t="shared" ref="J107:J108" si="70">HYPERLINK("https://www.greenweez.com/produit/origan-12g/2BIOD0050","115.0")</f>
        <v>115.0</v>
      </c>
      <c r="K107" s="1" t="s">
        <v>869</v>
      </c>
      <c r="L107" s="16">
        <v>888888.0</v>
      </c>
      <c r="N107" s="16">
        <v>888888.0</v>
      </c>
    </row>
    <row r="108" ht="14.25" customHeight="1">
      <c r="A108" s="1" t="s">
        <v>258</v>
      </c>
      <c r="B108" s="9" t="str">
        <f>HYPERLINK("https://lafourche.fr/products/biodyssee-origan-bio-0-012kg","888888")</f>
        <v>888888</v>
      </c>
      <c r="C108" s="18" t="s">
        <v>56</v>
      </c>
      <c r="D108" s="9" t="str">
        <f t="shared" si="67"/>
        <v>160.0</v>
      </c>
      <c r="E108" s="1" t="s">
        <v>869</v>
      </c>
      <c r="F108" s="9" t="str">
        <f t="shared" si="68"/>
        <v>170.0</v>
      </c>
      <c r="G108" s="1" t="s">
        <v>869</v>
      </c>
      <c r="H108" s="9" t="str">
        <f t="shared" si="69"/>
        <v>123.08</v>
      </c>
      <c r="I108" s="25" t="s">
        <v>874</v>
      </c>
      <c r="J108" s="7" t="str">
        <f t="shared" si="70"/>
        <v>115.0</v>
      </c>
      <c r="K108" s="1" t="s">
        <v>869</v>
      </c>
      <c r="L108" s="16">
        <v>888888.0</v>
      </c>
      <c r="N108" s="16">
        <v>888888.0</v>
      </c>
    </row>
    <row r="109" ht="14.25" customHeight="1">
      <c r="A109" s="1" t="s">
        <v>260</v>
      </c>
      <c r="B109" s="9" t="str">
        <f>HYPERLINK("https://lafourche.fr/products/herbier-thym-feuilles-50g","64")</f>
        <v>64</v>
      </c>
      <c r="C109" s="26" t="s">
        <v>1051</v>
      </c>
      <c r="D109" s="9" t="str">
        <f t="shared" ref="D109:D110" si="71">HYPERLINK("https://www.biocoop.fr/magasin-biocoop_champollion/feuilles-de-thym-15g-ck1239-000.html","180.0")</f>
        <v>180.0</v>
      </c>
      <c r="E109" s="1" t="s">
        <v>869</v>
      </c>
      <c r="F109" s="9" t="str">
        <f t="shared" ref="F109:F110" si="72">HYPERLINK("https://www.biocoop.fr/magasin-biocoop_fontaine/feuilles-de-thym-15g-ck1239-000.html","180.0")</f>
        <v>180.0</v>
      </c>
      <c r="G109" s="26" t="s">
        <v>29</v>
      </c>
      <c r="H109" s="9" t="str">
        <f>HYPERLINK("https://satoriz-comboire.bio/products/cothym","67.0")</f>
        <v>67.0</v>
      </c>
      <c r="I109" s="26" t="s">
        <v>1052</v>
      </c>
      <c r="J109" s="9" t="str">
        <f>HYPERLINK("https://www.greenweez.com/produit/feuilles-de-thym-bio-50g/1LHER0068","74.6")</f>
        <v>74.6</v>
      </c>
      <c r="K109" s="26" t="s">
        <v>1053</v>
      </c>
      <c r="L109" s="9" t="str">
        <f t="shared" ref="L109:L110" si="73">HYPERLINK("https://metabase.lelefan.org/public/dashboard/53c41f3f-5644-466e-935e-897e7725f6bc?rayon=&amp;d%25C3%25A9signation=THYM&amp;fournisseur=&amp;date_d%25C3%25A9but=&amp;date_fin=","204.67")</f>
        <v>204.67</v>
      </c>
      <c r="M109" s="25" t="s">
        <v>269</v>
      </c>
      <c r="N109" s="7" t="str">
        <f t="shared" ref="N109:N110" si="74">HYPERLINK("https://fd11-courses.leclercdrive.fr/magasin-063801-063801-Echirolles---Comboire/fiche-produits-71653-Thym-bio-Bio-Village.aspx","56.88")</f>
        <v>56.88</v>
      </c>
      <c r="P109" s="1">
        <v>0.01</v>
      </c>
    </row>
    <row r="110" ht="14.25" customHeight="1">
      <c r="A110" s="1" t="s">
        <v>263</v>
      </c>
      <c r="B110" s="9" t="str">
        <f>HYPERLINK("https://lafourche.fr/products/thym-en-feuilles","138.67")</f>
        <v>138.67</v>
      </c>
      <c r="C110" s="25" t="s">
        <v>1054</v>
      </c>
      <c r="D110" s="9" t="str">
        <f t="shared" si="71"/>
        <v>180.0</v>
      </c>
      <c r="E110" s="1" t="s">
        <v>869</v>
      </c>
      <c r="F110" s="9" t="str">
        <f t="shared" si="72"/>
        <v>180.0</v>
      </c>
      <c r="G110" s="26" t="s">
        <v>29</v>
      </c>
      <c r="H110" s="9" t="str">
        <f>HYPERLINK("https://satoriz-comboire.bio/products/cothymc","153.33")</f>
        <v>153.33</v>
      </c>
      <c r="I110" s="25" t="s">
        <v>1055</v>
      </c>
      <c r="J110" s="16">
        <v>888888.0</v>
      </c>
      <c r="K110" s="18" t="s">
        <v>56</v>
      </c>
      <c r="L110" s="9" t="str">
        <f t="shared" si="73"/>
        <v>204.67</v>
      </c>
      <c r="M110" s="25" t="s">
        <v>269</v>
      </c>
      <c r="N110" s="7" t="str">
        <f t="shared" si="74"/>
        <v>56.88</v>
      </c>
    </row>
    <row r="111" ht="14.25" customHeight="1">
      <c r="A111" s="1" t="s">
        <v>266</v>
      </c>
      <c r="B111" s="7" t="str">
        <f>HYPERLINK("https://lafourche.fr/products/cook-moutarde-jaune-graines-60g","34.5")</f>
        <v>34.5</v>
      </c>
      <c r="C111" s="25" t="s">
        <v>1056</v>
      </c>
      <c r="D111" s="9" t="str">
        <f>HYPERLINK("https://www.biocoop.fr/magasin-biocoop_champollion/moutarde-jaune-graines-60g-ck0928-000.html","41.67")</f>
        <v>41.67</v>
      </c>
      <c r="E111" s="1" t="s">
        <v>869</v>
      </c>
      <c r="F111" s="9" t="str">
        <f>HYPERLINK("https://www.biocoop.fr/magasin-biocoop_fontaine/moutarde-jaune-graines-60g-ck0928-000.html","42.5")</f>
        <v>42.5</v>
      </c>
      <c r="G111" s="1" t="s">
        <v>869</v>
      </c>
      <c r="H111" s="9" t="str">
        <f>HYPERLINK("https://satoriz-comboire.bio/products/comoutc","38.33")</f>
        <v>38.33</v>
      </c>
      <c r="I111" s="1" t="s">
        <v>869</v>
      </c>
      <c r="J111" s="9" t="str">
        <f>HYPERLINK("https://www.greenweez.com/produit/moutarde-jaune-graine-bio-55g/1LACA0026","888888")</f>
        <v>888888</v>
      </c>
      <c r="K111" s="16" t="s">
        <v>869</v>
      </c>
      <c r="L111" s="16">
        <v>888888.0</v>
      </c>
      <c r="N111" s="16">
        <v>888888.0</v>
      </c>
    </row>
    <row r="112" ht="14.25" customHeight="1">
      <c r="A112" s="1" t="s">
        <v>270</v>
      </c>
      <c r="B112" s="7" t="str">
        <f>HYPERLINK("https://lafourche.fr/products/cook-nigelle-graines-50g","59.2")</f>
        <v>59.2</v>
      </c>
      <c r="C112" s="25" t="s">
        <v>64</v>
      </c>
      <c r="D112" s="9" t="str">
        <f>HYPERLINK("https://www.biocoop.fr/magasin-biocoop_champollion/nigelle-graines-50g-ck2033-000.html","73.0")</f>
        <v>73.0</v>
      </c>
      <c r="E112" s="1" t="s">
        <v>869</v>
      </c>
      <c r="F112" s="9" t="str">
        <f>HYPERLINK("https://www.biocoop.fr/magasin-biocoop_fontaine/nigelle-graines-50g-ck2033-000.html","75.0")</f>
        <v>75.0</v>
      </c>
      <c r="G112" s="25" t="s">
        <v>297</v>
      </c>
      <c r="H112" s="9" t="str">
        <f>HYPERLINK("https://satoriz-comboire.bio/products/conig","69.0")</f>
        <v>69.0</v>
      </c>
      <c r="I112" s="25" t="s">
        <v>327</v>
      </c>
      <c r="J112" s="9" t="str">
        <f>HYPERLINK("https://www.greenweez.com/produit/nigelle-graines-bio-50g/1COOK0120","77.8")</f>
        <v>77.8</v>
      </c>
      <c r="K112" s="16" t="s">
        <v>275</v>
      </c>
      <c r="L112" s="16">
        <v>888888.0</v>
      </c>
      <c r="N112" s="16">
        <v>888888.0</v>
      </c>
    </row>
    <row r="113" ht="14.25" customHeight="1">
      <c r="A113" s="1" t="s">
        <v>272</v>
      </c>
      <c r="B113" s="9" t="str">
        <f>HYPERLINK("https://lafourche.fr/products/cook-curry-madras-35g","71.43")</f>
        <v>71.43</v>
      </c>
      <c r="C113" s="1" t="s">
        <v>869</v>
      </c>
      <c r="D113" s="9" t="str">
        <f>HYPERLINK("https://www.biocoop.fr/magasin-biocoop_champollion/curry-madras-35g-ck2053-000.html","90.0")</f>
        <v>90.0</v>
      </c>
      <c r="E113" s="1" t="s">
        <v>869</v>
      </c>
      <c r="F113" s="9" t="str">
        <f>HYPERLINK("https://www.biocoop.fr/magasin-biocoop_fontaine/curry-madras-35g-ck2053-000.html","888888")</f>
        <v>888888</v>
      </c>
      <c r="G113" s="16" t="s">
        <v>869</v>
      </c>
      <c r="H113" s="9" t="str">
        <f>HYPERLINK("https://satoriz-comboire.bio/products/cocumac","78.57")</f>
        <v>78.57</v>
      </c>
      <c r="I113" s="1" t="s">
        <v>869</v>
      </c>
      <c r="J113" s="9" t="str">
        <f>HYPERLINK("https://www.greenweez.com/produit/curry-de-madras-poudre-bio-35g/1COOK0128","76.57")</f>
        <v>76.57</v>
      </c>
      <c r="K113" s="26" t="s">
        <v>1057</v>
      </c>
      <c r="L113" s="7" t="str">
        <f>HYPERLINK("https://metabase.lelefan.org/public/dashboard/53c41f3f-5644-466e-935e-897e7725f6bc?rayon=&amp;d%25C3%25A9signation=CURRY DE MADRAS VRAC&amp;fournisseur=&amp;date_d%25C3%25A9but=&amp;date_fin=","31.76")</f>
        <v>31.76</v>
      </c>
      <c r="M113" s="25" t="s">
        <v>1058</v>
      </c>
      <c r="N113" s="16">
        <v>888888.0</v>
      </c>
    </row>
    <row r="114" ht="14.25" customHeight="1">
      <c r="A114" s="1" t="s">
        <v>274</v>
      </c>
      <c r="B114" s="9" t="str">
        <f>HYPERLINK("https://lafourche.fr/products/cook-melange-4-epices-bio-35g","87.14")</f>
        <v>87.14</v>
      </c>
      <c r="C114" s="1" t="s">
        <v>869</v>
      </c>
      <c r="D114" s="9" t="str">
        <f>HYPERLINK("https://www.biocoop.fr/magasin-biocoop_champollion/melange-4-epices-35g-ck1237-000.html","100.0")</f>
        <v>100.0</v>
      </c>
      <c r="E114" s="1" t="s">
        <v>869</v>
      </c>
      <c r="F114" s="9" t="str">
        <f>HYPERLINK("https://www.biocoop.fr/magasin-biocoop_fontaine/melange-4-epices-35g-ck1237-000.html","98.57")</f>
        <v>98.57</v>
      </c>
      <c r="G114" s="26" t="s">
        <v>1059</v>
      </c>
      <c r="H114" s="7" t="str">
        <f>HYPERLINK("https://satoriz-comboire.bio/products/co4epic","84.29")</f>
        <v>84.29</v>
      </c>
      <c r="I114" s="26" t="s">
        <v>1060</v>
      </c>
      <c r="J114" s="9" t="str">
        <f>HYPERLINK("https://www.greenweez.com/produit/quatre-epices-bio-50g/1LACA0043","888888")</f>
        <v>888888</v>
      </c>
      <c r="K114" s="16" t="s">
        <v>869</v>
      </c>
      <c r="L114" s="9" t="str">
        <f>HYPERLINK("https://metabase.lelefan.org/public/dashboard/53c41f3f-5644-466e-935e-897e7725f6bc?rayon=&amp;d%25C3%25A9signation=QUATRE EPICES&amp;fournisseur=&amp;date_d%25C3%25A9but=&amp;date_fin=","95.25")</f>
        <v>95.25</v>
      </c>
      <c r="M114" s="25" t="s">
        <v>1061</v>
      </c>
      <c r="N114" s="16">
        <v>888888.0</v>
      </c>
    </row>
    <row r="115" ht="14.25" customHeight="1">
      <c r="A115" s="1" t="s">
        <v>276</v>
      </c>
      <c r="B115" s="7" t="str">
        <f>HYPERLINK("https://lafourche.fr/products/cook-piment-cayenne-poudre-40g","119")</f>
        <v>119</v>
      </c>
      <c r="C115" s="25" t="s">
        <v>1062</v>
      </c>
      <c r="D115" s="9" t="str">
        <f>HYPERLINK("https://www.biocoop.fr/magasin-biocoop_champollion/piment-de-cayenne-poudre-40g-ck0910-000.html","128.75")</f>
        <v>128.75</v>
      </c>
      <c r="E115" s="1" t="s">
        <v>869</v>
      </c>
      <c r="F115" s="9" t="str">
        <f>HYPERLINK("https://www.biocoop.fr/magasin-biocoop_fontaine/piment-de-cayenne-poudre-40g-ck0910-000.html","140.0")</f>
        <v>140.0</v>
      </c>
      <c r="G115" s="25" t="s">
        <v>1063</v>
      </c>
      <c r="H115" s="9" t="str">
        <f>HYPERLINK("https://satoriz-comboire.bio/products/copimpc","123.75")</f>
        <v>123.75</v>
      </c>
      <c r="I115" s="25" t="s">
        <v>1064</v>
      </c>
      <c r="J115" s="9" t="str">
        <f>HYPERLINK("https://www.greenweez.com/produit/piment-de-cayenne-poudre-bio-40g/1COOK0040","142.0")</f>
        <v>142.0</v>
      </c>
      <c r="K115" s="16" t="s">
        <v>1065</v>
      </c>
      <c r="L115" s="16">
        <v>888888.0</v>
      </c>
      <c r="N115" s="16">
        <v>888888.0</v>
      </c>
    </row>
    <row r="116" ht="14.25" customHeight="1">
      <c r="A116" s="1" t="s">
        <v>277</v>
      </c>
      <c r="B116" s="9" t="str">
        <f>HYPERLINK("https://lafourche.fr/products/cook-cardamome-moulue-35g","137.14")</f>
        <v>137.14</v>
      </c>
      <c r="C116" s="26" t="s">
        <v>1066</v>
      </c>
      <c r="D116" s="9" t="str">
        <f>HYPERLINK("https://www.biocoop.fr/magasin-biocoop_champollion/cardamome-moulue-35g-ck0900-000.html","161.43")</f>
        <v>161.43</v>
      </c>
      <c r="E116" s="1" t="s">
        <v>869</v>
      </c>
      <c r="F116" s="9" t="str">
        <f>HYPERLINK("https://www.biocoop.fr/magasin-biocoop_fontaine/cardamome-moulue-35g-ck0900-000.html","128.57")</f>
        <v>128.57</v>
      </c>
      <c r="G116" s="26" t="s">
        <v>1006</v>
      </c>
      <c r="H116" s="7" t="str">
        <f>HYPERLINK("https://satoriz-comboire.bio/products/cocard","124.29")</f>
        <v>124.29</v>
      </c>
      <c r="I116" s="26" t="s">
        <v>1067</v>
      </c>
      <c r="J116" s="9" t="str">
        <f>HYPERLINK("https://www.greenweez.com/produit/cardamome-poudre-bio-35g/1COOK0010","169.71")</f>
        <v>169.71</v>
      </c>
      <c r="K116" s="1" t="s">
        <v>869</v>
      </c>
      <c r="L116" s="9" t="str">
        <f>HYPERLINK("https://metabase.lelefan.org/public/dashboard/53c41f3f-5644-466e-935e-897e7725f6bc?rayon=&amp;d%25C3%25A9signation=CARDAMOME&amp;fournisseur=&amp;date_d%25C3%25A9but=&amp;date_fin=","223.2")</f>
        <v>223.2</v>
      </c>
      <c r="M116" s="26" t="s">
        <v>1068</v>
      </c>
      <c r="N116" s="16">
        <v>888888.0</v>
      </c>
      <c r="P116" s="1">
        <v>0.01</v>
      </c>
    </row>
    <row r="117" ht="14.25" customHeight="1">
      <c r="A117" s="1" t="s">
        <v>278</v>
      </c>
      <c r="B117" s="9" t="str">
        <f>HYPERLINK("https://lafourche.fr/products/cook-safran-poudre-1g","10990")</f>
        <v>10990</v>
      </c>
      <c r="C117" s="1" t="s">
        <v>869</v>
      </c>
      <c r="D117" s="9" t="str">
        <f>HYPERLINK("https://www.biocoop.fr/magasin-biocoop_champollion/safran-stigmates-entiers-1g-ck0945-000.html","11350.0")</f>
        <v>11350.0</v>
      </c>
      <c r="E117" s="1" t="s">
        <v>869</v>
      </c>
      <c r="F117" s="9" t="str">
        <f>HYPERLINK("https://www.biocoop.fr/magasin-biocoop_fontaine/safran-stigmates-entiers-1g-ck0945-000.html","11850.0")</f>
        <v>11850.0</v>
      </c>
      <c r="G117" s="1" t="s">
        <v>869</v>
      </c>
      <c r="H117" s="7" t="str">
        <f>HYPERLINK("https://satoriz-comboire.bio/products/cosaf","10600.0")</f>
        <v>10600.0</v>
      </c>
      <c r="I117" s="1" t="s">
        <v>869</v>
      </c>
      <c r="J117" s="9" t="str">
        <f>HYPERLINK("https://www.greenweez.com/produit/safran-stigmates-bio-1g/1COOK0052","11980.0")</f>
        <v>11980.0</v>
      </c>
      <c r="K117" s="1" t="s">
        <v>869</v>
      </c>
      <c r="L117" s="16">
        <v>888888.0</v>
      </c>
      <c r="N117" s="16">
        <v>888888.0</v>
      </c>
    </row>
    <row r="118" ht="14.25" customHeight="1">
      <c r="A118" s="1" t="s">
        <v>281</v>
      </c>
      <c r="B118" s="9" t="str">
        <f>HYPERLINK("https://lafourche.fr/products/cook-ail-des-ours-coupe-16g","124.38")</f>
        <v>124.38</v>
      </c>
      <c r="C118" s="25" t="s">
        <v>1069</v>
      </c>
      <c r="D118" s="9" t="str">
        <f>HYPERLINK("https://www.biocoop.fr/magasin-biocoop_champollion/ail-des-ours-feuille-coupes-16g-ck2032-000.html","168.75")</f>
        <v>168.75</v>
      </c>
      <c r="E118" s="1" t="s">
        <v>869</v>
      </c>
      <c r="F118" s="7" t="str">
        <f>HYPERLINK("https://www.biocoop.fr/magasin-biocoop_fontaine/ail-des-ours-en-poudre-ec2115-000.html","98.0")</f>
        <v>98.0</v>
      </c>
      <c r="G118" s="1" t="s">
        <v>869</v>
      </c>
      <c r="H118" s="9" t="str">
        <f>HYPERLINK("https://satoriz-comboire.bio/products/map4ao1f","210.0")</f>
        <v>210.0</v>
      </c>
      <c r="I118" s="25" t="s">
        <v>1070</v>
      </c>
      <c r="J118" s="9" t="str">
        <f>HYPERLINK("https://www.greenweez.com/produit/ail-des-ours-feuille-coupes-bio-16g/1COOK0110","400.0")</f>
        <v>400.0</v>
      </c>
      <c r="K118" s="25" t="s">
        <v>1071</v>
      </c>
      <c r="L118" s="16">
        <v>888888.0</v>
      </c>
      <c r="N118" s="16">
        <v>888888.0</v>
      </c>
    </row>
    <row r="119" ht="14.25" customHeight="1">
      <c r="A119" s="1" t="s">
        <v>285</v>
      </c>
      <c r="B119" s="9" t="str">
        <f>HYPERLINK("https://lafourche.fr/products/philia-levure-maltee-en-flocons-bio-0-15kg","36.2")</f>
        <v>36.2</v>
      </c>
      <c r="C119" s="25" t="s">
        <v>1072</v>
      </c>
      <c r="D119" s="9" t="str">
        <f>HYPERLINK("https://www.biocoop.fr/magasin-biocoop_champollion/flocons-de-levure-maltee-biologique-bio-ag2000-000.html","888888")</f>
        <v>888888</v>
      </c>
      <c r="E119" s="16" t="s">
        <v>869</v>
      </c>
      <c r="F119" s="9" t="str">
        <f>HYPERLINK("https://www.biocoop.fr/magasin-biocoop_fontaine/flocons-de-levure-maltee-biologique-bio-ag2000-000.html","28.0")</f>
        <v>28.0</v>
      </c>
      <c r="G119" s="1" t="s">
        <v>869</v>
      </c>
      <c r="H119" s="9" t="str">
        <f>HYPERLINK("https://satoriz-comboire.bio/products/re42572","888888")</f>
        <v>888888</v>
      </c>
      <c r="I119" s="18" t="s">
        <v>56</v>
      </c>
      <c r="J119" s="9" t="str">
        <f>HYPERLINK("https://www.greenweez.com/produit/flocons-de-levure-maltee-150g/1RAPU0059","46.73")</f>
        <v>46.73</v>
      </c>
      <c r="K119" s="1" t="s">
        <v>869</v>
      </c>
      <c r="L119" s="7" t="str">
        <f>HYPERLINK("https://metabase.lelefan.org/public/dashboard/53c41f3f-5644-466e-935e-897e7725f6bc?rayon=&amp;d%25C3%25A9signation=LEVURE MALTEE PAILLETTE VRAC&amp;fournisseur=&amp;date_d%25C3%25A9but=&amp;date_fin=","16.88")</f>
        <v>16.88</v>
      </c>
      <c r="M119" s="25" t="s">
        <v>1073</v>
      </c>
      <c r="N119" s="16">
        <v>888888.0</v>
      </c>
    </row>
    <row r="120" ht="14.25" customHeight="1">
      <c r="A120" s="1" t="s">
        <v>288</v>
      </c>
      <c r="B120" s="9" t="str">
        <f>HYPERLINK("https://lafourche.fr/products/celiane-fecule-de-pomme-de-terre-sans-gluten-500g","7.16")</f>
        <v>7.16</v>
      </c>
      <c r="C120" s="16" t="s">
        <v>896</v>
      </c>
      <c r="D120" s="9" t="str">
        <f>HYPERLINK("https://www.biocoop.fr/magasin-biocoop_champollion/fecule-de-pomme-de-terre-500g-al3026-000.html","8.84")</f>
        <v>8.84</v>
      </c>
      <c r="E120" s="1" t="s">
        <v>869</v>
      </c>
      <c r="F120" s="9" t="str">
        <f>HYPERLINK("https://www.biocoop.fr/magasin-biocoop_fontaine/fecule-de-pomme-de-terre-500g-al3026-000.html","8.8")</f>
        <v>8.8</v>
      </c>
      <c r="G120" s="1" t="s">
        <v>869</v>
      </c>
      <c r="H120" s="9" t="str">
        <f>HYPERLINK("https://satoriz-comboire.bio/products/ma5005","7.7")</f>
        <v>7.7</v>
      </c>
      <c r="I120" s="25" t="s">
        <v>1074</v>
      </c>
      <c r="J120" s="7" t="str">
        <f>HYPERLINK("https://www.greenweez.com/produit/fecule-de-pomme-de-terre-500g-1/1MKAL0230","6.3")</f>
        <v>6.3</v>
      </c>
      <c r="K120" s="16" t="s">
        <v>896</v>
      </c>
      <c r="L120" s="9" t="str">
        <f>HYPERLINK("https://metabase.lelefan.org/public/dashboard/53c41f3f-5644-466e-935e-897e7725f6bc?rayon=&amp;d%25C3%25A9signation=FECULE DE POMME DE TERRE&amp;fournisseur=&amp;date_d%25C3%25A9but=&amp;date_fin=","7.34")</f>
        <v>7.34</v>
      </c>
      <c r="M120" s="1" t="s">
        <v>869</v>
      </c>
      <c r="N120" s="16">
        <v>888888.0</v>
      </c>
    </row>
    <row r="121" ht="14.25" customHeight="1">
      <c r="A121" s="1" t="s">
        <v>289</v>
      </c>
      <c r="B121" s="9" t="str">
        <f>HYPERLINK("https://lafourche.fr/products/celnat-tapioca-250g","10.4")</f>
        <v>10.4</v>
      </c>
      <c r="C121" s="26" t="s">
        <v>1075</v>
      </c>
      <c r="D121" s="16">
        <v>888888.0</v>
      </c>
      <c r="F121" s="16">
        <v>888888.0</v>
      </c>
      <c r="H121" s="9" t="str">
        <f>HYPERLINK("https://satoriz-comboire.bio/products/eu7671","9.9")</f>
        <v>9.9</v>
      </c>
      <c r="I121" s="25" t="s">
        <v>1076</v>
      </c>
      <c r="J121" s="7" t="str">
        <f>HYPERLINK("https://www.greenweez.com/produit/fecule-de-tapioca-500g/1MAVI0037","9.7")</f>
        <v>9.7</v>
      </c>
      <c r="K121" s="26" t="s">
        <v>1077</v>
      </c>
      <c r="L121" s="16">
        <v>888888.0</v>
      </c>
      <c r="N121" s="16">
        <v>888888.0</v>
      </c>
    </row>
    <row r="122" ht="14.25" customHeight="1">
      <c r="A122" s="1" t="s">
        <v>291</v>
      </c>
      <c r="B122" s="7" t="str">
        <f>HYPERLINK("https://lafourche.fr/products/fecule-de-mais","7.3")</f>
        <v>7.3</v>
      </c>
      <c r="C122" s="25" t="s">
        <v>358</v>
      </c>
      <c r="D122" s="9" t="str">
        <f>HYPERLINK("https://www.biocoop.fr/magasin-biocoop_champollion/amidon-de-mais-250g-jm1111-000.html","888888")</f>
        <v>888888</v>
      </c>
      <c r="E122" s="16" t="s">
        <v>869</v>
      </c>
      <c r="F122" s="9" t="str">
        <f>HYPERLINK("https://www.biocoop.fr/magasin-biocoop_fontaine/amidon-de-mais-250g-jm1111-000.html","15.8")</f>
        <v>15.8</v>
      </c>
      <c r="G122" s="25" t="s">
        <v>1078</v>
      </c>
      <c r="H122" s="9" t="str">
        <f>HYPERLINK("https://satoriz-comboire.bio/products/eu2350","14.0")</f>
        <v>14.0</v>
      </c>
      <c r="I122" s="25" t="s">
        <v>1079</v>
      </c>
      <c r="J122" s="9" t="str">
        <f>HYPERLINK("https://www.greenweez.com/produit/amidon-de-mais-sans-gluten-bio-500g/2WEEZ0207","7.5")</f>
        <v>7.5</v>
      </c>
      <c r="K122" s="26" t="s">
        <v>868</v>
      </c>
      <c r="L122" s="16">
        <v>888888.0</v>
      </c>
      <c r="N122" s="16">
        <v>888888.0</v>
      </c>
    </row>
    <row r="123" ht="14.25" customHeight="1">
      <c r="A123" s="1" t="s">
        <v>294</v>
      </c>
      <c r="B123" s="7" t="str">
        <f>HYPERLINK("https://lafourche.fr/products/la-fourche-tomates-sechees-a-lhuile-bio-0-28kg","14.25")</f>
        <v>14.25</v>
      </c>
      <c r="C123" s="25" t="s">
        <v>1080</v>
      </c>
      <c r="D123" s="9" t="str">
        <f>HYPERLINK("https://www.biocoop.fr/magasin-biocoop_champollion/tomates-sechees-a-l-huile-190g-oi5058-000.html","888888")</f>
        <v>888888</v>
      </c>
      <c r="E123" s="16" t="s">
        <v>869</v>
      </c>
      <c r="F123" s="9" t="str">
        <f>HYPERLINK("https://www.biocoop.fr/magasin-biocoop_fontaine/tomates-sechees-a-l-huile-190g-oi5058-000.html","19.21")</f>
        <v>19.21</v>
      </c>
      <c r="G123" s="26" t="s">
        <v>1081</v>
      </c>
      <c r="H123" s="9" t="str">
        <f>HYPERLINK("https://satoriz-comboire.bio/products/igpose06","16.84")</f>
        <v>16.84</v>
      </c>
      <c r="I123" s="25" t="s">
        <v>1082</v>
      </c>
      <c r="J123" s="9" t="str">
        <f>HYPERLINK("https://www.greenweez.com/produit/tomates-sechees-a-lhuile-190g-3/1BIOO0004","25.79")</f>
        <v>25.79</v>
      </c>
      <c r="K123" s="1" t="s">
        <v>869</v>
      </c>
      <c r="L123" s="9" t="str">
        <f>HYPERLINK("https://metabase.lelefan.org/public/dashboard/53c41f3f-5644-466e-935e-897e7725f6bc?rayon=&amp;d%25C3%25A9signation=TOMATES SECHEES&amp;fournisseur=&amp;date_d%25C3%25A9but=&amp;date_fin=","34.0")</f>
        <v>34.0</v>
      </c>
      <c r="M123" s="1" t="s">
        <v>869</v>
      </c>
      <c r="N123" s="16">
        <v>888888.0</v>
      </c>
    </row>
    <row r="124" ht="14.25" customHeight="1">
      <c r="A124" s="1" t="s">
        <v>296</v>
      </c>
      <c r="B124" s="9" t="str">
        <f>HYPERLINK("https://lafourche.fr/products/la-fourche-poivrons-grilles-a-lhuile-bio-0-19kg","15.53")</f>
        <v>15.53</v>
      </c>
      <c r="C124" s="26" t="s">
        <v>1083</v>
      </c>
      <c r="D124" s="9" t="str">
        <f>HYPERLINK("https://www.biocoop.fr/magasin-biocoop_champollion/poivrons-grilles-a-l-huile-190g-oi5057-000.html","888888")</f>
        <v>888888</v>
      </c>
      <c r="E124" s="16" t="s">
        <v>869</v>
      </c>
      <c r="F124" s="9" t="str">
        <f>HYPERLINK("https://www.biocoop.fr/magasin-biocoop_fontaine/poivrons-grilles-a-l-huile-190g-oi5057-000.html","17.37")</f>
        <v>17.37</v>
      </c>
      <c r="G124" s="25" t="s">
        <v>1084</v>
      </c>
      <c r="H124" s="9" t="str">
        <f>HYPERLINK("https://satoriz-comboire.bio/products/ig23","14.74")</f>
        <v>14.74</v>
      </c>
      <c r="I124" s="25" t="s">
        <v>1085</v>
      </c>
      <c r="J124" s="7" t="str">
        <f>HYPERLINK("https://www.greenweez.com/produit/poivrons-rouges-grilles-en-saumure-310g/1RAPU0184","9.65")</f>
        <v>9.65</v>
      </c>
      <c r="K124" s="16" t="s">
        <v>896</v>
      </c>
      <c r="L124" s="16">
        <v>888888.0</v>
      </c>
      <c r="N124" s="16">
        <v>888888.0</v>
      </c>
    </row>
    <row r="125" ht="14.25" customHeight="1">
      <c r="A125" s="1" t="s">
        <v>299</v>
      </c>
      <c r="B125" s="7" t="str">
        <f>HYPERLINK("https://lafourche.fr/products/la-fourche-artichauts-grilles-a-lhuile-bio-0-19kg","17.32")</f>
        <v>17.32</v>
      </c>
      <c r="C125" s="25" t="s">
        <v>1086</v>
      </c>
      <c r="D125" s="9" t="str">
        <f>HYPERLINK("https://www.biocoop.fr/magasin-biocoop_champollion/artichaut-grille-a-l-huile-190g-oi5055-000.html","25.0")</f>
        <v>25.0</v>
      </c>
      <c r="E125" s="16" t="s">
        <v>896</v>
      </c>
      <c r="F125" s="9" t="str">
        <f>HYPERLINK("https://www.biocoop.fr/magasin-biocoop_fontaine/artichaut-grille-a-l-huile-190g-oi5055-000.html","24.74")</f>
        <v>24.74</v>
      </c>
      <c r="G125" s="25" t="s">
        <v>1087</v>
      </c>
      <c r="H125" s="9" t="str">
        <f>HYPERLINK("https://satoriz-comboire.bio/products/iggrca03","20.0")</f>
        <v>20.0</v>
      </c>
      <c r="I125" s="25" t="s">
        <v>65</v>
      </c>
      <c r="J125" s="9" t="str">
        <f>HYPERLINK("https://www.greenweez.com/produit/artichauts-grilles-a-lhuile-190g/1BIOO0006","27.84")</f>
        <v>27.84</v>
      </c>
      <c r="K125" s="1" t="s">
        <v>869</v>
      </c>
      <c r="L125" s="16">
        <v>888888.0</v>
      </c>
      <c r="N125" s="16">
        <v>888888.0</v>
      </c>
    </row>
    <row r="126" ht="14.25" customHeight="1">
      <c r="A126" s="1" t="s">
        <v>300</v>
      </c>
      <c r="B126" s="7" t="str">
        <f>HYPERLINK("https://lafourche.fr/products/belle-nature-olives-vertes-natures-bio-500g","10.44")</f>
        <v>10.44</v>
      </c>
      <c r="C126" s="25" t="s">
        <v>1088</v>
      </c>
      <c r="D126" s="9" t="str">
        <f>HYPERLINK("https://www.biocoop.fr/magasin-biocoop_champollion/olive-verte-entiere-600g-net-egoutte-ra6106-000.html","888888")</f>
        <v>888888</v>
      </c>
      <c r="E126" s="16" t="s">
        <v>869</v>
      </c>
      <c r="F126" s="9" t="str">
        <f>HYPERLINK("https://www.biocoop.fr/magasin-biocoop_fontaine/olive-verte-entiere-600g-net-egoutte-ra6106-000.html","888888")</f>
        <v>888888</v>
      </c>
      <c r="G126" s="16" t="s">
        <v>869</v>
      </c>
      <c r="H126" s="9" t="str">
        <f>HYPERLINK("https://satoriz-comboire.bio/products/igbc709002","12.29")</f>
        <v>12.29</v>
      </c>
      <c r="I126" s="25" t="s">
        <v>1089</v>
      </c>
      <c r="J126" s="9" t="str">
        <f>HYPERLINK("https://www.greenweez.com/produit/olives-vertes-550g/1BIOO0015","888888")</f>
        <v>888888</v>
      </c>
      <c r="K126" s="16" t="s">
        <v>869</v>
      </c>
      <c r="L126" s="9" t="str">
        <f>HYPERLINK("https://metabase.lelefan.org/public/dashboard/53c41f3f-5644-466e-935e-897e7725f6bc?rayon=&amp;d%25C3%25A9signation=OLIVES VERTES - GRECE&amp;fournisseur=&amp;date_d%25C3%25A9but=&amp;date_fin=","19.53")</f>
        <v>19.53</v>
      </c>
      <c r="M126" s="1" t="s">
        <v>869</v>
      </c>
      <c r="N126" s="16">
        <v>888888.0</v>
      </c>
    </row>
    <row r="127" ht="14.25" customHeight="1">
      <c r="A127" s="1" t="s">
        <v>303</v>
      </c>
      <c r="B127" s="7" t="str">
        <f>HYPERLINK("https://lafourche.fr/products/belle-nature-olives-noires-nature-500g","11.28")</f>
        <v>11.28</v>
      </c>
      <c r="C127" s="25" t="s">
        <v>1090</v>
      </c>
      <c r="D127" s="9" t="str">
        <f>HYPERLINK("https://www.biocoop.fr/magasin-biocoop_champollion/olive-noire-nature-410g-net-egoutte-oi5062-000.html","11.95")</f>
        <v>11.95</v>
      </c>
      <c r="E127" s="1" t="s">
        <v>869</v>
      </c>
      <c r="F127" s="9" t="str">
        <f>HYPERLINK("https://www.biocoop.fr/magasin-biocoop_fontaine/olive-noire-nature-410g-net-egoutte-oi5062-000.html","12.56")</f>
        <v>12.56</v>
      </c>
      <c r="G127" s="25" t="s">
        <v>1091</v>
      </c>
      <c r="H127" s="9" t="str">
        <f>HYPERLINK("https://satoriz-comboire.bio/products/re44555","12.1")</f>
        <v>12.1</v>
      </c>
      <c r="I127" s="25" t="s">
        <v>1092</v>
      </c>
      <c r="J127" s="9" t="str">
        <f>HYPERLINK("https://www.greenweez.com/produit/olives-noires-au-naturel-500g/2EMIL0096","16.96")</f>
        <v>16.96</v>
      </c>
      <c r="K127" s="1" t="s">
        <v>869</v>
      </c>
      <c r="L127" s="9" t="str">
        <f>HYPERLINK("https://metabase.lelefan.org/public/dashboard/53c41f3f-5644-466e-935e-897e7725f6bc?rayon=&amp;d%25C3%25A9signation=OLIVES NOIRES&amp;fournisseur=&amp;date_d%25C3%25A9but=&amp;date_fin=","888888")</f>
        <v>888888</v>
      </c>
      <c r="M127" s="16" t="s">
        <v>869</v>
      </c>
      <c r="N127" s="16">
        <v>888888.0</v>
      </c>
    </row>
    <row r="128" ht="14.25" customHeight="1">
      <c r="A128" s="1" t="s">
        <v>307</v>
      </c>
      <c r="B128" s="9" t="str">
        <f>HYPERLINK("https://lafourche.fr/products/nefeli-olives-vertes-denoyautees-bio-0-98kg","15.87")</f>
        <v>15.87</v>
      </c>
      <c r="C128" s="25" t="s">
        <v>1093</v>
      </c>
      <c r="D128" s="9" t="str">
        <f>HYPERLINK("https://www.biocoop.fr/magasin-biocoop_champollion/olive-verte-denoyautee-370g-net-egoutte-oi5066-000.html","888888")</f>
        <v>888888</v>
      </c>
      <c r="E128" s="16" t="s">
        <v>869</v>
      </c>
      <c r="F128" s="9" t="str">
        <f>HYPERLINK("https://www.biocoop.fr/magasin-biocoop_fontaine/olive-noire-denoyautee-370g-net-egoutte-oi5060-000.html","17.3")</f>
        <v>17.3</v>
      </c>
      <c r="G128" s="25" t="s">
        <v>237</v>
      </c>
      <c r="H128" s="9" t="str">
        <f t="shared" ref="H128:H129" si="75">HYPERLINK("https://satoriz-comboire.bio/products/igovsd01","18.33")</f>
        <v>18.33</v>
      </c>
      <c r="I128" s="25" t="s">
        <v>1094</v>
      </c>
      <c r="J128" s="9" t="str">
        <f t="shared" ref="J128:J129" si="76">HYPERLINK("https://www.greenweez.com/produit/olives-vertes-denoyautees-au-naturel-bio-de-grece-160g/2WEEZ0541","18.69")</f>
        <v>18.69</v>
      </c>
      <c r="K128" s="16" t="s">
        <v>896</v>
      </c>
      <c r="L128" s="7" t="str">
        <f>HYPERLINK("https://metabase.lelefan.org/public/dashboard/53c41f3f-5644-466e-935e-897e7725f6bc?rayon=&amp;d%25C3%25A9signation=OLIVES VERTES DENOYAUTEES - ESPAGNE&amp;fournisseur=&amp;date_d%25C3%25A9but=&amp;date_fin=","6.03")</f>
        <v>6.03</v>
      </c>
      <c r="M128" s="26" t="s">
        <v>1095</v>
      </c>
      <c r="N128" s="16">
        <v>888888.0</v>
      </c>
    </row>
    <row r="129" ht="14.25" customHeight="1">
      <c r="A129" s="1" t="s">
        <v>310</v>
      </c>
      <c r="B129" s="7" t="str">
        <f>HYPERLINK("https://lafourche.fr/products/la-fourche-olives-vertes-denoyautees-0-16kg","16.44")</f>
        <v>16.44</v>
      </c>
      <c r="C129" s="25" t="s">
        <v>1096</v>
      </c>
      <c r="D129" s="9" t="str">
        <f>HYPERLINK("https://www.biocoop.fr/magasin-biocoop_champollion/olives-vertes-denoyautees-150g-net-egoutte-oi5056-000.html","888888")</f>
        <v>888888</v>
      </c>
      <c r="E129" s="16" t="s">
        <v>869</v>
      </c>
      <c r="F129" s="9" t="str">
        <f>HYPERLINK("https://www.biocoop.fr/magasin-biocoop_fontaine/olives-vertes-denoyautees-150g-net-egoutte-oi5056-000.html","23.0")</f>
        <v>23.0</v>
      </c>
      <c r="G129" s="25" t="s">
        <v>1097</v>
      </c>
      <c r="H129" s="9" t="str">
        <f t="shared" si="75"/>
        <v>18.33</v>
      </c>
      <c r="I129" s="25" t="s">
        <v>1094</v>
      </c>
      <c r="J129" s="9" t="str">
        <f t="shared" si="76"/>
        <v>18.69</v>
      </c>
      <c r="K129" s="16" t="s">
        <v>896</v>
      </c>
      <c r="L129" s="16">
        <v>888888.0</v>
      </c>
      <c r="M129" s="18" t="s">
        <v>56</v>
      </c>
      <c r="N129" s="16">
        <v>888888.0</v>
      </c>
    </row>
    <row r="130" ht="14.25" customHeight="1">
      <c r="A130" s="1" t="s">
        <v>313</v>
      </c>
      <c r="B130" s="9" t="str">
        <f>HYPERLINK("https://lafourche.fr/products/nefeli-olives-kalamata-denoyautes-bio-0-97kg","17.22")</f>
        <v>17.22</v>
      </c>
      <c r="C130" s="1" t="s">
        <v>869</v>
      </c>
      <c r="D130" s="9" t="str">
        <f>HYPERLINK("https://www.biocoop.fr/magasin-biocoop_champollion/olive-noire-denoyautee-370g-net-egoutte-oi5060-000.html","888888")</f>
        <v>888888</v>
      </c>
      <c r="E130" s="16" t="s">
        <v>869</v>
      </c>
      <c r="F130" s="9" t="str">
        <f>HYPERLINK("https://www.biocoop.fr/magasin-biocoop_fontaine/olive-noire-denoyautee-370g-net-egoutte-oi5060-000.html","17.3")</f>
        <v>17.3</v>
      </c>
      <c r="G130" s="25" t="s">
        <v>237</v>
      </c>
      <c r="H130" s="7" t="str">
        <f t="shared" ref="H130:H131" si="77">HYPERLINK("https://satoriz-comboire.bio/products/igondevo02","17.11")</f>
        <v>17.11</v>
      </c>
      <c r="I130" s="25" t="s">
        <v>1098</v>
      </c>
      <c r="J130" s="9" t="str">
        <f t="shared" ref="J130:J131" si="78">HYPERLINK("https://www.greenweez.com/produit/olives-noires-kalamata-denoyautees-bio-de-grece-160g/2WEEZ0540","888888")</f>
        <v>888888</v>
      </c>
      <c r="K130" s="18" t="s">
        <v>56</v>
      </c>
      <c r="L130" s="16">
        <v>888888.0</v>
      </c>
      <c r="N130" s="16">
        <v>888888.0</v>
      </c>
    </row>
    <row r="131" ht="14.25" customHeight="1">
      <c r="A131" s="1" t="s">
        <v>316</v>
      </c>
      <c r="B131" s="9" t="str">
        <f>HYPERLINK("https://lafourche.fr/products/la-fourche-olives-kalamata-denoyautees-0-16kg","17.94")</f>
        <v>17.94</v>
      </c>
      <c r="C131" s="25" t="s">
        <v>949</v>
      </c>
      <c r="D131" s="9" t="str">
        <f>HYPERLINK("https://www.biocoop.fr/magasin-biocoop_champollion/olive-noire-denoyautee-150g-net-egoutte-oi5079-000.html","888888")</f>
        <v>888888</v>
      </c>
      <c r="E131" s="16" t="s">
        <v>869</v>
      </c>
      <c r="F131" s="9" t="str">
        <f>HYPERLINK("https://www.biocoop.fr/magasin-biocoop_fontaine/olive-noire-denoyautee-150g-net-egoutte-oi5079-000.html","22.33")</f>
        <v>22.33</v>
      </c>
      <c r="G131" s="25" t="s">
        <v>1099</v>
      </c>
      <c r="H131" s="7" t="str">
        <f t="shared" si="77"/>
        <v>17.11</v>
      </c>
      <c r="I131" s="25" t="s">
        <v>1098</v>
      </c>
      <c r="J131" s="9" t="str">
        <f t="shared" si="78"/>
        <v>888888</v>
      </c>
      <c r="K131" s="18" t="s">
        <v>56</v>
      </c>
      <c r="L131" s="16">
        <v>888888.0</v>
      </c>
      <c r="N131" s="16">
        <v>888888.0</v>
      </c>
    </row>
    <row r="132" ht="14.25" customHeight="1">
      <c r="A132" s="1" t="s">
        <v>319</v>
      </c>
      <c r="B132" s="9" t="str">
        <f>HYPERLINK("https://lafourche.fr/products/terra-sana-cornichons-aigre-doux-bio-0-67kg","13.67")</f>
        <v>13.67</v>
      </c>
      <c r="C132" s="25" t="s">
        <v>1100</v>
      </c>
      <c r="D132" s="9" t="str">
        <f>HYPERLINK("https://www.biocoop.fr/magasin-biocoop_champollion/cornichons-mi-fins-180g-net-egoutte-bs4006-000.html","16.11")</f>
        <v>16.11</v>
      </c>
      <c r="E132" s="26" t="s">
        <v>1101</v>
      </c>
      <c r="F132" s="9" t="str">
        <f>HYPERLINK("https://www.biocoop.fr/magasin-biocoop_fontaine/cornichon-aigre-doux-aneth-360g-net-egoutte-ch0048-000.html","18.75")</f>
        <v>18.75</v>
      </c>
      <c r="G132" s="1" t="s">
        <v>869</v>
      </c>
      <c r="H132" s="9" t="str">
        <f>HYPERLINK("https://satoriz-comboire.bio/products/re22746","13.47")</f>
        <v>13.47</v>
      </c>
      <c r="I132" s="26" t="s">
        <v>1102</v>
      </c>
      <c r="J132" s="9" t="str">
        <f>HYPERLINK("https://www.greenweez.com/produit/cornichons-aigres-doux-bio-entiers-72cl/2WEEZ0494","13.31")</f>
        <v>13.31</v>
      </c>
      <c r="K132" s="1" t="s">
        <v>869</v>
      </c>
      <c r="L132" s="7" t="str">
        <f>HYPERLINK("https://metabase.lelefan.org/public/dashboard/53c41f3f-5644-466e-935e-897e7725f6bc?rayon=&amp;d%25C3%25A9signation=CORNICHONS MI FINS AIGRE DOUX&amp;fournisseur=&amp;date_d%25C3%25A9but=&amp;date_fin=","11.33")</f>
        <v>11.33</v>
      </c>
      <c r="M132" s="1" t="s">
        <v>869</v>
      </c>
      <c r="N132" s="9" t="str">
        <f>HYPERLINK("https://fd11-courses.leclercdrive.fr/magasin-063801-063801-Echirolles---Comboire/fiche-produits-103377-Cornichons-bio-Bio-Village.aspx","12.97")</f>
        <v>12.97</v>
      </c>
    </row>
    <row r="133" ht="14.25" customHeight="1">
      <c r="A133" s="1" t="s">
        <v>323</v>
      </c>
      <c r="B133" s="7" t="str">
        <f>HYPERLINK("https://lafourche.fr/products/philia-capres-bio-au-vinaigre-90g","21.2")</f>
        <v>21.2</v>
      </c>
      <c r="C133" s="1" t="s">
        <v>869</v>
      </c>
      <c r="D133" s="9" t="str">
        <f>HYPERLINK("https://www.biocoop.fr/magasin-biocoop_champollion/capres-huile-d-olive-oi5030-000.html","29.44")</f>
        <v>29.44</v>
      </c>
      <c r="E133" s="1" t="s">
        <v>869</v>
      </c>
      <c r="F133" s="9" t="str">
        <f>HYPERLINK("https://www.biocoop.fr/magasin-biocoop_fontaine/capres-au-vinaigre-90g-net-egoutte-oi5002-000.html","32.22")</f>
        <v>32.22</v>
      </c>
      <c r="G133" s="1" t="s">
        <v>869</v>
      </c>
      <c r="H133" s="9" t="str">
        <f>HYPERLINK("https://satoriz-comboire.bio/products/igcaac06","24.44")</f>
        <v>24.44</v>
      </c>
      <c r="I133" s="25" t="s">
        <v>1103</v>
      </c>
      <c r="J133" s="9" t="str">
        <f>HYPERLINK("https://www.greenweez.com/produit/capres-surfines-a-lestragon-22-8cl/1BRAV0002","28.32")</f>
        <v>28.32</v>
      </c>
      <c r="K133" s="1" t="s">
        <v>869</v>
      </c>
      <c r="L133" s="9" t="str">
        <f>HYPERLINK("https://metabase.lelefan.org/public/dashboard/53c41f3f-5644-466e-935e-897e7725f6bc?rayon=&amp;d%25C3%25A9signation=CAPRES AU VINAIGRE&amp;fournisseur=&amp;date_d%25C3%25A9but=&amp;date_fin=","34.33")</f>
        <v>34.33</v>
      </c>
      <c r="M133" s="1" t="s">
        <v>869</v>
      </c>
      <c r="N133" s="16">
        <v>888888.0</v>
      </c>
    </row>
    <row r="134" ht="14.25" customHeight="1">
      <c r="A134" s="1" t="s">
        <v>326</v>
      </c>
      <c r="B134" s="7" t="str">
        <f>HYPERLINK("https://lafourche.fr/products/cook-poivre-noir-moulu-bio-0-5kg","31.9")</f>
        <v>31.9</v>
      </c>
      <c r="C134" s="25" t="s">
        <v>1104</v>
      </c>
      <c r="D134" s="9" t="str">
        <f t="shared" ref="D134:D135" si="79">HYPERLINK("https://www.biocoop.fr/magasin-biocoop_champollion/poivre-noir-moulu-45g-ck1425-000.html","55.56")</f>
        <v>55.56</v>
      </c>
      <c r="E134" s="26" t="s">
        <v>1105</v>
      </c>
      <c r="F134" s="9" t="str">
        <f t="shared" ref="F134:F135" si="80">HYPERLINK("https://www.biocoop.fr/magasin-biocoop_fontaine/poivre-noir-poudre-bio-ck2103-000.html","36.35")</f>
        <v>36.35</v>
      </c>
      <c r="G134" s="1" t="s">
        <v>869</v>
      </c>
      <c r="H134" s="9" t="str">
        <f>HYPERLINK("https://satoriz-comboire.bio/products/coponpse","45.0")</f>
        <v>45.0</v>
      </c>
      <c r="I134" s="1" t="s">
        <v>869</v>
      </c>
      <c r="J134" s="9" t="str">
        <f>HYPERLINK("https://www.greenweez.com/produit/poivre-noir-moulu-220g/1COOK0090","888888")</f>
        <v>888888</v>
      </c>
      <c r="K134" s="18" t="s">
        <v>56</v>
      </c>
      <c r="L134" s="9" t="str">
        <f>HYPERLINK("https://metabase.lelefan.org/public/dashboard/53c41f3f-5644-466e-935e-897e7725f6bc?rayon=&amp;d%25C3%25A9signation=POIVRE NOIR POUDRE VRAC&amp;fournisseur=&amp;date_d%25C3%25A9but=&amp;date_fin=","33.9")</f>
        <v>33.9</v>
      </c>
      <c r="M134" s="26" t="s">
        <v>1106</v>
      </c>
      <c r="N134" s="9" t="str">
        <f t="shared" ref="N134:N135" si="81">HYPERLINK("https://fd11-courses.leclercdrive.fr/magasin-063801-063801-Echirolles---Comboire/fiche-produits-67651-Poivre-Noir-moulu-Bio-Village.aspx","52.37")</f>
        <v>52.37</v>
      </c>
    </row>
    <row r="135" ht="14.25" customHeight="1">
      <c r="A135" s="1" t="s">
        <v>330</v>
      </c>
      <c r="B135" s="9" t="str">
        <f>HYPERLINK("https://lafourche.fr/products/biodyssee-poivre-noir-moulu-bio-0-04kg","888888")</f>
        <v>888888</v>
      </c>
      <c r="C135" s="18" t="s">
        <v>56</v>
      </c>
      <c r="D135" s="9" t="str">
        <f t="shared" si="79"/>
        <v>55.56</v>
      </c>
      <c r="E135" s="26" t="s">
        <v>1105</v>
      </c>
      <c r="F135" s="7" t="str">
        <f t="shared" si="80"/>
        <v>36.35</v>
      </c>
      <c r="G135" s="1" t="s">
        <v>869</v>
      </c>
      <c r="H135" s="9" t="str">
        <f>HYPERLINK("https://satoriz-comboire.bio/products/copoivre","72.22")</f>
        <v>72.22</v>
      </c>
      <c r="I135" s="25" t="s">
        <v>1107</v>
      </c>
      <c r="J135" s="9" t="str">
        <f>HYPERLINK("https://www.greenweez.com/produit/poivre-noir-moulu-40g/2BIOD0061","888888")</f>
        <v>888888</v>
      </c>
      <c r="K135" s="18" t="s">
        <v>56</v>
      </c>
      <c r="L135" s="16">
        <v>888888.0</v>
      </c>
      <c r="M135" s="18" t="s">
        <v>56</v>
      </c>
      <c r="N135" s="9" t="str">
        <f t="shared" si="81"/>
        <v>52.37</v>
      </c>
    </row>
    <row r="136" ht="14.25" customHeight="1">
      <c r="A136" s="1" t="s">
        <v>333</v>
      </c>
      <c r="B136" s="9" t="str">
        <f>HYPERLINK("https://lafourche.fr/products/la-fourche-poivre-noir-en-grains-bio-0-25kg","37.8")</f>
        <v>37.8</v>
      </c>
      <c r="C136" s="1" t="s">
        <v>869</v>
      </c>
      <c r="D136" s="9" t="str">
        <f>HYPERLINK("https://www.biocoop.fr/magasin-biocoop_champollion/poivre-noir-grains-150g-ck2145-000.html","59.33")</f>
        <v>59.33</v>
      </c>
      <c r="E136" s="1" t="s">
        <v>869</v>
      </c>
      <c r="F136" s="9" t="str">
        <f t="shared" ref="F136:F137" si="82">HYPERLINK("https://www.biocoop.fr/magasin-biocoop_fontaine/poivre-noir-en-grains-50g-ck0912-000.html","55.0")</f>
        <v>55.0</v>
      </c>
      <c r="G136" s="26" t="s">
        <v>1108</v>
      </c>
      <c r="H136" s="9" t="str">
        <f>HYPERLINK("https://satoriz-comboire.bio/products/copovngrec","33.8")</f>
        <v>33.8</v>
      </c>
      <c r="I136" s="26" t="s">
        <v>1109</v>
      </c>
      <c r="J136" s="7" t="str">
        <f>HYPERLINK("https://www.greenweez.com/produit/poivre-noir-en-grains-bio-200g/2WEEZ0164","27.9")</f>
        <v>27.9</v>
      </c>
      <c r="K136" s="1" t="s">
        <v>869</v>
      </c>
      <c r="L136" s="9" t="str">
        <f>HYPERLINK("https://metabase.lelefan.org/public/dashboard/53c41f3f-5644-466e-935e-897e7725f6bc?rayon=&amp;d%25C3%25A9signation=POIVRE NOIR GRAIN&amp;fournisseur=&amp;date_d%25C3%25A9but=&amp;date_fin=","64.22")</f>
        <v>64.22</v>
      </c>
      <c r="M136" s="25" t="s">
        <v>1110</v>
      </c>
      <c r="N136" s="16">
        <v>888888.0</v>
      </c>
      <c r="P136" s="1">
        <v>0.01</v>
      </c>
    </row>
    <row r="137" ht="14.25" customHeight="1">
      <c r="A137" s="1" t="s">
        <v>336</v>
      </c>
      <c r="B137" s="9" t="str">
        <f>HYPERLINK("https://lafourche.fr/products/cook-ecorecharge-poivre-noir-en-grains-bio-0-05kg","58.2")</f>
        <v>58.2</v>
      </c>
      <c r="C137" s="25" t="s">
        <v>1111</v>
      </c>
      <c r="D137" s="9" t="str">
        <f>HYPERLINK("https://www.biocoop.fr/magasin-biocoop_champollion/poivre-noir-en-grains-50g-ck0912-000.html","81.0")</f>
        <v>81.0</v>
      </c>
      <c r="E137" s="25" t="s">
        <v>1112</v>
      </c>
      <c r="F137" s="7" t="str">
        <f t="shared" si="82"/>
        <v>55.0</v>
      </c>
      <c r="G137" s="26" t="s">
        <v>1108</v>
      </c>
      <c r="H137" s="9" t="str">
        <f>HYPERLINK("https://satoriz-comboire.bio/products/copovngrer?_pos=3&amp;_sid=2e3588fdf&amp;_ss=r","59.0")</f>
        <v>59.0</v>
      </c>
      <c r="I137" s="25" t="s">
        <v>339</v>
      </c>
      <c r="J137" s="9" t="str">
        <f>HYPERLINK("https://www.greenweez.com/produit/poivre-noir-grains-bio-cook-50-g/1COOK0044","888888")</f>
        <v>888888</v>
      </c>
      <c r="K137" s="18" t="s">
        <v>56</v>
      </c>
      <c r="L137" s="16">
        <v>888888.0</v>
      </c>
      <c r="M137" s="18" t="s">
        <v>56</v>
      </c>
      <c r="N137" s="16">
        <v>888888.0</v>
      </c>
    </row>
    <row r="138" ht="14.25" customHeight="1">
      <c r="A138" s="1" t="s">
        <v>340</v>
      </c>
      <c r="B138" s="7" t="str">
        <f>HYPERLINK("https://lafourche.fr/products/cook-poivre-blanc-en-grains-bio-0-05kg","99.8")</f>
        <v>99.8</v>
      </c>
      <c r="C138" s="26" t="s">
        <v>1113</v>
      </c>
      <c r="D138" s="9" t="str">
        <f>HYPERLINK("https://www.biocoop.fr/magasin-biocoop_champollion/poivre-blanc-moulin-50g-sm0364-000.html","102.4")</f>
        <v>102.4</v>
      </c>
      <c r="E138" s="1" t="s">
        <v>869</v>
      </c>
      <c r="F138" s="9" t="str">
        <f>HYPERLINK("https://www.biocoop.fr/magasin-biocoop_fontaine/poivre-blanc-moulin-50g-sm0364-000.html","888888")</f>
        <v>888888</v>
      </c>
      <c r="G138" s="16" t="s">
        <v>869</v>
      </c>
      <c r="H138" s="9" t="str">
        <f>HYPERLINK("https://satoriz-comboire.bio/products/copobgc","101.0")</f>
        <v>101.0</v>
      </c>
      <c r="I138" s="26" t="s">
        <v>1114</v>
      </c>
      <c r="J138" s="9" t="str">
        <f>HYPERLINK("https://www.greenweez.com/produit/poivre-blanc-entier-moulin-rechargeable-50g/2BIOD0036","888888")</f>
        <v>888888</v>
      </c>
      <c r="K138" s="18" t="s">
        <v>56</v>
      </c>
      <c r="L138" s="16">
        <v>888888.0</v>
      </c>
      <c r="N138" s="16">
        <v>888888.0</v>
      </c>
    </row>
    <row r="139" ht="14.25" customHeight="1">
      <c r="A139" s="1" t="s">
        <v>344</v>
      </c>
      <c r="B139" s="9" t="str">
        <f>HYPERLINK("https://lafourche.fr/products/cook-melange-3-baies-bio-45g","102.22")</f>
        <v>102.22</v>
      </c>
      <c r="C139" s="1" t="s">
        <v>869</v>
      </c>
      <c r="D139" s="9" t="str">
        <f>HYPERLINK("https://www.biocoop.fr/magasin-biocoop_champollion/poivre-melange-3-baies-45g-ck1224-000.html","127.78")</f>
        <v>127.78</v>
      </c>
      <c r="E139" s="1" t="s">
        <v>869</v>
      </c>
      <c r="F139" s="9" t="str">
        <f>HYPERLINK("https://www.biocoop.fr/magasin-biocoop_fontaine/poivre-melange-3-baies-45g-ck1224-000.html","122.22")</f>
        <v>122.22</v>
      </c>
      <c r="G139" s="26" t="s">
        <v>1115</v>
      </c>
      <c r="H139" s="9" t="str">
        <f>HYPERLINK("https://satoriz-comboire.bio/products/co3b","102.22")</f>
        <v>102.22</v>
      </c>
      <c r="I139" s="26" t="s">
        <v>955</v>
      </c>
      <c r="J139" s="7" t="str">
        <f>HYPERLINK("https://www.greenweez.com/produit/melange-de-poivres-50g/1LEBE0023","73.6")</f>
        <v>73.6</v>
      </c>
      <c r="K139" s="1" t="s">
        <v>869</v>
      </c>
      <c r="L139" s="16">
        <v>888888.0</v>
      </c>
      <c r="N139" s="16">
        <v>888888.0</v>
      </c>
    </row>
    <row r="140" ht="14.25" customHeight="1">
      <c r="A140" s="1" t="s">
        <v>347</v>
      </c>
      <c r="B140" s="7" t="str">
        <f>HYPERLINK("https://lafourche.fr/products/cook-baies-de-genievre-bio-0-025kg","96")</f>
        <v>96</v>
      </c>
      <c r="C140" s="25" t="s">
        <v>1032</v>
      </c>
      <c r="D140" s="9" t="str">
        <f>HYPERLINK("https://www.biocoop.fr/magasin-biocoop_champollion/baies-de-genievre-25g-ck1210-000.html","110.0")</f>
        <v>110.0</v>
      </c>
      <c r="E140" s="25" t="s">
        <v>1116</v>
      </c>
      <c r="F140" s="9" t="str">
        <f>HYPERLINK("https://www.biocoop.fr/magasin-biocoop_fontaine/baies-de-genievre-25g-ck1210-000.html","116.0")</f>
        <v>116.0</v>
      </c>
      <c r="G140" s="25" t="s">
        <v>1007</v>
      </c>
      <c r="H140" s="9" t="str">
        <f>HYPERLINK("https://satoriz-comboire.bio/products/cogen","106.0")</f>
        <v>106.0</v>
      </c>
      <c r="I140" s="25" t="s">
        <v>1117</v>
      </c>
      <c r="J140" s="9" t="str">
        <f>HYPERLINK("https://www.greenweez.com/produit/genievre-baies-bio-50g/1LACA0017","888888")</f>
        <v>888888</v>
      </c>
      <c r="K140" s="16" t="s">
        <v>869</v>
      </c>
      <c r="L140" s="16">
        <v>888888.0</v>
      </c>
      <c r="N140" s="16">
        <v>888888.0</v>
      </c>
    </row>
    <row r="141" ht="14.25" customHeight="1">
      <c r="A141" s="1" t="s">
        <v>348</v>
      </c>
      <c r="B141" s="9" t="str">
        <f>HYPERLINK("https://lafourche.fr/products/danival-sel-gros-atlantique-1kg","1.49")</f>
        <v>1.49</v>
      </c>
      <c r="C141" s="1" t="s">
        <v>869</v>
      </c>
      <c r="D141" s="9" t="str">
        <f>HYPERLINK("https://www.biocoop.fr/magasin-biocoop_champollion/gros-sel-de-guerande-gu0133-000.html","2.7")</f>
        <v>2.7</v>
      </c>
      <c r="E141" s="1" t="s">
        <v>869</v>
      </c>
      <c r="F141" s="9" t="str">
        <f>HYPERLINK("https://www.biocoop.fr/magasin-biocoop_fontaine/gros-sel-de-guerande-gu0133-000.html","2.75")</f>
        <v>2.75</v>
      </c>
      <c r="G141" s="25" t="s">
        <v>1118</v>
      </c>
      <c r="H141" s="9" t="str">
        <f>HYPERLINK("https://satoriz-comboire.bio/collections/epicerie-salee/products/da0052","1.7")</f>
        <v>1.7</v>
      </c>
      <c r="I141" s="25" t="s">
        <v>1119</v>
      </c>
      <c r="J141" s="7" t="str">
        <f>HYPERLINK("https://www.greenweez.com/produit/sel-gros-de-latlantique-1kg/1DANI0333","1.0")</f>
        <v>1.0</v>
      </c>
      <c r="K141" s="1" t="s">
        <v>869</v>
      </c>
      <c r="L141" s="9" t="str">
        <f>HYPERLINK("https://metabase.lelefan.org/public/dashboard/53c41f3f-5644-466e-935e-897e7725f6bc?rayon=&amp;d%25C3%25A9signation=SEL GROS VRAC&amp;fournisseur=&amp;date_d%25C3%25A9but=&amp;date_fin=","1.52")</f>
        <v>1.52</v>
      </c>
      <c r="M141" s="1" t="s">
        <v>869</v>
      </c>
      <c r="N141" s="16">
        <v>888888.0</v>
      </c>
      <c r="P141" s="1">
        <v>0.03</v>
      </c>
    </row>
    <row r="142" ht="14.25" customHeight="1">
      <c r="A142" s="1" t="s">
        <v>351</v>
      </c>
      <c r="B142" s="7" t="str">
        <f>HYPERLINK("https://lafourche.fr/products/danival-sel-fin-atlantique-1kg","1.86")</f>
        <v>1.86</v>
      </c>
      <c r="C142" s="1" t="s">
        <v>869</v>
      </c>
      <c r="D142" s="9" t="str">
        <f>HYPERLINK("https://www.biocoop.fr/magasin-biocoop_champollion/sel-fin-de-guerande-gu0105-000.html","5.0")</f>
        <v>5.0</v>
      </c>
      <c r="E142" s="1" t="s">
        <v>869</v>
      </c>
      <c r="F142" s="9" t="str">
        <f>HYPERLINK("https://www.biocoop.fr/magasin-biocoop_fontaine/sel-fin-de-guerande-gu0105-000.html","5.0")</f>
        <v>5.0</v>
      </c>
      <c r="G142" s="1" t="s">
        <v>869</v>
      </c>
      <c r="H142" s="9" t="str">
        <f>HYPERLINK("https://satoriz-comboire.bio/collections/epicerie-salee/products/da0021","2.1")</f>
        <v>2.1</v>
      </c>
      <c r="I142" s="25" t="s">
        <v>1120</v>
      </c>
      <c r="J142" s="9" t="str">
        <f>HYPERLINK("https://www.greenweez.com/produit/sel-fin-de-guerande-500g/1LEGU0004","7.08")</f>
        <v>7.08</v>
      </c>
      <c r="K142" s="1" t="s">
        <v>869</v>
      </c>
      <c r="L142" s="9" t="str">
        <f>HYPERLINK("https://metabase.lelefan.org/public/dashboard/53c41f3f-5644-466e-935e-897e7725f6bc?rayon=&amp;d%25C3%25A9signation=SEL FIN - BOITE 250 G&amp;fournisseur=&amp;date_d%25C3%25A9but=&amp;date_fin=","9.76")</f>
        <v>9.76</v>
      </c>
      <c r="M142" s="1" t="s">
        <v>869</v>
      </c>
      <c r="N142" s="16">
        <v>888888.0</v>
      </c>
      <c r="P142" s="1">
        <v>0.03</v>
      </c>
    </row>
    <row r="143" ht="14.25" customHeight="1">
      <c r="A143" s="5" t="s">
        <v>353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 ht="14.25" customHeight="1">
      <c r="A144" s="1" t="s">
        <v>354</v>
      </c>
      <c r="B144" s="9" t="str">
        <f>HYPERLINK("https://lafourche.fr/products/luce-champignons-de-paris-eminces-400g","17.35")</f>
        <v>17.35</v>
      </c>
      <c r="C144" s="25" t="s">
        <v>1121</v>
      </c>
      <c r="D144" s="16">
        <v>888888.0</v>
      </c>
      <c r="F144" s="16">
        <v>888888.0</v>
      </c>
      <c r="H144" s="9" t="str">
        <f>HYPERLINK("https://satoriz-comboire.bio/products/ma00623","21.52")</f>
        <v>21.52</v>
      </c>
      <c r="I144" s="25" t="s">
        <v>1122</v>
      </c>
      <c r="J144" s="9" t="str">
        <f>HYPERLINK("https://www.greenweez.com/produit/champignons-de-paris-eminces-400g/1LUCE0023","17.74")</f>
        <v>17.74</v>
      </c>
      <c r="K144" s="26" t="s">
        <v>1123</v>
      </c>
      <c r="L144" s="9" t="str">
        <f>HYPERLINK("https://metabase.lelefan.org/public/dashboard/53c41f3f-5644-466e-935e-897e7725f6bc?rayon=&amp;d%25C3%25A9signation=CHAMPIGNONS DE PARIS EMINCES BOCAL&amp;fournisseur=&amp;date_d%25C3%25A9but=&amp;date_fin=","19.76")</f>
        <v>19.76</v>
      </c>
      <c r="M144" s="1" t="s">
        <v>869</v>
      </c>
      <c r="N144" s="7" t="str">
        <f>HYPERLINK("https://fd11-courses.leclercdrive.fr/magasin-063801-063801-Echirolles---Comboire/fiche-produits-68090-Champignons-Bio-Village.aspx","12.76")</f>
        <v>12.76</v>
      </c>
    </row>
    <row r="145" ht="14.25" customHeight="1">
      <c r="A145" s="1" t="s">
        <v>355</v>
      </c>
      <c r="B145" s="9" t="str">
        <f>HYPERLINK("https://lafourche.fr/products/naturavenir-chataignes-entieres-pelees-bio-0-42kg","20.48")</f>
        <v>20.48</v>
      </c>
      <c r="C145" s="25" t="s">
        <v>1124</v>
      </c>
      <c r="D145" s="9" t="str">
        <f>HYPERLINK("https://www.biocoop.fr/magasin-biocoop_champollion/chataignes-cuites-pelees-200g-iv1000-000.html","31.25")</f>
        <v>31.25</v>
      </c>
      <c r="E145" s="1" t="s">
        <v>869</v>
      </c>
      <c r="F145" s="9" t="str">
        <f>HYPERLINK("https://www.biocoop.fr/magasin-biocoop_fontaine/marrons-cuits-entiers-420g-cf6000-000.html","23.79")</f>
        <v>23.79</v>
      </c>
      <c r="G145" s="1" t="s">
        <v>869</v>
      </c>
      <c r="H145" s="9" t="str">
        <f>HYPERLINK("https://satoriz-comboire.bio/products/fru162","888888")</f>
        <v>888888</v>
      </c>
      <c r="I145" s="18" t="s">
        <v>56</v>
      </c>
      <c r="J145" s="9" t="str">
        <f>HYPERLINK("https://www.greenweez.com/produit/chataignes-entieres-pelees-420g/1NATA0067","26.05")</f>
        <v>26.05</v>
      </c>
      <c r="K145" s="16" t="s">
        <v>896</v>
      </c>
      <c r="L145" s="9" t="str">
        <f>HYPERLINK("https://metabase.lelefan.org/public/dashboard/53c41f3f-5644-466e-935e-897e7725f6bc?rayon=&amp;d%25C3%25A9signation=MARRONS AU NATUREL 250 GR&amp;fournisseur=&amp;date_d%25C3%25A9but=&amp;date_fin=","23.52")</f>
        <v>23.52</v>
      </c>
      <c r="M145" s="1" t="s">
        <v>869</v>
      </c>
      <c r="N145" s="7" t="str">
        <f>HYPERLINK("https://fd11-courses.leclercdrive.fr/magasin-063801-063801-Echirolles---Comboire/fiche-produits-217611-Chataigne-Bio-Village.aspx","20.26")</f>
        <v>20.26</v>
      </c>
    </row>
    <row r="146" ht="14.25" customHeight="1">
      <c r="A146" s="1" t="s">
        <v>356</v>
      </c>
      <c r="B146" s="9" t="str">
        <f>HYPERLINK("https://lafourche.fr/products/waini-river-coeurs-de-palmier-220g-bio","19.68")</f>
        <v>19.68</v>
      </c>
      <c r="C146" s="26" t="s">
        <v>37</v>
      </c>
      <c r="D146" s="9" t="str">
        <f>HYPERLINK("https://www.biocoop.fr/magasin-biocoop_champollion/coeurs-de-palmier-sauvage-205g-net-egoutte-wr0011-000.html","888888")</f>
        <v>888888</v>
      </c>
      <c r="E146" s="16" t="s">
        <v>869</v>
      </c>
      <c r="F146" s="9" t="str">
        <f>HYPERLINK("https://www.biocoop.fr/magasin-biocoop_fontaine/coeurs-de-palmier-sauvage-205g-net-egoutte-wr0011-000.html","23.17")</f>
        <v>23.17</v>
      </c>
      <c r="G146" s="26" t="s">
        <v>1125</v>
      </c>
      <c r="H146" s="9" t="str">
        <f>HYPERLINK("https://satoriz-comboire.bio/products/su021","18.64")</f>
        <v>18.64</v>
      </c>
      <c r="I146" s="1" t="s">
        <v>869</v>
      </c>
      <c r="J146" s="9" t="str">
        <f>HYPERLINK("https://www.greenweez.com/produit/coeurs-de-palmier-sauvage-bio-400g/1WAIN0001","25.27")</f>
        <v>25.27</v>
      </c>
      <c r="K146" s="25" t="s">
        <v>919</v>
      </c>
      <c r="L146" s="16">
        <v>888888.0</v>
      </c>
      <c r="N146" s="7" t="str">
        <f>HYPERLINK("https://fd11-courses.leclercdrive.fr/magasin-063801-063801-Echirolles---Comboire/fiche-produits-61976-Coeurs-de-palmiers-Bio-Village.aspx","15.68")</f>
        <v>15.68</v>
      </c>
    </row>
    <row r="147" ht="14.25" customHeight="1">
      <c r="A147" s="1" t="s">
        <v>357</v>
      </c>
      <c r="B147" s="9" t="str">
        <f>HYPERLINK("https://lafourche.fr/products/la-fourche-petits-pois-bio-0-265kg","5.47")</f>
        <v>5.47</v>
      </c>
      <c r="C147" s="1" t="s">
        <v>869</v>
      </c>
      <c r="D147" s="9" t="str">
        <f>HYPERLINK("https://www.biocoop.fr/magasin-biocoop_champollion/petits-pois-extra-fins-sans-sel-240g-net-egoutte-pr5177-000.html","15.0")</f>
        <v>15.0</v>
      </c>
      <c r="E147" s="1" t="s">
        <v>869</v>
      </c>
      <c r="F147" s="9" t="str">
        <f>HYPERLINK("https://www.biocoop.fr/magasin-biocoop_fontaine/petits-pois-530g-net-egoutte-mg5035-000.html","7.17")</f>
        <v>7.17</v>
      </c>
      <c r="G147" s="1" t="s">
        <v>869</v>
      </c>
      <c r="H147" s="9" t="str">
        <f>HYPERLINK("https://satoriz-comboire.bio/products/re44454","6.25")</f>
        <v>6.25</v>
      </c>
      <c r="I147" s="25" t="s">
        <v>1126</v>
      </c>
      <c r="J147" s="9" t="str">
        <f>HYPERLINK("https://www.greenweez.com/produit/petits-pois-a-letuvee-400g/1LUCE0019","9.21")</f>
        <v>9.21</v>
      </c>
      <c r="K147" s="1" t="s">
        <v>869</v>
      </c>
      <c r="L147" s="7" t="str">
        <f>HYPERLINK("https://metabase.lelefan.org/public/dashboard/53c41f3f-5644-466e-935e-897e7725f6bc?rayon=&amp;d%25C3%25A9signation=PETITS POIS 400G - FRANCE&amp;fournisseur=&amp;date_d%25C3%25A9but=&amp;date_fin=","3.82")</f>
        <v>3.82</v>
      </c>
      <c r="M147" s="1" t="s">
        <v>869</v>
      </c>
      <c r="N147" s="9" t="str">
        <f>HYPERLINK("https://fd11-courses.leclercdrive.fr/magasin-063801-063801-Echirolles---Comboire/fiche-produits-137070-Petits-pois-Bio-Village.aspx","5.6")</f>
        <v>5.6</v>
      </c>
      <c r="P147" s="1">
        <v>0.3</v>
      </c>
    </row>
    <row r="148" ht="14.25" customHeight="1">
      <c r="A148" s="1" t="s">
        <v>362</v>
      </c>
      <c r="B148" s="9" t="str">
        <f>HYPERLINK("https://lafourche.fr/products/la-fourche-mais-bio-0-285kg","4.74")</f>
        <v>4.74</v>
      </c>
      <c r="C148" s="26" t="s">
        <v>1127</v>
      </c>
      <c r="D148" s="9" t="str">
        <f>HYPERLINK("https://www.biocoop.fr/magasin-biocoop_champollion/mais-doux-285g-net-egoutte-cf7000-000.html","5.09")</f>
        <v>5.09</v>
      </c>
      <c r="E148" s="26" t="s">
        <v>1128</v>
      </c>
      <c r="F148" s="9" t="str">
        <f>HYPERLINK("https://www.biocoop.fr/magasin-biocoop_fontaine/mais-doux-285g-net-egoutte-cf7000-000.html","5.79")</f>
        <v>5.79</v>
      </c>
      <c r="G148" s="1" t="s">
        <v>869</v>
      </c>
      <c r="H148" s="9" t="str">
        <f>HYPERLINK("https://satoriz-comboire.bio/products/re44453","5.96")</f>
        <v>5.96</v>
      </c>
      <c r="I148" s="25" t="s">
        <v>1129</v>
      </c>
      <c r="J148" s="9" t="str">
        <f>HYPERLINK("https://www.greenweez.com/produit/lot-de-3-mais-bio-origine-france-300g/1PACK3606","888888")</f>
        <v>888888</v>
      </c>
      <c r="K148" s="18" t="s">
        <v>56</v>
      </c>
      <c r="L148" s="9" t="str">
        <f>HYPERLINK("https://metabase.lelefan.org/public/dashboard/53c41f3f-5644-466e-935e-897e7725f6bc?rayon=&amp;d%25C3%25A9signation=MAIS DOUX 300G - FRANCE&amp;fournisseur=&amp;date_d%25C3%25A9but=&amp;date_fin=","4.93")</f>
        <v>4.93</v>
      </c>
      <c r="M148" s="1" t="s">
        <v>869</v>
      </c>
      <c r="N148" s="7" t="str">
        <f>HYPERLINK("https://fd11-courses.leclercdrive.fr/magasin-063801-063801-Echirolles---Comboire/fiche-produits-204061-Mais-Bio-Village.aspx","4.18")</f>
        <v>4.18</v>
      </c>
    </row>
    <row r="149" ht="14.25" customHeight="1">
      <c r="A149" s="1" t="s">
        <v>367</v>
      </c>
      <c r="B149" s="7" t="str">
        <f>HYPERLINK("https://lafourche.fr/products/la-fourche-haricots-verts-bio-0-44kg","5")</f>
        <v>5</v>
      </c>
      <c r="C149" s="25" t="s">
        <v>981</v>
      </c>
      <c r="D149" s="9" t="str">
        <f>HYPERLINK("https://www.biocoop.fr/magasin-biocoop_champollion/haricots-verts-extra-fins-220g-net-egoutte-cf7001-000.html","8.86")</f>
        <v>8.86</v>
      </c>
      <c r="E149" s="26" t="s">
        <v>1130</v>
      </c>
      <c r="F149" s="9" t="str">
        <f>HYPERLINK("https://www.biocoop.fr/magasin-biocoop_fontaine/haricots-verts-extra-fins-440g-net-egoutte-mg5033-000.html","8.87")</f>
        <v>8.87</v>
      </c>
      <c r="G149" s="1" t="s">
        <v>869</v>
      </c>
      <c r="H149" s="9" t="str">
        <f>HYPERLINK("https://satoriz-comboire.bio/products/re44456","6.36")</f>
        <v>6.36</v>
      </c>
      <c r="I149" s="25" t="s">
        <v>1131</v>
      </c>
      <c r="J149" s="9" t="str">
        <f>HYPERLINK("https://www.greenweez.com/produit/lot-de-2-haricots-verts-bio-origine-france-800g/1PACK3593","888888")</f>
        <v>888888</v>
      </c>
      <c r="K149" s="16" t="s">
        <v>869</v>
      </c>
      <c r="L149" s="9" t="str">
        <f>HYPERLINK("https://metabase.lelefan.org/public/dashboard/53c41f3f-5644-466e-935e-897e7725f6bc?rayon=&amp;d%25C3%25A9signation=HARICOTS VERTS 800G - FRANCE&amp;fournisseur=&amp;date_d%25C3%25A9but=&amp;date_fin=","888888")</f>
        <v>888888</v>
      </c>
      <c r="M149" s="18" t="s">
        <v>56</v>
      </c>
      <c r="N149" s="9" t="str">
        <f>HYPERLINK("https://fd11-courses.leclercdrive.fr/magasin-063801-063801-Echirolles---Comboire/fiche-produits-39388-Haricots-verts-Bio-Village.aspx","5.54")</f>
        <v>5.54</v>
      </c>
    </row>
    <row r="150" ht="14.25" customHeight="1">
      <c r="A150" s="1" t="s">
        <v>370</v>
      </c>
      <c r="B150" s="9" t="str">
        <f>HYPERLINK("https://lafourche.fr/products/macedoine","11.74")</f>
        <v>11.74</v>
      </c>
      <c r="C150" s="25" t="s">
        <v>1132</v>
      </c>
      <c r="D150" s="9" t="str">
        <f>HYPERLINK("https://www.biocoop.fr/magasin-biocoop_champollion/macedoine-de-legumes-445g-rc0863-000.html","8.43")</f>
        <v>8.43</v>
      </c>
      <c r="E150" s="1" t="s">
        <v>869</v>
      </c>
      <c r="F150" s="9" t="str">
        <f>HYPERLINK("https://www.biocoop.fr/magasin-biocoop_fontaine/macedoine-de-legumes-240g-net-egoutte-rc0864-000.html","12.46")</f>
        <v>12.46</v>
      </c>
      <c r="G150" s="1" t="s">
        <v>869</v>
      </c>
      <c r="H150" s="7" t="str">
        <f>HYPERLINK("https://satoriz-comboire.bio/products/ch720","7.75")</f>
        <v>7.75</v>
      </c>
      <c r="I150" s="25" t="s">
        <v>904</v>
      </c>
      <c r="J150" s="9" t="str">
        <f>HYPERLINK("https://www.greenweez.com/produit/macedoine-de-legumes-370ml/1PRIM0832","11.08")</f>
        <v>11.08</v>
      </c>
      <c r="K150" s="16" t="s">
        <v>896</v>
      </c>
      <c r="L150" s="9" t="str">
        <f>HYPERLINK("https://metabase.lelefan.org/public/dashboard/53c41f3f-5644-466e-935e-897e7725f6bc?rayon=&amp;d%25C3%25A9signation=MACEDOINE BOCAL&amp;fournisseur=&amp;date_d%25C3%25A9but=&amp;date_fin=","8.98")</f>
        <v>8.98</v>
      </c>
      <c r="M150" s="1" t="s">
        <v>869</v>
      </c>
      <c r="N150" s="16">
        <v>888888.0</v>
      </c>
      <c r="P150" s="1">
        <v>0.3</v>
      </c>
    </row>
    <row r="151" ht="14.25" customHeight="1">
      <c r="A151" s="1" t="s">
        <v>371</v>
      </c>
      <c r="B151" s="7" t="str">
        <f>HYPERLINK("https://lafourche.fr/products/luce-haricots-rouges-bio-3x-230g-0-69kg","7.02")</f>
        <v>7.02</v>
      </c>
      <c r="C151" s="25" t="s">
        <v>1133</v>
      </c>
      <c r="D151" s="9" t="str">
        <f>HYPERLINK("https://www.biocoop.fr/magasin-biocoop_champollion/haricots-rouges-au-naturel-520g-net-egoutte-rc1037-000.html","8.65")</f>
        <v>8.65</v>
      </c>
      <c r="E151" s="26" t="s">
        <v>1134</v>
      </c>
      <c r="F151" s="9" t="str">
        <f>HYPERLINK("https://www.biocoop.fr/magasin-biocoop_fontaine/haricots-rouges-au-naturel-520g-net-egoutte-rc1037-000.html","8.42")</f>
        <v>8.42</v>
      </c>
      <c r="G151" s="26" t="s">
        <v>1050</v>
      </c>
      <c r="H151" s="9" t="str">
        <f>HYPERLINK("https://satoriz-comboire.bio/products/chhr720","8.75")</f>
        <v>8.75</v>
      </c>
      <c r="I151" s="25" t="s">
        <v>1135</v>
      </c>
      <c r="J151" s="9" t="str">
        <f t="shared" ref="J151:J152" si="83">HYPERLINK("https://www.greenweez.com/produit/haricots-rouges-400g/1LUCE0007","7.25")</f>
        <v>7.25</v>
      </c>
      <c r="K151" s="26" t="s">
        <v>1136</v>
      </c>
      <c r="L151" s="9" t="str">
        <f t="shared" ref="L151:L152" si="84">HYPERLINK("https://metabase.lelefan.org/public/dashboard/53c41f3f-5644-466e-935e-897e7725f6bc?rayon=&amp;d%25C3%25A9signation=HARICOTS ROUGES KIDNEY CONSERVE&amp;fournisseur=&amp;date_d%25C3%25A9but=&amp;date_fin=","7.88")</f>
        <v>7.88</v>
      </c>
      <c r="M151" s="26" t="s">
        <v>1137</v>
      </c>
      <c r="N151" s="16">
        <v>888888.0</v>
      </c>
      <c r="P151" s="1">
        <v>0.05</v>
      </c>
    </row>
    <row r="152" ht="14.25" customHeight="1">
      <c r="A152" s="1" t="s">
        <v>373</v>
      </c>
      <c r="B152" s="9" t="str">
        <f>HYPERLINK("https://lafourche.fr/products/haricots-rouges-france-bio-345g","10.78")</f>
        <v>10.78</v>
      </c>
      <c r="C152" s="25" t="s">
        <v>1138</v>
      </c>
      <c r="D152" s="9" t="str">
        <f>HYPERLINK("https://www.biocoop.fr/magasin-biocoop_champollion/haricots-rouges-280g-net-egoutte-rc1006-000.html","13.04")</f>
        <v>13.04</v>
      </c>
      <c r="E152" s="25" t="s">
        <v>1139</v>
      </c>
      <c r="F152" s="9" t="str">
        <f>HYPERLINK("https://www.biocoop.fr/magasin-biocoop_fontaine/haricots-rouges-280g-net-egoutte-rc1006-000.html","12.86")</f>
        <v>12.86</v>
      </c>
      <c r="G152" s="25" t="s">
        <v>1140</v>
      </c>
      <c r="H152" s="9" t="str">
        <f>HYPERLINK("https://satoriz-comboire.bio/products/ch380","10.54")</f>
        <v>10.54</v>
      </c>
      <c r="I152" s="25" t="s">
        <v>1141</v>
      </c>
      <c r="J152" s="7" t="str">
        <f t="shared" si="83"/>
        <v>7.25</v>
      </c>
      <c r="K152" s="26" t="s">
        <v>1136</v>
      </c>
      <c r="L152" s="9" t="str">
        <f t="shared" si="84"/>
        <v>7.88</v>
      </c>
      <c r="M152" s="26" t="s">
        <v>1137</v>
      </c>
      <c r="N152" s="9" t="str">
        <f>HYPERLINK("https://fd11-courses.leclercdrive.fr/magasin-063801-063801-Echirolles---Comboire/fiche-produits-99547-Haricots-rouge-Bio-Village.aspx","14.59")</f>
        <v>14.59</v>
      </c>
      <c r="P152" s="1">
        <v>0.05</v>
      </c>
    </row>
    <row r="153" ht="14.25" customHeight="1">
      <c r="A153" s="1" t="s">
        <v>374</v>
      </c>
      <c r="B153" s="9" t="str">
        <f>HYPERLINK("https://lafourche.fr/products/prosain-haricots-lingots-origine-france-bio-660g","6.89")</f>
        <v>6.89</v>
      </c>
      <c r="C153" s="26" t="s">
        <v>1142</v>
      </c>
      <c r="D153" s="9" t="str">
        <f>HYPERLINK("https://www.biocoop.fr/magasin-biocoop_champollion/haricots-blancs-280g-net-egoutte-rc0833-000.html","10.86")</f>
        <v>10.86</v>
      </c>
      <c r="E153" s="1" t="s">
        <v>869</v>
      </c>
      <c r="F153" s="9" t="str">
        <f>HYPERLINK("https://www.biocoop.fr/magasin-biocoop_fontaine/haricots-blancs-280g-net-egoutte-rc0833-000.html","10.54")</f>
        <v>10.54</v>
      </c>
      <c r="G153" s="1" t="s">
        <v>869</v>
      </c>
      <c r="H153" s="9" t="str">
        <f>HYPERLINK("https://satoriz-comboire.bio/products/fd000431","15.35")</f>
        <v>15.35</v>
      </c>
      <c r="I153" s="1" t="s">
        <v>869</v>
      </c>
      <c r="J153" s="9" t="str">
        <f>HYPERLINK("https://www.greenweez.com/produit/gros-haricots-blancs-400g/1LUCE0009","7.25")</f>
        <v>7.25</v>
      </c>
      <c r="K153" s="26" t="s">
        <v>1136</v>
      </c>
      <c r="L153" s="16">
        <v>888888.0</v>
      </c>
      <c r="N153" s="7" t="str">
        <f>HYPERLINK("https://fd11-courses.leclercdrive.fr/magasin-063801-063801-Echirolles---Comboire/fiche-produits-129049-Haricots-coco-bio-Jardin-Bio.aspx","5.19")</f>
        <v>5.19</v>
      </c>
    </row>
    <row r="154" ht="14.25" customHeight="1">
      <c r="A154" s="1" t="s">
        <v>375</v>
      </c>
      <c r="B154" s="9" t="str">
        <f>HYPERLINK("https://lafourche.fr/products/la-fourche-flageolet-france-660g","7.12")</f>
        <v>7.12</v>
      </c>
      <c r="C154" s="1" t="s">
        <v>869</v>
      </c>
      <c r="D154" s="9" t="str">
        <f t="shared" ref="D154:D155" si="85">HYPERLINK("https://www.biocoop.fr/magasin-biocoop_champollion/flageolets-verts-280g-net-egoutte-rc0831-000.html","12.04")</f>
        <v>12.04</v>
      </c>
      <c r="E154" s="1" t="s">
        <v>869</v>
      </c>
      <c r="F154" s="9" t="str">
        <f t="shared" ref="F154:F155" si="86">HYPERLINK("https://www.biocoop.fr/magasin-biocoop_fontaine/flageolets-verts-280g-net-egoutte-rc0831-000.html","11.25")</f>
        <v>11.25</v>
      </c>
      <c r="G154" s="26" t="s">
        <v>1143</v>
      </c>
      <c r="H154" s="9" t="str">
        <f>HYPERLINK("https://satoriz-comboire.bio/products/chfv720","8.85")</f>
        <v>8.85</v>
      </c>
      <c r="I154" s="25" t="s">
        <v>1144</v>
      </c>
      <c r="J154" s="9" t="str">
        <f>HYPERLINK("https://www.greenweez.com/produit/flageolets-prepares-660g/1PROS0025#description","9.29")</f>
        <v>9.29</v>
      </c>
      <c r="K154" s="26" t="s">
        <v>1145</v>
      </c>
      <c r="L154" s="16">
        <v>888888.0</v>
      </c>
      <c r="N154" s="7" t="str">
        <f>HYPERLINK("https://fd11-courses.leclercdrive.fr/magasin-063801-063801-Echirolles---Comboire/fiche-produits-45213-Flageolets-Jardin-Bio-.aspx","4.47")</f>
        <v>4.47</v>
      </c>
    </row>
    <row r="155" ht="14.25" customHeight="1">
      <c r="A155" s="1" t="s">
        <v>376</v>
      </c>
      <c r="B155" s="16">
        <v>888888.0</v>
      </c>
      <c r="C155" s="18" t="s">
        <v>56</v>
      </c>
      <c r="D155" s="9" t="str">
        <f t="shared" si="85"/>
        <v>12.04</v>
      </c>
      <c r="E155" s="1" t="s">
        <v>869</v>
      </c>
      <c r="F155" s="9" t="str">
        <f t="shared" si="86"/>
        <v>11.25</v>
      </c>
      <c r="G155" s="26" t="s">
        <v>1143</v>
      </c>
      <c r="H155" s="7" t="str">
        <f>HYPERLINK("https://satoriz-comboire.bio/products/ch387","10.89")</f>
        <v>10.89</v>
      </c>
      <c r="I155" s="25" t="s">
        <v>1146</v>
      </c>
      <c r="J155" s="9" t="str">
        <f>HYPERLINK("https://www.greenweez.com/produit/flageolets-370ml/1PRIM0588","13.58")</f>
        <v>13.58</v>
      </c>
      <c r="K155" s="25" t="s">
        <v>1147</v>
      </c>
      <c r="L155" s="16">
        <v>888888.0</v>
      </c>
      <c r="N155" s="16">
        <v>888888.0</v>
      </c>
    </row>
    <row r="156" ht="14.25" customHeight="1">
      <c r="A156" s="1" t="s">
        <v>377</v>
      </c>
      <c r="B156" s="9" t="str">
        <f>HYPERLINK("https://lafourche.fr/products/la-fourche-lentilles-vertes-sud-ouest-bio-660g","7.12")</f>
        <v>7.12</v>
      </c>
      <c r="C156" s="1" t="s">
        <v>869</v>
      </c>
      <c r="D156" s="9" t="str">
        <f>HYPERLINK("https://www.biocoop.fr/magasin-biocoop_champollion/lentilles-vertes-450g-net-egoutte-rc0834-000.html","9.31")</f>
        <v>9.31</v>
      </c>
      <c r="E156" s="1" t="s">
        <v>869</v>
      </c>
      <c r="F156" s="9" t="str">
        <f>HYPERLINK("https://www.biocoop.fr/magasin-biocoop_fontaine/lentilles-vertes-450g-net-egoutte-rc0834-000.html","8.78")</f>
        <v>8.78</v>
      </c>
      <c r="G156" s="1" t="s">
        <v>869</v>
      </c>
      <c r="H156" s="9" t="str">
        <f>HYPERLINK("https://satoriz-comboire.bio/products/re40670","888888")</f>
        <v>888888</v>
      </c>
      <c r="I156" s="18" t="s">
        <v>56</v>
      </c>
      <c r="J156" s="9" t="str">
        <f>HYPERLINK("https://www.greenweez.com/produit/lentilles-vertes-origine-france-720ml/1PRIM0758","10.19")</f>
        <v>10.19</v>
      </c>
      <c r="K156" s="16" t="s">
        <v>896</v>
      </c>
      <c r="L156" s="7" t="str">
        <f t="shared" ref="L156:L157" si="87">HYPERLINK("https://metabase.lelefan.org/public/dashboard/53c41f3f-5644-466e-935e-897e7725f6bc?rayon=&amp;d%25C3%25A9signation=LENTILLES EN CONSERVE&amp;fournisseur=&amp;date_d%25C3%25A9but=&amp;date_fin=","6.92")</f>
        <v>6.92</v>
      </c>
      <c r="M156" s="26" t="s">
        <v>1148</v>
      </c>
      <c r="N156" s="9" t="str">
        <f t="shared" ref="N156:N157" si="88">HYPERLINK("https://fd11-courses.leclercdrive.fr/magasin-063801-063801-Echirolles---Comboire/fiche-produits-99555-Lentilles-Bio-Village.aspx","8.98")</f>
        <v>8.98</v>
      </c>
    </row>
    <row r="157" ht="14.25" customHeight="1">
      <c r="A157" s="1" t="s">
        <v>1149</v>
      </c>
      <c r="B157" s="7" t="str">
        <f>HYPERLINK("https://lafourche.fr/products/la-fourche-lentilles-0-265kg","6.11")</f>
        <v>6.11</v>
      </c>
      <c r="C157" s="26" t="s">
        <v>1150</v>
      </c>
      <c r="D157" s="9" t="str">
        <f>HYPERLINK("https://www.biocoop.fr/magasin-biocoop_champollion/lentilles-vertes-240g-net-egoutte-rc0835-000.html","10.5")</f>
        <v>10.5</v>
      </c>
      <c r="E157" s="25" t="s">
        <v>1103</v>
      </c>
      <c r="F157" s="9" t="str">
        <f>HYPERLINK("https://www.biocoop.fr/magasin-biocoop_fontaine/lentilles-vertes-240g-net-egoutte-rc0835-000.html","11.25")</f>
        <v>11.25</v>
      </c>
      <c r="G157" s="25" t="s">
        <v>1151</v>
      </c>
      <c r="H157" s="9" t="str">
        <f>HYPERLINK("https://satoriz-comboire.bio/products/rv720","12.29")</f>
        <v>12.29</v>
      </c>
      <c r="I157" s="25" t="s">
        <v>1152</v>
      </c>
      <c r="J157" s="9" t="str">
        <f>HYPERLINK("https://www.greenweez.com/produit/lentilles-vertes-au-naturel-370ml/1PRIM0867","12.46")</f>
        <v>12.46</v>
      </c>
      <c r="K157" s="16" t="s">
        <v>896</v>
      </c>
      <c r="L157" s="9" t="str">
        <f t="shared" si="87"/>
        <v>6.92</v>
      </c>
      <c r="M157" s="26" t="s">
        <v>1148</v>
      </c>
      <c r="N157" s="9" t="str">
        <f t="shared" si="88"/>
        <v>8.98</v>
      </c>
      <c r="P157" s="1">
        <v>0.05</v>
      </c>
    </row>
    <row r="158" ht="14.25" customHeight="1">
      <c r="A158" s="1" t="s">
        <v>379</v>
      </c>
      <c r="B158" s="9" t="str">
        <f t="shared" ref="B158:B159" si="89">HYPERLINK("https://lafourche.fr/products/la-fourche-pois-chiches-bio-0-265kg","5.66")</f>
        <v>5.66</v>
      </c>
      <c r="C158" s="25" t="s">
        <v>1153</v>
      </c>
      <c r="D158" s="9" t="str">
        <f>HYPERLINK("https://www.biocoop.fr/magasin-biocoop_champollion/pois-chiche-au-naturel-500g-net-egoutte-lb6001-000.html","9.9")</f>
        <v>9.9</v>
      </c>
      <c r="E158" s="1" t="s">
        <v>869</v>
      </c>
      <c r="F158" s="9" t="str">
        <f>HYPERLINK("https://www.biocoop.fr/magasin-biocoop_fontaine/pois-chiches-450g-net-egoutte-rc0870-000.html","10.67")</f>
        <v>10.67</v>
      </c>
      <c r="G158" s="1" t="s">
        <v>869</v>
      </c>
      <c r="H158" s="9" t="str">
        <f t="shared" ref="H158:H159" si="90">HYPERLINK("https://satoriz-comboire.bio/products/re44090","4.79")</f>
        <v>4.79</v>
      </c>
      <c r="I158" s="1" t="s">
        <v>869</v>
      </c>
      <c r="J158" s="9" t="str">
        <f>HYPERLINK("https://www.greenweez.com/produit/lot-de-3-pois-chiches-bio-origine-italie-400g/1PACK3604","5.19")</f>
        <v>5.19</v>
      </c>
      <c r="K158" s="26" t="s">
        <v>1154</v>
      </c>
      <c r="L158" s="7" t="str">
        <f t="shared" ref="L158:L159" si="91">HYPERLINK("https://metabase.lelefan.org/public/dashboard/53c41f3f-5644-466e-935e-897e7725f6bc?rayon=&amp;d%25C3%25A9signation=POIS CHICHES - ITALIE&amp;fournisseur=&amp;date_d%25C3%25A9but=&amp;date_fin=","4.74")</f>
        <v>4.74</v>
      </c>
      <c r="M158" s="1" t="s">
        <v>869</v>
      </c>
      <c r="N158" s="9" t="str">
        <f>HYPERLINK("https://fd11-courses.leclercdrive.fr/magasin-063801-063801-Echirolles---Comboire/fiche-produits-99967-Pois-chiches-bio-Jardin-Bio.aspx","6.21")</f>
        <v>6.21</v>
      </c>
      <c r="P158" s="1">
        <v>0.05</v>
      </c>
    </row>
    <row r="159" ht="14.25" customHeight="1">
      <c r="A159" s="1" t="s">
        <v>1155</v>
      </c>
      <c r="B159" s="9" t="str">
        <f t="shared" si="89"/>
        <v>5.66</v>
      </c>
      <c r="C159" s="25" t="s">
        <v>1153</v>
      </c>
      <c r="D159" s="9" t="str">
        <f>HYPERLINK("https://www.biocoop.fr/magasin-biocoop_champollion/pois-chiche-au-naturel-260g-net-egoutte-lb6000-000.html","12.88")</f>
        <v>12.88</v>
      </c>
      <c r="E159" s="25" t="s">
        <v>1156</v>
      </c>
      <c r="F159" s="9" t="str">
        <f>HYPERLINK("https://www.biocoop.fr/magasin-biocoop_fontaine/pois-chiches-tetra-recart-230g-net-egoutte-cf7007-000.html","8.65")</f>
        <v>8.65</v>
      </c>
      <c r="G159" s="26" t="s">
        <v>1157</v>
      </c>
      <c r="H159" s="9" t="str">
        <f t="shared" si="90"/>
        <v>4.79</v>
      </c>
      <c r="I159" s="1" t="s">
        <v>869</v>
      </c>
      <c r="J159" s="9" t="str">
        <f>HYPERLINK("https://www.greenweez.com/produit/pois-chiches-bio-origine-italie-400g/2WEEZ0245","5.21")</f>
        <v>5.21</v>
      </c>
      <c r="K159" s="26" t="s">
        <v>18</v>
      </c>
      <c r="L159" s="7" t="str">
        <f t="shared" si="91"/>
        <v>4.74</v>
      </c>
      <c r="M159" s="1" t="s">
        <v>869</v>
      </c>
      <c r="N159" s="9" t="str">
        <f>HYPERLINK("https://fd11-courses.leclercdrive.fr/magasin-063801-063801-Echirolles---Comboire/fiche-produits-99553-Pois-chiche-Bio-VIllage.aspx","9.77")</f>
        <v>9.77</v>
      </c>
      <c r="P159" s="1">
        <v>0.05</v>
      </c>
    </row>
    <row r="160" ht="14.25" customHeight="1">
      <c r="A160" s="1" t="s">
        <v>381</v>
      </c>
      <c r="B160" s="9" t="str">
        <f>HYPERLINK("https://lafourche.fr/products/prosain-couscous-aux-7-legumes-bio-1kg","6.15")</f>
        <v>6.15</v>
      </c>
      <c r="C160" s="25" t="s">
        <v>1158</v>
      </c>
      <c r="D160" s="9" t="str">
        <f>HYPERLINK("https://www.biocoop.fr/magasin-biocoop_champollion/couscous-7-legumes-pr5174-000.html","5.5")</f>
        <v>5.5</v>
      </c>
      <c r="E160" s="26" t="s">
        <v>1159</v>
      </c>
      <c r="F160" s="9" t="str">
        <f>HYPERLINK("https://www.biocoop.fr/magasin-biocoop_fontaine/couscous-7-legumes-pr5174-000.html","5.5")</f>
        <v>5.5</v>
      </c>
      <c r="G160" s="26" t="s">
        <v>1159</v>
      </c>
      <c r="H160" s="9" t="str">
        <f>HYPERLINK("https://satoriz-comboire.bio/products/fd000623","7.15")</f>
        <v>7.15</v>
      </c>
      <c r="I160" s="25" t="s">
        <v>1160</v>
      </c>
      <c r="J160" s="9" t="str">
        <f>HYPERLINK("https://www.greenweez.com/produit/couscous-aux-7-legumes-1kg/1PROS0058","7.99")</f>
        <v>7.99</v>
      </c>
      <c r="K160" s="1" t="s">
        <v>869</v>
      </c>
      <c r="L160" s="9" t="str">
        <f>HYPERLINK("https://metabase.lelefan.org/public/dashboard/53c41f3f-5644-466e-935e-897e7725f6bc?rayon=&amp;d%25C3%25A9signation=COUSCOUS AUX LEGUMES DU SOLEIL&amp;fournisseur=&amp;date_d%25C3%25A9but=&amp;date_fin=","11.41")</f>
        <v>11.41</v>
      </c>
      <c r="M160" s="1" t="s">
        <v>869</v>
      </c>
      <c r="N160" s="7" t="str">
        <f>HYPERLINK("https://fd11-courses.leclercdrive.fr/magasin-063801-063801-Echirolles---Comboire/fiche-produits-16492-Legumes-pour-couscous-bio.aspx","3.57")</f>
        <v>3.57</v>
      </c>
    </row>
    <row r="161" ht="14.25" customHeight="1">
      <c r="A161" s="1" t="s">
        <v>384</v>
      </c>
      <c r="B161" s="9" t="str">
        <f>HYPERLINK("https://lafourche.fr/products/primeal-mouline-8-legumes-bio-1l","2.97")</f>
        <v>2.97</v>
      </c>
      <c r="C161" s="26" t="s">
        <v>1161</v>
      </c>
      <c r="D161" s="9" t="str">
        <f>HYPERLINK("https://www.biocoop.fr/magasin-biocoop_champollion/mouline-legumes-varies-france-1l-mo0035-000.html","2.85")</f>
        <v>2.85</v>
      </c>
      <c r="E161" s="26" t="s">
        <v>1162</v>
      </c>
      <c r="F161" s="9" t="str">
        <f>HYPERLINK("https://www.biocoop.fr/magasin-biocoop_fontaine/mouline-legumes-varies-france-1l-mo0035-000.html","2.85")</f>
        <v>2.85</v>
      </c>
      <c r="G161" s="26" t="s">
        <v>1162</v>
      </c>
      <c r="H161" s="9" t="str">
        <f>HYPERLINK("https://satoriz-comboire.bio/collections/epicerie-salee/products/eu8998","3.05")</f>
        <v>3.05</v>
      </c>
      <c r="I161" s="26" t="s">
        <v>1163</v>
      </c>
      <c r="J161" s="9" t="str">
        <f>HYPERLINK("https://www.greenweez.com/produit/mouline-8-legumes-1l/1PRIM0694","3.58")</f>
        <v>3.58</v>
      </c>
      <c r="K161" s="1" t="s">
        <v>869</v>
      </c>
      <c r="L161" s="9" t="str">
        <f>HYPERLINK("https://metabase.lelefan.org/public/dashboard/53c41f3f-5644-466e-935e-897e7725f6bc?rayon=&amp;d%25C3%25A9signation=SOUPE DOUCEUR 9 LEGUMES&amp;fournisseur=&amp;date_d%25C3%25A9but=&amp;date_fin=","3.11")</f>
        <v>3.11</v>
      </c>
      <c r="M161" s="1" t="s">
        <v>869</v>
      </c>
      <c r="N161" s="7" t="str">
        <f>HYPERLINK("https://fd11-courses.leclercdrive.fr/magasin-063801-063801-Echirolles---Comboire/fiche-produits-44884-Soupe-Mouline-Bio-Village.aspx","2.28")</f>
        <v>2.28</v>
      </c>
    </row>
    <row r="162" ht="14.25" customHeight="1">
      <c r="A162" s="1" t="s">
        <v>385</v>
      </c>
      <c r="B162" s="9" t="str">
        <f>HYPERLINK("https://lafourche.fr/products/grandeur-nature-mouline-du-potager-legumes-verts-francais-bio-1l","3.52")</f>
        <v>3.52</v>
      </c>
      <c r="C162" s="26" t="s">
        <v>1164</v>
      </c>
      <c r="D162" s="9" t="str">
        <f>HYPERLINK("https://www.biocoop.fr/magasin-biocoop_champollion/mouline-legumes-verts-france-1l-mo0036-000.html","2.99")</f>
        <v>2.99</v>
      </c>
      <c r="E162" s="26" t="s">
        <v>1165</v>
      </c>
      <c r="F162" s="9" t="str">
        <f>HYPERLINK("https://www.biocoop.fr/magasin-biocoop_fontaine/mouline-legumes-verts-france-1l-mo0036-000.html","2.99")</f>
        <v>2.99</v>
      </c>
      <c r="G162" s="26" t="s">
        <v>1165</v>
      </c>
      <c r="H162" s="9" t="str">
        <f>HYPERLINK("https://satoriz-comboire.bio/collections/epicerie-salee/products/eu2291","2.95")</f>
        <v>2.95</v>
      </c>
      <c r="I162" s="26" t="s">
        <v>1166</v>
      </c>
      <c r="J162" s="9" t="str">
        <f>HYPERLINK("https://www.greenweez.com/produit/veloute-legumes-verts-1l/1PRIM0501","3.48")</f>
        <v>3.48</v>
      </c>
      <c r="K162" s="1" t="s">
        <v>869</v>
      </c>
      <c r="L162" s="16">
        <v>888888.0</v>
      </c>
      <c r="N162" s="7" t="str">
        <f>HYPERLINK("https://fd11-courses.leclercdrive.fr/magasin-063801-063801-Echirolles---Comboire/fiche-produits-225971-Mouline-Jardin-Bio.aspx","2.69")</f>
        <v>2.69</v>
      </c>
    </row>
    <row r="163" ht="14.25" customHeight="1">
      <c r="A163" s="1" t="s">
        <v>386</v>
      </c>
      <c r="B163" s="7" t="str">
        <f>HYPERLINK("https://lafourche.fr/products/primeal-soupe-thai-bio-1l","2.99")</f>
        <v>2.99</v>
      </c>
      <c r="C163" s="26" t="s">
        <v>1167</v>
      </c>
      <c r="D163" s="16">
        <v>888888.0</v>
      </c>
      <c r="F163" s="16">
        <v>888888.0</v>
      </c>
      <c r="H163" s="9" t="str">
        <f>HYPERLINK("https://satoriz-comboire.bio/collections/epicerie-salee/products/eu9410","3.4")</f>
        <v>3.4</v>
      </c>
      <c r="I163" s="25" t="s">
        <v>1072</v>
      </c>
      <c r="J163" s="16">
        <v>888888.0</v>
      </c>
      <c r="L163" s="16">
        <v>888888.0</v>
      </c>
      <c r="N163" s="16">
        <v>888888.0</v>
      </c>
    </row>
    <row r="164" ht="14.25" customHeight="1">
      <c r="A164" s="1" t="s">
        <v>387</v>
      </c>
      <c r="B164" s="9" t="str">
        <f>HYPERLINK("https://lafourche.fr/products/grandeur-nature-gaspacho-andalou-bio-1l","4.61")</f>
        <v>4.61</v>
      </c>
      <c r="C164" s="1" t="s">
        <v>869</v>
      </c>
      <c r="D164" s="9" t="str">
        <f>HYPERLINK("https://www.biocoop.fr/magasin-biocoop_champollion/gaspacho-1l-aa0427-000.html","3.95")</f>
        <v>3.95</v>
      </c>
      <c r="E164" s="1" t="s">
        <v>869</v>
      </c>
      <c r="F164" s="9" t="str">
        <f>HYPERLINK("https://www.biocoop.fr/magasin-biocoop_fontaine/gaspacho-1l-gl5024-000.html","6.15")</f>
        <v>6.15</v>
      </c>
      <c r="G164" s="1" t="s">
        <v>869</v>
      </c>
      <c r="H164" s="7" t="str">
        <f>HYPERLINK("https://satoriz-comboire.bio/collections/epicerie-salee/products/eu9100","3.85")</f>
        <v>3.85</v>
      </c>
      <c r="I164" s="25" t="s">
        <v>1168</v>
      </c>
      <c r="J164" s="9" t="str">
        <f>HYPERLINK("https://www.greenweez.com/produit/gaspacho-1l/1LUCE0024","4.28")</f>
        <v>4.28</v>
      </c>
      <c r="K164" s="1" t="s">
        <v>869</v>
      </c>
      <c r="L164" s="9" t="str">
        <f>HYPERLINK("https://metabase.lelefan.org/public/dashboard/53c41f3f-5644-466e-935e-897e7725f6bc?rayon=&amp;d%25C3%25A9signation=GASPACHO 1L&amp;fournisseur=&amp;date_d%25C3%25A9but=&amp;date_fin=","4.14")</f>
        <v>4.14</v>
      </c>
      <c r="M164" s="1" t="s">
        <v>869</v>
      </c>
      <c r="N164" s="16">
        <v>888888.0</v>
      </c>
    </row>
    <row r="165" ht="14.25" customHeight="1">
      <c r="A165" s="1" t="s">
        <v>388</v>
      </c>
      <c r="B165" s="9" t="str">
        <f>HYPERLINK("https://lafourche.fr/products/primeal-veloute-champignons-bio-1l","3.25")</f>
        <v>3.25</v>
      </c>
      <c r="C165" s="26" t="s">
        <v>1169</v>
      </c>
      <c r="D165" s="16">
        <v>888888.0</v>
      </c>
      <c r="F165" s="16">
        <v>888888.0</v>
      </c>
      <c r="H165" s="7" t="str">
        <f>HYPERLINK("https://satoriz-comboire.bio/collections/epicerie-salee/products/eu7459","3.2")</f>
        <v>3.2</v>
      </c>
      <c r="I165" s="25" t="s">
        <v>874</v>
      </c>
      <c r="J165" s="9" t="str">
        <f>HYPERLINK("https://www.greenweez.com/produit/veloute-champignons-1l/1PRIM0515","3.63")</f>
        <v>3.63</v>
      </c>
      <c r="K165" s="16" t="s">
        <v>896</v>
      </c>
      <c r="L165" s="9" t="str">
        <f>HYPERLINK("https://metabase.lelefan.org/public/dashboard/53c41f3f-5644-466e-935e-897e7725f6bc?rayon=&amp;d%25C3%25A9signation=VELOUTE DE PETITS CHAMPIGNONS&amp;fournisseur=&amp;date_d%25C3%25A9but=&amp;date_fin=","888888")</f>
        <v>888888</v>
      </c>
      <c r="M165" s="16" t="s">
        <v>869</v>
      </c>
      <c r="N165" s="16">
        <v>888888.0</v>
      </c>
    </row>
    <row r="166" ht="14.25" customHeight="1">
      <c r="A166" s="1" t="s">
        <v>389</v>
      </c>
      <c r="B166" s="7" t="str">
        <f>HYPERLINK("https://lafourche.fr/products/primeal-soupe-indienne-bio-1l","3.1")</f>
        <v>3.1</v>
      </c>
      <c r="C166" s="1" t="s">
        <v>869</v>
      </c>
      <c r="D166" s="16">
        <v>888888.0</v>
      </c>
      <c r="F166" s="16">
        <v>888888.0</v>
      </c>
      <c r="H166" s="9" t="str">
        <f>HYPERLINK("https://satoriz-comboire.bio/collections/epicerie-salee/products/eu8997","3.3")</f>
        <v>3.3</v>
      </c>
      <c r="I166" s="25" t="s">
        <v>916</v>
      </c>
      <c r="J166" s="9" t="str">
        <f>HYPERLINK("https://www.greenweez.com/produit/veloute-lentilles-corail-coco-curry-1l/1PRIM0692","3.68")</f>
        <v>3.68</v>
      </c>
      <c r="K166" s="16" t="s">
        <v>896</v>
      </c>
      <c r="L166" s="9" t="str">
        <f>HYPERLINK("https://metabase.lelefan.org/public/dashboard/53c41f3f-5644-466e-935e-897e7725f6bc?rayon=&amp;d%25C3%25A9signation=VELOUTE LEGUMES ET LENTILLES CORAIL COCO&amp;fournisseur=&amp;date_d%25C3%25A9but=&amp;date_fin=","3.44")</f>
        <v>3.44</v>
      </c>
      <c r="M166" s="1" t="s">
        <v>869</v>
      </c>
      <c r="N166" s="16">
        <v>888888.0</v>
      </c>
    </row>
    <row r="167" ht="14.25" customHeight="1">
      <c r="A167" s="1" t="s">
        <v>390</v>
      </c>
      <c r="B167" s="7" t="str">
        <f>HYPERLINK("https://lafourche.fr/products/primeal-veloute-potiron-chataigne-bio-1l","2.99")</f>
        <v>2.99</v>
      </c>
      <c r="C167" s="1" t="s">
        <v>869</v>
      </c>
      <c r="D167" s="9" t="str">
        <f>HYPERLINK("https://www.biocoop.fr/magasin-biocoop_champollion/soupe-potimarron-chataigne-75cl-is3020-000.html","6.07")</f>
        <v>6.07</v>
      </c>
      <c r="E167" s="1" t="s">
        <v>869</v>
      </c>
      <c r="F167" s="9" t="str">
        <f>HYPERLINK("https://www.biocoop.fr/magasin-biocoop_fontaine/soupe-potimarron-chataigne-75cl-is3020-000.html","888888")</f>
        <v>888888</v>
      </c>
      <c r="G167" s="16" t="s">
        <v>869</v>
      </c>
      <c r="H167" s="9" t="str">
        <f>HYPERLINK("https://satoriz-comboire.bio/collections/epicerie-salee/products/eu7231","3.2")</f>
        <v>3.2</v>
      </c>
      <c r="I167" s="25" t="s">
        <v>874</v>
      </c>
      <c r="J167" s="9" t="str">
        <f>HYPERLINK("https://www.greenweez.com/produit/veloute-potiron-et-chataigne-1l/1PRIM0502","3.48")</f>
        <v>3.48</v>
      </c>
      <c r="K167" s="1" t="s">
        <v>869</v>
      </c>
      <c r="L167" s="9" t="str">
        <f>HYPERLINK("https://metabase.lelefan.org/public/dashboard/53c41f3f-5644-466e-935e-897e7725f6bc?rayon=&amp;d%25C3%25A9signation=VELOUTE POTIRON CHATAIGNE&amp;fournisseur=&amp;date_d%25C3%25A9but=&amp;date_fin=","3.44")</f>
        <v>3.44</v>
      </c>
      <c r="M167" s="1" t="s">
        <v>869</v>
      </c>
      <c r="N167" s="16">
        <v>888888.0</v>
      </c>
    </row>
    <row r="168" ht="14.25" customHeight="1">
      <c r="A168" s="5" t="s">
        <v>391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 ht="14.25" customHeight="1">
      <c r="A169" s="1" t="s">
        <v>392</v>
      </c>
      <c r="B169" s="9" t="str">
        <f>HYPERLINK("https://lafourche.fr/products/la-fourche-huile-d-olive-vierge-extra-origine-espagne-tunisie-bio-3l","11.87")</f>
        <v>11.87</v>
      </c>
      <c r="C169" s="1" t="s">
        <v>869</v>
      </c>
      <c r="D169" s="7" t="str">
        <f t="shared" ref="D169:D170" si="92">HYPERLINK("https://www.biocoop.fr/magasin-biocoop_champollion/huile-d-olive-1l-co7008-000.html","9.45")</f>
        <v>9.45</v>
      </c>
      <c r="E169" s="26" t="s">
        <v>1170</v>
      </c>
      <c r="F169" s="7" t="str">
        <f t="shared" ref="F169:F170" si="93">HYPERLINK("https://www.biocoop.fr/magasin-biocoop_fontaine/huile-d-olive-1l-co7008-000.html","9.45")</f>
        <v>9.45</v>
      </c>
      <c r="G169" s="26" t="s">
        <v>1170</v>
      </c>
      <c r="H169" s="9" t="str">
        <f t="shared" ref="H169:H170" si="94">HYPERLINK("https://satoriz-comboire.bio/collections/epicerie-salee/products/jbh","9.95")</f>
        <v>9.95</v>
      </c>
      <c r="I169" s="26" t="s">
        <v>1171</v>
      </c>
      <c r="J169" s="9" t="str">
        <f>HYPERLINK("https://www.greenweez.com/produit/huile-dolive-vierge-extra-bio-3l/2WEEZ0211","9.98")</f>
        <v>9.98</v>
      </c>
      <c r="K169" s="26" t="s">
        <v>1172</v>
      </c>
      <c r="L169" s="9" t="str">
        <f>HYPERLINK("https://metabase.lelefan.org/public/dashboard/53c41f3f-5644-466e-935e-897e7725f6bc?rayon=&amp;d%25C3%25A9signation=HUILE D OLIVE BIO CRETE-GRECE 1L&amp;fournisseur=&amp;date_d%25C3%25A9but=&amp;date_fin=","18.47")</f>
        <v>18.47</v>
      </c>
      <c r="M169" s="1" t="s">
        <v>869</v>
      </c>
      <c r="N169" s="9" t="str">
        <f>HYPERLINK("https://fd11-courses.leclercdrive.fr/magasin-063801-063801-Echirolles---Comboire/fiche-produits-6067-Huile-dolive-Bio-Village.aspx","10.52")</f>
        <v>10.52</v>
      </c>
      <c r="P169" s="1">
        <v>0.5</v>
      </c>
    </row>
    <row r="170" ht="14.25" customHeight="1">
      <c r="A170" s="1" t="s">
        <v>397</v>
      </c>
      <c r="B170" s="9" t="str">
        <f>HYPERLINK("https://lafourche.fr/products/la-fourche-huile-d-olive-vierge-extra-origine-espagne-tunisie-bio-1l","11.99")</f>
        <v>11.99</v>
      </c>
      <c r="C170" s="25" t="s">
        <v>1173</v>
      </c>
      <c r="D170" s="7" t="str">
        <f t="shared" si="92"/>
        <v>9.45</v>
      </c>
      <c r="E170" s="26" t="s">
        <v>1170</v>
      </c>
      <c r="F170" s="7" t="str">
        <f t="shared" si="93"/>
        <v>9.45</v>
      </c>
      <c r="G170" s="26" t="s">
        <v>1170</v>
      </c>
      <c r="H170" s="9" t="str">
        <f t="shared" si="94"/>
        <v>9.95</v>
      </c>
      <c r="I170" s="26" t="s">
        <v>1171</v>
      </c>
      <c r="J170" s="9" t="str">
        <f>HYPERLINK("https://www.greenweez.com/produit/huile-dolive-vierge-extra-bio-1l/2WEEZ0210","9.98")</f>
        <v>9.98</v>
      </c>
      <c r="K170" s="26" t="s">
        <v>1172</v>
      </c>
      <c r="L170" s="16">
        <v>888888.0</v>
      </c>
      <c r="M170" s="18" t="s">
        <v>56</v>
      </c>
      <c r="N170" s="16">
        <v>888888.0</v>
      </c>
    </row>
    <row r="171" ht="14.25" customHeight="1">
      <c r="A171" s="1" t="s">
        <v>400</v>
      </c>
      <c r="B171" s="7" t="str">
        <f>HYPERLINK("https://lafourche.fr/products/la-fourche-huile-de-tournesol-vierge-origine-france-bio-3l","3.73")</f>
        <v>3.73</v>
      </c>
      <c r="C171" s="26" t="s">
        <v>1174</v>
      </c>
      <c r="D171" s="9" t="str">
        <f t="shared" ref="D171:D172" si="95">HYPERLINK("https://www.biocoop.fr/magasin-biocoop_champollion/huile-de-tournesol-france-1l-mg1154-000.html","5.25")</f>
        <v>5.25</v>
      </c>
      <c r="E171" s="1" t="s">
        <v>869</v>
      </c>
      <c r="F171" s="9" t="str">
        <f t="shared" ref="F171:F172" si="96">HYPERLINK("https://www.biocoop.fr/magasin-biocoop_fontaine/huile-de-tournesol-france-1l-mg1154-000.html","5.25")</f>
        <v>5.25</v>
      </c>
      <c r="G171" s="1" t="s">
        <v>869</v>
      </c>
      <c r="H171" s="9" t="str">
        <f t="shared" ref="H171:H172" si="97">HYPERLINK("https://satoriz-comboire.bio/collections/epicerie-salee/products/re38671","3.8")</f>
        <v>3.8</v>
      </c>
      <c r="I171" s="26" t="s">
        <v>1175</v>
      </c>
      <c r="J171" s="9" t="str">
        <f t="shared" ref="J171:J172" si="98">HYPERLINK("https://www.greenweez.com/produit/huile-de-tournesol-vierge-france-bio-1l/2WEEZ0241","5.18")</f>
        <v>5.18</v>
      </c>
      <c r="K171" s="25" t="s">
        <v>1176</v>
      </c>
      <c r="L171" s="9" t="str">
        <f>HYPERLINK("https://metabase.lelefan.org/public/dashboard/53c41f3f-5644-466e-935e-897e7725f6bc?rayon=&amp;d%25C3%25A9signation=HUILE DE CUISSON DESODORISEE TOURNESOL&amp;fournisseur=&amp;date_d%25C3%25A9but=&amp;date_fin=","4.54")</f>
        <v>4.54</v>
      </c>
      <c r="M171" s="25" t="s">
        <v>341</v>
      </c>
      <c r="N171" s="9" t="str">
        <f>HYPERLINK("https://fd11-courses.leclercdrive.fr/magasin-063801-063801-Echirolles---Comboire/fiche-produits-7294-Huile-de-tournesol-Bio-Village.aspx","4.79")</f>
        <v>4.79</v>
      </c>
      <c r="P171" s="1">
        <v>0.5</v>
      </c>
    </row>
    <row r="172" ht="14.25" customHeight="1">
      <c r="A172" s="1" t="s">
        <v>406</v>
      </c>
      <c r="B172" s="9" t="str">
        <f>HYPERLINK("https://lafourche.fr/products/la-fourche-huile-de-tournesol-vierge-origine-france-bio-1l-codefa","3.99")</f>
        <v>3.99</v>
      </c>
      <c r="C172" s="26" t="s">
        <v>1177</v>
      </c>
      <c r="D172" s="9" t="str">
        <f t="shared" si="95"/>
        <v>5.25</v>
      </c>
      <c r="E172" s="1" t="s">
        <v>869</v>
      </c>
      <c r="F172" s="9" t="str">
        <f t="shared" si="96"/>
        <v>5.25</v>
      </c>
      <c r="G172" s="1" t="s">
        <v>869</v>
      </c>
      <c r="H172" s="7" t="str">
        <f t="shared" si="97"/>
        <v>3.8</v>
      </c>
      <c r="I172" s="26" t="s">
        <v>1175</v>
      </c>
      <c r="J172" s="9" t="str">
        <f t="shared" si="98"/>
        <v>5.18</v>
      </c>
      <c r="K172" s="25" t="s">
        <v>1176</v>
      </c>
      <c r="L172" s="16">
        <v>888888.0</v>
      </c>
      <c r="M172" s="18" t="s">
        <v>56</v>
      </c>
      <c r="N172" s="16">
        <v>888888.0</v>
      </c>
    </row>
    <row r="173" ht="14.25" customHeight="1">
      <c r="A173" s="1" t="s">
        <v>407</v>
      </c>
      <c r="B173" s="7" t="str">
        <f>HYPERLINK("https://lafourche.fr/products/la-fourche-huile-de-colza-vierge-origine-france-bio-3l","4.01")</f>
        <v>4.01</v>
      </c>
      <c r="C173" s="26" t="s">
        <v>1178</v>
      </c>
      <c r="D173" s="9" t="str">
        <f t="shared" ref="D173:D174" si="99">HYPERLINK("https://www.biocoop.fr/magasin-biocoop_champollion/huile-colza-1l-co7002-000.html","4.99")</f>
        <v>4.99</v>
      </c>
      <c r="E173" s="1" t="s">
        <v>869</v>
      </c>
      <c r="F173" s="9" t="str">
        <f t="shared" ref="F173:F174" si="100">HYPERLINK("https://www.biocoop.fr/magasin-biocoop_fontaine/huile-colza-1l-co7002-000.html","4.99")</f>
        <v>4.99</v>
      </c>
      <c r="G173" s="1" t="s">
        <v>869</v>
      </c>
      <c r="H173" s="9" t="str">
        <f t="shared" ref="H173:H174" si="101">HYPERLINK("https://satoriz-comboire.bio/collections/epicerie-salee/products/re42186","4.1")</f>
        <v>4.1</v>
      </c>
      <c r="I173" s="25" t="s">
        <v>914</v>
      </c>
      <c r="J173" s="9" t="str">
        <f t="shared" ref="J173:J174" si="102">HYPERLINK("https://www.greenweez.com/produit/huile-de-colza-vierge-bio-1l/2WEEZ0242","5.18")</f>
        <v>5.18</v>
      </c>
      <c r="K173" s="1" t="s">
        <v>869</v>
      </c>
      <c r="L173" s="9" t="str">
        <f>HYPERLINK("https://metabase.lelefan.org/public/dashboard/53c41f3f-5644-466e-935e-897e7725f6bc?rayon=&amp;d%25C3%25A9signation=HUILE DE COLZA VITAL 0.75L&amp;fournisseur=&amp;date_d%25C3%25A9but=&amp;date_fin=","6.4")</f>
        <v>6.4</v>
      </c>
      <c r="M173" s="1" t="s">
        <v>869</v>
      </c>
      <c r="N173" s="9" t="str">
        <f>HYPERLINK("https://fd11-courses.leclercdrive.fr/magasin-063801-063801-Echirolles---Comboire/fiche-produits-10787-Huile-de-colza-Bio-Village.aspx","5.05")</f>
        <v>5.05</v>
      </c>
      <c r="P173" s="1">
        <v>0.5</v>
      </c>
    </row>
    <row r="174" ht="14.25" customHeight="1">
      <c r="A174" s="1" t="s">
        <v>413</v>
      </c>
      <c r="B174" s="9" t="str">
        <f>HYPERLINK("https://lafourche.fr/products/la-fourche-huile-de-colza-vierge-origine-france-bio-1l","4.29")</f>
        <v>4.29</v>
      </c>
      <c r="C174" s="26" t="s">
        <v>1179</v>
      </c>
      <c r="D174" s="9" t="str">
        <f t="shared" si="99"/>
        <v>4.99</v>
      </c>
      <c r="E174" s="1" t="s">
        <v>869</v>
      </c>
      <c r="F174" s="9" t="str">
        <f t="shared" si="100"/>
        <v>4.99</v>
      </c>
      <c r="G174" s="1" t="s">
        <v>869</v>
      </c>
      <c r="H174" s="7" t="str">
        <f t="shared" si="101"/>
        <v>4.1</v>
      </c>
      <c r="I174" s="25" t="s">
        <v>914</v>
      </c>
      <c r="J174" s="9" t="str">
        <f t="shared" si="102"/>
        <v>5.18</v>
      </c>
      <c r="K174" s="1" t="s">
        <v>869</v>
      </c>
      <c r="L174" s="16">
        <v>888888.0</v>
      </c>
      <c r="M174" s="18" t="s">
        <v>56</v>
      </c>
      <c r="N174" s="16">
        <v>888888.0</v>
      </c>
    </row>
    <row r="175" ht="14.25" customHeight="1">
      <c r="A175" s="1" t="s">
        <v>415</v>
      </c>
      <c r="B175" s="9" t="str">
        <f>HYPERLINK("https://lafourche.fr/products/bio-pour-tous-huile-de-coco-vierge-bio-1kg","11.95")</f>
        <v>11.95</v>
      </c>
      <c r="C175" s="25" t="s">
        <v>1180</v>
      </c>
      <c r="D175" s="9" t="str">
        <f>HYPERLINK("https://www.biocoop.fr/magasin-biocoop_champollion/huile-de-coco-desodorisee-950ml-mg1141-000.html","14.89")</f>
        <v>14.89</v>
      </c>
      <c r="E175" s="1" t="s">
        <v>869</v>
      </c>
      <c r="F175" s="9" t="str">
        <f>HYPERLINK("https://www.biocoop.fr/magasin-biocoop_fontaine/huile-de-coco-desodorisee-950ml-mg1141-000.html","15.74")</f>
        <v>15.74</v>
      </c>
      <c r="G175" s="25" t="s">
        <v>1181</v>
      </c>
      <c r="H175" s="9" t="str">
        <f>HYPERLINK("https://satoriz-comboire.bio/collections/epicerie-salee/products/pr1424","13.1")</f>
        <v>13.1</v>
      </c>
      <c r="I175" s="25" t="s">
        <v>1131</v>
      </c>
      <c r="J175" s="9" t="str">
        <f>HYPERLINK("https://www.greenweez.com/produit/huile-de-coco-du-sri-lanka-1l/1BASE0016","888888")</f>
        <v>888888</v>
      </c>
      <c r="K175" s="16" t="s">
        <v>869</v>
      </c>
      <c r="L175" s="9" t="str">
        <f>HYPERLINK("https://metabase.lelefan.org/public/dashboard/53c41f3f-5644-466e-935e-897e7725f6bc?rayon=&amp;d%25C3%25A9signation=HUILE DE COCO VIERGE 500ML&amp;fournisseur=&amp;date_d%25C3%25A9but=&amp;date_fin=","19.1")</f>
        <v>19.1</v>
      </c>
      <c r="M175" s="1" t="s">
        <v>869</v>
      </c>
      <c r="N175" s="7" t="str">
        <f>HYPERLINK("https://fd11-courses.leclercdrive.fr/magasin-063801-063801-Echirolles---Comboire/fiche-produits-69227-Huile-vierge-Bio-Village.aspx","11.65")</f>
        <v>11.65</v>
      </c>
    </row>
    <row r="176" ht="14.25" customHeight="1">
      <c r="A176" s="1" t="s">
        <v>416</v>
      </c>
      <c r="B176" s="7" t="str">
        <f>HYPERLINK("https://lafourche.fr/products/quintesens-vinaigrette-tonique-bio-0-36l-ag-nl","12.36")</f>
        <v>12.36</v>
      </c>
      <c r="D176" s="9" t="str">
        <f>HYPERLINK("https://www.biocoop.fr/magasin-biocoop_champollion/vinaigrette-curcuma-gingembre-citron-36cl-bq0007-000.html","19.31")</f>
        <v>19.31</v>
      </c>
      <c r="E176" s="1" t="s">
        <v>869</v>
      </c>
      <c r="F176" s="9" t="str">
        <f>HYPERLINK("https://www.biocoop.fr/magasin-biocoop_fontaine/vinaigrette-curcuma-gingembre-citron-36cl-bq0007-000.html","13.53")</f>
        <v>13.53</v>
      </c>
      <c r="G176" s="26" t="s">
        <v>1182</v>
      </c>
      <c r="H176" s="9" t="str">
        <f>HYPERLINK("https://satoriz-comboire.bio/products/re21497","16.81")</f>
        <v>16.81</v>
      </c>
      <c r="I176" s="26" t="s">
        <v>1183</v>
      </c>
      <c r="J176" s="9" t="str">
        <f>HYPERLINK("https://www.greenweez.com/produit/vinaigrette-assaisonnette-la-tonique-36cl/3QUIN0011","15.67")</f>
        <v>15.67</v>
      </c>
      <c r="K176" s="26" t="s">
        <v>1184</v>
      </c>
      <c r="L176" s="16">
        <v>888888.0</v>
      </c>
      <c r="N176" s="16">
        <v>888888.0</v>
      </c>
    </row>
    <row r="177" ht="14.25" customHeight="1">
      <c r="A177" s="1" t="s">
        <v>417</v>
      </c>
      <c r="B177" s="9" t="str">
        <f>HYPERLINK("https://lafourche.fr/products/emile-noel-huile-vierge-de-sesame-equitable-et-bio-1l","13.95")</f>
        <v>13.95</v>
      </c>
      <c r="C177" s="25" t="s">
        <v>1185</v>
      </c>
      <c r="D177" s="9" t="str">
        <f>HYPERLINK("https://www.biocoop.fr/magasin-biocoop_champollion/huile-cuisson-sesame-50cl-mg1173-000.html","14.8")</f>
        <v>14.8</v>
      </c>
      <c r="E177" s="1" t="s">
        <v>869</v>
      </c>
      <c r="F177" s="9" t="str">
        <f>HYPERLINK("https://www.biocoop.fr/magasin-biocoop_fontaine/huile-sesame-1l-vi1001-000.html","19.75")</f>
        <v>19.75</v>
      </c>
      <c r="G177" s="25" t="s">
        <v>1186</v>
      </c>
      <c r="H177" s="7" t="str">
        <f>HYPERLINK("https://satoriz-comboire.bio/products/re42656","11.45")</f>
        <v>11.45</v>
      </c>
      <c r="I177" s="26" t="s">
        <v>1187</v>
      </c>
      <c r="J177" s="9" t="str">
        <f>HYPERLINK("https://www.greenweez.com/produit/huile-de-sesame-vierge-bio-1l/2WEEZ0243","12.48")</f>
        <v>12.48</v>
      </c>
      <c r="K177" s="26" t="s">
        <v>1167</v>
      </c>
      <c r="L177" s="9" t="str">
        <f>HYPERLINK("https://metabase.lelefan.org/public/dashboard/53c41f3f-5644-466e-935e-897e7725f6bc?rayon=&amp;d%25C3%25A9signation=HUILE DE SESAME&amp;fournisseur=&amp;date_d%25C3%25A9but=&amp;date_fin=","18.72")</f>
        <v>18.72</v>
      </c>
      <c r="M177" s="1" t="s">
        <v>869</v>
      </c>
      <c r="N177" s="16">
        <v>888888.0</v>
      </c>
    </row>
    <row r="178" ht="14.25" customHeight="1">
      <c r="A178" s="1" t="s">
        <v>418</v>
      </c>
      <c r="B178" s="7" t="str">
        <f>HYPERLINK("https://lafourche.fr/products/la-fourche-huile-vierge-de-sesame-toaste-bio-1l","10.59")</f>
        <v>10.59</v>
      </c>
      <c r="C178" s="25" t="s">
        <v>25</v>
      </c>
      <c r="D178" s="16">
        <v>888888.0</v>
      </c>
      <c r="F178" s="16">
        <v>888888.0</v>
      </c>
      <c r="H178" s="9" t="str">
        <f>HYPERLINK("https://satoriz-comboire.bio/products/pr989","21.2")</f>
        <v>21.2</v>
      </c>
      <c r="I178" s="1" t="s">
        <v>869</v>
      </c>
      <c r="J178" s="9" t="str">
        <f>HYPERLINK("https://www.greenweez.com/produit/huile-de-sesame-vierge-toastee-equitable-50cl/2EMIL0162","22.98")</f>
        <v>22.98</v>
      </c>
      <c r="K178" s="1" t="s">
        <v>869</v>
      </c>
      <c r="L178" s="9" t="str">
        <f>HYPERLINK("https://metabase.lelefan.org/public/dashboard/53c41f3f-5644-466e-935e-897e7725f6bc?rayon=&amp;d%25C3%25A9signation=HUILE DE SESAME GRILLE&amp;fournisseur=&amp;date_d%25C3%25A9but=&amp;date_fin=","20.48")</f>
        <v>20.48</v>
      </c>
      <c r="M178" s="25" t="s">
        <v>1188</v>
      </c>
      <c r="N178" s="9" t="str">
        <f>HYPERLINK("https://fd11-courses.leclercdrive.fr/magasin-063801-063801-Echirolles---Comboire/fiche-produits-86669-Huile-vierge-Bio-village-.aspx","10.92")</f>
        <v>10.92</v>
      </c>
    </row>
    <row r="179" ht="14.25" customHeight="1">
      <c r="A179" s="1" t="s">
        <v>419</v>
      </c>
      <c r="B179" s="9" t="str">
        <f>HYPERLINK("https://lafourche.fr/products/la-fourche-huile-vierge-de-noix-bio-0-5l","24.38")</f>
        <v>24.38</v>
      </c>
      <c r="C179" s="25" t="s">
        <v>20</v>
      </c>
      <c r="D179" s="16">
        <v>888888.0</v>
      </c>
      <c r="F179" s="16">
        <v>888888.0</v>
      </c>
      <c r="H179" s="9" t="str">
        <f>HYPERLINK("https://satoriz-comboire.bio/products/talan50","23.8")</f>
        <v>23.8</v>
      </c>
      <c r="I179" s="25" t="s">
        <v>902</v>
      </c>
      <c r="J179" s="9" t="str">
        <f>HYPERLINK("https://www.greenweez.com/produit/huile-de-noix-vierge-50cl/2EMIL0026","27.5")</f>
        <v>27.5</v>
      </c>
      <c r="K179" s="26" t="s">
        <v>1189</v>
      </c>
      <c r="L179" s="7" t="str">
        <f>HYPERLINK("https://metabase.lelefan.org/public/dashboard/53c41f3f-5644-466e-935e-897e7725f6bc?rayon=&amp;d%25C3%25A9signation=HUILE NOIX TRUCS A LA NOIX 1L&amp;fournisseur=&amp;date_d%25C3%25A9but=&amp;date_fin=","19.79")</f>
        <v>19.79</v>
      </c>
      <c r="M179" s="1" t="s">
        <v>869</v>
      </c>
      <c r="N179" s="16">
        <v>888888.0</v>
      </c>
    </row>
    <row r="180" ht="14.25" customHeight="1">
      <c r="A180" s="1" t="s">
        <v>420</v>
      </c>
      <c r="B180" s="9" t="str">
        <f>HYPERLINK("https://lafourche.fr/products/la-fourche-vinaigre-de-cidre-bio-1l","2.98")</f>
        <v>2.98</v>
      </c>
      <c r="C180" s="25" t="s">
        <v>1190</v>
      </c>
      <c r="D180" s="9" t="str">
        <f>HYPERLINK("https://www.biocoop.fr/magasin-biocoop_champollion/vinaigre-de-cidre-75cl-cn0222-000.html","3.27")</f>
        <v>3.27</v>
      </c>
      <c r="E180" s="26" t="s">
        <v>1191</v>
      </c>
      <c r="F180" s="9" t="str">
        <f>HYPERLINK("https://www.biocoop.fr/magasin-biocoop_fontaine/vinaigre-de-cidre-75cl-cn0222-000.html","3.27")</f>
        <v>3.27</v>
      </c>
      <c r="G180" s="26" t="s">
        <v>1191</v>
      </c>
      <c r="H180" s="9" t="str">
        <f>HYPERLINK("https://satoriz-comboire.bio/collections/epicerie-salee/products/re38988","3.47")</f>
        <v>3.47</v>
      </c>
      <c r="I180" s="25" t="s">
        <v>1192</v>
      </c>
      <c r="J180" s="9" t="str">
        <f>HYPERLINK("https://www.greenweez.com/produit/vinaigre-de-cidre-bio-75cl/2WEEZ0409","888888")</f>
        <v>888888</v>
      </c>
      <c r="K180" s="18" t="s">
        <v>56</v>
      </c>
      <c r="L180" s="7" t="str">
        <f>HYPERLINK("https://metabase.lelefan.org/public/dashboard/53c41f3f-5644-466e-935e-897e7725f6bc?rayon=&amp;d%25C3%25A9signation=VINAIGRE DE CIDRE 5% POMME - FRANCE&amp;fournisseur=&amp;date_d%25C3%25A9but=&amp;date_fin=","2.36")</f>
        <v>2.36</v>
      </c>
      <c r="M180" s="1" t="s">
        <v>869</v>
      </c>
      <c r="N180" s="9" t="str">
        <f>HYPERLINK("https://fd11-courses.leclercdrive.fr/magasin-063801-063801-Echirolles---Comboire/fiche-produits-56418-Vinaigre-de-cidre-Bio-Village.aspx","2.79")</f>
        <v>2.79</v>
      </c>
    </row>
    <row r="181" ht="14.25" customHeight="1">
      <c r="A181" s="1" t="s">
        <v>421</v>
      </c>
      <c r="B181" s="7" t="str">
        <f>HYPERLINK("https://lafourche.fr/products/la-fourche-vinaigre-balsamique-de-modene-bio-1l","6.5")</f>
        <v>6.5</v>
      </c>
      <c r="C181" s="25" t="s">
        <v>168</v>
      </c>
      <c r="D181" s="9" t="str">
        <f>HYPERLINK("https://www.biocoop.fr/magasin-biocoop_champollion/vinaigre-balsamique-de-modene-50cl-po2022-000.html","888888")</f>
        <v>888888</v>
      </c>
      <c r="E181" s="16" t="s">
        <v>869</v>
      </c>
      <c r="F181" s="9" t="str">
        <f>HYPERLINK("https://www.biocoop.fr/magasin-biocoop_fontaine/vinaigre-balsamique-de-modene-50cl-po2022-000.html","7.9")</f>
        <v>7.9</v>
      </c>
      <c r="G181" s="26" t="s">
        <v>1193</v>
      </c>
      <c r="H181" s="9" t="str">
        <f>HYPERLINK("https://satoriz-comboire.bio/collections/epicerie-salee/products/re38990","7.4")</f>
        <v>7.4</v>
      </c>
      <c r="I181" s="25" t="s">
        <v>1194</v>
      </c>
      <c r="J181" s="9" t="str">
        <f>HYPERLINK("https://www.greenweez.com/produit/vinaigre-balsamique-de-modene-bio-50cl/2WEEZ0408","7.9")</f>
        <v>7.9</v>
      </c>
      <c r="K181" s="25" t="s">
        <v>923</v>
      </c>
      <c r="L181" s="9" t="str">
        <f>HYPERLINK("https://metabase.lelefan.org/public/dashboard/53c41f3f-5644-466e-935e-897e7725f6bc?rayon=&amp;d%25C3%25A9signation=VINAIGRE BALSAMIQUE VRAC&amp;fournisseur=&amp;date_d%25C3%25A9but=&amp;date_fin=","6.73")</f>
        <v>6.73</v>
      </c>
      <c r="M181" s="1" t="s">
        <v>869</v>
      </c>
      <c r="N181" s="9" t="str">
        <f>HYPERLINK("https://fd11-courses.leclercdrive.fr/magasin-063801-063801-Echirolles---Comboire/fiche-produits-24162-Vinaigre-balsamique-Bio-Village.aspx","6.98")</f>
        <v>6.98</v>
      </c>
    </row>
    <row r="182" ht="14.25" customHeight="1">
      <c r="A182" s="1" t="s">
        <v>422</v>
      </c>
      <c r="B182" s="9" t="str">
        <f>HYPERLINK("https://lafourche.fr/products/laselva-vinaigre-balsamique-blanc-500ml-bio","9.98")</f>
        <v>9.98</v>
      </c>
      <c r="C182" s="1" t="s">
        <v>869</v>
      </c>
      <c r="D182" s="16">
        <v>888888.0</v>
      </c>
      <c r="F182" s="16">
        <v>888888.0</v>
      </c>
      <c r="H182" s="7" t="str">
        <f>HYPERLINK("https://satoriz-comboire.bio/collections/epicerie-salee/products/sd09327118331","6.7")</f>
        <v>6.7</v>
      </c>
      <c r="I182" s="25" t="s">
        <v>913</v>
      </c>
      <c r="J182" s="9" t="str">
        <f>HYPERLINK("https://www.greenweez.com/produit/vinaigre-balsamique-blanc-500ml/1SELV0040","12.6")</f>
        <v>12.6</v>
      </c>
      <c r="K182" s="1" t="s">
        <v>869</v>
      </c>
      <c r="L182" s="9" t="str">
        <f>HYPERLINK("https://metabase.lelefan.org/public/dashboard/53c41f3f-5644-466e-935e-897e7725f6bc?rayon=&amp;d%25C3%25A9signation=VINAIGRE DE VIN BLANC&amp;fournisseur=&amp;date_d%25C3%25A9but=&amp;date_fin=","7.28")</f>
        <v>7.28</v>
      </c>
      <c r="M182" s="25" t="s">
        <v>1195</v>
      </c>
      <c r="N182" s="16">
        <v>888888.0</v>
      </c>
    </row>
    <row r="183" ht="14.25" customHeight="1">
      <c r="A183" s="5" t="s">
        <v>423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</row>
    <row r="184" ht="14.25" customHeight="1">
      <c r="A184" s="1" t="s">
        <v>424</v>
      </c>
      <c r="B184" s="7" t="str">
        <f>HYPERLINK("https://lafourche.fr/products/la-fourche-petit-epeautre-bio-en-vrac-1kg","4.29")</f>
        <v>4.29</v>
      </c>
      <c r="C184" s="1" t="s">
        <v>869</v>
      </c>
      <c r="D184" s="9" t="str">
        <f>HYPERLINK("https://www.biocoop.fr/magasin-biocoop_champollion/petit-epeautre-decortique-500g-br0273-000.html","6.9")</f>
        <v>6.9</v>
      </c>
      <c r="E184" s="1" t="s">
        <v>869</v>
      </c>
      <c r="F184" s="9" t="str">
        <f>HYPERLINK("https://www.biocoop.fr/magasin-biocoop_fontaine/petit-epeautre-decortique-500g-br0273-000.html","888888")</f>
        <v>888888</v>
      </c>
      <c r="G184" s="16" t="s">
        <v>869</v>
      </c>
      <c r="H184" s="9" t="str">
        <f>HYPERLINK("https://satoriz-comboire.bio/collections/vrac/products/re42050","4.55")</f>
        <v>4.55</v>
      </c>
      <c r="I184" s="1" t="s">
        <v>869</v>
      </c>
      <c r="J184" s="9" t="str">
        <f>HYPERLINK("https://www.greenweez.com/produit/petit-epeautre-500g/1MKAL0113","5.7")</f>
        <v>5.7</v>
      </c>
      <c r="K184" s="25" t="s">
        <v>309</v>
      </c>
      <c r="L184" s="9" t="str">
        <f>HYPERLINK("https://metabase.lelefan.org/public/dashboard/53c41f3f-5644-466e-935e-897e7725f6bc?rayon=&amp;d%25C3%25A9signation=PETIT EPEAUTRE VRAC&amp;fournisseur=&amp;date_d%25C3%25A9but=&amp;date_fin=","6.75")</f>
        <v>6.75</v>
      </c>
      <c r="M184" s="1" t="s">
        <v>869</v>
      </c>
      <c r="N184" s="16">
        <v>888888.0</v>
      </c>
    </row>
    <row r="185" ht="14.25" customHeight="1">
      <c r="A185" s="1" t="s">
        <v>425</v>
      </c>
      <c r="B185" s="7" t="str">
        <f t="shared" ref="B185:B186" si="103">HYPERLINK("https://lafourche.fr/products/la-fourche-sarrasin-decortique-bio-en-vrac-1kg","3.9")</f>
        <v>3.9</v>
      </c>
      <c r="C185" s="1" t="s">
        <v>869</v>
      </c>
      <c r="D185" s="9" t="str">
        <f t="shared" ref="D185:D186" si="104">HYPERLINK("https://www.biocoop.fr/magasin-biocoop_champollion/sarrasin-decortique-bio-ra6027-000.html","5.99")</f>
        <v>5.99</v>
      </c>
      <c r="E185" s="1" t="s">
        <v>869</v>
      </c>
      <c r="F185" s="9" t="str">
        <f t="shared" ref="F185:F186" si="105">HYPERLINK("https://www.biocoop.fr/magasin-biocoop_fontaine/sarrasin-decortique-bio-ra6027-000.html","888888")</f>
        <v>888888</v>
      </c>
      <c r="G185" s="18" t="s">
        <v>56</v>
      </c>
      <c r="H185" s="9" t="str">
        <f t="shared" ref="H185:H186" si="106">HYPERLINK("https://satoriz-comboire.bio/collections/vrac/products/eco759","6.45")</f>
        <v>6.45</v>
      </c>
      <c r="I185" s="26" t="s">
        <v>1196</v>
      </c>
      <c r="J185" s="9" t="str">
        <f>HYPERLINK("https://www.greenweez.com/produit/sarrasin-bio-2-5kg/2WEEZ0529","4.38")</f>
        <v>4.38</v>
      </c>
      <c r="K185" s="26" t="s">
        <v>1197</v>
      </c>
      <c r="L185" s="9" t="str">
        <f t="shared" ref="L185:L186" si="107">HYPERLINK("https://metabase.lelefan.org/public/dashboard/53c41f3f-5644-466e-935e-897e7725f6bc?rayon=&amp;d%25C3%25A9signation=GRAINE DE SARRASIN DECORTIQUEE VRAC&amp;fournisseur=&amp;date_d%25C3%25A9but=&amp;date_fin=","7.37")</f>
        <v>7.37</v>
      </c>
      <c r="M185" s="1" t="s">
        <v>869</v>
      </c>
      <c r="N185" s="16">
        <v>888888.0</v>
      </c>
    </row>
    <row r="186" ht="14.25" customHeight="1">
      <c r="A186" s="1" t="s">
        <v>426</v>
      </c>
      <c r="B186" s="7" t="str">
        <f t="shared" si="103"/>
        <v>3.9</v>
      </c>
      <c r="C186" s="1" t="s">
        <v>869</v>
      </c>
      <c r="D186" s="9" t="str">
        <f t="shared" si="104"/>
        <v>5.99</v>
      </c>
      <c r="E186" s="1" t="s">
        <v>869</v>
      </c>
      <c r="F186" s="9" t="str">
        <f t="shared" si="105"/>
        <v>888888</v>
      </c>
      <c r="G186" s="18" t="s">
        <v>56</v>
      </c>
      <c r="H186" s="9" t="str">
        <f t="shared" si="106"/>
        <v>6.45</v>
      </c>
      <c r="I186" s="26" t="s">
        <v>1196</v>
      </c>
      <c r="J186" s="9" t="str">
        <f>HYPERLINK("https://www.greenweez.com/produit/sarrasin-bio-500g/2WEEZ0116","4.98")</f>
        <v>4.98</v>
      </c>
      <c r="K186" s="25" t="s">
        <v>949</v>
      </c>
      <c r="L186" s="9" t="str">
        <f t="shared" si="107"/>
        <v>7.37</v>
      </c>
      <c r="M186" s="1" t="s">
        <v>869</v>
      </c>
      <c r="N186" s="16">
        <v>888888.0</v>
      </c>
    </row>
    <row r="187" ht="14.25" customHeight="1">
      <c r="A187" s="1" t="s">
        <v>427</v>
      </c>
      <c r="B187" s="9" t="str">
        <f>HYPERLINK("https://lafourche.fr/products/solid-food-1kg-de-quinoa-blanc-en-vrac-bio","7.75")</f>
        <v>7.75</v>
      </c>
      <c r="C187" s="26" t="s">
        <v>1198</v>
      </c>
      <c r="D187" s="9" t="str">
        <f>HYPERLINK("https://www.biocoop.fr/magasin-biocoop_champollion/quinoa-france-bio-br0263-000.html","8.4")</f>
        <v>8.4</v>
      </c>
      <c r="E187" s="1" t="s">
        <v>869</v>
      </c>
      <c r="F187" s="9" t="str">
        <f>HYPERLINK("https://www.biocoop.fr/magasin-biocoop_fontaine/quinoa-france-bio-br0263-000.html","8.4")</f>
        <v>8.4</v>
      </c>
      <c r="G187" s="1" t="s">
        <v>869</v>
      </c>
      <c r="H187" s="9" t="str">
        <f>HYPERLINK("https://satoriz-comboire.bio/collections/vrac/products/bg1","8.8")</f>
        <v>8.8</v>
      </c>
      <c r="I187" s="1" t="s">
        <v>869</v>
      </c>
      <c r="J187" s="9" t="str">
        <f>HYPERLINK("https://www.greenweez.com/produit/quinoa-real-blanc-1kg/1MKAL0120","9.48")</f>
        <v>9.48</v>
      </c>
      <c r="K187" s="1" t="s">
        <v>869</v>
      </c>
      <c r="L187" s="9" t="str">
        <f>HYPERLINK("https://metabase.lelefan.org/public/dashboard/53c41f3f-5644-466e-935e-897e7725f6bc?rayon=&amp;d%25C3%25A9signation=QUINOA BLANC D ANJOU VRAC&amp;fournisseur=&amp;date_d%25C3%25A9but=&amp;date_fin=","8.57")</f>
        <v>8.57</v>
      </c>
      <c r="M187" s="1" t="s">
        <v>869</v>
      </c>
      <c r="N187" s="7" t="str">
        <f>HYPERLINK("https://fd11-courses.leclercdrive.fr/magasin-063801-063801-Echirolles---Comboire/fiche-produits-6075-Quinoa-Bio-Village.aspx","6.18")</f>
        <v>6.18</v>
      </c>
      <c r="P187" s="1">
        <v>0.3</v>
      </c>
    </row>
    <row r="188" ht="14.25" customHeight="1">
      <c r="A188" s="1" t="s">
        <v>428</v>
      </c>
      <c r="B188" s="7" t="str">
        <f>HYPERLINK("https://lafourche.fr/products/la-fourche-quinoa-tricolore-bio-en-vrac-1kg","6.99")</f>
        <v>6.99</v>
      </c>
      <c r="C188" s="26" t="s">
        <v>1199</v>
      </c>
      <c r="D188" s="9" t="str">
        <f>HYPERLINK("https://www.biocoop.fr/magasin-biocoop_champollion/quinoa-real-bolivie-3-couleurs-bio-sm0366-000.html","888888")</f>
        <v>888888</v>
      </c>
      <c r="E188" s="18" t="s">
        <v>56</v>
      </c>
      <c r="F188" s="9" t="str">
        <f>HYPERLINK("https://www.biocoop.fr/magasin-biocoop_fontaine/quinoa-real-bolivie-3-couleurs-bio-sm0366-000.html","888888")</f>
        <v>888888</v>
      </c>
      <c r="G188" s="18" t="s">
        <v>56</v>
      </c>
      <c r="H188" s="9" t="str">
        <f>HYPERLINK("https://satoriz-comboire.bio/products/eu7921","7.05")</f>
        <v>7.05</v>
      </c>
      <c r="I188" s="26" t="s">
        <v>1200</v>
      </c>
      <c r="J188" s="9" t="str">
        <f>HYPERLINK("https://www.greenweez.com/produit/quinoa-tricolore-bio-500g/2WEEZ0157","9.9")</f>
        <v>9.9</v>
      </c>
      <c r="K188" s="1" t="s">
        <v>869</v>
      </c>
      <c r="L188" s="16">
        <v>888888.0</v>
      </c>
      <c r="N188" s="16">
        <v>888888.0</v>
      </c>
    </row>
    <row r="189" ht="14.25" customHeight="1">
      <c r="A189" s="1" t="s">
        <v>429</v>
      </c>
      <c r="B189" s="9" t="str">
        <f t="shared" ref="B189:B190" si="108">HYPERLINK("https://lafourche.fr/products/la-fourche-1kg-de-boulgour-gros-bio-en-vrac","3.15")</f>
        <v>3.15</v>
      </c>
      <c r="C189" s="1" t="s">
        <v>869</v>
      </c>
      <c r="D189" s="9" t="str">
        <f t="shared" ref="D189:D190" si="109">HYPERLINK("https://www.biocoop.fr/magasin-biocoop_champollion/boulgour-ble-gros-france-1kg-ma8005-000.html","3.99")</f>
        <v>3.99</v>
      </c>
      <c r="E189" s="1" t="s">
        <v>869</v>
      </c>
      <c r="F189" s="9" t="str">
        <f t="shared" ref="F189:F190" si="110">HYPERLINK("https://www.biocoop.fr/magasin-biocoop_fontaine/boulgour-ble-gros-france-1kg-ma8005-000.html","3.6")</f>
        <v>3.6</v>
      </c>
      <c r="G189" s="1" t="s">
        <v>869</v>
      </c>
      <c r="H189" s="7" t="str">
        <f t="shared" ref="H189:H190" si="111">HYPERLINK("https://satoriz-comboire.bio/collections/vrac/products/ma11050","2.75")</f>
        <v>2.75</v>
      </c>
      <c r="I189" s="26" t="s">
        <v>1201</v>
      </c>
      <c r="J189" s="9" t="str">
        <f>HYPERLINK("https://www.greenweez.com/produit/boulgour-traditionnel-bio-2-5kg/2WEEZ0215","888888")</f>
        <v>888888</v>
      </c>
      <c r="K189" s="18" t="s">
        <v>56</v>
      </c>
      <c r="L189" s="9" t="str">
        <f t="shared" ref="L189:L190" si="112">HYPERLINK("https://metabase.lelefan.org/public/dashboard/53c41f3f-5644-466e-935e-897e7725f6bc?rayon=&amp;d%25C3%25A9signation=BOULGOUR VRAC&amp;fournisseur=&amp;date_d%25C3%25A9but=&amp;date_fin=","4.02")</f>
        <v>4.02</v>
      </c>
      <c r="M189" s="26" t="s">
        <v>335</v>
      </c>
      <c r="N189" s="16">
        <v>888888.0</v>
      </c>
    </row>
    <row r="190" ht="14.25" customHeight="1">
      <c r="A190" s="1" t="s">
        <v>430</v>
      </c>
      <c r="B190" s="9" t="str">
        <f t="shared" si="108"/>
        <v>3.15</v>
      </c>
      <c r="C190" s="1" t="s">
        <v>869</v>
      </c>
      <c r="D190" s="9" t="str">
        <f t="shared" si="109"/>
        <v>3.99</v>
      </c>
      <c r="E190" s="1" t="s">
        <v>869</v>
      </c>
      <c r="F190" s="9" t="str">
        <f t="shared" si="110"/>
        <v>3.6</v>
      </c>
      <c r="G190" s="1" t="s">
        <v>869</v>
      </c>
      <c r="H190" s="7" t="str">
        <f t="shared" si="111"/>
        <v>2.75</v>
      </c>
      <c r="I190" s="26" t="s">
        <v>1201</v>
      </c>
      <c r="J190" s="9" t="str">
        <f>HYPERLINK("https://www.greenweez.com/produit/boulgour-traditionnel-500-g/1PRIM0085","5.72")</f>
        <v>5.72</v>
      </c>
      <c r="K190" s="25" t="s">
        <v>1202</v>
      </c>
      <c r="L190" s="9" t="str">
        <f t="shared" si="112"/>
        <v>4.02</v>
      </c>
      <c r="M190" s="26" t="s">
        <v>335</v>
      </c>
      <c r="N190" s="16">
        <v>888888.0</v>
      </c>
      <c r="P190" s="1">
        <v>0.1</v>
      </c>
    </row>
    <row r="191" ht="14.25" customHeight="1">
      <c r="A191" s="1" t="s">
        <v>431</v>
      </c>
      <c r="B191" s="9" t="str">
        <f t="shared" ref="B191:B192" si="113">HYPERLINK("https://lafourche.fr/products/la-fourche-1kg-de-graines-de-millet-bio-fr-en-vrac","4.4")</f>
        <v>4.4</v>
      </c>
      <c r="C191" s="25" t="s">
        <v>1203</v>
      </c>
      <c r="D191" s="9" t="str">
        <f t="shared" ref="D191:D192" si="114">HYPERLINK("https://www.biocoop.fr/magasin-biocoop_champollion/millet-decortique-bio-md1001-000.html","4.3")</f>
        <v>4.3</v>
      </c>
      <c r="E191" s="1" t="s">
        <v>869</v>
      </c>
      <c r="F191" s="9" t="str">
        <f t="shared" ref="F191:F192" si="115">HYPERLINK("https://www.biocoop.fr/magasin-biocoop_fontaine/millet-decortique-france-500g-al8046-000.html","5.8")</f>
        <v>5.8</v>
      </c>
      <c r="G191" s="1" t="s">
        <v>869</v>
      </c>
      <c r="H191" s="7" t="str">
        <f t="shared" ref="H191:H192" si="116">HYPERLINK("https://satoriz-comboire.bio/collections/vrac/products/re39809","2.95")</f>
        <v>2.95</v>
      </c>
      <c r="I191" s="26" t="s">
        <v>1204</v>
      </c>
      <c r="J191" s="9" t="str">
        <f>HYPERLINK("https://www.greenweez.com/produit/millet-bio-2-5kg/2WEEZ0528","888888")</f>
        <v>888888</v>
      </c>
      <c r="K191" s="18" t="s">
        <v>56</v>
      </c>
      <c r="L191" s="16">
        <v>888888.0</v>
      </c>
      <c r="N191" s="16">
        <v>888888.0</v>
      </c>
    </row>
    <row r="192" ht="14.25" customHeight="1">
      <c r="A192" s="1" t="s">
        <v>432</v>
      </c>
      <c r="B192" s="9" t="str">
        <f t="shared" si="113"/>
        <v>4.4</v>
      </c>
      <c r="C192" s="25" t="s">
        <v>1203</v>
      </c>
      <c r="D192" s="9" t="str">
        <f t="shared" si="114"/>
        <v>4.3</v>
      </c>
      <c r="E192" s="1" t="s">
        <v>869</v>
      </c>
      <c r="F192" s="9" t="str">
        <f t="shared" si="115"/>
        <v>5.8</v>
      </c>
      <c r="G192" s="1" t="s">
        <v>869</v>
      </c>
      <c r="H192" s="7" t="str">
        <f t="shared" si="116"/>
        <v>2.95</v>
      </c>
      <c r="I192" s="26" t="s">
        <v>1204</v>
      </c>
      <c r="J192" s="9" t="str">
        <f>HYPERLINK("https://www.greenweez.com/produit/millet-decortique-1kg/1MKAL0092","3.69")</f>
        <v>3.69</v>
      </c>
      <c r="K192" s="25" t="s">
        <v>915</v>
      </c>
      <c r="L192" s="16">
        <v>888888.0</v>
      </c>
      <c r="N192" s="16">
        <v>888888.0</v>
      </c>
    </row>
    <row r="193" ht="14.25" customHeight="1">
      <c r="A193" s="1" t="s">
        <v>433</v>
      </c>
      <c r="B193" s="7" t="str">
        <f t="shared" ref="B193:B194" si="117">HYPERLINK("https://lafourche.fr/products/la-fourche-1kg-de-couscous-complet-bio-en-vrac","2.55")</f>
        <v>2.55</v>
      </c>
      <c r="C193" s="25" t="s">
        <v>1205</v>
      </c>
      <c r="D193" s="9" t="str">
        <f t="shared" ref="D193:D194" si="118">HYPERLINK("https://www.biocoop.fr/magasin-biocoop_champollion/couscous-ble-dur-complet-bio-bi9030-000.html","2.9")</f>
        <v>2.9</v>
      </c>
      <c r="E193" s="26" t="s">
        <v>1206</v>
      </c>
      <c r="F193" s="9" t="str">
        <f t="shared" ref="F193:F194" si="119">HYPERLINK("https://www.biocoop.fr/magasin-biocoop_fontaine/couscous-ble-dur-complet-500g-bi9019-000.html","4.3")</f>
        <v>4.3</v>
      </c>
      <c r="G193" s="1" t="s">
        <v>869</v>
      </c>
      <c r="H193" s="7" t="str">
        <f t="shared" ref="H193:H194" si="120">HYPERLINK("https://satoriz-comboire.bio/collections/vrac/products/re40833","2.55")</f>
        <v>2.55</v>
      </c>
      <c r="I193" s="1" t="s">
        <v>869</v>
      </c>
      <c r="J193" s="9" t="str">
        <f>HYPERLINK("https://www.greenweez.com/produit/couscous-complet-bio-2-5kg/2WEEZ0216","3.58")</f>
        <v>3.58</v>
      </c>
      <c r="K193" s="26" t="s">
        <v>1207</v>
      </c>
      <c r="L193" s="9" t="str">
        <f t="shared" ref="L193:L194" si="121">HYPERLINK("https://metabase.lelefan.org/public/dashboard/53c41f3f-5644-466e-935e-897e7725f6bc?rayon=&amp;d%25C3%25A9signation=COUSCOUS DEMI-COMPLET SACHET&amp;fournisseur=&amp;date_d%25C3%25A9but=&amp;date_fin=","888888")</f>
        <v>888888</v>
      </c>
      <c r="M193" s="16" t="s">
        <v>869</v>
      </c>
      <c r="N193" s="9" t="str">
        <f t="shared" ref="N193:N194" si="122">HYPERLINK("https://fd11-courses.leclercdrive.fr/magasin-063801-063801-Echirolles---Comboire/fiche-produits-19138-Semoule-Couscous-Bio-Village.aspx","3.78")</f>
        <v>3.78</v>
      </c>
    </row>
    <row r="194" ht="14.25" customHeight="1">
      <c r="A194" s="1" t="s">
        <v>434</v>
      </c>
      <c r="B194" s="7" t="str">
        <f t="shared" si="117"/>
        <v>2.55</v>
      </c>
      <c r="C194" s="25" t="s">
        <v>1205</v>
      </c>
      <c r="D194" s="9" t="str">
        <f t="shared" si="118"/>
        <v>2.9</v>
      </c>
      <c r="E194" s="26" t="s">
        <v>1206</v>
      </c>
      <c r="F194" s="9" t="str">
        <f t="shared" si="119"/>
        <v>4.3</v>
      </c>
      <c r="G194" s="1" t="s">
        <v>869</v>
      </c>
      <c r="H194" s="7" t="str">
        <f t="shared" si="120"/>
        <v>2.55</v>
      </c>
      <c r="I194" s="1" t="s">
        <v>869</v>
      </c>
      <c r="J194" s="9" t="str">
        <f>HYPERLINK("https://www.greenweez.com/produit/couscous-complet-bio-500g/2WEEZ0219","4.36")</f>
        <v>4.36</v>
      </c>
      <c r="K194" s="25" t="s">
        <v>34</v>
      </c>
      <c r="L194" s="9" t="str">
        <f t="shared" si="121"/>
        <v>888888</v>
      </c>
      <c r="M194" s="16" t="s">
        <v>869</v>
      </c>
      <c r="N194" s="9" t="str">
        <f t="shared" si="122"/>
        <v>3.78</v>
      </c>
    </row>
    <row r="195" ht="14.25" customHeight="1">
      <c r="A195" s="1" t="s">
        <v>435</v>
      </c>
      <c r="B195" s="9" t="str">
        <f>HYPERLINK("https://lafourche.fr/products/la-fourche-ble-tendre-complet-bio-en-vrac-1kg","1.64")</f>
        <v>1.64</v>
      </c>
      <c r="C195" s="1" t="s">
        <v>869</v>
      </c>
      <c r="D195" s="16">
        <v>888888.0</v>
      </c>
      <c r="F195" s="16">
        <v>888888.0</v>
      </c>
      <c r="H195" s="7" t="str">
        <f>HYPERLINK("https://satoriz-comboire.bio/products/eco608","1.55")</f>
        <v>1.55</v>
      </c>
      <c r="I195" s="26" t="s">
        <v>1208</v>
      </c>
      <c r="J195" s="9" t="str">
        <f>HYPERLINK("https://www.greenweez.com/produit/ble-tendre-complet-500g/1MKAL0007","2.7")</f>
        <v>2.7</v>
      </c>
      <c r="K195" s="26" t="s">
        <v>1209</v>
      </c>
      <c r="L195" s="16">
        <v>888888.0</v>
      </c>
      <c r="N195" s="16">
        <v>888888.0</v>
      </c>
    </row>
    <row r="196" ht="14.25" customHeight="1">
      <c r="A196" s="1" t="s">
        <v>436</v>
      </c>
      <c r="B196" s="7" t="str">
        <f>HYPERLINK("https://lafourche.fr/products/la-fourche-polenta-bio-en-vrac-1kg","2.99")</f>
        <v>2.99</v>
      </c>
      <c r="C196" s="26" t="s">
        <v>1210</v>
      </c>
      <c r="D196" s="9" t="str">
        <f>HYPERLINK("https://www.biocoop.fr/magasin-biocoop_champollion/semoule-de-mais-instantanee-polenta-bio-ma8079-000.html","3.65")</f>
        <v>3.65</v>
      </c>
      <c r="E196" s="1" t="s">
        <v>869</v>
      </c>
      <c r="F196" s="9" t="str">
        <f>HYPERLINK("https://www.biocoop.fr/magasin-biocoop_fontaine/semoule-de-mais-instantanee-polenta-bio-ma8079-000.html","3.6")</f>
        <v>3.6</v>
      </c>
      <c r="G196" s="1" t="s">
        <v>869</v>
      </c>
      <c r="H196" s="9" t="str">
        <f>HYPERLINK("https://satoriz-comboire.bio/products/ma71051","3.95")</f>
        <v>3.95</v>
      </c>
      <c r="I196" s="25" t="s">
        <v>1211</v>
      </c>
      <c r="J196" s="9" t="str">
        <f>HYPERLINK("https://www.greenweez.com/produit/semoule-mais-fine-1kg/1MKAL0272","3.59")</f>
        <v>3.59</v>
      </c>
      <c r="K196" s="1" t="s">
        <v>869</v>
      </c>
      <c r="L196" s="9" t="str">
        <f>HYPERLINK("https://metabase.lelefan.org/public/dashboard/53c41f3f-5644-466e-935e-897e7725f6bc?rayon=&amp;d%25C3%25A9signation=POLENTA VRAC&amp;fournisseur=&amp;date_d%25C3%25A9but=&amp;date_fin=","4.21")</f>
        <v>4.21</v>
      </c>
      <c r="M196" s="25" t="s">
        <v>1212</v>
      </c>
      <c r="N196" s="16">
        <v>888888.0</v>
      </c>
      <c r="P196" s="1">
        <v>0.1</v>
      </c>
    </row>
    <row r="197" ht="14.25" customHeight="1">
      <c r="A197" s="1" t="s">
        <v>437</v>
      </c>
      <c r="B197" s="7" t="str">
        <f>HYPERLINK("https://lafourche.fr/products/la-fourche-500g-de-graines-de-tournesol-en-vrac-bio","3.98")</f>
        <v>3.98</v>
      </c>
      <c r="C197" s="1" t="s">
        <v>869</v>
      </c>
      <c r="D197" s="9" t="str">
        <f>HYPERLINK("https://www.biocoop.fr/magasin-biocoop_champollion/tournesol-decortique-bio-al8034-000.html","10.35")</f>
        <v>10.35</v>
      </c>
      <c r="E197" s="1" t="s">
        <v>869</v>
      </c>
      <c r="F197" s="9" t="str">
        <f>HYPERLINK("https://www.biocoop.fr/magasin-biocoop_fontaine/tournesol-decortique-250g-al8033-000.html","11.96")</f>
        <v>11.96</v>
      </c>
      <c r="G197" s="1" t="s">
        <v>869</v>
      </c>
      <c r="H197" s="9" t="str">
        <f>HYPERLINK("https://satoriz-comboire.bio/products/senfgtv","6.4")</f>
        <v>6.4</v>
      </c>
      <c r="I197" s="25" t="s">
        <v>874</v>
      </c>
      <c r="J197" s="9" t="str">
        <f>HYPERLINK("https://www.greenweez.com/produit/graines-de-tournesol-decortiquees-bio-500g/2WEEZ0020","888888")</f>
        <v>888888</v>
      </c>
      <c r="K197" s="16" t="s">
        <v>869</v>
      </c>
      <c r="L197" s="9" t="str">
        <f>HYPERLINK("https://metabase.lelefan.org/public/dashboard/53c41f3f-5644-466e-935e-897e7725f6bc?rayon=&amp;d%25C3%25A9signation=TOURNESOL DECORTIQUE VRAC&amp;fournisseur=&amp;date_d%25C3%25A9but=&amp;date_fin=","4.55")</f>
        <v>4.55</v>
      </c>
      <c r="M197" s="1" t="s">
        <v>869</v>
      </c>
      <c r="N197" s="9" t="str">
        <f>HYPERLINK("https://fd11-courses.leclercdrive.fr/magasin-063801-063801-Echirolles---Comboire/fiche-produits-80232-Graines-Bio-Village.aspx","7.95")</f>
        <v>7.95</v>
      </c>
    </row>
    <row r="198" ht="14.25" customHeight="1">
      <c r="A198" s="1" t="s">
        <v>438</v>
      </c>
      <c r="B198" s="7" t="str">
        <f>HYPERLINK("https://lafourche.fr/products/la-fourche-500g-de-graines-de-lin-bio-en-vrac","4.9")</f>
        <v>4.9</v>
      </c>
      <c r="C198" s="25" t="s">
        <v>1213</v>
      </c>
      <c r="D198" s="9" t="str">
        <f>HYPERLINK("https://www.biocoop.fr/magasin-biocoop_champollion/graine-de-lin-brun-bio-br0236-000.html","6.15")</f>
        <v>6.15</v>
      </c>
      <c r="E198" s="1" t="s">
        <v>869</v>
      </c>
      <c r="F198" s="9" t="str">
        <f>HYPERLINK("https://www.biocoop.fr/magasin-biocoop_fontaine/graine-de-lin-brun-bio-br0236-000.html","5.8")</f>
        <v>5.8</v>
      </c>
      <c r="G198" s="1" t="s">
        <v>869</v>
      </c>
      <c r="H198" s="9" t="str">
        <f>HYPERLINK("https://satoriz-comboire.bio/products/re39808","888888")</f>
        <v>888888</v>
      </c>
      <c r="I198" s="18" t="s">
        <v>56</v>
      </c>
      <c r="J198" s="9" t="str">
        <f>HYPERLINK("https://www.greenweez.com/produit/graines-de-lin-brun-bio-500g/2WEEZ0019","5.16")</f>
        <v>5.16</v>
      </c>
      <c r="K198" s="25" t="s">
        <v>1214</v>
      </c>
      <c r="L198" s="9" t="str">
        <f>HYPERLINK("https://metabase.lelefan.org/public/dashboard/53c41f3f-5644-466e-935e-897e7725f6bc?rayon=&amp;d%25C3%25A9signation=LIN BRUN&amp;fournisseur=&amp;date_d%25C3%25A9but=&amp;date_fin=","888888")</f>
        <v>888888</v>
      </c>
      <c r="M198" s="16" t="s">
        <v>869</v>
      </c>
      <c r="N198" s="9" t="str">
        <f>HYPERLINK("https://fd11-courses.leclercdrive.fr/magasin-063801-063801-Echirolles---Comboire/fiche-produits-80229-Graines-de-lin-brun-Bio-Village.aspx","8.45")</f>
        <v>8.45</v>
      </c>
    </row>
    <row r="199" ht="14.25" customHeight="1">
      <c r="A199" s="1" t="s">
        <v>439</v>
      </c>
      <c r="B199" s="9" t="str">
        <f>HYPERLINK("https://lafourche.fr/products/la-fourche-500g-de-graines-de-sesames-bio-en-vrac","5.94")</f>
        <v>5.94</v>
      </c>
      <c r="C199" s="1" t="s">
        <v>869</v>
      </c>
      <c r="D199" s="16">
        <v>888888.0</v>
      </c>
      <c r="F199" s="16">
        <v>888888.0</v>
      </c>
      <c r="H199" s="7" t="str">
        <f>HYPERLINK("https://satoriz-comboire.bio/products/eu203","5.25")</f>
        <v>5.25</v>
      </c>
      <c r="I199" s="26" t="s">
        <v>1215</v>
      </c>
      <c r="J199" s="9" t="str">
        <f>HYPERLINK("https://www.greenweez.com/produit/sesame-complet-bio-500g/2WEEZ0028","8.38")</f>
        <v>8.38</v>
      </c>
      <c r="K199" s="1" t="s">
        <v>869</v>
      </c>
      <c r="L199" s="9" t="str">
        <f>HYPERLINK("https://metabase.lelefan.org/public/dashboard/53c41f3f-5644-466e-935e-897e7725f6bc?rayon=&amp;d%25C3%25A9signation=SESAME NON DECORTIQUE VRAC&amp;fournisseur=&amp;date_d%25C3%25A9but=&amp;date_fin=","6.67")</f>
        <v>6.67</v>
      </c>
      <c r="M199" s="25" t="s">
        <v>1216</v>
      </c>
      <c r="N199" s="9" t="str">
        <f>HYPERLINK("https://fd11-courses.leclercdrive.fr/magasin-063801-063801-Echirolles---Comboire/fiche-produits-80230-Graines-de-sesame-Bio-Village.aspx","9.95")</f>
        <v>9.95</v>
      </c>
    </row>
    <row r="200" ht="14.25" customHeight="1">
      <c r="A200" s="1" t="s">
        <v>440</v>
      </c>
      <c r="B200" s="9" t="str">
        <f>HYPERLINK("https://lafourche.fr/products/la-fourche-500g-de-graines-de-chia-bio-en-vrac","6.9")</f>
        <v>6.9</v>
      </c>
      <c r="C200" s="25" t="s">
        <v>327</v>
      </c>
      <c r="D200" s="9" t="str">
        <f>HYPERLINK("https://www.biocoop.fr/magasin-biocoop_champollion/graine-de-chia-noire-france-bio-qu1028-000.html","888888")</f>
        <v>888888</v>
      </c>
      <c r="E200" s="16" t="s">
        <v>869</v>
      </c>
      <c r="F200" s="9" t="str">
        <f>HYPERLINK("https://www.biocoop.fr/magasin-biocoop_fontaine/graine-de-chia-noire-france-bio-qu1028-000.html","18.9")</f>
        <v>18.9</v>
      </c>
      <c r="G200" s="1" t="s">
        <v>869</v>
      </c>
      <c r="H200" s="7" t="str">
        <f>HYPERLINK("https://satoriz-comboire.bio/products/bofchia","4.7")</f>
        <v>4.7</v>
      </c>
      <c r="I200" s="26" t="s">
        <v>1217</v>
      </c>
      <c r="J200" s="9" t="str">
        <f>HYPERLINK("https://www.greenweez.com/produit/graines-de-chia-bio-500g/2WEEZ0337","7.98")</f>
        <v>7.98</v>
      </c>
      <c r="K200" s="26" t="s">
        <v>1218</v>
      </c>
      <c r="L200" s="9" t="str">
        <f>HYPERLINK("https://metabase.lelefan.org/public/dashboard/53c41f3f-5644-466e-935e-897e7725f6bc?rayon=&amp;d%25C3%25A9signation=GRAINE DE CHIA VRAC&amp;fournisseur=&amp;date_d%25C3%25A9but=&amp;date_fin=","16.82")</f>
        <v>16.82</v>
      </c>
      <c r="M200" s="1" t="s">
        <v>869</v>
      </c>
      <c r="N200" s="16">
        <v>888888.0</v>
      </c>
    </row>
    <row r="201" ht="14.25" customHeight="1">
      <c r="A201" s="1" t="s">
        <v>441</v>
      </c>
      <c r="B201" s="9" t="str">
        <f>HYPERLINK("https://lafourche.fr/products/la-fourche-500g-de-graines-de-courge-en-vrac-bio","12.9")</f>
        <v>12.9</v>
      </c>
      <c r="C201" s="25" t="s">
        <v>1219</v>
      </c>
      <c r="D201" s="9" t="str">
        <f>HYPERLINK("https://www.biocoop.fr/magasin-biocoop_champollion/graine-de-courge-france-250g-al8045-000.html","22.76")</f>
        <v>22.76</v>
      </c>
      <c r="E201" s="1" t="s">
        <v>869</v>
      </c>
      <c r="F201" s="9" t="str">
        <f>HYPERLINK("https://www.biocoop.fr/magasin-biocoop_fontaine/graine-de-courge-france-250g-al8045-000.html","20.8")</f>
        <v>20.8</v>
      </c>
      <c r="G201" s="1" t="s">
        <v>869</v>
      </c>
      <c r="H201" s="9" t="str">
        <f>HYPERLINK("https://satoriz-comboire.bio/products/ec008","14.55")</f>
        <v>14.55</v>
      </c>
      <c r="I201" s="26" t="s">
        <v>982</v>
      </c>
      <c r="J201" s="9" t="str">
        <f>HYPERLINK("https://www.greenweez.com/produit/graines-de-courge-bio-500g/2WEEZ0530","11.88")</f>
        <v>11.88</v>
      </c>
      <c r="K201" s="16" t="s">
        <v>896</v>
      </c>
      <c r="L201" s="7" t="str">
        <f>HYPERLINK("https://metabase.lelefan.org/public/dashboard/53c41f3f-5644-466e-935e-897e7725f6bc?rayon=&amp;d%25C3%25A9signation=GRAINE DE COURGE VRAC&amp;fournisseur=&amp;date_d%25C3%25A9but=&amp;date_fin=","10.29")</f>
        <v>10.29</v>
      </c>
      <c r="M201" s="1" t="s">
        <v>869</v>
      </c>
      <c r="N201" s="9" t="str">
        <f>HYPERLINK("https://fd11-courses.leclercdrive.fr/magasin-063801-063801-Echirolles---Comboire/fiche-produits-80231-Graines-de-courge-bio.aspx","15.45")</f>
        <v>15.45</v>
      </c>
      <c r="P201" s="1">
        <v>0.02</v>
      </c>
    </row>
    <row r="202" ht="14.25" customHeight="1">
      <c r="A202" s="1" t="s">
        <v>442</v>
      </c>
      <c r="B202" s="7" t="str">
        <f>HYPERLINK("https://lafourche.fr/products/la-fourche-250g-de-pignons-de-cedre-en-vrac-bio","39.8")</f>
        <v>39.8</v>
      </c>
      <c r="C202" s="26" t="s">
        <v>1220</v>
      </c>
      <c r="D202" s="16">
        <v>888888.0</v>
      </c>
      <c r="F202" s="16">
        <v>888888.0</v>
      </c>
      <c r="H202" s="9" t="str">
        <f>HYPERLINK("https://satoriz-comboire.bio/products/bof3007","43.6")</f>
        <v>43.6</v>
      </c>
      <c r="I202" s="25" t="s">
        <v>1221</v>
      </c>
      <c r="J202" s="9" t="str">
        <f>HYPERLINK("https://www.greenweez.com/produit/pignons-de-cedre-500g/2WEEZ0403","45.9")</f>
        <v>45.9</v>
      </c>
      <c r="K202" s="1" t="s">
        <v>869</v>
      </c>
      <c r="L202" s="16">
        <v>888888.0</v>
      </c>
      <c r="N202" s="16">
        <v>888888.0</v>
      </c>
    </row>
    <row r="203" ht="14.25" customHeight="1">
      <c r="A203" s="1" t="s">
        <v>443</v>
      </c>
      <c r="B203" s="7" t="str">
        <f>HYPERLINK("https://lafourche.fr/products/la-fourche-pignons-de-pin-bio-0-25kg","57.92")</f>
        <v>57.92</v>
      </c>
      <c r="C203" s="1" t="s">
        <v>869</v>
      </c>
      <c r="D203" s="16">
        <v>888888.0</v>
      </c>
      <c r="F203" s="16">
        <v>888888.0</v>
      </c>
      <c r="H203" s="9" t="str">
        <f>HYPERLINK("https://satoriz-comboire.bio/products/ag639","83.6")</f>
        <v>83.6</v>
      </c>
      <c r="I203" s="1" t="s">
        <v>869</v>
      </c>
      <c r="J203" s="9" t="str">
        <f>HYPERLINK("https://www.greenweez.com/produit/pignons-de-pin-bio-125g/1DPFS0044","888888")</f>
        <v>888888</v>
      </c>
      <c r="K203" s="18" t="s">
        <v>56</v>
      </c>
      <c r="L203" s="16">
        <v>888888.0</v>
      </c>
      <c r="N203" s="16">
        <v>888888.0</v>
      </c>
    </row>
    <row r="204" ht="14.25" customHeight="1">
      <c r="A204" s="1" t="s">
        <v>444</v>
      </c>
      <c r="B204" s="9" t="str">
        <f t="shared" ref="B204:B205" si="123">HYPERLINK("https://lafourche.fr/products/la-fourche-1kg-de-pois-chiches-en-vrac-bio","3.61")</f>
        <v>3.61</v>
      </c>
      <c r="C204" s="1" t="s">
        <v>869</v>
      </c>
      <c r="D204" s="9" t="str">
        <f t="shared" ref="D204:D205" si="124">HYPERLINK("https://www.biocoop.fr/magasin-biocoop_champollion/pois-chiches-bio-al8031-000.html","4.95")</f>
        <v>4.95</v>
      </c>
      <c r="E204" s="1" t="s">
        <v>869</v>
      </c>
      <c r="F204" s="9" t="str">
        <f t="shared" ref="F204:F205" si="125">HYPERLINK("https://www.biocoop.fr/magasin-biocoop_fontaine/pois-chiches-bio-al8031-000.html","4.5")</f>
        <v>4.5</v>
      </c>
      <c r="G204" s="1" t="s">
        <v>869</v>
      </c>
      <c r="H204" s="7" t="str">
        <f t="shared" ref="H204:H205" si="126">HYPERLINK("https://satoriz-comboire.bio/collections/vrac/products/re40037","3.25")</f>
        <v>3.25</v>
      </c>
      <c r="I204" s="26" t="s">
        <v>1222</v>
      </c>
      <c r="J204" s="9" t="str">
        <f>HYPERLINK("https://www.greenweez.com/produit/pois-chiches-bio-2-5kg/2WEEZ0213","4.38")</f>
        <v>4.38</v>
      </c>
      <c r="K204" s="1" t="s">
        <v>869</v>
      </c>
      <c r="L204" s="9" t="str">
        <f t="shared" ref="L204:L205" si="127">HYPERLINK("https://metabase.lelefan.org/public/dashboard/53c41f3f-5644-466e-935e-897e7725f6bc?rayon=&amp;d%25C3%25A9signation=POIS CHICHE VRAC&amp;fournisseur=&amp;date_d%25C3%25A9but=&amp;date_fin=","4.63")</f>
        <v>4.63</v>
      </c>
      <c r="M204" s="25" t="s">
        <v>1223</v>
      </c>
      <c r="N204" s="9" t="str">
        <f t="shared" ref="N204:N205" si="128">HYPERLINK("https://fd11-courses.leclercdrive.fr/magasin-063801-063801-Echirolles---Comboire/fiche-produits-148027-Pois-chiche-Bio-Village.aspx","4.16")</f>
        <v>4.16</v>
      </c>
      <c r="P204" s="1">
        <v>0.1</v>
      </c>
    </row>
    <row r="205" ht="14.25" customHeight="1">
      <c r="A205" s="1" t="s">
        <v>445</v>
      </c>
      <c r="B205" s="9" t="str">
        <f t="shared" si="123"/>
        <v>3.61</v>
      </c>
      <c r="C205" s="1" t="s">
        <v>869</v>
      </c>
      <c r="D205" s="9" t="str">
        <f t="shared" si="124"/>
        <v>4.95</v>
      </c>
      <c r="E205" s="1" t="s">
        <v>869</v>
      </c>
      <c r="F205" s="9" t="str">
        <f t="shared" si="125"/>
        <v>4.5</v>
      </c>
      <c r="G205" s="1" t="s">
        <v>869</v>
      </c>
      <c r="H205" s="7" t="str">
        <f t="shared" si="126"/>
        <v>3.25</v>
      </c>
      <c r="I205" s="26" t="s">
        <v>1222</v>
      </c>
      <c r="J205" s="9" t="str">
        <f>HYPERLINK("https://www.greenweez.com/produit/pois-chiche-bio-500g/2WEEZ0119","888888")</f>
        <v>888888</v>
      </c>
      <c r="K205" s="18" t="s">
        <v>56</v>
      </c>
      <c r="L205" s="9" t="str">
        <f t="shared" si="127"/>
        <v>4.63</v>
      </c>
      <c r="M205" s="25" t="s">
        <v>1223</v>
      </c>
      <c r="N205" s="9" t="str">
        <f t="shared" si="128"/>
        <v>4.16</v>
      </c>
    </row>
    <row r="206" ht="14.25" customHeight="1">
      <c r="A206" s="1" t="s">
        <v>446</v>
      </c>
      <c r="B206" s="7" t="str">
        <f>HYPERLINK("https://lafourche.fr/products/la-fourche-1kg-de-lentilles-corail-bio-en-vrac","3.35")</f>
        <v>3.35</v>
      </c>
      <c r="C206" s="25" t="s">
        <v>913</v>
      </c>
      <c r="D206" s="9" t="str">
        <f t="shared" ref="D206:D207" si="129">HYPERLINK("https://www.biocoop.fr/magasin-biocoop_champollion/lentilles-corail-500g-al8038-000.html","8.74")</f>
        <v>8.74</v>
      </c>
      <c r="E206" s="25" t="s">
        <v>1224</v>
      </c>
      <c r="F206" s="9" t="str">
        <f t="shared" ref="F206:F207" si="130">HYPERLINK("https://www.biocoop.fr/magasin-biocoop_fontaine/lentilles-corail-500g-al8038-000.html","8.4")</f>
        <v>8.4</v>
      </c>
      <c r="G206" s="1" t="s">
        <v>869</v>
      </c>
      <c r="H206" s="9" t="str">
        <f t="shared" ref="H206:H207" si="131">HYPERLINK("https://satoriz-comboire.bio/collections/vrac/products/eu1380","6.2")</f>
        <v>6.2</v>
      </c>
      <c r="I206" s="25" t="s">
        <v>1225</v>
      </c>
      <c r="J206" s="9" t="str">
        <f>HYPERLINK("https://www.greenweez.com/produit/lentilles-corail-3kg/5GREE0154","888888")</f>
        <v>888888</v>
      </c>
      <c r="K206" s="18" t="s">
        <v>56</v>
      </c>
      <c r="L206" s="9" t="str">
        <f t="shared" ref="L206:L207" si="132">HYPERLINK("https://metabase.lelefan.org/public/dashboard/53c41f3f-5644-466e-935e-897e7725f6bc?rayon=&amp;d%25C3%25A9signation=LENTILLE CORAIL ROUGE VRAC&amp;fournisseur=&amp;date_d%25C3%25A9but=&amp;date_fin=","5.0")</f>
        <v>5.0</v>
      </c>
      <c r="M206" s="25" t="s">
        <v>1226</v>
      </c>
      <c r="N206" s="9" t="str">
        <f t="shared" ref="N206:N207" si="133">HYPERLINK("https://fd11-courses.leclercdrive.fr/magasin-063801-063801-Echirolles---Comboire/fiche-produits-58141-Lentilles-corail-Bio-Village.aspx","4.42")</f>
        <v>4.42</v>
      </c>
    </row>
    <row r="207" ht="14.25" customHeight="1">
      <c r="A207" s="1" t="s">
        <v>447</v>
      </c>
      <c r="B207" s="9" t="str">
        <f>HYPERLINK("https://lafourche.fr/products/celnat-lentilles-corail-500g-bio","4.5")</f>
        <v>4.5</v>
      </c>
      <c r="C207" s="25" t="s">
        <v>1227</v>
      </c>
      <c r="D207" s="9" t="str">
        <f t="shared" si="129"/>
        <v>8.74</v>
      </c>
      <c r="E207" s="25" t="s">
        <v>1224</v>
      </c>
      <c r="F207" s="9" t="str">
        <f t="shared" si="130"/>
        <v>8.4</v>
      </c>
      <c r="G207" s="1" t="s">
        <v>869</v>
      </c>
      <c r="H207" s="9" t="str">
        <f t="shared" si="131"/>
        <v>6.2</v>
      </c>
      <c r="I207" s="25" t="s">
        <v>1225</v>
      </c>
      <c r="J207" s="9" t="str">
        <f>HYPERLINK("https://www.greenweez.com/produit/lentilles-corail-bio-500g/2WEEZ0222","4.5")</f>
        <v>4.5</v>
      </c>
      <c r="K207" s="25" t="s">
        <v>1228</v>
      </c>
      <c r="L207" s="9" t="str">
        <f t="shared" si="132"/>
        <v>5.0</v>
      </c>
      <c r="M207" s="25" t="s">
        <v>1226</v>
      </c>
      <c r="N207" s="7" t="str">
        <f t="shared" si="133"/>
        <v>4.42</v>
      </c>
      <c r="P207" s="1">
        <v>0.3</v>
      </c>
    </row>
    <row r="208" ht="14.25" customHeight="1">
      <c r="A208" s="1" t="s">
        <v>448</v>
      </c>
      <c r="B208" s="9" t="str">
        <f>HYPERLINK("https://lafourche.fr/products/la-fourche-1kg-de-pois-casses-bio-en-vrac","3.99")</f>
        <v>3.99</v>
      </c>
      <c r="C208" s="1" t="s">
        <v>869</v>
      </c>
      <c r="D208" s="9" t="str">
        <f>HYPERLINK("https://www.biocoop.fr/magasin-biocoop_champollion/pois-casses-france-cuisson-rapide-250g-sa1122-000.html","888888")</f>
        <v>888888</v>
      </c>
      <c r="E208" s="18" t="s">
        <v>56</v>
      </c>
      <c r="F208" s="9" t="str">
        <f t="shared" ref="F208:F209" si="134">HYPERLINK("https://www.biocoop.fr/magasin-biocoop_fontaine/pois-casses-france-500g-al8048-000.html","4.94")</f>
        <v>4.94</v>
      </c>
      <c r="G208" s="1" t="s">
        <v>869</v>
      </c>
      <c r="H208" s="9" t="str">
        <f t="shared" ref="H208:H209" si="135">HYPERLINK("https://satoriz-comboire.bio/collections/vrac/products/eu1363","3.8")</f>
        <v>3.8</v>
      </c>
      <c r="I208" s="26" t="s">
        <v>1229</v>
      </c>
      <c r="J208" s="9" t="str">
        <f>HYPERLINK("https://www.greenweez.com/produit/pois-casses-verts-3kg/5GREE0169","4.16")</f>
        <v>4.16</v>
      </c>
      <c r="K208" s="1" t="s">
        <v>869</v>
      </c>
      <c r="L208" s="7" t="str">
        <f t="shared" ref="L208:L209" si="136">HYPERLINK("https://metabase.lelefan.org/public/dashboard/53c41f3f-5644-466e-935e-897e7725f6bc?rayon=&amp;d%25C3%25A9signation=POIS VERT CASSE VRAC&amp;fournisseur=&amp;date_d%25C3%25A9but=&amp;date_fin=","3.5")</f>
        <v>3.5</v>
      </c>
      <c r="M208" s="1" t="s">
        <v>869</v>
      </c>
      <c r="N208" s="9" t="str">
        <f t="shared" ref="N208:N209" si="137">HYPERLINK("https://fd11-courses.leclercdrive.fr/magasin-063801-063801-Echirolles---Comboire/fiche-produits-148023-Pois-casses-Bio-Village.aspx","3.98")</f>
        <v>3.98</v>
      </c>
    </row>
    <row r="209" ht="14.25" customHeight="1">
      <c r="A209" s="1" t="s">
        <v>449</v>
      </c>
      <c r="B209" s="9" t="str">
        <f>HYPERLINK("https://lafourche.fr/products/celnat-pois-casses-verts-500g-bio","4.64")</f>
        <v>4.64</v>
      </c>
      <c r="C209" s="25" t="s">
        <v>1230</v>
      </c>
      <c r="D209" s="9" t="str">
        <f>HYPERLINK("https://www.biocoop.fr/magasin-biocoop_champollion/pois-casses-france-500g-al8048-000.html","888888")</f>
        <v>888888</v>
      </c>
      <c r="E209" s="18" t="s">
        <v>56</v>
      </c>
      <c r="F209" s="9" t="str">
        <f t="shared" si="134"/>
        <v>4.94</v>
      </c>
      <c r="G209" s="1" t="s">
        <v>869</v>
      </c>
      <c r="H209" s="9" t="str">
        <f t="shared" si="135"/>
        <v>3.8</v>
      </c>
      <c r="I209" s="26" t="s">
        <v>1229</v>
      </c>
      <c r="J209" s="9" t="str">
        <f>HYPERLINK("https://www.greenweez.com/produit/pois-casses-verts-500g-1/5GREE0167","5.16")</f>
        <v>5.16</v>
      </c>
      <c r="K209" s="25" t="s">
        <v>1231</v>
      </c>
      <c r="L209" s="7" t="str">
        <f t="shared" si="136"/>
        <v>3.5</v>
      </c>
      <c r="M209" s="1" t="s">
        <v>869</v>
      </c>
      <c r="N209" s="9" t="str">
        <f t="shared" si="137"/>
        <v>3.98</v>
      </c>
    </row>
    <row r="210" ht="14.25" customHeight="1">
      <c r="A210" s="1" t="s">
        <v>450</v>
      </c>
      <c r="B210" s="9" t="str">
        <f t="shared" ref="B210:B211" si="138">HYPERLINK("https://lafourche.fr/products/la-fourche-1kg-de-lentilles-vertes-bio-en-vrac","4.59")</f>
        <v>4.59</v>
      </c>
      <c r="C210" s="1" t="s">
        <v>869</v>
      </c>
      <c r="D210" s="9" t="str">
        <f t="shared" ref="D210:D211" si="139">HYPERLINK("https://www.biocoop.fr/magasin-biocoop_champollion/lentilles-vertes-bio-br0278-000.html","5.25")</f>
        <v>5.25</v>
      </c>
      <c r="E210" s="1" t="s">
        <v>869</v>
      </c>
      <c r="F210" s="9" t="str">
        <f t="shared" ref="F210:F211" si="140">HYPERLINK("https://www.biocoop.fr/magasin-biocoop_fontaine/lentilles-vertes-bio-br0278-000.html","5.3")</f>
        <v>5.3</v>
      </c>
      <c r="G210" s="1" t="s">
        <v>869</v>
      </c>
      <c r="H210" s="9" t="str">
        <f t="shared" ref="H210:H211" si="141">HYPERLINK("https://satoriz-comboire.bio/collections/vrac/products/re39341","4.65")</f>
        <v>4.65</v>
      </c>
      <c r="I210" s="26" t="s">
        <v>1232</v>
      </c>
      <c r="J210" s="9" t="str">
        <f>HYPERLINK("https://www.greenweez.com/produit/lentilles-vertes-bio-france-2-5kg/2WEEZ0296","5.8")</f>
        <v>5.8</v>
      </c>
      <c r="K210" s="1" t="s">
        <v>869</v>
      </c>
      <c r="L210" s="9" t="str">
        <f t="shared" ref="L210:L211" si="142">HYPERLINK("https://metabase.lelefan.org/public/dashboard/53c41f3f-5644-466e-935e-897e7725f6bc?rayon=&amp;d%25C3%25A9signation=LENTILLE VERTE VRAC&amp;fournisseur=&amp;date_d%25C3%25A9but=&amp;date_fin=","4.48")</f>
        <v>4.48</v>
      </c>
      <c r="M210" s="1" t="s">
        <v>869</v>
      </c>
      <c r="N210" s="7" t="str">
        <f t="shared" ref="N210:N211" si="143">HYPERLINK("https://fd11-courses.leclercdrive.fr/magasin-063801-063801-Echirolles---Comboire/fiche-produits-23797-Lentilles-vertes-Bio-Village.aspx","4.16")</f>
        <v>4.16</v>
      </c>
      <c r="P210" s="1">
        <v>0.3</v>
      </c>
    </row>
    <row r="211" ht="14.25" customHeight="1">
      <c r="A211" s="1" t="s">
        <v>451</v>
      </c>
      <c r="B211" s="9" t="str">
        <f t="shared" si="138"/>
        <v>4.59</v>
      </c>
      <c r="C211" s="1" t="s">
        <v>869</v>
      </c>
      <c r="D211" s="9" t="str">
        <f t="shared" si="139"/>
        <v>5.25</v>
      </c>
      <c r="E211" s="1" t="s">
        <v>869</v>
      </c>
      <c r="F211" s="9" t="str">
        <f t="shared" si="140"/>
        <v>5.3</v>
      </c>
      <c r="G211" s="1" t="s">
        <v>869</v>
      </c>
      <c r="H211" s="9" t="str">
        <f t="shared" si="141"/>
        <v>4.65</v>
      </c>
      <c r="I211" s="26" t="s">
        <v>1232</v>
      </c>
      <c r="J211" s="9" t="str">
        <f>HYPERLINK("https://www.greenweez.com/produit/lentilles-vertes-de-1kg/1PRIM0090","6.68")</f>
        <v>6.68</v>
      </c>
      <c r="K211" s="25" t="s">
        <v>1233</v>
      </c>
      <c r="L211" s="9" t="str">
        <f t="shared" si="142"/>
        <v>4.48</v>
      </c>
      <c r="M211" s="1" t="s">
        <v>869</v>
      </c>
      <c r="N211" s="7" t="str">
        <f t="shared" si="143"/>
        <v>4.16</v>
      </c>
      <c r="P211" s="1">
        <v>0.3</v>
      </c>
    </row>
    <row r="212" ht="14.25" customHeight="1">
      <c r="A212" s="1" t="s">
        <v>452</v>
      </c>
      <c r="B212" s="7" t="str">
        <f>HYPERLINK("https://lafourche.fr/products/celnat-haricots-blancs-lingots-de-vendee-500g","6.72")</f>
        <v>6.72</v>
      </c>
      <c r="C212" s="25" t="s">
        <v>1016</v>
      </c>
      <c r="D212" s="9" t="str">
        <f>HYPERLINK("https://www.biocoop.fr/magasin-biocoop_champollion/haricots-blancs-lingots-500g-fc1002-000.html","8.4")</f>
        <v>8.4</v>
      </c>
      <c r="E212" s="1" t="s">
        <v>869</v>
      </c>
      <c r="F212" s="9" t="str">
        <f>HYPERLINK("https://www.biocoop.fr/magasin-biocoop_fontaine/haricots-blancs-lingots-bio-al8036-000.html","6.95")</f>
        <v>6.95</v>
      </c>
      <c r="G212" s="25" t="s">
        <v>1234</v>
      </c>
      <c r="H212" s="9" t="str">
        <f>HYPERLINK("https://satoriz-comboire.bio/products/ra1","7.25")</f>
        <v>7.25</v>
      </c>
      <c r="I212" s="25" t="s">
        <v>1235</v>
      </c>
      <c r="J212" s="9" t="str">
        <f>HYPERLINK("https://www.greenweez.com/produit/haricots-lingots-blancs-de-france-500g/1PRIM0098","8.46")</f>
        <v>8.46</v>
      </c>
      <c r="K212" s="1" t="s">
        <v>869</v>
      </c>
      <c r="L212" s="16">
        <v>888888.0</v>
      </c>
      <c r="N212" s="16">
        <v>888888.0</v>
      </c>
    </row>
    <row r="213" ht="14.25" customHeight="1">
      <c r="A213" s="1" t="s">
        <v>453</v>
      </c>
      <c r="B213" s="7" t="str">
        <f>HYPERLINK("https://lafourche.fr/products/la-fourche-proteines-de-soja-gros-morceaux-bio-en-vrac-0-5","9.7")</f>
        <v>9.7</v>
      </c>
      <c r="C213" s="25" t="s">
        <v>1236</v>
      </c>
      <c r="D213" s="9" t="str">
        <f>HYPERLINK("https://www.biocoop.fr/magasin-biocoop_champollion/proteines-de-soja-gros-bio-sb0013-000.html","10.93")</f>
        <v>10.93</v>
      </c>
      <c r="E213" s="1" t="s">
        <v>869</v>
      </c>
      <c r="F213" s="9" t="str">
        <f>HYPERLINK("https://www.biocoop.fr/magasin-biocoop_fontaine/proteines-de-soja-gros-bio-sb0013-000.html","10.1")</f>
        <v>10.1</v>
      </c>
      <c r="G213" s="1" t="s">
        <v>869</v>
      </c>
      <c r="H213" s="9" t="str">
        <f>HYPERLINK("https://satoriz-comboire.bio/products/eu2199","11.14")</f>
        <v>11.14</v>
      </c>
      <c r="I213" s="1" t="s">
        <v>869</v>
      </c>
      <c r="J213" s="9" t="str">
        <f>HYPERLINK("https://www.greenweez.com/produit/proteines-de-soja-gros-morceaux-200g/1GRIL0079","888888")</f>
        <v>888888</v>
      </c>
      <c r="K213" s="16" t="s">
        <v>869</v>
      </c>
      <c r="L213" s="9" t="str">
        <f>HYPERLINK("https://metabase.lelefan.org/public/dashboard/53c41f3f-5644-466e-935e-897e7725f6bc?rayon=&amp;d%25C3%25A9signation=PROTEINES DE SOJA GROS MORCEAUX&amp;fournisseur=&amp;date_d%25C3%25A9but=&amp;date_fin=","15.77")</f>
        <v>15.77</v>
      </c>
      <c r="M213" s="25" t="s">
        <v>1237</v>
      </c>
      <c r="N213" s="16">
        <v>888888.0</v>
      </c>
    </row>
    <row r="214" ht="14.25" customHeight="1">
      <c r="A214" s="1" t="s">
        <v>454</v>
      </c>
      <c r="B214" s="7" t="str">
        <f t="shared" ref="B214:B215" si="144">HYPERLINK("https://lafourche.fr/products/celnat-proteines-de-soja-emincees-300g-bio","8.7")</f>
        <v>8.7</v>
      </c>
      <c r="C214" s="26" t="s">
        <v>1238</v>
      </c>
      <c r="D214" s="9" t="str">
        <f t="shared" ref="D214:D215" si="145">HYPERLINK("https://www.biocoop.fr/magasin-biocoop_champollion/proteines-de-soja-petit-300g-sb0010-000.html","15.5")</f>
        <v>15.5</v>
      </c>
      <c r="E214" s="1" t="s">
        <v>869</v>
      </c>
      <c r="F214" s="9" t="str">
        <f t="shared" ref="F214:F215" si="146">HYPERLINK("https://www.biocoop.fr/magasin-biocoop_fontaine/proteines-de-soja-petit-300g-sb0010-000.html","15.5")</f>
        <v>15.5</v>
      </c>
      <c r="G214" s="1" t="s">
        <v>869</v>
      </c>
      <c r="H214" s="9" t="str">
        <f t="shared" ref="H214:H215" si="147">HYPERLINK("https://satoriz-comboire.bio/products/eu2197","12.0")</f>
        <v>12.0</v>
      </c>
      <c r="I214" s="25" t="s">
        <v>329</v>
      </c>
      <c r="J214" s="9" t="str">
        <f>HYPERLINK("https://www.greenweez.com/produit/proteines-de-soja-fines-texturees-bio-1kg/2WEEZ0466","10.94")</f>
        <v>10.94</v>
      </c>
      <c r="K214" s="16" t="s">
        <v>896</v>
      </c>
      <c r="L214" s="9" t="str">
        <f t="shared" ref="L214:L215" si="148">HYPERLINK("https://metabase.lelefan.org/public/dashboard/53c41f3f-5644-466e-935e-897e7725f6bc?rayon=&amp;d%25C3%25A9signation=PROTEINES DE SOJA PETITS MORCEAUX&amp;fournisseur=&amp;date_d%25C3%25A9but=&amp;date_fin=","15.77")</f>
        <v>15.77</v>
      </c>
      <c r="M214" s="25" t="s">
        <v>1237</v>
      </c>
      <c r="N214" s="16">
        <v>888888.0</v>
      </c>
    </row>
    <row r="215" ht="14.25" customHeight="1">
      <c r="A215" s="1" t="s">
        <v>455</v>
      </c>
      <c r="B215" s="7" t="str">
        <f t="shared" si="144"/>
        <v>8.7</v>
      </c>
      <c r="C215" s="26" t="s">
        <v>1238</v>
      </c>
      <c r="D215" s="9" t="str">
        <f t="shared" si="145"/>
        <v>15.5</v>
      </c>
      <c r="E215" s="1" t="s">
        <v>869</v>
      </c>
      <c r="F215" s="9" t="str">
        <f t="shared" si="146"/>
        <v>15.5</v>
      </c>
      <c r="G215" s="1" t="s">
        <v>869</v>
      </c>
      <c r="H215" s="9" t="str">
        <f t="shared" si="147"/>
        <v>12.0</v>
      </c>
      <c r="I215" s="25" t="s">
        <v>329</v>
      </c>
      <c r="J215" s="9" t="str">
        <f>HYPERLINK("https://www.greenweez.com/produit/proteines-de-soja-fines-texturees-bio-200g/2WEEZ0476","11.9")</f>
        <v>11.9</v>
      </c>
      <c r="K215" s="16" t="s">
        <v>896</v>
      </c>
      <c r="L215" s="9" t="str">
        <f t="shared" si="148"/>
        <v>15.77</v>
      </c>
      <c r="M215" s="25" t="s">
        <v>1237</v>
      </c>
      <c r="N215" s="16">
        <v>888888.0</v>
      </c>
    </row>
    <row r="216" ht="14.25" customHeight="1">
      <c r="A216" s="1" t="s">
        <v>456</v>
      </c>
      <c r="B216" s="7" t="str">
        <f>HYPERLINK("https://lafourche.fr/products/celnat-proteines-de-pois-france-bio-0-2kg","19.65")</f>
        <v>19.65</v>
      </c>
      <c r="C216" s="25" t="s">
        <v>1239</v>
      </c>
      <c r="D216" s="16">
        <v>888888.0</v>
      </c>
      <c r="F216" s="16">
        <v>888888.0</v>
      </c>
      <c r="H216" s="9" t="str">
        <f>HYPERLINK("https://satoriz-comboire.bio/products/cebpp","21.5")</f>
        <v>21.5</v>
      </c>
      <c r="I216" s="25" t="s">
        <v>1214</v>
      </c>
      <c r="J216" s="9" t="str">
        <f>HYPERLINK("https://www.greenweez.com/produit/proteines-de-pois-origine-france-200g/5GREE0441","888888")</f>
        <v>888888</v>
      </c>
      <c r="K216" s="18" t="s">
        <v>56</v>
      </c>
      <c r="L216" s="16">
        <v>888888.0</v>
      </c>
      <c r="N216" s="16">
        <v>888888.0</v>
      </c>
    </row>
    <row r="217" ht="14.25" customHeight="1">
      <c r="A217" s="1" t="s">
        <v>457</v>
      </c>
      <c r="B217" s="9" t="str">
        <f>HYPERLINK("https://lafourche.fr/products/la-fourche-penne-blanches-bio-en-vrac-1kg","2.15")</f>
        <v>2.15</v>
      </c>
      <c r="C217" s="1" t="s">
        <v>869</v>
      </c>
      <c r="D217" s="9" t="str">
        <f>HYPERLINK("https://www.biocoop.fr/magasin-biocoop_champollion/penne-blanches-1kg-al0112-000.html","3.14")</f>
        <v>3.14</v>
      </c>
      <c r="E217" s="1" t="s">
        <v>869</v>
      </c>
      <c r="F217" s="9" t="str">
        <f>HYPERLINK("https://www.biocoop.fr/magasin-biocoop_fontaine/penne-blanches-1kg-al0112-000.html","2.6")</f>
        <v>2.6</v>
      </c>
      <c r="G217" s="26" t="s">
        <v>967</v>
      </c>
      <c r="H217" s="9" t="str">
        <f>HYPERLINK("https://satoriz-comboire.bio/products/re44775","2.2")</f>
        <v>2.2</v>
      </c>
      <c r="I217" s="25" t="s">
        <v>1240</v>
      </c>
      <c r="J217" s="9" t="str">
        <f>HYPERLINK("https://www.greenweez.com/produit/pennes-blancs-500g-1/1MKAL0109","888888")</f>
        <v>888888</v>
      </c>
      <c r="K217" s="18" t="s">
        <v>56</v>
      </c>
      <c r="L217" s="16">
        <v>888888.0</v>
      </c>
      <c r="N217" s="7" t="str">
        <f>HYPERLINK("https://fd11-courses.leclercdrive.fr/magasin-063801-063801-Echirolles---Comboire/fiche-produits-33893-Penne-Bio-Village-.aspx","1.98")</f>
        <v>1.98</v>
      </c>
    </row>
    <row r="218" ht="14.25" customHeight="1">
      <c r="A218" s="1" t="s">
        <v>458</v>
      </c>
      <c r="B218" s="7" t="str">
        <f>HYPERLINK("https://lafourche.fr/products/bio-pour-tous-penne-demi-completes-bio-500g","2.3")</f>
        <v>2.3</v>
      </c>
      <c r="C218" s="1" t="s">
        <v>869</v>
      </c>
      <c r="D218" s="9" t="str">
        <f>HYPERLINK("https://www.biocoop.fr/magasin-biocoop_champollion/penne-1-2-complet-bio-la0230-000.html","2.7")</f>
        <v>2.7</v>
      </c>
      <c r="E218" s="1" t="s">
        <v>869</v>
      </c>
      <c r="F218" s="9" t="str">
        <f>HYPERLINK("https://www.biocoop.fr/magasin-biocoop_fontaine/penne-demi-completes-500g-al0073-000.html","2.9")</f>
        <v>2.9</v>
      </c>
      <c r="G218" s="26" t="s">
        <v>1241</v>
      </c>
      <c r="H218" s="7" t="str">
        <f>HYPERLINK("https://satoriz-comboire.bio/products/re39045","2.3")</f>
        <v>2.3</v>
      </c>
      <c r="I218" s="1" t="s">
        <v>869</v>
      </c>
      <c r="J218" s="9" t="str">
        <f>HYPERLINK("https://www.greenweez.com/produit/penne-bio-semi-complete-500g/2WEEZ0490","2.58")</f>
        <v>2.58</v>
      </c>
      <c r="K218" s="1" t="s">
        <v>869</v>
      </c>
      <c r="L218" s="9" t="str">
        <f>HYPERLINK("https://metabase.lelefan.org/public/dashboard/53c41f3f-5644-466e-935e-897e7725f6bc?rayon=&amp;d%25C3%25A9signation=PENNE 1/2 COMPLET VRAC&amp;fournisseur=&amp;date_d%25C3%25A9but=&amp;date_fin=","2.95")</f>
        <v>2.95</v>
      </c>
      <c r="M218" s="26" t="s">
        <v>1242</v>
      </c>
      <c r="N218" s="16">
        <v>888888.0</v>
      </c>
      <c r="P218" s="1">
        <v>0.05</v>
      </c>
    </row>
    <row r="219" ht="14.25" customHeight="1">
      <c r="A219" s="1" t="s">
        <v>459</v>
      </c>
      <c r="B219" s="7" t="str">
        <f>HYPERLINK("https://lafourche.fr/products/la-fourche-penne-complete-bio-en-vrac-1kg","2.2")</f>
        <v>2.2</v>
      </c>
      <c r="C219" s="1" t="s">
        <v>869</v>
      </c>
      <c r="D219" s="9" t="str">
        <f>HYPERLINK("https://www.biocoop.fr/magasin-biocoop_champollion/penne-complete-bio-al0143-000.html","3.05")</f>
        <v>3.05</v>
      </c>
      <c r="E219" s="1" t="s">
        <v>869</v>
      </c>
      <c r="F219" s="9" t="str">
        <f>HYPERLINK("https://www.biocoop.fr/magasin-biocoop_fontaine/penne-completes-500g-al0137-000.html","3.0")</f>
        <v>3.0</v>
      </c>
      <c r="G219" s="1" t="s">
        <v>869</v>
      </c>
      <c r="H219" s="9" t="str">
        <f>HYPERLINK("https://satoriz-comboire.bio/collections/epicerie-salee/products/re39046","2.3")</f>
        <v>2.3</v>
      </c>
      <c r="I219" s="1" t="s">
        <v>869</v>
      </c>
      <c r="J219" s="9" t="str">
        <f>HYPERLINK("https://www.greenweez.com/produit/pennes-completes-500g/1MKAL0110","2.98")</f>
        <v>2.98</v>
      </c>
      <c r="K219" s="1" t="s">
        <v>869</v>
      </c>
      <c r="L219" s="9" t="str">
        <f>HYPERLINK("https://metabase.lelefan.org/public/dashboard/53c41f3f-5644-466e-935e-897e7725f6bc?rayon=&amp;d%25C3%25A9signation=PENNES COMPLETES&amp;fournisseur=&amp;date_d%25C3%25A9but=&amp;date_fin=","888888")</f>
        <v>888888</v>
      </c>
      <c r="M219" s="18" t="s">
        <v>56</v>
      </c>
      <c r="N219" s="16">
        <v>888888.0</v>
      </c>
    </row>
    <row r="220" ht="14.25" customHeight="1">
      <c r="A220" s="1" t="s">
        <v>460</v>
      </c>
      <c r="B220" s="9" t="str">
        <f>HYPERLINK("https://lafourche.fr/products/lori-bio-coquillettes-blanches-bio-5kg","2.04")</f>
        <v>2.04</v>
      </c>
      <c r="C220" s="26" t="s">
        <v>173</v>
      </c>
      <c r="D220" s="9" t="str">
        <f t="shared" ref="D220:D221" si="149">HYPERLINK("https://www.biocoop.fr/magasin-biocoop_champollion/coquillette-blanche-bio-al0061-000.html","2.65")</f>
        <v>2.65</v>
      </c>
      <c r="E220" s="1" t="s">
        <v>869</v>
      </c>
      <c r="F220" s="9" t="str">
        <f t="shared" ref="F220:F221" si="150">HYPERLINK("https://www.biocoop.fr/magasin-biocoop_fontaine/coquillette-blanche-bio-al0061-000.html","2.4")</f>
        <v>2.4</v>
      </c>
      <c r="G220" s="1" t="s">
        <v>869</v>
      </c>
      <c r="H220" s="9" t="str">
        <f t="shared" ref="H220:H221" si="151">HYPERLINK("https://satoriz-comboire.bio/products/re44776","2.2")</f>
        <v>2.2</v>
      </c>
      <c r="I220" s="25" t="s">
        <v>1240</v>
      </c>
      <c r="J220" s="9" t="str">
        <f t="shared" ref="J220:J221" si="152">HYPERLINK("https://www.greenweez.com/produit/coquillettes-blanches-1kg/1PRIM0734","3.19")</f>
        <v>3.19</v>
      </c>
      <c r="K220" s="1" t="s">
        <v>869</v>
      </c>
      <c r="L220" s="9" t="str">
        <f t="shared" ref="L220:L221" si="153">HYPERLINK("https://metabase.lelefan.org/public/dashboard/53c41f3f-5644-466e-935e-897e7725f6bc?rayon=&amp;d%25C3%25A9signation=COQUILLETTES BLANCHES 500G&amp;fournisseur=&amp;date_d%25C3%25A9but=&amp;date_fin=","2.18")</f>
        <v>2.18</v>
      </c>
      <c r="M220" s="1" t="s">
        <v>869</v>
      </c>
      <c r="N220" s="7" t="str">
        <f t="shared" ref="N220:N221" si="154">HYPERLINK("https://fd11-courses.leclercdrive.fr/magasin-063801-063801-Echirolles---Comboire/fiche-produits-6069-Pates-Coquillettes-Bio-Village.aspx","1.7")</f>
        <v>1.7</v>
      </c>
      <c r="P220" s="1">
        <v>0.05</v>
      </c>
    </row>
    <row r="221" ht="14.25" customHeight="1">
      <c r="A221" s="1" t="s">
        <v>461</v>
      </c>
      <c r="B221" s="9" t="str">
        <f>HYPERLINK("https://lafourche.fr/products/bio-pour-tous-coquillettes-blanches-italiennes-bio-500g","2.24")</f>
        <v>2.24</v>
      </c>
      <c r="C221" s="25" t="s">
        <v>1243</v>
      </c>
      <c r="D221" s="9" t="str">
        <f t="shared" si="149"/>
        <v>2.65</v>
      </c>
      <c r="E221" s="1" t="s">
        <v>869</v>
      </c>
      <c r="F221" s="9" t="str">
        <f t="shared" si="150"/>
        <v>2.4</v>
      </c>
      <c r="G221" s="1" t="s">
        <v>869</v>
      </c>
      <c r="H221" s="9" t="str">
        <f t="shared" si="151"/>
        <v>2.2</v>
      </c>
      <c r="I221" s="25" t="s">
        <v>1240</v>
      </c>
      <c r="J221" s="9" t="str">
        <f t="shared" si="152"/>
        <v>3.19</v>
      </c>
      <c r="K221" s="1" t="s">
        <v>869</v>
      </c>
      <c r="L221" s="9" t="str">
        <f t="shared" si="153"/>
        <v>2.18</v>
      </c>
      <c r="M221" s="1" t="s">
        <v>869</v>
      </c>
      <c r="N221" s="7" t="str">
        <f t="shared" si="154"/>
        <v>1.7</v>
      </c>
      <c r="P221" s="1">
        <v>0.05</v>
      </c>
    </row>
    <row r="222" ht="14.25" customHeight="1">
      <c r="A222" s="1" t="s">
        <v>462</v>
      </c>
      <c r="B222" s="9" t="str">
        <f>HYPERLINK("https://lafourche.fr/products/lori-bio-coquillettes-semi-completes-bio-5kg","2.37")</f>
        <v>2.37</v>
      </c>
      <c r="C222" s="25" t="s">
        <v>1244</v>
      </c>
      <c r="D222" s="9" t="str">
        <f t="shared" ref="D222:D223" si="155">HYPERLINK("https://www.biocoop.fr/magasin-biocoop_champollion/coquillettes-1-2-completes-bio-al0060-000.html","2.2")</f>
        <v>2.2</v>
      </c>
      <c r="E222" s="1" t="s">
        <v>869</v>
      </c>
      <c r="F222" s="7" t="str">
        <f t="shared" ref="F222:F223" si="156">HYPERLINK("https://www.biocoop.fr/magasin-biocoop_fontaine/coquillettes-1-2-completes-bio-al0060-000.html","1.96")</f>
        <v>1.96</v>
      </c>
      <c r="G222" s="1" t="s">
        <v>869</v>
      </c>
      <c r="H222" s="9" t="str">
        <f t="shared" ref="H222:H223" si="157">HYPERLINK("https://satoriz-comboire.bio/products/re39043","2.3")</f>
        <v>2.3</v>
      </c>
      <c r="I222" s="1" t="s">
        <v>869</v>
      </c>
      <c r="J222" s="9" t="str">
        <f t="shared" ref="J222:J223" si="158">HYPERLINK("https://www.greenweez.com/produit/coquillettes-bio-semi-completes-500g/2WEEZ0488","2.58")</f>
        <v>2.58</v>
      </c>
      <c r="K222" s="1" t="s">
        <v>869</v>
      </c>
      <c r="L222" s="9" t="str">
        <f t="shared" ref="L222:L223" si="159">HYPERLINK("https://metabase.lelefan.org/public/dashboard/53c41f3f-5644-466e-935e-897e7725f6bc?rayon=&amp;d%25C3%25A9signation=COQUILLETTES SEMI COMPLET 500G&amp;fournisseur=&amp;date_d%25C3%25A9but=&amp;date_fin=","2.4")</f>
        <v>2.4</v>
      </c>
      <c r="M222" s="25" t="s">
        <v>1245</v>
      </c>
      <c r="N222" s="9" t="str">
        <f t="shared" ref="N222:N223" si="160">HYPERLINK("https://fd11-courses.leclercdrive.fr/magasin-063801-063801-Echirolles---Comboire/fiche-produits-45192-Pates-bio-Jardin-Bio.aspx","3.22")</f>
        <v>3.22</v>
      </c>
      <c r="P222" s="1">
        <v>0.05</v>
      </c>
    </row>
    <row r="223" ht="14.25" customHeight="1">
      <c r="A223" s="1" t="s">
        <v>463</v>
      </c>
      <c r="B223" s="9" t="str">
        <f>HYPERLINK("https://lafourche.fr/products/la-fourche-1kg-de-coquillettes-semi-completes-en-vrac","2.1")</f>
        <v>2.1</v>
      </c>
      <c r="C223" s="25" t="s">
        <v>1246</v>
      </c>
      <c r="D223" s="9" t="str">
        <f t="shared" si="155"/>
        <v>2.2</v>
      </c>
      <c r="E223" s="1" t="s">
        <v>869</v>
      </c>
      <c r="F223" s="7" t="str">
        <f t="shared" si="156"/>
        <v>1.96</v>
      </c>
      <c r="G223" s="1" t="s">
        <v>869</v>
      </c>
      <c r="H223" s="9" t="str">
        <f t="shared" si="157"/>
        <v>2.3</v>
      </c>
      <c r="I223" s="1" t="s">
        <v>869</v>
      </c>
      <c r="J223" s="9" t="str">
        <f t="shared" si="158"/>
        <v>2.58</v>
      </c>
      <c r="K223" s="1" t="s">
        <v>869</v>
      </c>
      <c r="L223" s="9" t="str">
        <f t="shared" si="159"/>
        <v>2.4</v>
      </c>
      <c r="M223" s="25" t="s">
        <v>1245</v>
      </c>
      <c r="N223" s="9" t="str">
        <f t="shared" si="160"/>
        <v>3.22</v>
      </c>
      <c r="P223" s="1">
        <v>0.05</v>
      </c>
    </row>
    <row r="224" ht="14.25" customHeight="1">
      <c r="A224" s="1" t="s">
        <v>464</v>
      </c>
      <c r="B224" s="7" t="str">
        <f t="shared" ref="B224:B225" si="161">HYPERLINK("https://lafourche.fr/products/la-fourche-coquillettes-completes-bio-en-vrac-1kg","1.99")</f>
        <v>1.99</v>
      </c>
      <c r="C224" s="1" t="s">
        <v>869</v>
      </c>
      <c r="D224" s="9" t="str">
        <f t="shared" ref="D224:D225" si="162">HYPERLINK("https://www.biocoop.fr/magasin-biocoop_champollion/coquillettes-completes-500g-al0028-000.html","3.46")</f>
        <v>3.46</v>
      </c>
      <c r="E224" s="1" t="s">
        <v>869</v>
      </c>
      <c r="F224" s="9" t="str">
        <f t="shared" ref="F224:F225" si="163">HYPERLINK("https://www.biocoop.fr/magasin-biocoop_fontaine/coquillettes-completes-500g-al0028-000.html","3.0")</f>
        <v>3.0</v>
      </c>
      <c r="G224" s="26" t="s">
        <v>1247</v>
      </c>
      <c r="H224" s="9" t="str">
        <f t="shared" ref="H224:H225" si="164">HYPERLINK("https://satoriz-comboire.bio/collections/epicerie-salee/products/eco1190","3.6")</f>
        <v>3.6</v>
      </c>
      <c r="I224" s="25" t="s">
        <v>279</v>
      </c>
      <c r="J224" s="9" t="str">
        <f>HYPERLINK("https://www.greenweez.com/produit/coquillettes-completes-5kg/1PRIM0651","3.74")</f>
        <v>3.74</v>
      </c>
      <c r="K224" s="1" t="s">
        <v>869</v>
      </c>
      <c r="L224" s="16">
        <v>888888.0</v>
      </c>
      <c r="N224" s="16">
        <v>888888.0</v>
      </c>
    </row>
    <row r="225" ht="14.25" customHeight="1">
      <c r="A225" s="1" t="s">
        <v>465</v>
      </c>
      <c r="B225" s="7" t="str">
        <f t="shared" si="161"/>
        <v>1.99</v>
      </c>
      <c r="C225" s="1" t="s">
        <v>869</v>
      </c>
      <c r="D225" s="9" t="str">
        <f t="shared" si="162"/>
        <v>3.46</v>
      </c>
      <c r="E225" s="1" t="s">
        <v>869</v>
      </c>
      <c r="F225" s="9" t="str">
        <f t="shared" si="163"/>
        <v>3.0</v>
      </c>
      <c r="G225" s="26" t="s">
        <v>1247</v>
      </c>
      <c r="H225" s="9" t="str">
        <f t="shared" si="164"/>
        <v>3.6</v>
      </c>
      <c r="I225" s="25" t="s">
        <v>279</v>
      </c>
      <c r="J225" s="9" t="str">
        <f>HYPERLINK("https://www.greenweez.com/produit/coquillettes-completes-500g-1/1PRIM0143","4.18")</f>
        <v>4.18</v>
      </c>
      <c r="K225" s="25" t="s">
        <v>1237</v>
      </c>
      <c r="L225" s="16">
        <v>888888.0</v>
      </c>
      <c r="N225" s="16">
        <v>888888.0</v>
      </c>
    </row>
    <row r="226" ht="14.25" customHeight="1">
      <c r="A226" s="1" t="s">
        <v>466</v>
      </c>
      <c r="B226" s="9" t="str">
        <f>HYPERLINK("https://lafourche.fr/products/lori-bio-spaghettis-blancs-bio-5kg","2.22")</f>
        <v>2.22</v>
      </c>
      <c r="C226" s="1" t="s">
        <v>869</v>
      </c>
      <c r="D226" s="9" t="str">
        <f>HYPERLINK("https://www.biocoop.fr/magasin-biocoop_champollion/spaghettis-blancs-1kg-al0081-000.html","888888")</f>
        <v>888888</v>
      </c>
      <c r="E226" s="18" t="s">
        <v>56</v>
      </c>
      <c r="F226" s="9" t="str">
        <f>HYPERLINK("https://www.biocoop.fr/magasin-biocoop_fontaine/spaghettis-blancs-1kg-al0081-000.html","888888")</f>
        <v>888888</v>
      </c>
      <c r="G226" s="18" t="s">
        <v>56</v>
      </c>
      <c r="H226" s="9" t="str">
        <f>HYPERLINK("https://satoriz-comboire.bio/products/re44774","2.2")</f>
        <v>2.2</v>
      </c>
      <c r="I226" s="25" t="s">
        <v>1240</v>
      </c>
      <c r="J226" s="9" t="str">
        <f t="shared" ref="J226:J227" si="165">HYPERLINK("https://www.greenweez.com/produit/spaghettis-blancs-500g/1MKAL0168","888888")</f>
        <v>888888</v>
      </c>
      <c r="K226" s="18" t="s">
        <v>56</v>
      </c>
      <c r="L226" s="9" t="str">
        <f t="shared" ref="L226:L227" si="166">HYPERLINK("https://metabase.lelefan.org/public/dashboard/53c41f3f-5644-466e-935e-897e7725f6bc?rayon=&amp;d%25C3%25A9signation=SPAGHETTI BLANCS&amp;fournisseur=&amp;date_d%25C3%25A9but=&amp;date_fin=","3.36")</f>
        <v>3.36</v>
      </c>
      <c r="M226" s="26" t="s">
        <v>1248</v>
      </c>
      <c r="N226" s="7" t="str">
        <f t="shared" ref="N226:N227" si="167">HYPERLINK("https://fd11-courses.leclercdrive.fr/magasin-063801-063801-Echirolles---Comboire/fiche-produits-6068-Spaghetti-Bio-Village.aspx","1.68")</f>
        <v>1.68</v>
      </c>
    </row>
    <row r="227" ht="14.25" customHeight="1">
      <c r="A227" s="1" t="s">
        <v>467</v>
      </c>
      <c r="B227" s="9" t="str">
        <f>HYPERLINK("https://lafourche.fr/products/bio-pour-tous-spaghetti-blanche-italienne-bio-500g","2.28")</f>
        <v>2.28</v>
      </c>
      <c r="C227" s="25" t="s">
        <v>1249</v>
      </c>
      <c r="D227" s="9" t="str">
        <f>HYPERLINK("https://www.biocoop.fr/magasin-biocoop_champollion/spaghettis-blancs-500g-al0003-000.html","2.8")</f>
        <v>2.8</v>
      </c>
      <c r="E227" s="26" t="s">
        <v>1250</v>
      </c>
      <c r="F227" s="9" t="str">
        <f>HYPERLINK("https://www.biocoop.fr/magasin-biocoop_fontaine/spaghettis-blancs-500g-al0003-000.html","2.3")</f>
        <v>2.3</v>
      </c>
      <c r="G227" s="25" t="s">
        <v>1251</v>
      </c>
      <c r="H227" s="9" t="str">
        <f>HYPERLINK("https://satoriz-comboire.bio/products/re39039","2.3")</f>
        <v>2.3</v>
      </c>
      <c r="I227" s="25" t="s">
        <v>1252</v>
      </c>
      <c r="J227" s="9" t="str">
        <f t="shared" si="165"/>
        <v>888888</v>
      </c>
      <c r="K227" s="18" t="s">
        <v>56</v>
      </c>
      <c r="L227" s="9" t="str">
        <f t="shared" si="166"/>
        <v>3.36</v>
      </c>
      <c r="M227" s="26" t="s">
        <v>1248</v>
      </c>
      <c r="N227" s="7" t="str">
        <f t="shared" si="167"/>
        <v>1.68</v>
      </c>
    </row>
    <row r="228" ht="14.25" customHeight="1">
      <c r="A228" s="1" t="s">
        <v>468</v>
      </c>
      <c r="B228" s="9" t="str">
        <f>HYPERLINK("https://lafourche.fr/products/lori-bio-spaghettis-demi-complets-bio-5kg","2.22")</f>
        <v>2.22</v>
      </c>
      <c r="C228" s="1" t="s">
        <v>869</v>
      </c>
      <c r="D228" s="9" t="str">
        <f>HYPERLINK("https://www.biocoop.fr/magasin-biocoop_champollion/spaghettis-demi-complets-1kg-al0125-000.html","888888")</f>
        <v>888888</v>
      </c>
      <c r="E228" s="18" t="s">
        <v>56</v>
      </c>
      <c r="F228" s="9" t="str">
        <f>HYPERLINK("https://www.biocoop.fr/magasin-biocoop_fontaine/spaghettis-demi-complets-1kg-al0125-000.html","888888")</f>
        <v>888888</v>
      </c>
      <c r="G228" s="18" t="s">
        <v>56</v>
      </c>
      <c r="H228" s="7" t="str">
        <f>HYPERLINK("https://satoriz-comboire.bio/products/re44773","2.2")</f>
        <v>2.2</v>
      </c>
      <c r="I228" s="25" t="s">
        <v>1240</v>
      </c>
      <c r="J228" s="9" t="str">
        <f t="shared" ref="J228:J229" si="168">HYPERLINK("https://www.greenweez.com/produit/spaghettis-bio-semi-complets-500g/2WEEZ0492","888888")</f>
        <v>888888</v>
      </c>
      <c r="K228" s="18" t="s">
        <v>56</v>
      </c>
      <c r="L228" s="9" t="str">
        <f t="shared" ref="L228:L229" si="169">HYPERLINK("https://metabase.lelefan.org/public/dashboard/53c41f3f-5644-466e-935e-897e7725f6bc?rayon=&amp;d%25C3%25A9signation=SPAGHETTI 1/2 COMPLET VRAC&amp;fournisseur=&amp;date_d%25C3%25A9but=&amp;date_fin=","7.97")</f>
        <v>7.97</v>
      </c>
      <c r="M228" s="25" t="s">
        <v>1212</v>
      </c>
      <c r="N228" s="16">
        <v>888888.0</v>
      </c>
    </row>
    <row r="229" ht="14.25" customHeight="1">
      <c r="A229" s="1" t="s">
        <v>469</v>
      </c>
      <c r="B229" s="7" t="str">
        <f>HYPERLINK("https://lafourche.fr/products/bio-pour-tous-spaghetti-demi-complets-bio-500g","2.24")</f>
        <v>2.24</v>
      </c>
      <c r="C229" s="25" t="s">
        <v>1253</v>
      </c>
      <c r="D229" s="9" t="str">
        <f>HYPERLINK("https://www.biocoop.fr/magasin-biocoop_champollion/spaghettis-demi-complets-500g-al0002-000.html","3.4")</f>
        <v>3.4</v>
      </c>
      <c r="E229" s="25" t="s">
        <v>1254</v>
      </c>
      <c r="F229" s="9" t="str">
        <f>HYPERLINK("https://www.biocoop.fr/magasin-biocoop_fontaine/spaghettis-demi-complets-500g-al0002-000.html","2.7")</f>
        <v>2.7</v>
      </c>
      <c r="G229" s="25" t="s">
        <v>1255</v>
      </c>
      <c r="H229" s="9" t="str">
        <f>HYPERLINK("https://satoriz-comboire.bio/products/re39040","2.3")</f>
        <v>2.3</v>
      </c>
      <c r="I229" s="25" t="s">
        <v>1252</v>
      </c>
      <c r="J229" s="9" t="str">
        <f t="shared" si="168"/>
        <v>888888</v>
      </c>
      <c r="K229" s="18" t="s">
        <v>56</v>
      </c>
      <c r="L229" s="9" t="str">
        <f t="shared" si="169"/>
        <v>7.97</v>
      </c>
      <c r="M229" s="25" t="s">
        <v>1212</v>
      </c>
      <c r="N229" s="16">
        <v>888888.0</v>
      </c>
    </row>
    <row r="230" ht="14.25" customHeight="1">
      <c r="A230" s="1" t="s">
        <v>470</v>
      </c>
      <c r="B230" s="9" t="str">
        <f>HYPERLINK("https://lafourche.fr/products/bio-pour-tous-spaghetti-complets-bio-500g","2.24")</f>
        <v>2.24</v>
      </c>
      <c r="C230" s="26" t="s">
        <v>1256</v>
      </c>
      <c r="D230" s="9" t="str">
        <f>HYPERLINK("https://www.biocoop.fr/magasin-biocoop_champollion/spaghettis-complets-500g-al0001-000.html","3.14")</f>
        <v>3.14</v>
      </c>
      <c r="E230" s="1" t="s">
        <v>869</v>
      </c>
      <c r="F230" s="9" t="str">
        <f>HYPERLINK("https://www.biocoop.fr/magasin-biocoop_fontaine/spaghettis-complets-500g-al0001-000.html","2.7")</f>
        <v>2.7</v>
      </c>
      <c r="G230" s="26" t="s">
        <v>1257</v>
      </c>
      <c r="H230" s="7" t="str">
        <f>HYPERLINK("https://satoriz-comboire.bio/products/re44650","2.2")</f>
        <v>2.2</v>
      </c>
      <c r="I230" s="25" t="s">
        <v>1240</v>
      </c>
      <c r="J230" s="9" t="str">
        <f>HYPERLINK("https://www.greenweez.com/produit/spaghettis-complets-bio-italie-500g/2WEEZ0029","3.16")</f>
        <v>3.16</v>
      </c>
      <c r="K230" s="26" t="s">
        <v>1258</v>
      </c>
      <c r="L230" s="9" t="str">
        <f>HYPERLINK("https://metabase.lelefan.org/public/dashboard/53c41f3f-5644-466e-935e-897e7725f6bc?rayon=&amp;d%25C3%25A9signation=SPAGHETTI COMPLETS&amp;fournisseur=&amp;date_d%25C3%25A9but=&amp;date_fin=","3.36")</f>
        <v>3.36</v>
      </c>
      <c r="M230" s="26" t="s">
        <v>1248</v>
      </c>
      <c r="N230" s="16">
        <v>888888.0</v>
      </c>
      <c r="P230" s="1">
        <v>0.05</v>
      </c>
    </row>
    <row r="231" ht="14.25" customHeight="1">
      <c r="A231" s="1" t="s">
        <v>471</v>
      </c>
      <c r="B231" s="9" t="str">
        <f>HYPERLINK("https://lafourche.fr/products/lori-bio-fusilli-blanc-bio-5kg","2.42")</f>
        <v>2.42</v>
      </c>
      <c r="C231" s="25" t="s">
        <v>1259</v>
      </c>
      <c r="D231" s="9" t="str">
        <f t="shared" ref="D231:D232" si="170">HYPERLINK("https://www.biocoop.fr/magasin-biocoop_champollion/spirales-blanches-500g-al0027-000.html","3.7")</f>
        <v>3.7</v>
      </c>
      <c r="E231" s="1" t="s">
        <v>869</v>
      </c>
      <c r="F231" s="9" t="str">
        <f t="shared" ref="F231:F232" si="171">HYPERLINK("https://www.biocoop.fr/magasin-biocoop_fontaine/spirales-blanches-500g-al0027-000.html","2.7")</f>
        <v>2.7</v>
      </c>
      <c r="G231" s="1" t="s">
        <v>869</v>
      </c>
      <c r="H231" s="9" t="str">
        <f t="shared" ref="H231:H232" si="172">HYPERLINK("https://satoriz-comboire.bio/products/re39050","2.3")</f>
        <v>2.3</v>
      </c>
      <c r="I231" s="1" t="s">
        <v>869</v>
      </c>
      <c r="J231" s="9" t="str">
        <f t="shared" ref="J231:J232" si="173">HYPERLINK("https://www.greenweez.com/produit/spirales-blanches-1kg/1PRIM0735","888888")</f>
        <v>888888</v>
      </c>
      <c r="K231" s="16" t="s">
        <v>869</v>
      </c>
      <c r="L231" s="9" t="str">
        <f t="shared" ref="L231:L232" si="174">HYPERLINK("https://metabase.lelefan.org/public/dashboard/53c41f3f-5644-466e-935e-897e7725f6bc?rayon=&amp;d%25C3%25A9signation=SPIRALES BLANCHES&amp;fournisseur=&amp;date_d%25C3%25A9but=&amp;date_fin=","888888")</f>
        <v>888888</v>
      </c>
      <c r="M231" s="16" t="s">
        <v>869</v>
      </c>
      <c r="N231" s="7" t="str">
        <f t="shared" ref="N231:N232" si="175">HYPERLINK("https://fd11-courses.leclercdrive.fr/magasin-063801-063801-Echirolles---Comboire/fiche-produits-16436-Pates-torsades-Bio-Village.aspx","1.98")</f>
        <v>1.98</v>
      </c>
    </row>
    <row r="232" ht="14.25" customHeight="1">
      <c r="A232" s="1" t="s">
        <v>472</v>
      </c>
      <c r="B232" s="9" t="str">
        <f>HYPERLINK("https://lafourche.fr/products/bio-pour-tous-fusilli-blanc-bio-500g","2.2")</f>
        <v>2.2</v>
      </c>
      <c r="C232" s="25" t="s">
        <v>1118</v>
      </c>
      <c r="D232" s="9" t="str">
        <f t="shared" si="170"/>
        <v>3.7</v>
      </c>
      <c r="E232" s="1" t="s">
        <v>869</v>
      </c>
      <c r="F232" s="9" t="str">
        <f t="shared" si="171"/>
        <v>2.7</v>
      </c>
      <c r="G232" s="1" t="s">
        <v>869</v>
      </c>
      <c r="H232" s="9" t="str">
        <f t="shared" si="172"/>
        <v>2.3</v>
      </c>
      <c r="I232" s="1" t="s">
        <v>869</v>
      </c>
      <c r="J232" s="9" t="str">
        <f t="shared" si="173"/>
        <v>888888</v>
      </c>
      <c r="K232" s="16" t="s">
        <v>869</v>
      </c>
      <c r="L232" s="9" t="str">
        <f t="shared" si="174"/>
        <v>888888</v>
      </c>
      <c r="M232" s="16" t="s">
        <v>869</v>
      </c>
      <c r="N232" s="7" t="str">
        <f t="shared" si="175"/>
        <v>1.98</v>
      </c>
    </row>
    <row r="233" ht="14.25" customHeight="1">
      <c r="A233" s="1" t="s">
        <v>473</v>
      </c>
      <c r="B233" s="9" t="str">
        <f>HYPERLINK("https://lafourche.fr/products/bio-pour-tous-fusilli-demi-complets-bio-500g","2.3")</f>
        <v>2.3</v>
      </c>
      <c r="C233" s="1" t="s">
        <v>869</v>
      </c>
      <c r="D233" s="9" t="str">
        <f>HYPERLINK("https://www.biocoop.fr/magasin-biocoop_champollion/spirale-1-2-complete-bio-al0064-000.html","2.2")</f>
        <v>2.2</v>
      </c>
      <c r="E233" s="26" t="s">
        <v>1115</v>
      </c>
      <c r="F233" s="7" t="str">
        <f>HYPERLINK("https://www.biocoop.fr/magasin-biocoop_fontaine/spirale-1-2-complete-bio-al0064-000.html","1.99")</f>
        <v>1.99</v>
      </c>
      <c r="G233" s="1" t="s">
        <v>869</v>
      </c>
      <c r="H233" s="9" t="str">
        <f>HYPERLINK("https://satoriz-comboire.bio/products/re39051","2.3")</f>
        <v>2.3</v>
      </c>
      <c r="I233" s="1" t="s">
        <v>869</v>
      </c>
      <c r="J233" s="9" t="str">
        <f>HYPERLINK("https://www.greenweez.com/produit/torsades-bio-semi-completes-500g/2WEEZ0489","2.58")</f>
        <v>2.58</v>
      </c>
      <c r="K233" s="1" t="s">
        <v>869</v>
      </c>
      <c r="L233" s="9" t="str">
        <f>HYPERLINK("https://metabase.lelefan.org/public/dashboard/53c41f3f-5644-466e-935e-897e7725f6bc?rayon=&amp;d%25C3%25A9signation=TORSADES SEMI COMPLET 500G&amp;fournisseur=&amp;date_d%25C3%25A9but=&amp;date_fin=","2.4")</f>
        <v>2.4</v>
      </c>
      <c r="M233" s="25" t="s">
        <v>1245</v>
      </c>
      <c r="N233" s="9" t="str">
        <f>HYPERLINK("https://fd11-courses.leclercdrive.fr/magasin-063801-063801-Echirolles---Comboire/fiche-produits-31116-Pates-bio-Jardin-Bio.aspx","3.58")</f>
        <v>3.58</v>
      </c>
      <c r="P233" s="1">
        <v>0.05</v>
      </c>
    </row>
    <row r="234" ht="14.25" customHeight="1">
      <c r="A234" s="1" t="s">
        <v>474</v>
      </c>
      <c r="B234" s="7" t="str">
        <f>HYPERLINK("https://lafourche.fr/products/bio-pour-tous-fusilli-integrales-bio-500g","2.24")</f>
        <v>2.24</v>
      </c>
      <c r="C234" s="26" t="s">
        <v>1260</v>
      </c>
      <c r="D234" s="9" t="str">
        <f>HYPERLINK("https://www.biocoop.fr/magasin-biocoop_champollion/spirales-completes-500g-al0025-000.html","3.24")</f>
        <v>3.24</v>
      </c>
      <c r="E234" s="1" t="s">
        <v>869</v>
      </c>
      <c r="F234" s="9" t="str">
        <f>HYPERLINK("https://www.biocoop.fr/magasin-biocoop_fontaine/spirales-completes-500g-al0025-000.html","3.0")</f>
        <v>3.0</v>
      </c>
      <c r="G234" s="26" t="s">
        <v>1247</v>
      </c>
      <c r="H234" s="9" t="str">
        <f>HYPERLINK("https://satoriz-comboire.bio/products/re39052","2.3")</f>
        <v>2.3</v>
      </c>
      <c r="I234" s="1" t="s">
        <v>869</v>
      </c>
      <c r="J234" s="9" t="str">
        <f>HYPERLINK("https://www.greenweez.com/produit/torsades-completes-bio-italie-500g/2WEEZ0024","888888")</f>
        <v>888888</v>
      </c>
      <c r="K234" s="16" t="s">
        <v>869</v>
      </c>
      <c r="L234" s="9" t="str">
        <f>HYPERLINK("https://metabase.lelefan.org/public/dashboard/53c41f3f-5644-466e-935e-897e7725f6bc?rayon=&amp;d%25C3%25A9signation=FUSILLI 1/2 COMPLET VRAC&amp;fournisseur=&amp;date_d%25C3%25A9but=&amp;date_fin=","2.95")</f>
        <v>2.95</v>
      </c>
      <c r="M234" s="26" t="s">
        <v>1242</v>
      </c>
      <c r="N234" s="16">
        <v>888888.0</v>
      </c>
    </row>
    <row r="235" ht="14.25" customHeight="1">
      <c r="A235" s="1" t="s">
        <v>475</v>
      </c>
      <c r="B235" s="9" t="str">
        <f>HYPERLINK("https://lafourche.fr/products/la-fourche-riz-basmati-blanc-bio-3kg","3.57")</f>
        <v>3.57</v>
      </c>
      <c r="C235" s="25" t="s">
        <v>295</v>
      </c>
      <c r="D235" s="9" t="str">
        <f t="shared" ref="D235:D236" si="176">HYPERLINK("https://www.biocoop.fr/magasin-biocoop_champollion/riz-basmati-blanc-bio-mf0080-000.html","3.99")</f>
        <v>3.99</v>
      </c>
      <c r="E235" s="26" t="s">
        <v>1261</v>
      </c>
      <c r="F235" s="9" t="str">
        <f t="shared" ref="F235:F236" si="177">HYPERLINK("https://www.biocoop.fr/magasin-biocoop_fontaine/riz-basmati-blanc-bio-mf0080-000.html","4.5")</f>
        <v>4.5</v>
      </c>
      <c r="G235" s="1" t="s">
        <v>869</v>
      </c>
      <c r="H235" s="9" t="str">
        <f t="shared" ref="H235:H236" si="178">HYPERLINK("https://satoriz-comboire.bio/products/eu2296","3.95")</f>
        <v>3.95</v>
      </c>
      <c r="I235" s="25" t="s">
        <v>1121</v>
      </c>
      <c r="J235" s="9" t="str">
        <f t="shared" ref="J235:J236" si="179">HYPERLINK("https://www.greenweez.com/produit/riz-basmati-blanc-bio-2-5kg/2WEEZ0218","5.18")</f>
        <v>5.18</v>
      </c>
      <c r="K235" s="26" t="s">
        <v>1262</v>
      </c>
      <c r="L235" s="9" t="str">
        <f t="shared" ref="L235:L236" si="180">HYPERLINK("https://metabase.lelefan.org/public/dashboard/53c41f3f-5644-466e-935e-897e7725f6bc?rayon=&amp;d%25C3%25A9signation=RIZ BASMATI BLANC VRAC&amp;fournisseur=&amp;date_d%25C3%25A9but=&amp;date_fin=","5.65")</f>
        <v>5.65</v>
      </c>
      <c r="M235" s="25" t="s">
        <v>923</v>
      </c>
      <c r="N235" s="7" t="str">
        <f t="shared" ref="N235:N236" si="181">HYPERLINK("https://fd11-courses.leclercdrive.fr/magasin-063801-063801-Echirolles---Comboire/fiche-produits-16439-Riz-Basmati-Bio-Village.aspx","3.0")</f>
        <v>3.0</v>
      </c>
      <c r="P235" s="1">
        <v>0.05</v>
      </c>
    </row>
    <row r="236" ht="14.25" customHeight="1">
      <c r="A236" s="1" t="s">
        <v>476</v>
      </c>
      <c r="B236" s="9" t="str">
        <f>HYPERLINK("https://lafourche.fr/products/la-fourche-1kg-de-riz-basmati-blanc-en-vrac-bio","3.59")</f>
        <v>3.59</v>
      </c>
      <c r="C236" s="25" t="s">
        <v>1263</v>
      </c>
      <c r="D236" s="9" t="str">
        <f t="shared" si="176"/>
        <v>3.99</v>
      </c>
      <c r="E236" s="26" t="s">
        <v>1261</v>
      </c>
      <c r="F236" s="9" t="str">
        <f t="shared" si="177"/>
        <v>4.5</v>
      </c>
      <c r="G236" s="1" t="s">
        <v>869</v>
      </c>
      <c r="H236" s="9" t="str">
        <f t="shared" si="178"/>
        <v>3.95</v>
      </c>
      <c r="I236" s="25" t="s">
        <v>1121</v>
      </c>
      <c r="J236" s="9" t="str">
        <f t="shared" si="179"/>
        <v>5.18</v>
      </c>
      <c r="K236" s="26" t="s">
        <v>1262</v>
      </c>
      <c r="L236" s="9" t="str">
        <f t="shared" si="180"/>
        <v>5.65</v>
      </c>
      <c r="M236" s="25" t="s">
        <v>923</v>
      </c>
      <c r="N236" s="7" t="str">
        <f t="shared" si="181"/>
        <v>3.0</v>
      </c>
      <c r="P236" s="1">
        <v>0.05</v>
      </c>
    </row>
    <row r="237" ht="14.25" customHeight="1">
      <c r="A237" s="1" t="s">
        <v>477</v>
      </c>
      <c r="B237" s="9" t="str">
        <f t="shared" ref="B237:B238" si="182">HYPERLINK("https://lafourche.fr/products/la-fourche-1kg-de-riz-basmati-semi-complet-en-vrac-bio","3.9")</f>
        <v>3.9</v>
      </c>
      <c r="C237" s="25" t="s">
        <v>404</v>
      </c>
      <c r="D237" s="9" t="str">
        <f t="shared" ref="D237:D238" si="183">HYPERLINK("https://www.biocoop.fr/magasin-biocoop_champollion/riz-basmati-1-2-complet-bio-mf0079-000.html","3.95")</f>
        <v>3.95</v>
      </c>
      <c r="E237" s="26" t="s">
        <v>1258</v>
      </c>
      <c r="F237" s="9" t="str">
        <f t="shared" ref="F237:F238" si="184">HYPERLINK("https://www.biocoop.fr/magasin-biocoop_fontaine/riz-basmati-1-2-complet-bio-mf0079-000.html","3.95")</f>
        <v>3.95</v>
      </c>
      <c r="G237" s="1" t="s">
        <v>869</v>
      </c>
      <c r="H237" s="9" t="str">
        <f t="shared" ref="H237:H238" si="185">HYPERLINK("https://satoriz-comboire.bio/products/eu1867","4.05")</f>
        <v>4.05</v>
      </c>
      <c r="I237" s="25" t="s">
        <v>1264</v>
      </c>
      <c r="J237" s="9" t="str">
        <f>HYPERLINK("https://www.greenweez.com/produit/riz-basmati-demi-complet-bio-3kg/5GREE0314","5.09")</f>
        <v>5.09</v>
      </c>
      <c r="K237" s="1" t="s">
        <v>869</v>
      </c>
      <c r="L237" s="7" t="str">
        <f t="shared" ref="L237:L240" si="186">HYPERLINK("https://metabase.lelefan.org/public/dashboard/53c41f3f-5644-466e-935e-897e7725f6bc?rayon=&amp;d%25C3%25A9signation=RIZ BASMATI DEMI COMPLET - PAKISTAN&amp;fournisseur=&amp;date_d%25C3%25A9but=&amp;date_fin=","3.24")</f>
        <v>3.24</v>
      </c>
      <c r="M237" s="25" t="s">
        <v>949</v>
      </c>
      <c r="N237" s="16">
        <v>888888.0</v>
      </c>
      <c r="P237" s="1">
        <v>0.05</v>
      </c>
    </row>
    <row r="238" ht="14.25" customHeight="1">
      <c r="A238" s="1" t="s">
        <v>478</v>
      </c>
      <c r="B238" s="9" t="str">
        <f t="shared" si="182"/>
        <v>3.9</v>
      </c>
      <c r="C238" s="25" t="s">
        <v>404</v>
      </c>
      <c r="D238" s="9" t="str">
        <f t="shared" si="183"/>
        <v>3.95</v>
      </c>
      <c r="E238" s="26" t="s">
        <v>1258</v>
      </c>
      <c r="F238" s="9" t="str">
        <f t="shared" si="184"/>
        <v>3.95</v>
      </c>
      <c r="G238" s="1" t="s">
        <v>869</v>
      </c>
      <c r="H238" s="9" t="str">
        <f t="shared" si="185"/>
        <v>4.05</v>
      </c>
      <c r="I238" s="25" t="s">
        <v>1264</v>
      </c>
      <c r="J238" s="9" t="str">
        <f>HYPERLINK("https://www.greenweez.com/produit/riz-basmati-demi-complet-1kg/1PRIM0048","6.38")</f>
        <v>6.38</v>
      </c>
      <c r="K238" s="25" t="s">
        <v>1265</v>
      </c>
      <c r="L238" s="7" t="str">
        <f t="shared" si="186"/>
        <v>3.24</v>
      </c>
      <c r="M238" s="25" t="s">
        <v>949</v>
      </c>
      <c r="N238" s="16">
        <v>888888.0</v>
      </c>
      <c r="P238" s="1">
        <v>0.05</v>
      </c>
    </row>
    <row r="239" ht="14.25" customHeight="1">
      <c r="A239" s="1" t="s">
        <v>479</v>
      </c>
      <c r="B239" s="9" t="str">
        <f>HYPERLINK("https://lafourche.fr/products/la-fourche-1kg-de-riz-basmati-complet-en-vrac-bio","3.52")</f>
        <v>3.52</v>
      </c>
      <c r="C239" s="25" t="s">
        <v>1266</v>
      </c>
      <c r="D239" s="9" t="str">
        <f t="shared" ref="D239:D240" si="187">HYPERLINK("https://www.biocoop.fr/magasin-biocoop_champollion/riz-basmati-complet-bio-mf0081-000.html","4.4")</f>
        <v>4.4</v>
      </c>
      <c r="E239" s="1" t="s">
        <v>869</v>
      </c>
      <c r="F239" s="9" t="str">
        <f t="shared" ref="F239:F240" si="188">HYPERLINK("https://www.biocoop.fr/magasin-biocoop_fontaine/riz-basmati-complet-mf0014-000.html","6.2")</f>
        <v>6.2</v>
      </c>
      <c r="G239" s="1" t="s">
        <v>869</v>
      </c>
      <c r="H239" s="9" t="str">
        <f t="shared" ref="H239:H240" si="189">HYPERLINK("https://satoriz-comboire.bio/collections/vrac/products/eu2292","3.8")</f>
        <v>3.8</v>
      </c>
      <c r="I239" s="25" t="s">
        <v>1249</v>
      </c>
      <c r="J239" s="9" t="str">
        <f>HYPERLINK("https://www.greenweez.com/produit/riz-basmati-complet-bio-2-5kg/2WEEZ0124","4.52")</f>
        <v>4.52</v>
      </c>
      <c r="K239" s="26" t="s">
        <v>1267</v>
      </c>
      <c r="L239" s="7" t="str">
        <f t="shared" si="186"/>
        <v>3.24</v>
      </c>
      <c r="M239" s="25" t="s">
        <v>949</v>
      </c>
      <c r="N239" s="16">
        <v>888888.0</v>
      </c>
      <c r="P239" s="1">
        <v>0.05</v>
      </c>
    </row>
    <row r="240" ht="14.25" customHeight="1">
      <c r="A240" s="1" t="s">
        <v>480</v>
      </c>
      <c r="B240" s="9" t="str">
        <f>HYPERLINK("https://lafourche.fr/products/celnat-riz-basmati-complet-500g-bio","4.64")</f>
        <v>4.64</v>
      </c>
      <c r="C240" s="25" t="s">
        <v>1268</v>
      </c>
      <c r="D240" s="9" t="str">
        <f t="shared" si="187"/>
        <v>4.4</v>
      </c>
      <c r="E240" s="1" t="s">
        <v>869</v>
      </c>
      <c r="F240" s="9" t="str">
        <f t="shared" si="188"/>
        <v>6.2</v>
      </c>
      <c r="G240" s="1" t="s">
        <v>869</v>
      </c>
      <c r="H240" s="9" t="str">
        <f t="shared" si="189"/>
        <v>3.8</v>
      </c>
      <c r="I240" s="25" t="s">
        <v>1249</v>
      </c>
      <c r="J240" s="9" t="str">
        <f>HYPERLINK("https://www.greenweez.com/produit/riz-basmati-complet-bio-500g/2WEEZ0025","4.6")</f>
        <v>4.6</v>
      </c>
      <c r="K240" s="1" t="s">
        <v>869</v>
      </c>
      <c r="L240" s="7" t="str">
        <f t="shared" si="186"/>
        <v>3.24</v>
      </c>
      <c r="M240" s="25" t="s">
        <v>949</v>
      </c>
      <c r="N240" s="16">
        <v>888888.0</v>
      </c>
      <c r="P240" s="1">
        <v>0.05</v>
      </c>
    </row>
    <row r="241" ht="14.25" customHeight="1">
      <c r="A241" s="1" t="s">
        <v>481</v>
      </c>
      <c r="B241" s="9" t="str">
        <f t="shared" ref="B241:B242" si="190">HYPERLINK("https://lafourche.fr/products/celnat-riz-long-blanc-1kg","4.53")</f>
        <v>4.53</v>
      </c>
      <c r="C241" s="25" t="s">
        <v>1269</v>
      </c>
      <c r="D241" s="9" t="str">
        <f t="shared" ref="D241:D242" si="191">HYPERLINK("https://www.biocoop.fr/magasin-biocoop_champollion/riz-long-blanc-camargue-1kg-bo0103-000.html","5.7")</f>
        <v>5.7</v>
      </c>
      <c r="E241" s="1" t="s">
        <v>869</v>
      </c>
      <c r="F241" s="9" t="str">
        <f t="shared" ref="F241:F242" si="192">HYPERLINK("https://www.biocoop.fr/magasin-biocoop_fontaine/riz-long-blanc-camargue-1kg-bo0103-000.html","5.85")</f>
        <v>5.85</v>
      </c>
      <c r="G241" s="25" t="s">
        <v>130</v>
      </c>
      <c r="H241" s="7" t="str">
        <f>HYPERLINK("https://satoriz-comboire.bio/products/ma00995","2.98")</f>
        <v>2.98</v>
      </c>
      <c r="I241" s="26" t="s">
        <v>1270</v>
      </c>
      <c r="J241" s="9" t="str">
        <f>HYPERLINK("https://www.greenweez.com/produit/riz-blanc-long-bio-2-5kg/2WEEZ0471","3.79")</f>
        <v>3.79</v>
      </c>
      <c r="K241" s="26" t="s">
        <v>1271</v>
      </c>
      <c r="L241" s="16">
        <v>888888.0</v>
      </c>
      <c r="N241" s="9" t="str">
        <f t="shared" ref="N241:N242" si="193">HYPERLINK("https://fd11-courses.leclercdrive.fr/magasin-063801-063801-Echirolles---Comboire/fiche-produits-16438-Riz-long-Bio-Village.aspx","3.84")</f>
        <v>3.84</v>
      </c>
    </row>
    <row r="242" ht="14.25" customHeight="1">
      <c r="A242" s="1" t="s">
        <v>482</v>
      </c>
      <c r="B242" s="9" t="str">
        <f t="shared" si="190"/>
        <v>4.53</v>
      </c>
      <c r="C242" s="25" t="s">
        <v>1269</v>
      </c>
      <c r="D242" s="9" t="str">
        <f t="shared" si="191"/>
        <v>5.7</v>
      </c>
      <c r="E242" s="1" t="s">
        <v>869</v>
      </c>
      <c r="F242" s="9" t="str">
        <f t="shared" si="192"/>
        <v>5.85</v>
      </c>
      <c r="G242" s="25" t="s">
        <v>130</v>
      </c>
      <c r="H242" s="7" t="str">
        <f>HYPERLINK("https://satoriz-comboire.bio/products/eu1287","3.65")</f>
        <v>3.65</v>
      </c>
      <c r="I242" s="25" t="s">
        <v>1272</v>
      </c>
      <c r="J242" s="9" t="str">
        <f>HYPERLINK("https://www.greenweez.com/produit/riz-blanc-long-bio-500g/2WEEZ0483","4.58")</f>
        <v>4.58</v>
      </c>
      <c r="K242" s="25" t="s">
        <v>1273</v>
      </c>
      <c r="L242" s="16">
        <v>888888.0</v>
      </c>
      <c r="N242" s="9" t="str">
        <f t="shared" si="193"/>
        <v>3.84</v>
      </c>
    </row>
    <row r="243" ht="14.25" customHeight="1">
      <c r="A243" s="1" t="s">
        <v>483</v>
      </c>
      <c r="B243" s="9" t="str">
        <f t="shared" ref="B243:B244" si="194">HYPERLINK("https://lafourche.fr/products/celnat-riz-long-demi-complet-1kg-bio","4.99")</f>
        <v>4.99</v>
      </c>
      <c r="C243" s="25" t="s">
        <v>1274</v>
      </c>
      <c r="D243" s="9" t="str">
        <f t="shared" ref="D243:D244" si="195">HYPERLINK("https://www.biocoop.fr/magasin-biocoop_champollion/riz-de-camargue-long-1-2-complet-1kg-bo0102-000.html","4.95")</f>
        <v>4.95</v>
      </c>
      <c r="E243" s="1" t="s">
        <v>869</v>
      </c>
      <c r="F243" s="9" t="str">
        <f t="shared" ref="F243:F244" si="196">HYPERLINK("https://www.biocoop.fr/magasin-biocoop_fontaine/riz-de-camargue-long-1-2-complet-1kg-bo0102-000.html","4.99")</f>
        <v>4.99</v>
      </c>
      <c r="G243" s="25" t="s">
        <v>1275</v>
      </c>
      <c r="H243" s="7" t="str">
        <f t="shared" ref="H243:H244" si="197">HYPERLINK("https://satoriz-comboire.bio/products/eu631","3.35")</f>
        <v>3.35</v>
      </c>
      <c r="I243" s="25" t="s">
        <v>187</v>
      </c>
      <c r="J243" s="9" t="str">
        <f>HYPERLINK("https://www.greenweez.com/produit/riz-long-1-2-complet-bio-3kg/5GREE0328","4.66")</f>
        <v>4.66</v>
      </c>
      <c r="K243" s="1" t="s">
        <v>869</v>
      </c>
      <c r="L243" s="9" t="str">
        <f t="shared" ref="L243:L244" si="198">HYPERLINK("https://metabase.lelefan.org/public/dashboard/53c41f3f-5644-466e-935e-897e7725f6bc?rayon=&amp;d%25C3%25A9signation=RIZ LONG CAMARGUE 1/2 COMPLET VRAC&amp;fournisseur=&amp;date_d%25C3%25A9but=&amp;date_fin=","4.46")</f>
        <v>4.46</v>
      </c>
      <c r="M243" s="1" t="s">
        <v>869</v>
      </c>
      <c r="N243" s="9" t="str">
        <f t="shared" ref="N243:N244" si="199">HYPERLINK("https://fd11-courses.leclercdrive.fr/magasin-063801-063801-Echirolles---Comboire/fiche-produits-68868-Riz-long-Bio-Village.aspx","5.06")</f>
        <v>5.06</v>
      </c>
      <c r="P243" s="1">
        <v>0.05</v>
      </c>
    </row>
    <row r="244" ht="14.25" customHeight="1">
      <c r="A244" s="1" t="s">
        <v>484</v>
      </c>
      <c r="B244" s="9" t="str">
        <f t="shared" si="194"/>
        <v>4.99</v>
      </c>
      <c r="C244" s="25" t="s">
        <v>1274</v>
      </c>
      <c r="D244" s="9" t="str">
        <f t="shared" si="195"/>
        <v>4.95</v>
      </c>
      <c r="E244" s="1" t="s">
        <v>869</v>
      </c>
      <c r="F244" s="9" t="str">
        <f t="shared" si="196"/>
        <v>4.99</v>
      </c>
      <c r="G244" s="25" t="s">
        <v>1275</v>
      </c>
      <c r="H244" s="7" t="str">
        <f t="shared" si="197"/>
        <v>3.35</v>
      </c>
      <c r="I244" s="25" t="s">
        <v>187</v>
      </c>
      <c r="J244" s="9" t="str">
        <f>HYPERLINK("https://www.greenweez.com/produit/riz-long-demi-complet-camargue-1kg/1MKAL0136","5.29")</f>
        <v>5.29</v>
      </c>
      <c r="K244" s="25" t="s">
        <v>1276</v>
      </c>
      <c r="L244" s="9" t="str">
        <f t="shared" si="198"/>
        <v>4.46</v>
      </c>
      <c r="M244" s="1" t="s">
        <v>869</v>
      </c>
      <c r="N244" s="9" t="str">
        <f t="shared" si="199"/>
        <v>5.06</v>
      </c>
      <c r="P244" s="1">
        <v>0.05</v>
      </c>
    </row>
    <row r="245" ht="14.25" customHeight="1">
      <c r="A245" s="1" t="s">
        <v>485</v>
      </c>
      <c r="B245" s="9" t="str">
        <f t="shared" ref="B245:B246" si="200">HYPERLINK("https://lafourche.fr/products/celnat-riz-long-complet-1kg","3.99")</f>
        <v>3.99</v>
      </c>
      <c r="C245" s="25" t="s">
        <v>1277</v>
      </c>
      <c r="D245" s="9" t="str">
        <f t="shared" ref="D245:D246" si="201">HYPERLINK("https://www.biocoop.fr/magasin-biocoop_champollion/riz-long-complet-camargue-1kg-bo0100-000.html","4.61")</f>
        <v>4.61</v>
      </c>
      <c r="E245" s="1" t="s">
        <v>869</v>
      </c>
      <c r="F245" s="9" t="str">
        <f t="shared" ref="F245:F246" si="202">HYPERLINK("https://www.biocoop.fr/magasin-biocoop_fontaine/riz-long-complet-camargue-1kg-bo0100-000.html","4.95")</f>
        <v>4.95</v>
      </c>
      <c r="G245" s="25" t="s">
        <v>1278</v>
      </c>
      <c r="H245" s="7" t="str">
        <f t="shared" ref="H245:H246" si="203">HYPERLINK("https://satoriz-comboire.bio/collections/vrac/products/eu629","3.2")</f>
        <v>3.2</v>
      </c>
      <c r="I245" s="25" t="s">
        <v>874</v>
      </c>
      <c r="J245" s="9" t="str">
        <f>HYPERLINK("https://www.greenweez.com/produit/riz-long-brun-bio-2-5kg/2WEEZ0472","3.23")</f>
        <v>3.23</v>
      </c>
      <c r="K245" s="26" t="s">
        <v>1279</v>
      </c>
      <c r="L245" s="16">
        <v>888888.0</v>
      </c>
      <c r="N245" s="16">
        <v>888888.0</v>
      </c>
    </row>
    <row r="246" ht="14.25" customHeight="1">
      <c r="A246" s="1" t="s">
        <v>486</v>
      </c>
      <c r="B246" s="9" t="str">
        <f t="shared" si="200"/>
        <v>3.99</v>
      </c>
      <c r="C246" s="25" t="s">
        <v>1277</v>
      </c>
      <c r="D246" s="9" t="str">
        <f t="shared" si="201"/>
        <v>4.61</v>
      </c>
      <c r="E246" s="1" t="s">
        <v>869</v>
      </c>
      <c r="F246" s="9" t="str">
        <f t="shared" si="202"/>
        <v>4.95</v>
      </c>
      <c r="G246" s="25" t="s">
        <v>1278</v>
      </c>
      <c r="H246" s="7" t="str">
        <f t="shared" si="203"/>
        <v>3.2</v>
      </c>
      <c r="I246" s="25" t="s">
        <v>874</v>
      </c>
      <c r="J246" s="9" t="str">
        <f>HYPERLINK("https://www.greenweez.com/produit/riz-long-brun-bio-500g/2WEEZ0484","888888")</f>
        <v>888888</v>
      </c>
      <c r="K246" s="18" t="s">
        <v>56</v>
      </c>
      <c r="L246" s="16">
        <v>888888.0</v>
      </c>
      <c r="N246" s="16">
        <v>888888.0</v>
      </c>
    </row>
    <row r="247" ht="14.25" customHeight="1">
      <c r="A247" s="1" t="s">
        <v>487</v>
      </c>
      <c r="B247" s="9" t="str">
        <f>HYPERLINK("https://lafourche.fr/products/celnat-riz-rond-blanc-bio-3kg","4.5")</f>
        <v>4.5</v>
      </c>
      <c r="C247" s="25" t="s">
        <v>1280</v>
      </c>
      <c r="D247" s="9" t="str">
        <f t="shared" ref="D247:D248" si="204">HYPERLINK("https://www.biocoop.fr/magasin-biocoop_champollion/riz-de-camargue-rond-blanc-1kg-bo0107-000.html","5.25")</f>
        <v>5.25</v>
      </c>
      <c r="E247" s="1" t="s">
        <v>869</v>
      </c>
      <c r="F247" s="9" t="str">
        <f t="shared" ref="F247:F248" si="205">HYPERLINK("https://www.biocoop.fr/magasin-biocoop_fontaine/riz-de-camargue-rond-blanc-1kg-bo0107-000.html","5.35")</f>
        <v>5.35</v>
      </c>
      <c r="G247" s="25" t="s">
        <v>1160</v>
      </c>
      <c r="H247" s="9" t="str">
        <f t="shared" ref="H247:H248" si="206">HYPERLINK("https://satoriz-comboire.bio/products/ma1127","4.15")</f>
        <v>4.15</v>
      </c>
      <c r="I247" s="25" t="s">
        <v>1281</v>
      </c>
      <c r="J247" s="9" t="str">
        <f t="shared" ref="J247:J248" si="207">HYPERLINK("https://www.greenweez.com/produit/riz-rond-blanc-ditalie-1kg/1PRIM0026","4.53")</f>
        <v>4.53</v>
      </c>
      <c r="K247" s="1" t="s">
        <v>869</v>
      </c>
      <c r="L247" s="7" t="str">
        <f t="shared" ref="L247:L248" si="208">HYPERLINK("https://metabase.lelefan.org/public/dashboard/53c41f3f-5644-466e-935e-897e7725f6bc?rayon=&amp;d%25C3%25A9signation=RIZ ROND BLANC VRAC&amp;fournisseur=&amp;date_d%25C3%25A9but=&amp;date_fin=","3.75")</f>
        <v>3.75</v>
      </c>
      <c r="M247" s="25" t="s">
        <v>1282</v>
      </c>
      <c r="N247" s="16">
        <v>888888.0</v>
      </c>
      <c r="P247" s="1">
        <v>0.05</v>
      </c>
    </row>
    <row r="248" ht="14.25" customHeight="1">
      <c r="A248" s="1" t="s">
        <v>488</v>
      </c>
      <c r="B248" s="9" t="str">
        <f>HYPERLINK("https://lafourche.fr/products/celnat-riz-rond-blanc-1kg","4.97")</f>
        <v>4.97</v>
      </c>
      <c r="C248" s="25" t="s">
        <v>1283</v>
      </c>
      <c r="D248" s="9" t="str">
        <f t="shared" si="204"/>
        <v>5.25</v>
      </c>
      <c r="E248" s="1" t="s">
        <v>869</v>
      </c>
      <c r="F248" s="9" t="str">
        <f t="shared" si="205"/>
        <v>5.35</v>
      </c>
      <c r="G248" s="25" t="s">
        <v>1160</v>
      </c>
      <c r="H248" s="9" t="str">
        <f t="shared" si="206"/>
        <v>4.15</v>
      </c>
      <c r="I248" s="25" t="s">
        <v>1281</v>
      </c>
      <c r="J248" s="9" t="str">
        <f t="shared" si="207"/>
        <v>4.53</v>
      </c>
      <c r="K248" s="1" t="s">
        <v>869</v>
      </c>
      <c r="L248" s="7" t="str">
        <f t="shared" si="208"/>
        <v>3.75</v>
      </c>
      <c r="M248" s="25" t="s">
        <v>1282</v>
      </c>
      <c r="N248" s="16">
        <v>888888.0</v>
      </c>
      <c r="P248" s="1">
        <v>0.05</v>
      </c>
    </row>
    <row r="249" ht="14.25" customHeight="1">
      <c r="A249" s="1" t="s">
        <v>489</v>
      </c>
      <c r="B249" s="16">
        <v>888888.0</v>
      </c>
      <c r="D249" s="9" t="str">
        <f t="shared" ref="D249:D252" si="209">HYPERLINK("https://www.biocoop.fr/magasin-biocoop_champollion/riz-de-camargue-rond-1-2-complet-1kg-bo0106-000.html","5.2")</f>
        <v>5.2</v>
      </c>
      <c r="E249" s="26" t="s">
        <v>974</v>
      </c>
      <c r="F249" s="9" t="str">
        <f t="shared" ref="F249:F252" si="210">HYPERLINK("https://www.biocoop.fr/magasin-biocoop_fontaine/riz-de-camargue-rond-1-2-complet-1kg-bo0106-000.html","5.1")</f>
        <v>5.1</v>
      </c>
      <c r="G249" s="25" t="s">
        <v>19</v>
      </c>
      <c r="H249" s="7" t="str">
        <f t="shared" ref="H249:H250" si="211">HYPERLINK("https://satoriz-comboire.bio/products/ma3060","4.05")</f>
        <v>4.05</v>
      </c>
      <c r="I249" s="25" t="s">
        <v>1284</v>
      </c>
      <c r="J249" s="9" t="str">
        <f>HYPERLINK("https://www.greenweez.com/produit/riz-rond-demi-complet-bio-2-5kg/2WEEZ0127","888888")</f>
        <v>888888</v>
      </c>
      <c r="K249" s="16" t="s">
        <v>869</v>
      </c>
      <c r="L249" s="16">
        <v>888888.0</v>
      </c>
      <c r="N249" s="16">
        <v>888888.0</v>
      </c>
    </row>
    <row r="250" ht="14.25" customHeight="1">
      <c r="A250" s="1" t="s">
        <v>490</v>
      </c>
      <c r="B250" s="16">
        <v>888888.0</v>
      </c>
      <c r="D250" s="9" t="str">
        <f t="shared" si="209"/>
        <v>5.2</v>
      </c>
      <c r="E250" s="26" t="s">
        <v>974</v>
      </c>
      <c r="F250" s="9" t="str">
        <f t="shared" si="210"/>
        <v>5.1</v>
      </c>
      <c r="G250" s="25" t="s">
        <v>19</v>
      </c>
      <c r="H250" s="7" t="str">
        <f t="shared" si="211"/>
        <v>4.05</v>
      </c>
      <c r="I250" s="25" t="s">
        <v>1284</v>
      </c>
      <c r="J250" s="9" t="str">
        <f>HYPERLINK("https://www.greenweez.com/produit/riz-rond-demi-complet-bio-500g-1/2WEEZ0027","5.36")</f>
        <v>5.36</v>
      </c>
      <c r="K250" s="16" t="s">
        <v>896</v>
      </c>
      <c r="L250" s="16">
        <v>888888.0</v>
      </c>
      <c r="N250" s="16">
        <v>888888.0</v>
      </c>
    </row>
    <row r="251" ht="14.25" customHeight="1">
      <c r="A251" s="1" t="s">
        <v>491</v>
      </c>
      <c r="B251" s="9" t="str">
        <f t="shared" ref="B251:B252" si="212">HYPERLINK("https://lafourche.fr/products/markal-riz-de-camargue-rond-complet-bio-1kg","3.99")</f>
        <v>3.99</v>
      </c>
      <c r="C251" s="25" t="s">
        <v>929</v>
      </c>
      <c r="D251" s="9" t="str">
        <f t="shared" si="209"/>
        <v>5.2</v>
      </c>
      <c r="E251" s="26" t="s">
        <v>974</v>
      </c>
      <c r="F251" s="9" t="str">
        <f t="shared" si="210"/>
        <v>5.1</v>
      </c>
      <c r="G251" s="25" t="s">
        <v>19</v>
      </c>
      <c r="H251" s="7" t="str">
        <f t="shared" ref="H251:H252" si="213">HYPERLINK("https://satoriz-comboire.bio/collections/vrac/products/eu624","3.45")</f>
        <v>3.45</v>
      </c>
      <c r="I251" s="25" t="s">
        <v>234</v>
      </c>
      <c r="J251" s="9" t="str">
        <f>HYPERLINK("https://www.greenweez.com/produit/riz-rond-complet-bio-2-5kg/2WEEZ0126","888888")</f>
        <v>888888</v>
      </c>
      <c r="K251" s="18" t="s">
        <v>56</v>
      </c>
      <c r="L251" s="16">
        <v>888888.0</v>
      </c>
      <c r="N251" s="16">
        <v>888888.0</v>
      </c>
    </row>
    <row r="252" ht="14.25" customHeight="1">
      <c r="A252" s="1" t="s">
        <v>492</v>
      </c>
      <c r="B252" s="9" t="str">
        <f t="shared" si="212"/>
        <v>3.99</v>
      </c>
      <c r="C252" s="25" t="s">
        <v>929</v>
      </c>
      <c r="D252" s="9" t="str">
        <f t="shared" si="209"/>
        <v>5.2</v>
      </c>
      <c r="E252" s="26" t="s">
        <v>974</v>
      </c>
      <c r="F252" s="9" t="str">
        <f t="shared" si="210"/>
        <v>5.1</v>
      </c>
      <c r="G252" s="25" t="s">
        <v>19</v>
      </c>
      <c r="H252" s="7" t="str">
        <f t="shared" si="213"/>
        <v>3.45</v>
      </c>
      <c r="I252" s="25" t="s">
        <v>234</v>
      </c>
      <c r="J252" s="9" t="str">
        <f>HYPERLINK("https://www.greenweez.com/produit/riz-rond-complet-camargue-1kg/1MKAL0141","4.88")</f>
        <v>4.88</v>
      </c>
      <c r="K252" s="25" t="s">
        <v>1285</v>
      </c>
      <c r="L252" s="16">
        <v>888888.0</v>
      </c>
      <c r="N252" s="16">
        <v>888888.0</v>
      </c>
    </row>
    <row r="253" ht="14.25" customHeight="1">
      <c r="A253" s="1" t="s">
        <v>493</v>
      </c>
      <c r="B253" s="9" t="str">
        <f t="shared" ref="B253:B254" si="214">HYPERLINK("https://lafourche.fr/products/elibio-riz-thai-blanc-bio-1kg","3.7")</f>
        <v>3.7</v>
      </c>
      <c r="C253" s="26" t="s">
        <v>1083</v>
      </c>
      <c r="D253" s="9" t="str">
        <f t="shared" ref="D253:D254" si="215">HYPERLINK("https://www.biocoop.fr/magasin-biocoop_champollion/riz-thai-blanc-bio-mf0083-000.html","4.35")</f>
        <v>4.35</v>
      </c>
      <c r="E253" s="26" t="s">
        <v>1286</v>
      </c>
      <c r="F253" s="9" t="str">
        <f t="shared" ref="F253:F254" si="216">HYPERLINK("https://www.biocoop.fr/magasin-biocoop_fontaine/riz-thai-blanc-bio-mf0083-000.html","4.65")</f>
        <v>4.65</v>
      </c>
      <c r="G253" s="1" t="s">
        <v>869</v>
      </c>
      <c r="H253" s="9" t="str">
        <f t="shared" ref="H253:H254" si="217">HYPERLINK("https://satoriz-comboire.bio/products/eu2302","4.4")</f>
        <v>4.4</v>
      </c>
      <c r="I253" s="25" t="s">
        <v>1287</v>
      </c>
      <c r="J253" s="9" t="str">
        <f>HYPERLINK("https://www.greenweez.com/produit/riz-thai-blanc-3kg/5GREE0343","4.65")</f>
        <v>4.65</v>
      </c>
      <c r="K253" s="26" t="s">
        <v>1288</v>
      </c>
      <c r="L253" s="7" t="str">
        <f t="shared" ref="L253:L254" si="218">HYPERLINK("https://metabase.lelefan.org/public/dashboard/53c41f3f-5644-466e-935e-897e7725f6bc?rayon=&amp;d%25C3%25A9signation=RIZ THAI BLANC - THAILANDE&amp;fournisseur=&amp;date_d%25C3%25A9but=&amp;date_fin=","3.59")</f>
        <v>3.59</v>
      </c>
      <c r="M253" s="25" t="s">
        <v>1289</v>
      </c>
      <c r="N253" s="9" t="str">
        <f t="shared" ref="N253:N254" si="219">HYPERLINK("https://fd11-courses.leclercdrive.fr/magasin-063801-063801-Echirolles---Comboire/fiche-produits-16171-Riz-Thai-Bio-Village.aspx","4.98")</f>
        <v>4.98</v>
      </c>
      <c r="P253" s="1">
        <v>0.05</v>
      </c>
    </row>
    <row r="254" ht="14.25" customHeight="1">
      <c r="A254" s="1" t="s">
        <v>494</v>
      </c>
      <c r="B254" s="9" t="str">
        <f t="shared" si="214"/>
        <v>3.7</v>
      </c>
      <c r="C254" s="26" t="s">
        <v>1083</v>
      </c>
      <c r="D254" s="9" t="str">
        <f t="shared" si="215"/>
        <v>4.35</v>
      </c>
      <c r="E254" s="26" t="s">
        <v>1286</v>
      </c>
      <c r="F254" s="9" t="str">
        <f t="shared" si="216"/>
        <v>4.65</v>
      </c>
      <c r="G254" s="1" t="s">
        <v>869</v>
      </c>
      <c r="H254" s="9" t="str">
        <f t="shared" si="217"/>
        <v>4.4</v>
      </c>
      <c r="I254" s="25" t="s">
        <v>1287</v>
      </c>
      <c r="J254" s="9" t="str">
        <f>HYPERLINK("https://www.greenweez.com/produit/riz-thai-blanc-bio-500g/5GREE0342","888888")</f>
        <v>888888</v>
      </c>
      <c r="K254" s="18" t="s">
        <v>56</v>
      </c>
      <c r="L254" s="7" t="str">
        <f t="shared" si="218"/>
        <v>3.59</v>
      </c>
      <c r="M254" s="25" t="s">
        <v>1289</v>
      </c>
      <c r="N254" s="9" t="str">
        <f t="shared" si="219"/>
        <v>4.98</v>
      </c>
    </row>
    <row r="255" ht="14.25" customHeight="1">
      <c r="A255" s="1" t="s">
        <v>495</v>
      </c>
      <c r="B255" s="7" t="str">
        <f t="shared" ref="B255:B256" si="220">HYPERLINK("https://lafourche.fr/products/la-fourche-1kg-de-riz-thai-demi-complet-en-vrac-bio","3.99")</f>
        <v>3.99</v>
      </c>
      <c r="C255" s="1" t="s">
        <v>869</v>
      </c>
      <c r="D255" s="9" t="str">
        <f t="shared" ref="D255:D256" si="221">HYPERLINK("https://www.biocoop.fr/magasin-biocoop_champollion/riz-thai-1-2-complet-bio-mf0082-000.html","4.3")</f>
        <v>4.3</v>
      </c>
      <c r="E255" s="26" t="s">
        <v>1290</v>
      </c>
      <c r="F255" s="9" t="str">
        <f t="shared" ref="F255:F256" si="222">HYPERLINK("https://www.biocoop.fr/magasin-biocoop_fontaine/riz-thai-1-2-complet-bio-mf0082-000.html","4.55")</f>
        <v>4.55</v>
      </c>
      <c r="G255" s="1" t="s">
        <v>869</v>
      </c>
      <c r="H255" s="9" t="str">
        <f t="shared" ref="H255:H256" si="223">HYPERLINK("https://satoriz-comboire.bio/products/eu3068","4.6")</f>
        <v>4.6</v>
      </c>
      <c r="I255" s="25" t="s">
        <v>1251</v>
      </c>
      <c r="J255" s="9" t="str">
        <f>HYPERLINK("https://www.greenweez.com/produit/riz-thai-demi-complet-3kg/5GREE0347","4.99")</f>
        <v>4.99</v>
      </c>
      <c r="K255" s="16" t="s">
        <v>896</v>
      </c>
      <c r="L255" s="16">
        <v>888888.0</v>
      </c>
      <c r="N255" s="16">
        <v>888888.0</v>
      </c>
    </row>
    <row r="256" ht="14.25" customHeight="1">
      <c r="A256" s="1" t="s">
        <v>496</v>
      </c>
      <c r="B256" s="7" t="str">
        <f t="shared" si="220"/>
        <v>3.99</v>
      </c>
      <c r="C256" s="1" t="s">
        <v>869</v>
      </c>
      <c r="D256" s="9" t="str">
        <f t="shared" si="221"/>
        <v>4.3</v>
      </c>
      <c r="E256" s="26" t="s">
        <v>1290</v>
      </c>
      <c r="F256" s="9" t="str">
        <f t="shared" si="222"/>
        <v>4.55</v>
      </c>
      <c r="G256" s="1" t="s">
        <v>869</v>
      </c>
      <c r="H256" s="9" t="str">
        <f t="shared" si="223"/>
        <v>4.6</v>
      </c>
      <c r="I256" s="25" t="s">
        <v>1251</v>
      </c>
      <c r="J256" s="9" t="str">
        <f>HYPERLINK("https://www.greenweez.com/produit/riz-thai-demi-complet-500g/1PRIM0450","7.46")</f>
        <v>7.46</v>
      </c>
      <c r="K256" s="16" t="s">
        <v>896</v>
      </c>
      <c r="L256" s="16">
        <v>888888.0</v>
      </c>
      <c r="N256" s="16">
        <v>888888.0</v>
      </c>
    </row>
    <row r="257" ht="14.25" customHeight="1">
      <c r="A257" s="1" t="s">
        <v>497</v>
      </c>
      <c r="B257" s="9" t="str">
        <f>HYPERLINK("https://lafourche.fr/products/celnat-riz-thai-complet-500g-bio","4.9")</f>
        <v>4.9</v>
      </c>
      <c r="C257" s="26" t="s">
        <v>1291</v>
      </c>
      <c r="D257" s="9" t="str">
        <f>HYPERLINK("https://www.biocoop.fr/magasin-biocoop_champollion/riz-thai-complet-bio-mf0084-000.html","4.5")</f>
        <v>4.5</v>
      </c>
      <c r="E257" s="1" t="s">
        <v>869</v>
      </c>
      <c r="F257" s="9" t="str">
        <f>HYPERLINK("https://www.biocoop.fr/magasin-biocoop_fontaine/riz-thai-complet-bio-mf0084-000.html","888888")</f>
        <v>888888</v>
      </c>
      <c r="G257" s="18" t="s">
        <v>56</v>
      </c>
      <c r="H257" s="7" t="str">
        <f>HYPERLINK("https://satoriz-comboire.bio/products/eu2299","4.3")</f>
        <v>4.3</v>
      </c>
      <c r="I257" s="25" t="s">
        <v>1292</v>
      </c>
      <c r="J257" s="9" t="str">
        <f>HYPERLINK("https://www.greenweez.com/produit/riz-thai-complet-500g/1MKAL0147","888888")</f>
        <v>888888</v>
      </c>
      <c r="K257" s="18" t="s">
        <v>56</v>
      </c>
      <c r="L257" s="16">
        <v>888888.0</v>
      </c>
      <c r="N257" s="16">
        <v>888888.0</v>
      </c>
    </row>
    <row r="258" ht="14.25" customHeight="1">
      <c r="A258" s="5" t="s">
        <v>498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 ht="14.25" customHeight="1">
      <c r="A259" s="1" t="s">
        <v>499</v>
      </c>
      <c r="B259" s="9" t="str">
        <f>HYPERLINK("https://lafourche.fr/products/la-fourche-creme-entiere-liquide-bio-3x20cl-0-6l","6.42")</f>
        <v>6.42</v>
      </c>
      <c r="C259" s="25" t="s">
        <v>1293</v>
      </c>
      <c r="D259" s="9" t="str">
        <f>HYPERLINK("https://www.biocoop.fr/magasin-biocoop_champollion/creme-entiere-fluide-30-mg-ls3001-000.html","7.25")</f>
        <v>7.25</v>
      </c>
      <c r="E259" s="1" t="s">
        <v>869</v>
      </c>
      <c r="F259" s="9" t="str">
        <f>HYPERLINK("https://www.biocoop.fr/magasin-biocoop_fontaine/creme-entiere-fluide-30-mg-ls3001-000.html","7.25")</f>
        <v>7.25</v>
      </c>
      <c r="G259" s="1" t="s">
        <v>869</v>
      </c>
      <c r="H259" s="7" t="str">
        <f>HYPERLINK("https://satoriz-comboire.bio/products/re16270","6.25")</f>
        <v>6.25</v>
      </c>
      <c r="I259" s="1" t="s">
        <v>869</v>
      </c>
      <c r="J259" s="9" t="str">
        <f>HYPERLINK("https://www.greenweez.com/produit/creme-liquide-entiere-uht-30-mg-pf-3x20cl/1LAIP0002","8.05")</f>
        <v>8.05</v>
      </c>
      <c r="K259" s="16" t="s">
        <v>896</v>
      </c>
      <c r="L259" s="9" t="str">
        <f>HYPERLINK("https://metabase.lelefan.org/public/dashboard/53c41f3f-5644-466e-935e-897e7725f6bc?rayon=&amp;d%25C3%25A9signation=CREME NORMANDIE 30% UNITE&amp;fournisseur=&amp;date_d%25C3%25A9but=&amp;date_fin=","888888")</f>
        <v>888888</v>
      </c>
      <c r="M259" s="18" t="s">
        <v>56</v>
      </c>
      <c r="N259" s="9" t="str">
        <f>HYPERLINK("https://fd11-courses.leclercdrive.fr/magasin-063801-063801-Echirolles---Comboire/fiche-produits-27087-Creme-entiere-fluide-UHT-Bio.aspx","6.42")</f>
        <v>6.42</v>
      </c>
    </row>
    <row r="260" ht="14.25" customHeight="1">
      <c r="A260" s="1" t="s">
        <v>500</v>
      </c>
      <c r="B260" s="9" t="str">
        <f t="shared" ref="B260:B261" si="224">HYPERLINK("https://lafourche.fr/products/la-fourche-lait-de-coco-bio-0-4l","4.75")</f>
        <v>4.75</v>
      </c>
      <c r="C260" s="25" t="s">
        <v>1237</v>
      </c>
      <c r="D260" s="9" t="str">
        <f>HYPERLINK("https://www.biocoop.fr/magasin-biocoop_champollion/lait-coco-a-cuisiner-17-mg-tetra-1l-bc9029-000.html","5.14")</f>
        <v>5.14</v>
      </c>
      <c r="E260" s="1" t="s">
        <v>869</v>
      </c>
      <c r="F260" s="9" t="str">
        <f t="shared" ref="F260:F261" si="225">HYPERLINK("https://www.biocoop.fr/magasin-biocoop_fontaine/lait-coco-40cl-mc0002-000.html","5.88")</f>
        <v>5.88</v>
      </c>
      <c r="G260" s="25" t="s">
        <v>1294</v>
      </c>
      <c r="H260" s="7" t="str">
        <f t="shared" ref="H260:H261" si="226">HYPERLINK("https://satoriz-comboire.bio/products/re41359","3.88")</f>
        <v>3.88</v>
      </c>
      <c r="I260" s="25" t="s">
        <v>1295</v>
      </c>
      <c r="J260" s="9" t="str">
        <f t="shared" ref="J260:J261" si="227">HYPERLINK("https://www.greenweez.com/produit/lait-de-coco-17-mg-400ml-equitable/2WEEZ0407","888888")</f>
        <v>888888</v>
      </c>
      <c r="K260" s="18" t="s">
        <v>56</v>
      </c>
      <c r="L260" s="9" t="str">
        <f t="shared" ref="L260:L261" si="228">HYPERLINK("https://metabase.lelefan.org/public/dashboard/53c41f3f-5644-466e-935e-897e7725f6bc?rayon=&amp;d%25C3%25A9signation=LAIT DE COCO 15%&amp;fournisseur=&amp;date_d%25C3%25A9but=&amp;date_fin=","4.77")</f>
        <v>4.77</v>
      </c>
      <c r="M260" s="25" t="s">
        <v>920</v>
      </c>
      <c r="N260" s="9" t="str">
        <f>HYPERLINK("https://fd11-courses.leclercdrive.fr/magasin-063801-063801-Echirolles---Comboire/fiche-produits-134775-Lait-de-coco-Bio-Village.aspx","6.4")</f>
        <v>6.4</v>
      </c>
    </row>
    <row r="261" ht="14.25" customHeight="1">
      <c r="A261" s="1" t="s">
        <v>502</v>
      </c>
      <c r="B261" s="9" t="str">
        <f t="shared" si="224"/>
        <v>4.75</v>
      </c>
      <c r="C261" s="25" t="s">
        <v>1237</v>
      </c>
      <c r="D261" s="9" t="str">
        <f>HYPERLINK("https://www.biocoop.fr/magasin-biocoop_champollion/lait-coco-40cl-mc0002-000.html","6.38")</f>
        <v>6.38</v>
      </c>
      <c r="E261" s="25" t="s">
        <v>1296</v>
      </c>
      <c r="F261" s="9" t="str">
        <f t="shared" si="225"/>
        <v>5.88</v>
      </c>
      <c r="G261" s="25" t="s">
        <v>1294</v>
      </c>
      <c r="H261" s="7" t="str">
        <f t="shared" si="226"/>
        <v>3.88</v>
      </c>
      <c r="I261" s="25" t="s">
        <v>1295</v>
      </c>
      <c r="J261" s="9" t="str">
        <f t="shared" si="227"/>
        <v>888888</v>
      </c>
      <c r="K261" s="18" t="s">
        <v>56</v>
      </c>
      <c r="L261" s="9" t="str">
        <f t="shared" si="228"/>
        <v>4.77</v>
      </c>
      <c r="M261" s="25" t="s">
        <v>920</v>
      </c>
      <c r="N261" s="16">
        <v>888888.0</v>
      </c>
    </row>
    <row r="262" ht="14.25" customHeight="1">
      <c r="A262" s="1" t="s">
        <v>503</v>
      </c>
      <c r="B262" s="9" t="str">
        <f>HYPERLINK("https://lafourche.fr/products/la-fourche-creme-de-coco-22-de-mg-bio-et-equitable-0-4l","5.5")</f>
        <v>5.5</v>
      </c>
      <c r="C262" s="25" t="s">
        <v>1297</v>
      </c>
      <c r="D262" s="9" t="str">
        <f>HYPERLINK("https://www.biocoop.fr/magasin-biocoop_champollion/creme-coco-a-fouetter-400ml-bc9028-000.html","8.25")</f>
        <v>8.25</v>
      </c>
      <c r="E262" s="1" t="s">
        <v>869</v>
      </c>
      <c r="F262" s="9" t="str">
        <f>HYPERLINK("https://www.biocoop.fr/magasin-biocoop_fontaine/creme-de-coco-a-cuisiner-mc0003-000.html","6.88")</f>
        <v>6.88</v>
      </c>
      <c r="G262" s="25" t="s">
        <v>1298</v>
      </c>
      <c r="H262" s="7" t="str">
        <f>HYPERLINK("https://satoriz-comboire.bio/collections/produits-frais/products/re41360","4.38")</f>
        <v>4.38</v>
      </c>
      <c r="I262" s="25" t="s">
        <v>1299</v>
      </c>
      <c r="J262" s="9" t="str">
        <f>HYPERLINK("https://www.greenweez.com/produit/creme-de-coco-22-mg-40cl/1BASE0009","5.57")</f>
        <v>5.57</v>
      </c>
      <c r="K262" s="25" t="s">
        <v>1300</v>
      </c>
      <c r="L262" s="16">
        <v>888888.0</v>
      </c>
      <c r="N262" s="16">
        <v>888888.0</v>
      </c>
    </row>
    <row r="263" ht="14.25" customHeight="1">
      <c r="A263" s="1" t="s">
        <v>504</v>
      </c>
      <c r="B263" s="9" t="str">
        <f>HYPERLINK("https://lafourche.fr/products/la-fourche-soja-cuisine-bio-3x20cl-0-6l","3.8")</f>
        <v>3.8</v>
      </c>
      <c r="C263" s="1" t="s">
        <v>869</v>
      </c>
      <c r="D263" s="9" t="str">
        <f t="shared" ref="D263:D264" si="229">HYPERLINK("https://www.biocoop.fr/magasin-biocoop_champollion/cuisine-soja-20cl-sy1605-000.html","5.75")</f>
        <v>5.75</v>
      </c>
      <c r="E263" s="1" t="s">
        <v>869</v>
      </c>
      <c r="F263" s="9" t="str">
        <f t="shared" ref="F263:F264" si="230">HYPERLINK("https://www.biocoop.fr/magasin-biocoop_fontaine/cuisine-soja-20cl-so-soja-cuisine-ti3018-000.html","4.95")</f>
        <v>4.95</v>
      </c>
      <c r="G263" s="1" t="s">
        <v>869</v>
      </c>
      <c r="H263" s="9" t="str">
        <f>HYPERLINK("https://satoriz-comboire.bio/collections/produits-frais/products/aa197367","888888")</f>
        <v>888888</v>
      </c>
      <c r="I263" s="16" t="s">
        <v>869</v>
      </c>
      <c r="J263" s="9" t="str">
        <f>HYPERLINK("https://www.greenweez.com/produit/lot-de-3-x-creme-soja-du-chef-25cl/1PACK3768","5.88")</f>
        <v>5.88</v>
      </c>
      <c r="K263" s="1" t="s">
        <v>869</v>
      </c>
      <c r="L263" s="9" t="str">
        <f t="shared" ref="L263:L264" si="231">HYPERLINK("https://metabase.lelefan.org/public/dashboard/53c41f3f-5644-466e-935e-897e7725f6bc?rayon=&amp;d%25C3%25A9signation=SOJADE SOJA CUISINE 20CL&amp;fournisseur=&amp;date_d%25C3%25A9but=&amp;date_fin=","888888")</f>
        <v>888888</v>
      </c>
      <c r="M263" s="16" t="s">
        <v>869</v>
      </c>
      <c r="N263" s="7" t="str">
        <f>HYPERLINK("https://fd11-courses.leclercdrive.fr/magasin-063801-063801-Echirolles---Comboire/fiche-produits-33304-Soja-Cuisine-Bio-Village.aspx","2.68")</f>
        <v>2.68</v>
      </c>
    </row>
    <row r="264" ht="14.25" customHeight="1">
      <c r="A264" s="1" t="s">
        <v>1301</v>
      </c>
      <c r="B264" s="16">
        <v>888888.0</v>
      </c>
      <c r="C264" s="18" t="s">
        <v>56</v>
      </c>
      <c r="D264" s="9" t="str">
        <f t="shared" si="229"/>
        <v>5.75</v>
      </c>
      <c r="E264" s="1" t="s">
        <v>869</v>
      </c>
      <c r="F264" s="9" t="str">
        <f t="shared" si="230"/>
        <v>4.95</v>
      </c>
      <c r="G264" s="1" t="s">
        <v>869</v>
      </c>
      <c r="H264" s="9" t="str">
        <f>HYPERLINK("https://satoriz-comboire.bio/products/aa179882","5.75")</f>
        <v>5.75</v>
      </c>
      <c r="I264" s="16" t="s">
        <v>896</v>
      </c>
      <c r="J264" s="9" t="str">
        <f>HYPERLINK("https://www.greenweez.com/produit/creme-soja-du-chef-25cl/1BTER0575","5.9")</f>
        <v>5.9</v>
      </c>
      <c r="K264" s="25" t="s">
        <v>64</v>
      </c>
      <c r="L264" s="9" t="str">
        <f t="shared" si="231"/>
        <v>888888</v>
      </c>
      <c r="M264" s="16" t="s">
        <v>869</v>
      </c>
      <c r="N264" s="7" t="str">
        <f>HYPERLINK("https://fd11-courses.leclercdrive.fr/magasin-063801-063801-Echirolles---Comboire/fiche-produits-66757-Soja-cuisine-Bio-Bio-Village.aspx","3.8")</f>
        <v>3.8</v>
      </c>
    </row>
    <row r="265" ht="14.25" customHeight="1">
      <c r="A265" s="1" t="s">
        <v>506</v>
      </c>
      <c r="B265" s="9" t="str">
        <f t="shared" ref="B265:B266" si="232">HYPERLINK("https://lafourche.fr/products/lima-creme-cuisine-a-base-de-riz-bio-0-2kg","4.95")</f>
        <v>4.95</v>
      </c>
      <c r="C265" s="25" t="s">
        <v>1302</v>
      </c>
      <c r="D265" s="9" t="str">
        <f t="shared" ref="D265:D266" si="233">HYPERLINK("https://www.biocoop.fr/magasin-biocoop_champollion/cuisine-riz-liquide-20cl-ab5020-000.html","4.95")</f>
        <v>4.95</v>
      </c>
      <c r="E265" s="1" t="s">
        <v>869</v>
      </c>
      <c r="F265" s="9" t="str">
        <f t="shared" ref="F265:F266" si="234">HYPERLINK("https://www.biocoop.fr/magasin-biocoop_fontaine/cuisine-riz-liquide-20cl-ab5020-000.html","4.95")</f>
        <v>4.95</v>
      </c>
      <c r="G265" s="1" t="s">
        <v>869</v>
      </c>
      <c r="H265" s="9" t="str">
        <f>HYPERLINK("https://satoriz-comboire.bio/collections/produits-frais/products/aa212388","888888")</f>
        <v>888888</v>
      </c>
      <c r="I265" s="18" t="s">
        <v>56</v>
      </c>
      <c r="J265" s="9" t="str">
        <f t="shared" ref="J265:J266" si="235">HYPERLINK("https://www.greenweez.com/produit/preparation-de-riz-cuisine-200ml/1BRID0019","16.7")</f>
        <v>16.7</v>
      </c>
      <c r="K265" s="1" t="s">
        <v>869</v>
      </c>
      <c r="L265" s="9" t="str">
        <f>HYPERLINK("https://metabase.lelefan.org/public/dashboard/53c41f3f-5644-466e-935e-897e7725f6bc?rayon=&amp;d%25C3%25A9signation=CREME DE RIZ CUISINE VITARIZ&amp;fournisseur=&amp;date_d%25C3%25A9but=&amp;date_fin=","888888")</f>
        <v>888888</v>
      </c>
      <c r="M265" s="16" t="s">
        <v>869</v>
      </c>
      <c r="N265" s="7" t="str">
        <f>HYPERLINK("https://fd11-courses.leclercdrive.fr/magasin-063801-063801-Echirolles---Comboire/fiche-produits-110676-Riz-Bio-Village.aspx","4.82")</f>
        <v>4.82</v>
      </c>
    </row>
    <row r="266" ht="14.25" customHeight="1">
      <c r="A266" s="1" t="s">
        <v>507</v>
      </c>
      <c r="B266" s="7" t="str">
        <f t="shared" si="232"/>
        <v>4.95</v>
      </c>
      <c r="C266" s="25" t="s">
        <v>1302</v>
      </c>
      <c r="D266" s="7" t="str">
        <f t="shared" si="233"/>
        <v>4.95</v>
      </c>
      <c r="E266" s="1" t="s">
        <v>869</v>
      </c>
      <c r="F266" s="7" t="str">
        <f t="shared" si="234"/>
        <v>4.95</v>
      </c>
      <c r="G266" s="1" t="s">
        <v>869</v>
      </c>
      <c r="H266" s="9" t="str">
        <f>HYPERLINK("https://satoriz-comboire.bio/products/aa203312","7.25")</f>
        <v>7.25</v>
      </c>
      <c r="I266" s="25" t="s">
        <v>1303</v>
      </c>
      <c r="J266" s="9" t="str">
        <f t="shared" si="235"/>
        <v>16.7</v>
      </c>
      <c r="K266" s="1" t="s">
        <v>869</v>
      </c>
      <c r="L266" s="16">
        <v>888888.0</v>
      </c>
      <c r="M266" s="16" t="s">
        <v>869</v>
      </c>
      <c r="N266" s="16">
        <v>888888.0</v>
      </c>
    </row>
    <row r="267" ht="14.25" customHeight="1">
      <c r="A267" s="1" t="s">
        <v>508</v>
      </c>
      <c r="B267" s="9" t="str">
        <f>HYPERLINK("https://lafourche.fr/products/lima-oat-avoine-cuisine-20cl","4.95")</f>
        <v>4.95</v>
      </c>
      <c r="C267" s="25" t="s">
        <v>1302</v>
      </c>
      <c r="D267" s="7" t="str">
        <f>HYPERLINK("https://www.biocoop.fr/magasin-biocoop_champollion/avoine-cuisine-20cl-tb0030-000.html","4.5")</f>
        <v>4.5</v>
      </c>
      <c r="E267" s="1" t="s">
        <v>869</v>
      </c>
      <c r="F267" s="7" t="str">
        <f>HYPERLINK("https://www.biocoop.fr/magasin-biocoop_fontaine/avoine-cuisine-20cl-tb0030-000.html","4.5")</f>
        <v>4.5</v>
      </c>
      <c r="G267" s="1" t="s">
        <v>869</v>
      </c>
      <c r="H267" s="9" t="str">
        <f>HYPERLINK("https://satoriz-comboire.bio/products/bt3023973","5.5")</f>
        <v>5.5</v>
      </c>
      <c r="I267" s="25" t="s">
        <v>887</v>
      </c>
      <c r="J267" s="9" t="str">
        <f>HYPERLINK("https://www.greenweez.com/produit/puree-davoine-cuisine-200ml/1LIMA0106","6.35")</f>
        <v>6.35</v>
      </c>
      <c r="K267" s="25" t="s">
        <v>120</v>
      </c>
      <c r="L267" s="9" t="str">
        <f>HYPERLINK("https://metabase.lelefan.org/public/dashboard/53c41f3f-5644-466e-935e-897e7725f6bc?rayon=&amp;d%25C3%25A9signation=CREME D AVOINE&amp;fournisseur=&amp;date_d%25C3%25A9but=&amp;date_fin=","888888")</f>
        <v>888888</v>
      </c>
      <c r="M267" s="16" t="s">
        <v>869</v>
      </c>
      <c r="N267" s="16">
        <v>888888.0</v>
      </c>
    </row>
    <row r="268" ht="14.25" customHeight="1">
      <c r="A268" s="1" t="s">
        <v>509</v>
      </c>
      <c r="B268" s="7" t="str">
        <f>HYPERLINK("https://lafourche.fr/products/lima-creme-cuisine-amande-bio-0-2l","4.65")</f>
        <v>4.65</v>
      </c>
      <c r="C268" s="26" t="s">
        <v>1304</v>
      </c>
      <c r="D268" s="9" t="str">
        <f>HYPERLINK("https://www.biocoop.fr/magasin-biocoop_champollion/cuisine-amande-20cl-hm1061-000.html","9.0")</f>
        <v>9.0</v>
      </c>
      <c r="E268" s="1" t="s">
        <v>869</v>
      </c>
      <c r="F268" s="9" t="str">
        <f>HYPERLINK("https://www.biocoop.fr/magasin-biocoop_fontaine/amande-cuisine-25cl-ma0021-000.html","8.8")</f>
        <v>8.8</v>
      </c>
      <c r="G268" s="1" t="s">
        <v>869</v>
      </c>
      <c r="H268" s="9" t="str">
        <f>HYPERLINK("https://satoriz-comboire.bio/collections/produits-frais/products/pera6902a","9.75")</f>
        <v>9.75</v>
      </c>
      <c r="I268" s="25" t="s">
        <v>404</v>
      </c>
      <c r="J268" s="9" t="str">
        <f>HYPERLINK("https://www.greenweez.com/produit/amande-cuisine-20cl-1/1PERL0118","11.25")</f>
        <v>11.25</v>
      </c>
      <c r="K268" s="25" t="s">
        <v>983</v>
      </c>
      <c r="L268" s="9" t="str">
        <f>HYPERLINK("https://metabase.lelefan.org/public/dashboard/53c41f3f-5644-466e-935e-897e7725f6bc?rayon=&amp;d%25C3%25A9signation=AMANDE CUISINE&amp;fournisseur=&amp;date_d%25C3%25A9but=&amp;date_fin=","8.4")</f>
        <v>8.4</v>
      </c>
      <c r="M268" s="1" t="s">
        <v>869</v>
      </c>
      <c r="N268" s="9" t="str">
        <f>HYPERLINK("https://fd11-courses.leclercdrive.fr/magasin-063801-063801-Echirolles---Comboire/fiche-produits-45145-Creme-amande-cuisine-Bjorg-.aspx","8.25")</f>
        <v>8.25</v>
      </c>
      <c r="P268" s="1">
        <v>0.1</v>
      </c>
    </row>
    <row r="269" ht="14.25" customHeight="1">
      <c r="A269" s="1" t="s">
        <v>510</v>
      </c>
      <c r="B269" s="9" t="str">
        <f>HYPERLINK("https://lafourche.fr/products/la-fourche-ketchup-bio-0-56kg","5.34")</f>
        <v>5.34</v>
      </c>
      <c r="C269" s="25" t="s">
        <v>1305</v>
      </c>
      <c r="D269" s="9" t="str">
        <f>HYPERLINK("https://www.biocoop.fr/magasin-biocoop_champollion/ketchup-sucre-canne-flacon-souple-560g-lm4007-000.html","5.34")</f>
        <v>5.34</v>
      </c>
      <c r="E269" s="26" t="s">
        <v>1306</v>
      </c>
      <c r="F269" s="9" t="str">
        <f>HYPERLINK("https://www.biocoop.fr/magasin-biocoop_fontaine/ketchup-sucre-canne-flacon-souple-560g-dn1151-000.html","7.59")</f>
        <v>7.59</v>
      </c>
      <c r="G269" s="26" t="s">
        <v>1307</v>
      </c>
      <c r="H269" s="9" t="str">
        <f>HYPERLINK("https://satoriz-comboire.bio/collections/epicerie-salee/products/eu8077","6.88")</f>
        <v>6.88</v>
      </c>
      <c r="I269" s="1" t="s">
        <v>869</v>
      </c>
      <c r="J269" s="9" t="str">
        <f>HYPERLINK("https://www.greenweez.com/produit/ketchup-500g/1LUCE0033","7.76")</f>
        <v>7.76</v>
      </c>
      <c r="K269" s="1" t="s">
        <v>869</v>
      </c>
      <c r="L269" s="9" t="str">
        <f>HYPERLINK("https://metabase.lelefan.org/public/dashboard/53c41f3f-5644-466e-935e-897e7725f6bc?rayon=&amp;d%25C3%25A9signation=KETCHUP&amp;fournisseur=&amp;date_d%25C3%25A9but=&amp;date_fin=","6.2")</f>
        <v>6.2</v>
      </c>
      <c r="M269" s="1" t="s">
        <v>869</v>
      </c>
      <c r="N269" s="7" t="str">
        <f>HYPERLINK("https://fd11-courses.leclercdrive.fr/magasin-063801-063801-Echirolles---Comboire/fiche-produits-29493-Ketchup-Bio-Heinz-.aspx","4.29")</f>
        <v>4.29</v>
      </c>
      <c r="P269" s="1">
        <v>0.05</v>
      </c>
    </row>
    <row r="270" ht="14.25" customHeight="1">
      <c r="A270" s="1" t="s">
        <v>511</v>
      </c>
      <c r="B270" s="9" t="str">
        <f>HYPERLINK("https://lafourche.fr/products/quintesens-lincroyable-ketchup-0-28kg","17.14")</f>
        <v>17.14</v>
      </c>
      <c r="C270" s="25" t="s">
        <v>1287</v>
      </c>
      <c r="D270" s="7" t="str">
        <f>HYPERLINK("https://www.biocoop.fr/magasin-biocoop_champollion/l-incroyable-ketchup-280g-bq1001-000.html","16.96")</f>
        <v>16.96</v>
      </c>
      <c r="E270" s="1" t="s">
        <v>869</v>
      </c>
      <c r="F270" s="9" t="str">
        <f>HYPERLINK("https://www.biocoop.fr/magasin-biocoop_fontaine/l-incroyable-ketchup-280g-bq1001-000.html","19.29")</f>
        <v>19.29</v>
      </c>
      <c r="G270" s="1" t="s">
        <v>869</v>
      </c>
      <c r="H270" s="16">
        <v>888888.0</v>
      </c>
      <c r="J270" s="9" t="str">
        <f>HYPERLINK("https://www.greenweez.com/produit/lincroyable-ketchup-280g/3QUIN0013","888888")</f>
        <v>888888</v>
      </c>
      <c r="K270" s="18" t="s">
        <v>56</v>
      </c>
      <c r="L270" s="16">
        <v>888888.0</v>
      </c>
      <c r="N270" s="16">
        <v>888888.0</v>
      </c>
    </row>
    <row r="271" ht="14.25" customHeight="1">
      <c r="A271" s="1" t="s">
        <v>512</v>
      </c>
      <c r="B271" s="7" t="str">
        <f>HYPERLINK("https://lafourche.fr/products/la-fourche-mayonnaise-bio-0-32kg","9.75")</f>
        <v>9.75</v>
      </c>
      <c r="C271" s="26" t="s">
        <v>1308</v>
      </c>
      <c r="D271" s="9" t="str">
        <f>HYPERLINK("https://www.biocoop.fr/magasin-biocoop_champollion/mayonnaise-nature-325g-bi7116-000.html","11.69")</f>
        <v>11.69</v>
      </c>
      <c r="E271" s="25" t="s">
        <v>1309</v>
      </c>
      <c r="F271" s="9" t="str">
        <f>HYPERLINK("https://www.biocoop.fr/magasin-biocoop_fontaine/mayonnaise-nature-325g-bi7116-000.html","11.54")</f>
        <v>11.54</v>
      </c>
      <c r="G271" s="1" t="s">
        <v>869</v>
      </c>
      <c r="H271" s="9" t="str">
        <f>HYPERLINK("https://satoriz-comboire.bio/products/sd8518","14.31")</f>
        <v>14.31</v>
      </c>
      <c r="I271" s="25" t="s">
        <v>1310</v>
      </c>
      <c r="J271" s="9" t="str">
        <f>HYPERLINK("https://www.greenweez.com/produit/mayonnaise-350ml/1BIOS0011","888888")</f>
        <v>888888</v>
      </c>
      <c r="K271" s="18" t="s">
        <v>56</v>
      </c>
      <c r="L271" s="9" t="str">
        <f>HYPERLINK("https://metabase.lelefan.org/public/dashboard/53c41f3f-5644-466e-935e-897e7725f6bc?rayon=&amp;d%25C3%25A9signation=MAYONNAISE A LA MOUTARDE DE DIJON 325G&amp;fournisseur=&amp;date_d%25C3%25A9but=&amp;date_fin=","10.06")</f>
        <v>10.06</v>
      </c>
      <c r="M271" s="25" t="s">
        <v>1311</v>
      </c>
      <c r="N271" s="9" t="str">
        <f>HYPERLINK("https://fd11-courses.leclercdrive.fr/magasin-063801-063801-Echirolles---Comboire/fiche-produits-110681-Mayonaise-Bio-Bio-Village.aspx","10.04")</f>
        <v>10.04</v>
      </c>
    </row>
    <row r="272" ht="14.25" customHeight="1">
      <c r="A272" s="1" t="s">
        <v>513</v>
      </c>
      <c r="B272" s="9" t="str">
        <f>HYPERLINK("https://lafourche.fr/products/les-secrets-de-manou-mayonnaise-vegan-bio-130g","27.62")</f>
        <v>27.62</v>
      </c>
      <c r="C272" s="25" t="s">
        <v>1153</v>
      </c>
      <c r="D272" s="7" t="str">
        <f>HYPERLINK("https://www.biocoop.fr/magasin-biocoop_champollion/sauce-veganaise-180g-bi7117-000.html","20.11")</f>
        <v>20.11</v>
      </c>
      <c r="E272" s="1" t="s">
        <v>869</v>
      </c>
      <c r="F272" s="9" t="str">
        <f>HYPERLINK("https://www.biocoop.fr/magasin-biocoop_fontaine/sauce-veganaise-180g-bi7117-000.html","20.28")</f>
        <v>20.28</v>
      </c>
      <c r="G272" s="26" t="s">
        <v>1312</v>
      </c>
      <c r="H272" s="16">
        <v>888888.0</v>
      </c>
      <c r="J272" s="9" t="str">
        <f>HYPERLINK("https://www.greenweez.com/produit/mayo-vegan-130g/3LESS0007","33.62")</f>
        <v>33.62</v>
      </c>
      <c r="K272" s="1" t="s">
        <v>869</v>
      </c>
      <c r="L272" s="16">
        <v>888888.0</v>
      </c>
      <c r="N272" s="16">
        <v>888888.0</v>
      </c>
    </row>
    <row r="273" ht="14.25" customHeight="1">
      <c r="A273" s="1" t="s">
        <v>514</v>
      </c>
      <c r="B273" s="7" t="str">
        <f>HYPERLINK("https://lafourche.fr/products/la-fourche-moutarde-de-dijon-bio-0-72kg","5.54")</f>
        <v>5.54</v>
      </c>
      <c r="C273" s="26" t="s">
        <v>1313</v>
      </c>
      <c r="D273" s="9" t="str">
        <f t="shared" ref="D273:D274" si="236">HYPERLINK("https://www.biocoop.fr/magasin-biocoop_champollion/moutarde-de-dijon-350g-bi7112-000.html","7.43")</f>
        <v>7.43</v>
      </c>
      <c r="E273" s="26" t="s">
        <v>1314</v>
      </c>
      <c r="F273" s="9" t="str">
        <f>HYPERLINK("https://www.biocoop.fr/magasin-biocoop_fontaine/moutarde-de-dijon-720g-bi7110-000.html","7.29")</f>
        <v>7.29</v>
      </c>
      <c r="G273" s="1" t="s">
        <v>869</v>
      </c>
      <c r="H273" s="9" t="str">
        <f t="shared" ref="H273:H274" si="237">HYPERLINK("https://satoriz-comboire.bio/collections/epicerie-salee/products/sd09955311405","6.29")</f>
        <v>6.29</v>
      </c>
      <c r="I273" s="25" t="s">
        <v>1315</v>
      </c>
      <c r="J273" s="9" t="str">
        <f>HYPERLINK("https://www.greenweez.com/produit/moutarde-de-dijon-720g/1BIOS0006","888888")</f>
        <v>888888</v>
      </c>
      <c r="K273" s="18" t="s">
        <v>56</v>
      </c>
      <c r="L273" s="9" t="str">
        <f t="shared" ref="L273:L274" si="238">HYPERLINK("https://metabase.lelefan.org/public/dashboard/53c41f3f-5644-466e-935e-897e7725f6bc?rayon=&amp;d%25C3%25A9signation=MOUTARDE DE DIJON 350G&amp;fournisseur=&amp;date_d%25C3%25A9but=&amp;date_fin=","6.6")</f>
        <v>6.6</v>
      </c>
      <c r="M273" s="1" t="s">
        <v>869</v>
      </c>
      <c r="N273" s="9" t="str">
        <f>HYPERLINK("https://fd11-courses.leclercdrive.fr/magasin-063801-063801-Echirolles---Comboire/fiche-produits-10788-Moutarde-de-Dijon-Bio-Village.aspx","7.7")</f>
        <v>7.7</v>
      </c>
    </row>
    <row r="274" ht="14.25" customHeight="1">
      <c r="A274" s="1" t="s">
        <v>515</v>
      </c>
      <c r="B274" s="7" t="str">
        <f>HYPERLINK("https://lafourche.fr/products/la-fourche-moutarde-de-dijon-bio-0-35kg","6.14")</f>
        <v>6.14</v>
      </c>
      <c r="C274" s="25" t="s">
        <v>1316</v>
      </c>
      <c r="D274" s="9" t="str">
        <f t="shared" si="236"/>
        <v>7.43</v>
      </c>
      <c r="E274" s="26" t="s">
        <v>1314</v>
      </c>
      <c r="F274" s="9" t="str">
        <f>HYPERLINK("https://www.biocoop.fr/magasin-biocoop_fontaine/moutarde-de-dijon-350g-bi7112-000.html","7.57")</f>
        <v>7.57</v>
      </c>
      <c r="G274" s="25" t="s">
        <v>1317</v>
      </c>
      <c r="H274" s="9" t="str">
        <f t="shared" si="237"/>
        <v>6.29</v>
      </c>
      <c r="I274" s="25" t="s">
        <v>1315</v>
      </c>
      <c r="J274" s="9" t="str">
        <f>HYPERLINK("https://www.greenweez.com/produit/moutarde-de-dijon-350g/1BIOS0005","888888")</f>
        <v>888888</v>
      </c>
      <c r="K274" s="18" t="s">
        <v>56</v>
      </c>
      <c r="L274" s="9" t="str">
        <f t="shared" si="238"/>
        <v>6.6</v>
      </c>
      <c r="M274" s="1" t="s">
        <v>869</v>
      </c>
      <c r="N274" s="16">
        <v>888888.0</v>
      </c>
    </row>
    <row r="275" ht="14.25" customHeight="1">
      <c r="A275" s="1" t="s">
        <v>516</v>
      </c>
      <c r="B275" s="7" t="str">
        <f>HYPERLINK("https://lafourche.fr/products/la-fourche-moutarde-a-l-ancienne-bio-0-7kg","5.7")</f>
        <v>5.7</v>
      </c>
      <c r="C275" s="26" t="s">
        <v>174</v>
      </c>
      <c r="D275" s="9" t="str">
        <f t="shared" ref="D275:D276" si="239">HYPERLINK("https://www.biocoop.fr/magasin-biocoop_champollion/moutarde-a-l-ancienne-350g-bi7119-000.html","7.29")</f>
        <v>7.29</v>
      </c>
      <c r="E275" s="26" t="s">
        <v>1318</v>
      </c>
      <c r="F275" s="9" t="str">
        <f t="shared" ref="F275:F276" si="240">HYPERLINK("https://www.biocoop.fr/magasin-biocoop_fontaine/moutarde-a-l-ancienne-350g-bi7119-000.html","7.29")</f>
        <v>7.29</v>
      </c>
      <c r="G275" s="26" t="s">
        <v>1319</v>
      </c>
      <c r="H275" s="9" t="str">
        <f t="shared" ref="H275:H276" si="241">HYPERLINK("https://satoriz-comboire.bio/collections/epicerie-salee/products/sd10873311405","6.29")</f>
        <v>6.29</v>
      </c>
      <c r="I275" s="25" t="s">
        <v>1315</v>
      </c>
      <c r="J275" s="9" t="str">
        <f>HYPERLINK("https://www.greenweez.com/produit/moutarde-a-lancienne-700g/1BIOS0008","8.49")</f>
        <v>8.49</v>
      </c>
      <c r="K275" s="1" t="s">
        <v>869</v>
      </c>
      <c r="L275" s="9" t="str">
        <f t="shared" ref="L275:L276" si="242">HYPERLINK("https://metabase.lelefan.org/public/dashboard/53c41f3f-5644-466e-935e-897e7725f6bc?rayon=&amp;d%25C3%25A9signation=MOUTARDE A L ANCIENNE KIVINAT&amp;fournisseur=&amp;date_d%25C3%25A9but=&amp;date_fin=","888888")</f>
        <v>888888</v>
      </c>
      <c r="M275" s="18" t="s">
        <v>56</v>
      </c>
      <c r="N275" s="9" t="str">
        <f>HYPERLINK("https://fd11-courses.leclercdrive.fr/magasin-063801-063801-Echirolles---Comboire/fiche-produits-69004-Moutarde-Bio-Village.aspx","7.65")</f>
        <v>7.65</v>
      </c>
    </row>
    <row r="276" ht="14.25" customHeight="1">
      <c r="A276" s="1" t="s">
        <v>517</v>
      </c>
      <c r="B276" s="7" t="str">
        <f>HYPERLINK("https://lafourche.fr/products/la-fourche-moutarde-a-l-ancienne-bio-0-34kg","6.18")</f>
        <v>6.18</v>
      </c>
      <c r="C276" s="26" t="s">
        <v>1320</v>
      </c>
      <c r="D276" s="9" t="str">
        <f t="shared" si="239"/>
        <v>7.29</v>
      </c>
      <c r="E276" s="26" t="s">
        <v>1318</v>
      </c>
      <c r="F276" s="9" t="str">
        <f t="shared" si="240"/>
        <v>7.29</v>
      </c>
      <c r="G276" s="26" t="s">
        <v>1319</v>
      </c>
      <c r="H276" s="9" t="str">
        <f t="shared" si="241"/>
        <v>6.29</v>
      </c>
      <c r="I276" s="25" t="s">
        <v>1315</v>
      </c>
      <c r="J276" s="9" t="str">
        <f>HYPERLINK("https://www.greenweez.com/produit/moutarde-a-lancienne-350g/1BIOS0007","9.37")</f>
        <v>9.37</v>
      </c>
      <c r="K276" s="25" t="s">
        <v>1321</v>
      </c>
      <c r="L276" s="9" t="str">
        <f t="shared" si="242"/>
        <v>888888</v>
      </c>
      <c r="M276" s="18" t="s">
        <v>56</v>
      </c>
      <c r="N276" s="16">
        <v>888888.0</v>
      </c>
    </row>
    <row r="277" ht="14.25" customHeight="1">
      <c r="A277" s="1" t="s">
        <v>518</v>
      </c>
      <c r="B277" s="9" t="str">
        <f>HYPERLINK("https://lafourche.fr/products/la-fourche-pesto-vert-bio-0-18kg-ht","16.61")</f>
        <v>16.61</v>
      </c>
      <c r="C277" s="1" t="s">
        <v>869</v>
      </c>
      <c r="D277" s="9" t="str">
        <f>HYPERLINK("https://www.biocoop.fr/magasin-biocoop_champollion/pesto-verde-185g-pr5441-000.html","22.86")</f>
        <v>22.86</v>
      </c>
      <c r="E277" s="1" t="s">
        <v>869</v>
      </c>
      <c r="F277" s="9" t="str">
        <f>HYPERLINK("https://www.biocoop.fr/magasin-biocoop_fontaine/pesto-verde-185g-pr5441-000.html","888888")</f>
        <v>888888</v>
      </c>
      <c r="G277" s="16" t="s">
        <v>869</v>
      </c>
      <c r="H277" s="9" t="str">
        <f>HYPERLINK("https://satoriz-comboire.bio/products/fd000354","20.0")</f>
        <v>20.0</v>
      </c>
      <c r="I277" s="25" t="s">
        <v>907</v>
      </c>
      <c r="J277" s="9" t="str">
        <f>HYPERLINK("https://www.greenweez.com/produit/pesto-vert-biologique-180g/2WEEZ0321","16.61")</f>
        <v>16.61</v>
      </c>
      <c r="K277" s="1" t="s">
        <v>869</v>
      </c>
      <c r="L277" s="9" t="str">
        <f>HYPERLINK("https://metabase.lelefan.org/public/dashboard/53c41f3f-5644-466e-935e-897e7725f6bc?rayon=&amp;d%25C3%25A9signation=PESTO BASILIC&amp;fournisseur=&amp;date_d%25C3%25A9but=&amp;date_fin=","32.75")</f>
        <v>32.75</v>
      </c>
      <c r="M277" s="25" t="s">
        <v>1322</v>
      </c>
      <c r="N277" s="7" t="str">
        <f>HYPERLINK("https://fd11-courses.leclercdrive.fr/magasin-063801-063801-Echirolles---Comboire/fiche-produits-89424-Pesto-vert-Bio-Village.aspx","9.84")</f>
        <v>9.84</v>
      </c>
    </row>
    <row r="278" ht="14.25" customHeight="1">
      <c r="A278" s="1" t="s">
        <v>519</v>
      </c>
      <c r="B278" s="7" t="str">
        <f>HYPERLINK("https://lafourche.fr/products/la-fourche-pesto-vert-vegan-bio-0-18kg-ht","16.61")</f>
        <v>16.61</v>
      </c>
      <c r="C278" s="26" t="s">
        <v>1164</v>
      </c>
      <c r="D278" s="9" t="str">
        <f>HYPERLINK("https://www.biocoop.fr/magasin-biocoop_champollion/sauce-pesto-basilic-165g-is6104-000.html","26.85")</f>
        <v>26.85</v>
      </c>
      <c r="E278" s="1" t="s">
        <v>869</v>
      </c>
      <c r="F278" s="9" t="str">
        <f>HYPERLINK("https://www.biocoop.fr/magasin-biocoop_fontaine/pesto-vert-a-la-genovese-noix-cajou-140g-oi5051-000.html","18.93")</f>
        <v>18.93</v>
      </c>
      <c r="G278" s="26" t="s">
        <v>1323</v>
      </c>
      <c r="H278" s="9" t="str">
        <f>HYPERLINK("https://satoriz-comboire.bio/products/igpsba01","17.14")</f>
        <v>17.14</v>
      </c>
      <c r="I278" s="25" t="s">
        <v>1324</v>
      </c>
      <c r="J278" s="9" t="str">
        <f>HYPERLINK("https://www.greenweez.com/produit/pesto-vert-au-basilic-140g/1BIOO0014","23.14")</f>
        <v>23.14</v>
      </c>
      <c r="K278" s="1" t="s">
        <v>869</v>
      </c>
      <c r="L278" s="16">
        <v>888888.0</v>
      </c>
      <c r="N278" s="16">
        <v>888888.0</v>
      </c>
    </row>
    <row r="279" ht="14.25" customHeight="1">
      <c r="A279" s="1" t="s">
        <v>520</v>
      </c>
      <c r="B279" s="7" t="str">
        <f>HYPERLINK("https://lafourche.fr/products/la-fourche-pesto-rouge-bio-0-19kg-ht","15.53")</f>
        <v>15.53</v>
      </c>
      <c r="C279" s="1" t="s">
        <v>869</v>
      </c>
      <c r="D279" s="9" t="str">
        <f>HYPERLINK("https://www.biocoop.fr/magasin-biocoop_champollion/pesto-rosso-185g-pr5440-000.html","22.86")</f>
        <v>22.86</v>
      </c>
      <c r="E279" s="1" t="s">
        <v>869</v>
      </c>
      <c r="F279" s="9" t="str">
        <f>HYPERLINK("https://www.biocoop.fr/magasin-biocoop_fontaine/pesto-rosso-190g-vm1057-000.html","26.84")</f>
        <v>26.84</v>
      </c>
      <c r="G279" s="1" t="s">
        <v>869</v>
      </c>
      <c r="H279" s="9" t="str">
        <f>HYPERLINK("https://satoriz-comboire.bio/products/fd000355","20.0")</f>
        <v>20.0</v>
      </c>
      <c r="I279" s="25" t="s">
        <v>907</v>
      </c>
      <c r="J279" s="9" t="str">
        <f>HYPERLINK("https://www.greenweez.com/produit/pesto-rouge-biologique-180g/2WEEZ0322","888888")</f>
        <v>888888</v>
      </c>
      <c r="K279" s="18" t="s">
        <v>56</v>
      </c>
      <c r="L279" s="16">
        <v>888888.0</v>
      </c>
      <c r="N279" s="16">
        <v>888888.0</v>
      </c>
    </row>
    <row r="280" ht="14.25" customHeight="1">
      <c r="A280" s="1" t="s">
        <v>521</v>
      </c>
      <c r="B280" s="7" t="str">
        <f>HYPERLINK("https://lafourche.fr/products/la-fourche-pesto-rouge-vegan-bio-0-19kg-ht","16.32")</f>
        <v>16.32</v>
      </c>
      <c r="C280" s="25" t="s">
        <v>1325</v>
      </c>
      <c r="D280" s="9" t="str">
        <f>HYPERLINK("https://www.biocoop.fr/magasin-biocoop_champollion/pesto-rosso-tomates-sechees-140g-oi5052-000.html","888888")</f>
        <v>888888</v>
      </c>
      <c r="E280" s="16" t="s">
        <v>869</v>
      </c>
      <c r="F280" s="9" t="str">
        <f>HYPERLINK("https://www.biocoop.fr/magasin-biocoop_fontaine/pesto-rosso-tomates-sechees-140g-oi5052-000.html","23.21")</f>
        <v>23.21</v>
      </c>
      <c r="G280" s="25" t="s">
        <v>1315</v>
      </c>
      <c r="H280" s="9" t="str">
        <f>HYPERLINK("https://satoriz-comboire.bio/products/igpspo01","17.14")</f>
        <v>17.14</v>
      </c>
      <c r="I280" s="25" t="s">
        <v>1324</v>
      </c>
      <c r="J280" s="9" t="str">
        <f>HYPERLINK("https://www.greenweez.com/produit/pesto-rouge-aux-tomates-sechees-140g/1BIOO0013","23.93")</f>
        <v>23.93</v>
      </c>
      <c r="K280" s="16" t="s">
        <v>896</v>
      </c>
      <c r="L280" s="16">
        <v>888888.0</v>
      </c>
      <c r="N280" s="16">
        <v>888888.0</v>
      </c>
    </row>
    <row r="281" ht="14.25" customHeight="1">
      <c r="A281" s="1" t="s">
        <v>522</v>
      </c>
      <c r="B281" s="9" t="str">
        <f>HYPERLINK("https://lafourche.fr/products/autour-du-riz-shoyu-sauce-soja-traditionnelle-bio-600ml","9.58")</f>
        <v>9.58</v>
      </c>
      <c r="C281" s="25" t="s">
        <v>1326</v>
      </c>
      <c r="D281" s="9" t="str">
        <f>HYPERLINK("https://www.biocoop.fr/magasin-biocoop_champollion/shoyu-traditionnel-sauce-soja-mf1139-000.html","10.33")</f>
        <v>10.33</v>
      </c>
      <c r="E281" s="25" t="s">
        <v>1327</v>
      </c>
      <c r="F281" s="9" t="str">
        <f>HYPERLINK("https://www.biocoop.fr/magasin-biocoop_fontaine/shoyu-traditionnel-sauce-soja-mf1139-000.html","10.33")</f>
        <v>10.33</v>
      </c>
      <c r="G281" s="25" t="s">
        <v>1327</v>
      </c>
      <c r="H281" s="9" t="str">
        <f>HYPERLINK("https://satoriz-comboire.bio/collections/epicerie-salee/products/re2583","11.5")</f>
        <v>11.5</v>
      </c>
      <c r="I281" s="25" t="s">
        <v>1328</v>
      </c>
      <c r="J281" s="9" t="str">
        <f>HYPERLINK("https://www.greenweez.com/produit/sauce-soja-shoyu-traditionnel-60cl/1FITN0063","9.97")</f>
        <v>9.97</v>
      </c>
      <c r="K281" s="16" t="s">
        <v>896</v>
      </c>
      <c r="L281" s="7" t="str">
        <f>HYPERLINK("https://metabase.lelefan.org/public/dashboard/53c41f3f-5644-466e-935e-897e7725f6bc?rayon=&amp;d%25C3%25A9signation=SHOYU GRAND CRU VRAC&amp;fournisseur=&amp;date_d%25C3%25A9but=&amp;date_fin=","7.1")</f>
        <v>7.1</v>
      </c>
      <c r="M281" s="1" t="s">
        <v>869</v>
      </c>
      <c r="N281" s="9" t="str">
        <f>HYPERLINK("https://fd11-courses.leclercdrive.fr/magasin-063801-063801-Echirolles---Comboire/fiche-produits-118113-Sauce-soja-Bio-Village.aspx","13.93")</f>
        <v>13.93</v>
      </c>
      <c r="P281" s="1">
        <v>0.05</v>
      </c>
    </row>
    <row r="282" ht="14.25" customHeight="1">
      <c r="A282" s="1" t="s">
        <v>523</v>
      </c>
      <c r="B282" s="7" t="str">
        <f>HYPERLINK("https://lafourche.fr/products/autour-du-riz-veritable-sauce-tamari-bio-600ml","10.65")</f>
        <v>10.65</v>
      </c>
      <c r="C282" s="25" t="s">
        <v>1329</v>
      </c>
      <c r="D282" s="9" t="str">
        <f>HYPERLINK("https://www.biocoop.fr/magasin-biocoop_champollion/veritable-tamari-sauce-soja-mf1140-000.html","12.0")</f>
        <v>12.0</v>
      </c>
      <c r="E282" s="25" t="s">
        <v>1330</v>
      </c>
      <c r="F282" s="9" t="str">
        <f>HYPERLINK("https://www.biocoop.fr/magasin-biocoop_fontaine/veritable-tamari-sauce-soja-mf1140-000.html","12.0")</f>
        <v>12.0</v>
      </c>
      <c r="G282" s="25" t="s">
        <v>1330</v>
      </c>
      <c r="H282" s="9" t="str">
        <f>HYPERLINK("https://satoriz-comboire.bio/products/da2810","14.5")</f>
        <v>14.5</v>
      </c>
      <c r="I282" s="25" t="s">
        <v>1331</v>
      </c>
      <c r="J282" s="9" t="str">
        <f>HYPERLINK("https://www.greenweez.com/produit/tamari-sauce-soja-60cl/1FITN0065","13.23")</f>
        <v>13.23</v>
      </c>
      <c r="K282" s="1" t="s">
        <v>869</v>
      </c>
      <c r="L282" s="9" t="str">
        <f>HYPERLINK("https://metabase.lelefan.org/public/dashboard/53c41f3f-5644-466e-935e-897e7725f6bc?rayon=&amp;d%25C3%25A9signation=TAMARI&amp;fournisseur=&amp;date_d%25C3%25A9but=&amp;date_fin=","888888")</f>
        <v>888888</v>
      </c>
      <c r="M282" s="16" t="s">
        <v>869</v>
      </c>
      <c r="N282" s="16">
        <v>888888.0</v>
      </c>
    </row>
    <row r="283" ht="14.25" customHeight="1">
      <c r="A283" s="1" t="s">
        <v>524</v>
      </c>
      <c r="B283" s="9" t="str">
        <f>HYPERLINK("https://lafourche.fr/products/autour-du-riz-marinade-teriyaki-bio-200ml","17.45")</f>
        <v>17.45</v>
      </c>
      <c r="C283" s="1" t="s">
        <v>869</v>
      </c>
      <c r="D283" s="9" t="str">
        <f>HYPERLINK("https://www.biocoop.fr/magasin-biocoop_champollion/marinade-teriyaki-sauce-soja-douce-200ml-mf1135-000.html","18.65")</f>
        <v>18.65</v>
      </c>
      <c r="E283" s="1" t="s">
        <v>869</v>
      </c>
      <c r="F283" s="9" t="str">
        <f>HYPERLINK("https://www.biocoop.fr/magasin-biocoop_fontaine/marinade-teriyaki-sauce-soja-douce-200ml-mf1135-000.html","888888")</f>
        <v>888888</v>
      </c>
      <c r="G283" s="16" t="s">
        <v>869</v>
      </c>
      <c r="H283" s="7" t="str">
        <f>HYPERLINK("https://satoriz-comboire.bio/products/re31762","17.0")</f>
        <v>17.0</v>
      </c>
      <c r="I283" s="1" t="s">
        <v>869</v>
      </c>
      <c r="J283" s="9" t="str">
        <f>HYPERLINK("https://www.greenweez.com/produit/marinade-teriyaki-20cl/1FITN0068","19.4")</f>
        <v>19.4</v>
      </c>
      <c r="K283" s="26" t="s">
        <v>1332</v>
      </c>
      <c r="L283" s="16">
        <v>888888.0</v>
      </c>
      <c r="N283" s="16">
        <v>888888.0</v>
      </c>
    </row>
    <row r="284" ht="14.25" customHeight="1">
      <c r="A284" s="1" t="s">
        <v>525</v>
      </c>
      <c r="B284" s="7" t="str">
        <f>HYPERLINK("https://lafourche.fr/products/prosain-coulis-de-tomates-du-sud-ouest-bio-425ml","3.78")</f>
        <v>3.78</v>
      </c>
      <c r="C284" s="25" t="s">
        <v>1327</v>
      </c>
      <c r="D284" s="9" t="str">
        <f>HYPERLINK("https://www.biocoop.fr/magasin-biocoop_champollion/coulis-de-tomates-pr5266-000.html","4.51")</f>
        <v>4.51</v>
      </c>
      <c r="E284" s="25" t="s">
        <v>218</v>
      </c>
      <c r="F284" s="9" t="str">
        <f>HYPERLINK("https://www.biocoop.fr/magasin-biocoop_fontaine/coulis-de-tomates-pr5266-000.html","3.9")</f>
        <v>3.9</v>
      </c>
      <c r="G284" s="1" t="s">
        <v>869</v>
      </c>
      <c r="H284" s="9" t="str">
        <f>HYPERLINK("https://satoriz-comboire.bio/products/fd000960","3.9")</f>
        <v>3.9</v>
      </c>
      <c r="I284" s="1" t="s">
        <v>869</v>
      </c>
      <c r="J284" s="9" t="str">
        <f>HYPERLINK("https://www.greenweez.com/produit/coulis-de-tomates-bio-500g/2WEEZ0415","888888")</f>
        <v>888888</v>
      </c>
      <c r="K284" s="16" t="s">
        <v>869</v>
      </c>
      <c r="L284" s="16">
        <v>888888.0</v>
      </c>
      <c r="N284" s="16">
        <v>888888.0</v>
      </c>
    </row>
    <row r="285" ht="14.25" customHeight="1">
      <c r="A285" s="1" t="s">
        <v>526</v>
      </c>
      <c r="B285" s="7" t="str">
        <f>HYPERLINK("https://lafourche.fr/products/la-fourche-passata-bio-0-68kg","2.28")</f>
        <v>2.28</v>
      </c>
      <c r="C285" s="1" t="s">
        <v>869</v>
      </c>
      <c r="D285" s="9" t="str">
        <f>HYPERLINK("https://www.biocoop.fr/magasin-biocoop_champollion/sauce-tomate-passata-rustique-510g-ts5102-000.html","5.86")</f>
        <v>5.86</v>
      </c>
      <c r="E285" s="1" t="s">
        <v>869</v>
      </c>
      <c r="F285" s="9" t="str">
        <f>HYPERLINK("https://www.biocoop.fr/magasin-biocoop_fontaine/sauce-tomate-passata-rustique-510g-ts5102-000.html","5.49")</f>
        <v>5.49</v>
      </c>
      <c r="G285" s="1" t="s">
        <v>869</v>
      </c>
      <c r="H285" s="7" t="str">
        <f>HYPERLINK("https://satoriz-comboire.bio/products/re43264","2.28")</f>
        <v>2.28</v>
      </c>
      <c r="I285" s="1" t="s">
        <v>869</v>
      </c>
      <c r="J285" s="9" t="str">
        <f>HYPERLINK("https://www.greenweez.com/produit/sauce-tomate-passata-nature-690g-1/1LUCE0026","2.87")</f>
        <v>2.87</v>
      </c>
      <c r="K285" s="26" t="s">
        <v>1333</v>
      </c>
      <c r="L285" s="9" t="str">
        <f>HYPERLINK("https://metabase.lelefan.org/public/dashboard/53c41f3f-5644-466e-935e-897e7725f6bc?rayon=&amp;d%25C3%25A9signation=PASSATA NATURE&amp;fournisseur=&amp;date_d%25C3%25A9but=&amp;date_fin=","3.43")</f>
        <v>3.43</v>
      </c>
      <c r="M285" s="25" t="s">
        <v>1334</v>
      </c>
      <c r="N285" s="9" t="str">
        <f>HYPERLINK("https://fd11-courses.leclercdrive.fr/magasin-063801-063801-Echirolles---Comboire/fiche-produits-80630-Puree-de-tomates-Bio-Village.aspx","2.68")</f>
        <v>2.68</v>
      </c>
    </row>
    <row r="286" ht="14.25" customHeight="1">
      <c r="A286" s="1" t="s">
        <v>527</v>
      </c>
      <c r="B286" s="9" t="str">
        <f>HYPERLINK("https://lafourche.fr/products/bio-pour-tous-passata-basilic-bio-0-68kg","2.43")</f>
        <v>2.43</v>
      </c>
      <c r="C286" s="25" t="s">
        <v>1335</v>
      </c>
      <c r="D286" s="9" t="str">
        <f t="shared" ref="D286:D287" si="243">HYPERLINK("https://www.biocoop.fr/magasin-biocoop_champollion/sauce-tomate-basilic-300g-ts5100-000.html","5.83")</f>
        <v>5.83</v>
      </c>
      <c r="E286" s="1" t="s">
        <v>869</v>
      </c>
      <c r="F286" s="9" t="str">
        <f t="shared" ref="F286:F287" si="244">HYPERLINK("https://www.biocoop.fr/magasin-biocoop_fontaine/passata-au-basilic-350g-ts5128-000.html","6.0")</f>
        <v>6.0</v>
      </c>
      <c r="G286" s="1" t="s">
        <v>869</v>
      </c>
      <c r="H286" s="7" t="str">
        <f>HYPERLINK("https://satoriz-comboire.bio/collections/epicerie-salee/products/re43265","2.35")</f>
        <v>2.35</v>
      </c>
      <c r="I286" s="1" t="s">
        <v>869</v>
      </c>
      <c r="J286" s="9" t="str">
        <f>HYPERLINK("https://www.greenweez.com/produit/passata-basilic-680g/1LUCE0028","3.44")</f>
        <v>3.44</v>
      </c>
      <c r="K286" s="26" t="s">
        <v>1336</v>
      </c>
      <c r="L286" s="9" t="str">
        <f>HYPERLINK("https://metabase.lelefan.org/public/dashboard/53c41f3f-5644-466e-935e-897e7725f6bc?rayon=&amp;d%25C3%25A9signation=PASSATA ORGANIC BASILIC&amp;fournisseur=&amp;date_d%25C3%25A9but=&amp;date_fin=","3.59")</f>
        <v>3.59</v>
      </c>
      <c r="M286" s="25" t="s">
        <v>1337</v>
      </c>
      <c r="N286" s="16">
        <v>888888.0</v>
      </c>
    </row>
    <row r="287" ht="14.25" customHeight="1">
      <c r="A287" s="1" t="s">
        <v>528</v>
      </c>
      <c r="B287" s="9" t="str">
        <f>HYPERLINK("https://lafourche.fr/products/la-fourche-sauce-tomate-basilic-bio-0-35kg","5.69")</f>
        <v>5.69</v>
      </c>
      <c r="D287" s="9" t="str">
        <f t="shared" si="243"/>
        <v>5.83</v>
      </c>
      <c r="F287" s="9" t="str">
        <f t="shared" si="244"/>
        <v>6.0</v>
      </c>
      <c r="H287" s="7" t="str">
        <f>HYPERLINK("https://satoriz-comboire.bio/products/igspclas02?_pos=4&amp;_sid=4b21eb1c7&amp;_ss=r","5.57")</f>
        <v>5.57</v>
      </c>
      <c r="J287" s="9" t="str">
        <f>HYPERLINK("https://www.greenweez.com/produit/sauce-tomate-et-basilic-350g/1BIOO0020","7.86")</f>
        <v>7.86</v>
      </c>
      <c r="L287" s="9" t="str">
        <f>HYPERLINK("https://metabase.lelefan.org/public/dashboard/53c41f3f-5644-466e-935e-897e7725f6bc?rayon=&amp;d%25C3%25A9signation=SAUCE TOMATE BASILIC SOJA SANS GLUTEN&amp;fournisseur=&amp;date_d%25C3%25A9but=&amp;date_fin=","888888")</f>
        <v>888888</v>
      </c>
      <c r="N287" s="16">
        <v>888888.0</v>
      </c>
    </row>
    <row r="288" ht="14.25" customHeight="1">
      <c r="A288" s="1" t="s">
        <v>529</v>
      </c>
      <c r="B288" s="7" t="str">
        <f>HYPERLINK("https://lafourche.fr/products/la-fourche-tomates-pelees-bio-800g-0-8kg","3.13")</f>
        <v>3.13</v>
      </c>
      <c r="C288" s="25" t="s">
        <v>1338</v>
      </c>
      <c r="D288" s="9" t="str">
        <f>HYPERLINK("https://www.biocoop.fr/magasin-biocoop_champollion/tomates-entieres-pelees-240g-net-egoutte-ca0004-000.html","8.17")</f>
        <v>8.17</v>
      </c>
      <c r="E288" s="1" t="s">
        <v>869</v>
      </c>
      <c r="F288" s="9" t="str">
        <f>HYPERLINK("https://www.biocoop.fr/magasin-biocoop_fontaine/tomates-entieres-pelees-480g-net-egoutte-ca0014-000.html","5.31")</f>
        <v>5.31</v>
      </c>
      <c r="G288" s="26" t="s">
        <v>1339</v>
      </c>
      <c r="H288" s="9" t="str">
        <f>HYPERLINK("https://satoriz-comboire.bio/products/re43269","4.06")</f>
        <v>4.06</v>
      </c>
      <c r="I288" s="1" t="s">
        <v>869</v>
      </c>
      <c r="J288" s="9" t="str">
        <f>HYPERLINK("https://www.greenweez.com/produit/tomates-pelees-format-familial-800g/1LUCE0032","3.35")</f>
        <v>3.35</v>
      </c>
      <c r="K288" s="26" t="s">
        <v>1340</v>
      </c>
      <c r="L288" s="9" t="str">
        <f>HYPERLINK("https://metabase.lelefan.org/public/dashboard/53c41f3f-5644-466e-935e-897e7725f6bc?rayon=&amp;d%25C3%25A9signation=TOMATES ENTIERES PELEES AU JUS&amp;fournisseur=&amp;date_d%25C3%25A9but=&amp;date_fin=","3.86")</f>
        <v>3.86</v>
      </c>
      <c r="M288" s="1" t="s">
        <v>869</v>
      </c>
      <c r="N288" s="9" t="str">
        <f>HYPERLINK("https://fd11-courses.leclercdrive.fr/magasin-063801-063801-Echirolles---Comboire/fiche-produits-56571-Tomates-entieres-pelees-bio.aspx","4.79")</f>
        <v>4.79</v>
      </c>
      <c r="P288" s="1">
        <v>0.4</v>
      </c>
    </row>
    <row r="289" ht="14.25" customHeight="1">
      <c r="A289" s="1" t="s">
        <v>531</v>
      </c>
      <c r="B289" s="7" t="str">
        <f>HYPERLINK("https://lafourche.fr/products/la-fourche-tomates-concassees-bio-800g-0-8kg","3.13")</f>
        <v>3.13</v>
      </c>
      <c r="C289" s="25" t="s">
        <v>1341</v>
      </c>
      <c r="D289" s="9" t="str">
        <f>HYPERLINK("https://www.biocoop.fr/magasin-biocoop_champollion/tomates-concassees-400g-ca0006-000.html","4.45")</f>
        <v>4.45</v>
      </c>
      <c r="E289" s="1" t="s">
        <v>869</v>
      </c>
      <c r="F289" s="7" t="str">
        <f>HYPERLINK("https://www.biocoop.fr/magasin-biocoop_fontaine/tomates-concassees-400g-ca0006-000.html","3.13")</f>
        <v>3.13</v>
      </c>
      <c r="G289" s="1" t="s">
        <v>869</v>
      </c>
      <c r="H289" s="9" t="str">
        <f>HYPERLINK("https://satoriz-comboire.bio/products/re43267","4.38")</f>
        <v>4.38</v>
      </c>
      <c r="I289" s="1" t="s">
        <v>869</v>
      </c>
      <c r="J289" s="9" t="str">
        <f>HYPERLINK("https://www.greenweez.com/produit/tomates-concassees-400g-1/1LUCE0025","3.72")</f>
        <v>3.72</v>
      </c>
      <c r="K289" s="16" t="s">
        <v>896</v>
      </c>
      <c r="L289" s="9" t="str">
        <f>HYPERLINK("https://metabase.lelefan.org/public/dashboard/53c41f3f-5644-466e-935e-897e7725f6bc?rayon=&amp;d%25C3%25A9signation=TOMATES CONCASSEES BIO IDEA&amp;fournisseur=&amp;date_d%25C3%25A9but=&amp;date_fin=","888888")</f>
        <v>888888</v>
      </c>
      <c r="M289" s="16" t="s">
        <v>869</v>
      </c>
      <c r="N289" s="9" t="str">
        <f>HYPERLINK("https://fd11-courses.leclercdrive.fr/magasin-063801-063801-Echirolles---Comboire/fiche-produits-217622-Concasse-de-tomates-bio.aspx","3.28")</f>
        <v>3.28</v>
      </c>
    </row>
    <row r="290" ht="14.25" customHeight="1">
      <c r="A290" s="1" t="s">
        <v>532</v>
      </c>
      <c r="B290" s="9" t="str">
        <f>HYPERLINK("https://lafourche.fr/products/la-fourche-sauce-tomate-bolognaise-vegetale-bio-0-33kg","9.06")</f>
        <v>9.06</v>
      </c>
      <c r="C290" s="26" t="s">
        <v>1342</v>
      </c>
      <c r="D290" s="9" t="str">
        <f t="shared" ref="D290:D291" si="245">HYPERLINK("https://www.biocoop.fr/magasin-biocoop_champollion/sauce-bolognaise-vegetale-190g-pr1208-000.html","13.95")</f>
        <v>13.95</v>
      </c>
      <c r="E290" s="1" t="s">
        <v>869</v>
      </c>
      <c r="F290" s="9" t="str">
        <f t="shared" ref="F290:F291" si="246">HYPERLINK("https://www.biocoop.fr/magasin-biocoop_fontaine/sauce-bolognaise-vegetale-190g-pr1208-000.html","888888")</f>
        <v>888888</v>
      </c>
      <c r="G290" s="16" t="s">
        <v>869</v>
      </c>
      <c r="H290" s="7" t="str">
        <f>HYPERLINK("https://satoriz-comboire.bio/products/igspbolv02","7.43")</f>
        <v>7.43</v>
      </c>
      <c r="I290" s="25" t="s">
        <v>1343</v>
      </c>
      <c r="J290" s="9" t="str">
        <f>HYPERLINK("https://www.greenweez.com/produit/sauce-bolognaise-vegetale-510g/1PRIM0743","23.69")</f>
        <v>23.69</v>
      </c>
      <c r="K290" s="25" t="s">
        <v>1344</v>
      </c>
      <c r="L290" s="9" t="str">
        <f>HYPERLINK("https://metabase.lelefan.org/public/dashboard/53c41f3f-5644-466e-935e-897e7725f6bc?rayon=&amp;d%25C3%25A9signation=SAUCE BOLOGNAISE VEGETALE AU SOJA&amp;fournisseur=&amp;date_d%25C3%25A9but=&amp;date_fin=","11.06")</f>
        <v>11.06</v>
      </c>
      <c r="M290" s="25" t="s">
        <v>918</v>
      </c>
      <c r="N290" s="16">
        <v>888888.0</v>
      </c>
    </row>
    <row r="291" ht="14.25" customHeight="1">
      <c r="A291" s="2" t="s">
        <v>533</v>
      </c>
      <c r="B291" s="7" t="str">
        <f>HYPERLINK("https://lafourche.fr/products/sauce-tomate-a-la-bolognaise-vegetale","10.47")</f>
        <v>10.47</v>
      </c>
      <c r="C291" s="2"/>
      <c r="D291" s="9" t="str">
        <f t="shared" si="245"/>
        <v>13.95</v>
      </c>
      <c r="E291" s="2"/>
      <c r="F291" s="9" t="str">
        <f t="shared" si="246"/>
        <v>888888</v>
      </c>
      <c r="G291" s="2"/>
      <c r="H291" s="16">
        <v>888888.0</v>
      </c>
      <c r="I291" s="2"/>
      <c r="J291" s="9" t="str">
        <f>HYPERLINK("https://www.greenweez.com/produit/sauce-tomate-a-la-bolognaise-vegetale-190g/1PROS0070","14.21")</f>
        <v>14.21</v>
      </c>
      <c r="K291" s="2"/>
      <c r="L291" s="16">
        <v>888888.0</v>
      </c>
      <c r="M291" s="2"/>
      <c r="N291" s="16">
        <v>888888.0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/>
    <row r="293" ht="14.25" customHeight="1">
      <c r="A293" s="3" t="s">
        <v>534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ht="14.25" customHeight="1">
      <c r="A294" s="5" t="s">
        <v>535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 ht="14.25" customHeight="1">
      <c r="A295" s="1" t="s">
        <v>536</v>
      </c>
      <c r="B295" s="7" t="str">
        <f>HYPERLINK("https://lafourche.fr/products/la-pateliere-arome-naturel-fleur-d-oranger-bio-1l","8.45")</f>
        <v>8.45</v>
      </c>
      <c r="C295" s="25" t="s">
        <v>1345</v>
      </c>
      <c r="D295" s="9" t="str">
        <f t="shared" ref="D295:D296" si="247">HYPERLINK("https://www.biocoop.fr/magasin-biocoop_champollion/eau-de-fleur-d-oranger-50ml-ck2004-000.html","72.0")</f>
        <v>72.0</v>
      </c>
      <c r="E295" s="1" t="s">
        <v>869</v>
      </c>
      <c r="F295" s="9" t="str">
        <f t="shared" ref="F295:F296" si="248">HYPERLINK("https://www.biocoop.fr/magasin-biocoop_fontaine/eau-de-fleur-d-oranger-50ml-ck2004-000.html","72.0")</f>
        <v>72.0</v>
      </c>
      <c r="G295" s="26" t="s">
        <v>1346</v>
      </c>
      <c r="H295" s="9" t="str">
        <f>HYPERLINK("https://satoriz-comboire.bio/collections/epicerie-sucree/products/sero20201","10.8")</f>
        <v>10.8</v>
      </c>
      <c r="I295" s="25" t="s">
        <v>1347</v>
      </c>
      <c r="J295" s="9" t="str">
        <f>HYPERLINK("https://www.greenweez.com/produit/eau-florale-de-fleur-doranger-200ml/1LADR0102","888888")</f>
        <v>888888</v>
      </c>
      <c r="K295" s="18" t="s">
        <v>56</v>
      </c>
      <c r="L295" s="9" t="str">
        <f>HYPERLINK("https://metabase.lelefan.org/public/dashboard/53c41f3f-5644-466e-935e-897e7725f6bc?rayon=&amp;d%25C3%25A9signation=AROME FLEUR D ORANGER 25CL&amp;fournisseur=&amp;date_d%25C3%25A9but=&amp;date_fin=","888888")</f>
        <v>888888</v>
      </c>
      <c r="M295" s="16" t="s">
        <v>869</v>
      </c>
      <c r="N295" s="16">
        <v>888888.0</v>
      </c>
    </row>
    <row r="296" ht="14.25" customHeight="1">
      <c r="A296" s="1" t="s">
        <v>537</v>
      </c>
      <c r="B296" s="16">
        <v>888888.0</v>
      </c>
      <c r="D296" s="9" t="str">
        <f t="shared" si="247"/>
        <v>72.0</v>
      </c>
      <c r="F296" s="9" t="str">
        <f t="shared" si="248"/>
        <v>72.0</v>
      </c>
      <c r="H296" s="7" t="str">
        <f>HYPERLINK("https://satoriz-comboire.bio/products/cofl?_pos=3&amp;_sid=485c5a709&amp;_ss=r","59.0")</f>
        <v>59.0</v>
      </c>
      <c r="J296" s="9" t="str">
        <f>HYPERLINK("https://www.greenweez.com/produit/eau-de-fleur-doranger-arome-naturel-50ml/1COOK0099","71.4")</f>
        <v>71.4</v>
      </c>
      <c r="L296" s="16">
        <v>888888.0</v>
      </c>
      <c r="N296" s="16">
        <v>888888.0</v>
      </c>
    </row>
    <row r="297" ht="14.25" customHeight="1">
      <c r="A297" s="1" t="s">
        <v>538</v>
      </c>
      <c r="B297" s="7" t="str">
        <f>HYPERLINK("https://lafourche.fr/products/culinat-arome-naturel-damande-amere-bio-0-06l","59.17")</f>
        <v>59.17</v>
      </c>
      <c r="C297" s="25" t="s">
        <v>1348</v>
      </c>
      <c r="D297" s="9" t="str">
        <f>HYPERLINK("https://www.biocoop.fr/magasin-biocoop_champollion/arome-amande-amere-60ml-bp5140-000.html","888888")</f>
        <v>888888</v>
      </c>
      <c r="E297" s="16" t="s">
        <v>869</v>
      </c>
      <c r="F297" s="9" t="str">
        <f>HYPERLINK("https://www.biocoop.fr/magasin-biocoop_fontaine/arome-amande-amere-60ml-bp5140-000.html","65.0")</f>
        <v>65.0</v>
      </c>
      <c r="G297" s="25" t="s">
        <v>1349</v>
      </c>
      <c r="H297" s="16">
        <v>888888.0</v>
      </c>
      <c r="J297" s="9" t="str">
        <f>HYPERLINK("https://www.greenweez.com/produit/arome-naturel-damande-amere-60ml/1CULI0015","66.5")</f>
        <v>66.5</v>
      </c>
      <c r="K297" s="1" t="s">
        <v>869</v>
      </c>
      <c r="L297" s="16">
        <v>888888.0</v>
      </c>
      <c r="N297" s="16">
        <v>888888.0</v>
      </c>
    </row>
    <row r="298" ht="14.25" customHeight="1">
      <c r="A298" s="1" t="s">
        <v>539</v>
      </c>
      <c r="B298" s="9" t="str">
        <f>HYPERLINK("https://lafourche.fr/products/cook-extrait-de-vanille-40ml","267.25")</f>
        <v>267.25</v>
      </c>
      <c r="C298" s="1" t="s">
        <v>869</v>
      </c>
      <c r="D298" s="9" t="str">
        <f>HYPERLINK("https://www.biocoop.fr/magasin-biocoop_champollion/extrait-naturel-de-vanille-bourbon-40ml-da9015-000.html","287.5")</f>
        <v>287.5</v>
      </c>
      <c r="E298" s="1" t="s">
        <v>869</v>
      </c>
      <c r="F298" s="9" t="str">
        <f>HYPERLINK("https://www.biocoop.fr/magasin-biocoop_fontaine/extrait-naturel-de-vanille-bourbon-40ml-da9015-000.html","888888")</f>
        <v>888888</v>
      </c>
      <c r="G298" s="16" t="s">
        <v>869</v>
      </c>
      <c r="H298" s="7" t="str">
        <f>HYPERLINK("https://satoriz-comboire.bio/collections/epicerie-sucree/products/cova","248.75")</f>
        <v>248.75</v>
      </c>
      <c r="I298" s="26" t="s">
        <v>1350</v>
      </c>
      <c r="J298" s="9" t="str">
        <f>HYPERLINK("https://www.greenweez.com/produit/extrait-de-vanille-30ml/6NATU0064","289.33")</f>
        <v>289.33</v>
      </c>
      <c r="K298" s="1" t="s">
        <v>869</v>
      </c>
      <c r="L298" s="16">
        <v>888888.0</v>
      </c>
      <c r="N298" s="16">
        <v>888888.0</v>
      </c>
    </row>
    <row r="299" ht="14.25" customHeight="1">
      <c r="A299" s="1" t="s">
        <v>540</v>
      </c>
      <c r="B299" s="9" t="str">
        <f>HYPERLINK("https://lafourche.fr/products/cook-vanille-gousse-poudre-10g","1079")</f>
        <v>1079</v>
      </c>
      <c r="C299" s="1" t="s">
        <v>869</v>
      </c>
      <c r="D299" s="16">
        <v>888888.0</v>
      </c>
      <c r="F299" s="16">
        <v>888888.0</v>
      </c>
      <c r="H299" s="7" t="str">
        <f>HYPERLINK("https://satoriz-comboire.bio/collections/epicerie-sucree/products/covanil1","885.0")</f>
        <v>885.0</v>
      </c>
      <c r="I299" s="26" t="s">
        <v>1351</v>
      </c>
      <c r="J299" s="9" t="str">
        <f>HYPERLINK("https://www.greenweez.com/produit/vanille-poudre-bio-10g/1COOK0108","1194.0")</f>
        <v>1194.0</v>
      </c>
      <c r="K299" s="25" t="s">
        <v>1352</v>
      </c>
      <c r="L299" s="16">
        <v>888888.0</v>
      </c>
      <c r="N299" s="16">
        <v>888888.0</v>
      </c>
    </row>
    <row r="300" ht="14.25" customHeight="1">
      <c r="A300" s="1" t="s">
        <v>541</v>
      </c>
      <c r="B300" s="7" t="str">
        <f>HYPERLINK("https://lafourche.fr/products/culinat-poudre-a-lever-sans-phosphate-sans-gluten-bio-8x10g","16.13")</f>
        <v>16.13</v>
      </c>
      <c r="C300" s="25" t="s">
        <v>1353</v>
      </c>
      <c r="D300" s="9" t="str">
        <f>HYPERLINK("https://www.biocoop.fr/magasin-biocoop_champollion/poudre-a-lever-sans-gluten-8x10g-bp5153-000.html","888888")</f>
        <v>888888</v>
      </c>
      <c r="E300" s="16" t="s">
        <v>869</v>
      </c>
      <c r="F300" s="9" t="str">
        <f>HYPERLINK("https://www.biocoop.fr/magasin-biocoop_fontaine/poudre-a-lever-sans-gluten-8x10g-bp5153-000.html","19.75")</f>
        <v>19.75</v>
      </c>
      <c r="G300" s="1" t="s">
        <v>869</v>
      </c>
      <c r="H300" s="9" t="str">
        <f>HYPERLINK("https://satoriz-comboire.bio/products/pu7980","16.67")</f>
        <v>16.67</v>
      </c>
      <c r="I300" s="1" t="s">
        <v>869</v>
      </c>
      <c r="J300" s="9" t="str">
        <f>HYPERLINK("https://www.greenweez.com/produit/poudre-a-lever-sans-phosphate-sans-gluten-8x10g/1CULI0011","18.62")</f>
        <v>18.62</v>
      </c>
      <c r="K300" s="25" t="s">
        <v>1354</v>
      </c>
      <c r="L300" s="9" t="str">
        <f>HYPERLINK("https://metabase.lelefan.org/public/dashboard/53c41f3f-5644-466e-935e-897e7725f6bc?rayon=&amp;d%25C3%25A9signation=POUDRE A LEVER&amp;fournisseur=&amp;date_d%25C3%25A9but=&amp;date_fin=","32.14")</f>
        <v>32.14</v>
      </c>
      <c r="M300" s="1" t="s">
        <v>869</v>
      </c>
      <c r="N300" s="9" t="str">
        <f>HYPERLINK("https://fd11-courses.leclercdrive.fr/magasin-063801-063801-Echirolles---Comboire/fiche-produits-109555-Poudre-a-lever-Bio-Village.aspx","17.71")</f>
        <v>17.71</v>
      </c>
    </row>
    <row r="301" ht="14.25" customHeight="1">
      <c r="A301" s="1" t="s">
        <v>542</v>
      </c>
      <c r="B301" s="9" t="str">
        <f>HYPERLINK("https://lafourche.fr/products/natali-levure-boulangere-seche-54g","79.44")</f>
        <v>79.44</v>
      </c>
      <c r="C301" s="1" t="s">
        <v>869</v>
      </c>
      <c r="D301" s="9" t="str">
        <f>HYPERLINK("https://www.biocoop.fr/magasin-biocoop_champollion/levure-boulangere-active-9g-ag2001-000.html","88.89")</f>
        <v>88.89</v>
      </c>
      <c r="E301" s="26" t="s">
        <v>1355</v>
      </c>
      <c r="F301" s="9" t="str">
        <f>HYPERLINK("https://www.biocoop.fr/magasin-biocoop_fontaine/levure-boulangere-active-9g-ag2001-000.html","111.11")</f>
        <v>111.11</v>
      </c>
      <c r="G301" s="1" t="s">
        <v>869</v>
      </c>
      <c r="H301" s="9" t="str">
        <f>HYPERLINK("https://satoriz-comboire.bio/products/ralesa","88.89")</f>
        <v>88.89</v>
      </c>
      <c r="I301" s="1" t="s">
        <v>869</v>
      </c>
      <c r="J301" s="9" t="str">
        <f>HYPERLINK("https://www.greenweez.com/produit/levure-boulangere-deshydratee-9-g/1RAPU0061","105.56")</f>
        <v>105.56</v>
      </c>
      <c r="K301" s="1" t="s">
        <v>869</v>
      </c>
      <c r="L301" s="7" t="str">
        <f>HYPERLINK("https://metabase.lelefan.org/public/dashboard/53c41f3f-5644-466e-935e-897e7725f6bc?rayon=&amp;d%25C3%25A9signation=LEVURE SECHE ACTIVE&amp;fournisseur=&amp;date_d%25C3%25A9but=&amp;date_fin=","24.8")</f>
        <v>24.8</v>
      </c>
      <c r="M301" s="1" t="s">
        <v>869</v>
      </c>
      <c r="N301" s="16">
        <v>888888.0</v>
      </c>
    </row>
    <row r="302" ht="14.25" customHeight="1">
      <c r="A302" s="1" t="s">
        <v>543</v>
      </c>
      <c r="B302" s="7" t="str">
        <f>HYPERLINK("https://lafourche.fr/products/natali-agar-agar-bio-en-poudre-50g","118")</f>
        <v>118</v>
      </c>
      <c r="C302" s="26" t="s">
        <v>1356</v>
      </c>
      <c r="D302" s="9" t="str">
        <f>HYPERLINK("https://www.biocoop.fr/magasin-biocoop_champollion/agar-agar-5x4g-na5186-000.html","175.0")</f>
        <v>175.0</v>
      </c>
      <c r="E302" s="1" t="s">
        <v>869</v>
      </c>
      <c r="F302" s="9" t="str">
        <f>HYPERLINK("https://www.biocoop.fr/magasin-biocoop_fontaine/agar-agar-5x4g-na5186-000.html","167.5")</f>
        <v>167.5</v>
      </c>
      <c r="G302" s="26" t="s">
        <v>1357</v>
      </c>
      <c r="H302" s="9" t="str">
        <f>HYPERLINK("https://satoriz-comboire.bio/collections/epicerie-sucree/products/na510120","123.0")</f>
        <v>123.0</v>
      </c>
      <c r="I302" s="1" t="s">
        <v>869</v>
      </c>
      <c r="J302" s="9" t="str">
        <f>HYPERLINK("https://www.greenweez.com/produit/agar-agar-5-sachets-de-4g/6NATU0140","166.0")</f>
        <v>166.0</v>
      </c>
      <c r="K302" s="1" t="s">
        <v>869</v>
      </c>
      <c r="L302" s="9" t="str">
        <f>HYPERLINK("https://metabase.lelefan.org/public/dashboard/53c41f3f-5644-466e-935e-897e7725f6bc?rayon=&amp;d%25C3%25A9signation=AGAR AGAR&amp;fournisseur=&amp;date_d%25C3%25A9but=&amp;date_fin=","385.0")</f>
        <v>385.0</v>
      </c>
      <c r="M302" s="1" t="s">
        <v>869</v>
      </c>
      <c r="N302" s="16">
        <v>888888.0</v>
      </c>
    </row>
    <row r="303" ht="14.25" customHeight="1">
      <c r="A303" s="1" t="s">
        <v>544</v>
      </c>
      <c r="B303" s="9" t="str">
        <f>HYPERLINK("https://lafourche.fr/products/la-fourche-noix-de-coco-rapee-bio-en-vrac-0-5kg","7.9")</f>
        <v>7.9</v>
      </c>
      <c r="C303" s="25" t="s">
        <v>1358</v>
      </c>
      <c r="D303" s="9" t="str">
        <f>HYPERLINK("https://www.biocoop.fr/magasin-biocoop_champollion/noix-de-coco-rapee-philippines-bio-by0922-000.html","11.1")</f>
        <v>11.1</v>
      </c>
      <c r="E303" s="1" t="s">
        <v>869</v>
      </c>
      <c r="F303" s="9" t="str">
        <f>HYPERLINK("https://www.biocoop.fr/magasin-biocoop_fontaine/noix-de-coco-rapee-philippines-bio-by0922-000.html","10.9")</f>
        <v>10.9</v>
      </c>
      <c r="G303" s="1" t="s">
        <v>869</v>
      </c>
      <c r="H303" s="7" t="str">
        <f>HYPERLINK("https://satoriz-comboire.bio/products/ag0103","7.05")</f>
        <v>7.05</v>
      </c>
      <c r="I303" s="26" t="s">
        <v>1359</v>
      </c>
      <c r="J303" s="9" t="str">
        <f>HYPERLINK("https://www.greenweez.com/produit/noix-de-coco-rapee-250g/1MKAL0101","11.76")</f>
        <v>11.76</v>
      </c>
      <c r="K303" s="25" t="s">
        <v>1360</v>
      </c>
      <c r="L303" s="9" t="str">
        <f>HYPERLINK("https://metabase.lelefan.org/public/dashboard/53c41f3f-5644-466e-935e-897e7725f6bc?rayon=&amp;d%25C3%25A9signation=NOIX DE COCO RAPEE&amp;fournisseur=&amp;date_d%25C3%25A9but=&amp;date_fin=","12.2")</f>
        <v>12.2</v>
      </c>
      <c r="M303" s="1" t="s">
        <v>869</v>
      </c>
      <c r="N303" s="9" t="str">
        <f>HYPERLINK("https://fd11-courses.leclercdrive.fr/magasin-063801-063801-Echirolles---Comboire/fiche-produits-122102-Noix-de-coco-bio-Bio-Village.aspx","15.9")</f>
        <v>15.9</v>
      </c>
    </row>
    <row r="304" ht="14.25" customHeight="1">
      <c r="A304" s="5" t="s">
        <v>545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 ht="14.25" customHeight="1">
      <c r="A305" s="1" t="s">
        <v>546</v>
      </c>
      <c r="B305" s="9" t="str">
        <f t="shared" ref="B305:B306" si="249">HYPERLINK("https://lafourche.fr/products/la-fourche-cookies-gout-tout-choco-bio-0-175kg","13.43")</f>
        <v>13.43</v>
      </c>
      <c r="C305" s="26" t="s">
        <v>1361</v>
      </c>
      <c r="D305" s="9" t="str">
        <f t="shared" ref="D305:D306" si="250">HYPERLINK("https://www.biocoop.fr/magasin-biocoop_champollion/cookie-cacao-et-pepites-de-chocolat-12-200g-ba7001-000.html","13.5")</f>
        <v>13.5</v>
      </c>
      <c r="E305" s="25" t="s">
        <v>1362</v>
      </c>
      <c r="F305" s="9" t="str">
        <f t="shared" ref="F305:F306" si="251">HYPERLINK("https://www.biocoop.fr/magasin-biocoop_fontaine/cookie-cacao-et-pepites-de-chocolat-12-200g-ba7001-000.html","13.5")</f>
        <v>13.5</v>
      </c>
      <c r="G305" s="25" t="s">
        <v>1362</v>
      </c>
      <c r="H305" s="9" t="str">
        <f t="shared" ref="H305:H306" si="252">HYPERLINK("https://satoriz-comboire.bio/products/mpi1vr002","17.5")</f>
        <v>17.5</v>
      </c>
      <c r="I305" s="25" t="s">
        <v>1363</v>
      </c>
      <c r="J305" s="9" t="str">
        <f>HYPERLINK("https://www.greenweez.com/produit/cookies-tout-chocolat-1-5kg/2BELL0421","23.81")</f>
        <v>23.81</v>
      </c>
      <c r="K305" s="26" t="s">
        <v>1364</v>
      </c>
      <c r="L305" s="9" t="str">
        <f t="shared" ref="L305:L306" si="253">HYPERLINK("https://metabase.lelefan.org/public/dashboard/53c41f3f-5644-466e-935e-897e7725f6bc?rayon=&amp;d%25C3%25A9signation=COOKIE TOUT CHOCOLAT VRAC&amp;fournisseur=&amp;date_d%25C3%25A9but=&amp;date_fin=","21.76")</f>
        <v>21.76</v>
      </c>
      <c r="M305" s="26" t="s">
        <v>1365</v>
      </c>
      <c r="N305" s="7" t="str">
        <f t="shared" ref="N305:N306" si="254">HYPERLINK("https://fd11-courses.leclercdrive.fr/magasin-063801-063801-Echirolles---Comboire/fiche-produits-6076-Cookies-chocolat-Bio-Village.aspx","11.45")</f>
        <v>11.45</v>
      </c>
      <c r="P305" s="1">
        <v>0.1</v>
      </c>
    </row>
    <row r="306" ht="14.25" customHeight="1">
      <c r="A306" s="1" t="s">
        <v>547</v>
      </c>
      <c r="B306" s="9" t="str">
        <f t="shared" si="249"/>
        <v>13.43</v>
      </c>
      <c r="C306" s="26" t="s">
        <v>1361</v>
      </c>
      <c r="D306" s="9" t="str">
        <f t="shared" si="250"/>
        <v>13.5</v>
      </c>
      <c r="E306" s="25" t="s">
        <v>1362</v>
      </c>
      <c r="F306" s="9" t="str">
        <f t="shared" si="251"/>
        <v>13.5</v>
      </c>
      <c r="G306" s="25" t="s">
        <v>1362</v>
      </c>
      <c r="H306" s="9" t="str">
        <f t="shared" si="252"/>
        <v>17.5</v>
      </c>
      <c r="I306" s="25" t="s">
        <v>1363</v>
      </c>
      <c r="J306" s="9" t="str">
        <f>HYPERLINK("https://www.greenweez.com/produit/cookies-tout-chocolat-175g/2MOUL0005","21.77")</f>
        <v>21.77</v>
      </c>
      <c r="K306" s="26" t="s">
        <v>1366</v>
      </c>
      <c r="L306" s="9" t="str">
        <f t="shared" si="253"/>
        <v>21.76</v>
      </c>
      <c r="M306" s="26" t="s">
        <v>1365</v>
      </c>
      <c r="N306" s="7" t="str">
        <f t="shared" si="254"/>
        <v>11.45</v>
      </c>
      <c r="P306" s="1">
        <v>0.1</v>
      </c>
    </row>
    <row r="307" ht="14.25" customHeight="1">
      <c r="A307" s="1" t="s">
        <v>548</v>
      </c>
      <c r="B307" s="9" t="str">
        <f>HYPERLINK("https://lafourche.fr/products/la-fourche-petits-beurres-bio-0-15kg","8.93")</f>
        <v>8.93</v>
      </c>
      <c r="C307" s="26" t="s">
        <v>1367</v>
      </c>
      <c r="D307" s="9" t="str">
        <f>HYPERLINK("https://www.biocoop.fr/magasin-biocoop_champollion/biscuit-petit-beurre-ble-complet-15-140g-ba7000-000.html","9.64")</f>
        <v>9.64</v>
      </c>
      <c r="E307" s="26" t="s">
        <v>1368</v>
      </c>
      <c r="F307" s="9" t="str">
        <f>HYPERLINK("https://www.biocoop.fr/magasin-biocoop_fontaine/biscuit-petit-beurre-ble-complet-15-140g-ba7000-000.html","9.64")</f>
        <v>9.64</v>
      </c>
      <c r="G307" s="26" t="s">
        <v>1368</v>
      </c>
      <c r="H307" s="9" t="str">
        <f>HYPERLINK("https://satoriz-comboire.bio/products/eu279","15.33")</f>
        <v>15.33</v>
      </c>
      <c r="I307" s="1" t="s">
        <v>869</v>
      </c>
      <c r="J307" s="9" t="str">
        <f>HYPERLINK("https://www.greenweez.com/produit/biscuits-ptit-beurre-155g/2MOUL0011","17.48")</f>
        <v>17.48</v>
      </c>
      <c r="K307" s="16" t="s">
        <v>896</v>
      </c>
      <c r="L307" s="9" t="str">
        <f>HYPERLINK("https://metabase.lelefan.org/public/dashboard/53c41f3f-5644-466e-935e-897e7725f6bc?rayon=&amp;d%25C3%25A9signation=PETIT BEURRE 3X5 150G&amp;fournisseur=&amp;date_d%25C3%25A9but=&amp;date_fin=","8.73")</f>
        <v>8.73</v>
      </c>
      <c r="M307" s="26" t="s">
        <v>1040</v>
      </c>
      <c r="N307" s="7" t="str">
        <f>HYPERLINK("https://fd11-courses.leclercdrive.fr/magasin-063801-063801-Echirolles---Comboire/fiche-produits-6066-Petits-beurre-Bio-Village.aspx","7.2")</f>
        <v>7.2</v>
      </c>
      <c r="P307" s="1">
        <v>0.1</v>
      </c>
    </row>
    <row r="308" ht="14.25" customHeight="1">
      <c r="A308" s="1" t="s">
        <v>549</v>
      </c>
      <c r="B308" s="9" t="str">
        <f>HYPERLINK("https://lafourche.fr/products/bio-pour-tous-petits-beurres-chocolat-noir-bio-0-15kg","19.93")</f>
        <v>19.93</v>
      </c>
      <c r="C308" s="1" t="s">
        <v>869</v>
      </c>
      <c r="D308" s="9" t="str">
        <f>HYPERLINK("https://www.biocoop.fr/magasin-biocoop_champollion/biscuit-petit-beurre-chocolat-noir-150g-bv5002-000.html","23.33")</f>
        <v>23.33</v>
      </c>
      <c r="E308" s="1" t="s">
        <v>869</v>
      </c>
      <c r="F308" s="9" t="str">
        <f>HYPERLINK("https://www.biocoop.fr/magasin-biocoop_fontaine/biscuit-petit-beurre-chocolat-noir-150g-bv5002-000.html","24.33")</f>
        <v>24.33</v>
      </c>
      <c r="G308" s="25" t="s">
        <v>1369</v>
      </c>
      <c r="H308" s="9" t="str">
        <f>HYPERLINK("https://satoriz-comboire.bio/products/re41657","21.33")</f>
        <v>21.33</v>
      </c>
      <c r="I308" s="1" t="s">
        <v>869</v>
      </c>
      <c r="J308" s="9" t="str">
        <f>HYPERLINK("https://www.greenweez.com/produit/ptits-beurre-chocolat-noir-150g/1BTER0166","43.27")</f>
        <v>43.27</v>
      </c>
      <c r="K308" s="25" t="s">
        <v>1370</v>
      </c>
      <c r="L308" s="16">
        <v>888888.0</v>
      </c>
      <c r="M308" s="18" t="s">
        <v>56</v>
      </c>
      <c r="N308" s="7" t="str">
        <f>HYPERLINK("https://fd11-courses.leclercdrive.fr/magasin-063801-063801-Echirolles---Comboire/fiche-produits-15060-Biscuits-tablettes-Bio-Village.aspx","14.0")</f>
        <v>14.0</v>
      </c>
    </row>
    <row r="309" ht="14.25" customHeight="1">
      <c r="A309" s="1" t="s">
        <v>550</v>
      </c>
      <c r="B309" s="9" t="str">
        <f>HYPERLINK("https://lafourche.fr/products/bonneterre-genoises-chocolat-coeur-orange-bio-0-15kg","888888")</f>
        <v>888888</v>
      </c>
      <c r="C309" s="16" t="s">
        <v>869</v>
      </c>
      <c r="D309" s="9" t="str">
        <f>HYPERLINK("https://www.biocoop.fr/magasin-biocoop_champollion/biscuit-nappe-orange-noir-tentation-130g-ca1141-000.html","34.23")</f>
        <v>34.23</v>
      </c>
      <c r="E309" s="25" t="s">
        <v>1371</v>
      </c>
      <c r="F309" s="9" t="str">
        <f>HYPERLINK("https://www.biocoop.fr/magasin-biocoop_fontaine/biscuit-nappe-orange-noir-tentation-130g-ca1141-000.html","888888")</f>
        <v>888888</v>
      </c>
      <c r="G309" s="16" t="s">
        <v>869</v>
      </c>
      <c r="H309" s="7" t="str">
        <f>HYPERLINK("https://satoriz-comboire.bio/collections/epicerie-sucree/products/mpie006","30.38")</f>
        <v>30.38</v>
      </c>
      <c r="I309" s="25" t="s">
        <v>1372</v>
      </c>
      <c r="J309" s="9" t="str">
        <f>HYPERLINK("https://www.greenweez.com/produit/biscuits-tentation-orange-130g/2MOUL0007","888888")</f>
        <v>888888</v>
      </c>
      <c r="K309" s="16" t="s">
        <v>869</v>
      </c>
      <c r="L309" s="16">
        <v>888888.0</v>
      </c>
      <c r="N309" s="16">
        <v>888888.0</v>
      </c>
    </row>
    <row r="310" ht="14.25" customHeight="1">
      <c r="A310" s="1" t="s">
        <v>551</v>
      </c>
      <c r="B310" s="9" t="str">
        <f>HYPERLINK("https://lafourche.fr/products/bio-pour-tous-gouters-fourres-ronds-chocolat-noir-bio-0-185kg","12.97")</f>
        <v>12.97</v>
      </c>
      <c r="C310" s="26" t="s">
        <v>1373</v>
      </c>
      <c r="D310" s="9" t="str">
        <f>HYPERLINK("https://www.biocoop.fr/magasin-biocoop_champollion/biscuit-fourre-epeautre-cacao-15-pm1899-000.html","9.97")</f>
        <v>9.97</v>
      </c>
      <c r="E310" s="1" t="s">
        <v>869</v>
      </c>
      <c r="F310" s="9" t="str">
        <f>HYPERLINK("https://www.biocoop.fr/magasin-biocoop_fontaine/biscuit-fourre-epeautre-cacao-15-pm1899-000.html","9.97")</f>
        <v>9.97</v>
      </c>
      <c r="G310" s="1" t="s">
        <v>869</v>
      </c>
      <c r="H310" s="9" t="str">
        <f>HYPERLINK("https://satoriz-comboire.bio/collections/epicerie-sucree/products/re41660","14.05")</f>
        <v>14.05</v>
      </c>
      <c r="I310" s="1" t="s">
        <v>869</v>
      </c>
      <c r="J310" s="9" t="str">
        <f>HYPERLINK("https://www.greenweez.com/produit/gouter-chocolat-noir-225g/3EVER0030","17.69")</f>
        <v>17.69</v>
      </c>
      <c r="K310" s="26" t="s">
        <v>1374</v>
      </c>
      <c r="L310" s="9" t="str">
        <f>HYPERLINK("https://metabase.lelefan.org/public/dashboard/53c41f3f-5644-466e-935e-897e7725f6bc?rayon=&amp;d%25C3%25A9signation=GOUTER FOURRE CHOCOLAT&amp;fournisseur=&amp;date_d%25C3%25A9but=&amp;date_fin=","11.2")</f>
        <v>11.2</v>
      </c>
      <c r="M310" s="1" t="s">
        <v>869</v>
      </c>
      <c r="N310" s="7" t="str">
        <f>HYPERLINK("https://fd11-courses.leclercdrive.fr/magasin-063801-063801-Echirolles---Comboire/fiche-produits-156598-Biscuits-fourres-bio-Jardin-Bio.aspx","7.53")</f>
        <v>7.53</v>
      </c>
      <c r="P310" s="1">
        <v>0.1</v>
      </c>
    </row>
    <row r="311" ht="14.25" customHeight="1">
      <c r="A311" s="1" t="s">
        <v>552</v>
      </c>
      <c r="B311" s="7" t="str">
        <f>HYPERLINK("https://lafourche.fr/products/moulin-des-moines-boudoirs-princesse-bio-200g","9.95")</f>
        <v>9.95</v>
      </c>
      <c r="C311" s="1" t="s">
        <v>869</v>
      </c>
      <c r="D311" s="9" t="str">
        <f>HYPERLINK("https://www.biocoop.fr/magasin-biocoop_champollion/boudoirs-aux-oeufs-frais-30-175g-bv6000-000.html","14.0")</f>
        <v>14.0</v>
      </c>
      <c r="E311" s="1" t="s">
        <v>869</v>
      </c>
      <c r="F311" s="9" t="str">
        <f>HYPERLINK("https://www.biocoop.fr/magasin-biocoop_fontaine/boudoirs-aux-oeufs-frais-30-175g-bv6000-000.html","14.29")</f>
        <v>14.29</v>
      </c>
      <c r="G311" s="25" t="s">
        <v>30</v>
      </c>
      <c r="H311" s="9" t="str">
        <f>HYPERLINK("https://satoriz-comboire.bio/products/re41663","12.57")</f>
        <v>12.57</v>
      </c>
      <c r="I311" s="1" t="s">
        <v>869</v>
      </c>
      <c r="J311" s="9" t="str">
        <f>HYPERLINK("https://www.greenweez.com/produit/boudoirs-200g/1MOUL0009","888888")</f>
        <v>888888</v>
      </c>
      <c r="K311" s="16" t="s">
        <v>869</v>
      </c>
      <c r="L311" s="9" t="str">
        <f>HYPERLINK("https://metabase.lelefan.org/public/dashboard/53c41f3f-5644-466e-935e-897e7725f6bc?rayon=&amp;d%25C3%25A9signation=BOUDOIRS&amp;fournisseur=&amp;date_d%25C3%25A9but=&amp;date_fin=","12.65")</f>
        <v>12.65</v>
      </c>
      <c r="M311" s="25" t="s">
        <v>1375</v>
      </c>
      <c r="N311" s="16">
        <v>888888.0</v>
      </c>
    </row>
    <row r="312" ht="14.25" customHeight="1">
      <c r="A312" s="1" t="s">
        <v>553</v>
      </c>
      <c r="B312" s="7" t="str">
        <f>HYPERLINK("https://lafourche.fr/products/bisson-biscuit-gaufrettes-citron-bio-0-19kg","15")</f>
        <v>15</v>
      </c>
      <c r="C312" s="25" t="s">
        <v>1376</v>
      </c>
      <c r="D312" s="16">
        <v>888888.0</v>
      </c>
      <c r="F312" s="16">
        <v>888888.0</v>
      </c>
      <c r="H312" s="7" t="str">
        <f>HYPERLINK("https://satoriz-comboire.bio/products/eu7911","15.0")</f>
        <v>15.0</v>
      </c>
      <c r="I312" s="25" t="s">
        <v>1377</v>
      </c>
      <c r="J312" s="9" t="str">
        <f>HYPERLINK("https://www.greenweez.com/produit/gaufrettes-au-citron-190g/1BISS0072","15.47")</f>
        <v>15.47</v>
      </c>
      <c r="K312" s="26" t="s">
        <v>1378</v>
      </c>
      <c r="L312" s="9" t="str">
        <f>HYPERLINK("https://metabase.lelefan.org/public/dashboard/53c41f3f-5644-466e-935e-897e7725f6bc?rayon=&amp;d%25C3%25A9signation=FINES GAUFRETTES AU CITRON - VEGAN&amp;fournisseur=&amp;date_d%25C3%25A9but=&amp;date_fin=","888888")</f>
        <v>888888</v>
      </c>
      <c r="M312" s="18" t="s">
        <v>56</v>
      </c>
      <c r="N312" s="16">
        <v>888888.0</v>
      </c>
    </row>
    <row r="313" ht="14.25" customHeight="1">
      <c r="A313" s="1" t="s">
        <v>554</v>
      </c>
      <c r="B313" s="9" t="str">
        <f>HYPERLINK("https://lafourche.fr/products/gaufrettes-chocolat-190g","15.74")</f>
        <v>15.74</v>
      </c>
      <c r="C313" s="1" t="s">
        <v>869</v>
      </c>
      <c r="D313" s="9" t="str">
        <f>HYPERLINK("https://www.biocoop.fr/magasin-biocoop_champollion/gaufrette-complete-au-chocolat-ra1113-000.html","22.5")</f>
        <v>22.5</v>
      </c>
      <c r="E313" s="1" t="s">
        <v>869</v>
      </c>
      <c r="F313" s="9" t="str">
        <f>HYPERLINK("https://www.biocoop.fr/magasin-biocoop_fontaine/gaufrette-chocolat-100g-lv2067-000.html","40.4")</f>
        <v>40.4</v>
      </c>
      <c r="G313" s="26" t="s">
        <v>1379</v>
      </c>
      <c r="H313" s="9" t="str">
        <f>HYPERLINK("https://satoriz-comboire.bio/products/eu7912","16.32")</f>
        <v>16.32</v>
      </c>
      <c r="I313" s="1" t="s">
        <v>869</v>
      </c>
      <c r="J313" s="9" t="str">
        <f>HYPERLINK("https://www.greenweez.com/produit/gaufrettes-chocolat-190g/1BISS0071","15.74")</f>
        <v>15.74</v>
      </c>
      <c r="K313" s="26" t="s">
        <v>1380</v>
      </c>
      <c r="L313" s="7" t="str">
        <f>HYPERLINK("https://metabase.lelefan.org/public/dashboard/53c41f3f-5644-466e-935e-897e7725f6bc?rayon=&amp;d%25C3%25A9signation=FINES GAUFRETTES AU CHOCOLAT - VEGAN&amp;fournisseur=&amp;date_d%25C3%25A9but=&amp;date_fin=","15.5")</f>
        <v>15.5</v>
      </c>
      <c r="M313" s="1" t="s">
        <v>869</v>
      </c>
      <c r="N313" s="16">
        <v>888888.0</v>
      </c>
    </row>
    <row r="314" ht="14.25" customHeight="1">
      <c r="A314" s="1" t="s">
        <v>555</v>
      </c>
      <c r="B314" s="9" t="str">
        <f>HYPERLINK("https://lafourche.fr/products/la-fourche-biscuits-petit-dejeuner-choco-noisette-bio-0-2kg","13.75")</f>
        <v>13.75</v>
      </c>
      <c r="C314" s="26" t="s">
        <v>1059</v>
      </c>
      <c r="D314" s="16">
        <v>888888.0</v>
      </c>
      <c r="F314" s="16">
        <v>888888.0</v>
      </c>
      <c r="H314" s="9" t="str">
        <f t="shared" ref="H314:H315" si="255">HYPERLINK("https://satoriz-comboire.bio/collections/epicerie-sucree/products/mpi0534","18.42")</f>
        <v>18.42</v>
      </c>
      <c r="I314" s="25" t="s">
        <v>1079</v>
      </c>
      <c r="J314" s="9" t="str">
        <f>HYPERLINK("https://www.greenweez.com/produit/ptit-dej-bio-cereales-chocolat-190g/2MOUL0024","19.26")</f>
        <v>19.26</v>
      </c>
      <c r="K314" s="16" t="s">
        <v>896</v>
      </c>
      <c r="L314" s="9" t="str">
        <f>HYPERLINK("https://metabase.lelefan.org/public/dashboard/53c41f3f-5644-466e-935e-897e7725f6bc?rayon=&amp;d%25C3%25A9signation=BISCUITS PETIT DEJEUNER AU CHOCOLAT VRAC&amp;fournisseur=&amp;date_d%25C3%25A9but=&amp;date_fin=","888888")</f>
        <v>888888</v>
      </c>
      <c r="M314" s="16" t="s">
        <v>869</v>
      </c>
      <c r="N314" s="7" t="str">
        <f>HYPERLINK("https://fd11-courses.leclercdrive.fr/magasin-063801-063801-Echirolles---Comboire/fiche-produits-16153-Biscuits-petit-dej-Bio-Village.aspx","9.85")</f>
        <v>9.85</v>
      </c>
    </row>
    <row r="315" ht="14.25" customHeight="1">
      <c r="A315" s="1" t="s">
        <v>556</v>
      </c>
      <c r="B315" s="7" t="str">
        <f>HYPERLINK("https://lafourche.fr/products/biscuits-ptit-dej-cereales-miel-et-chocolat","15.74")</f>
        <v>15.74</v>
      </c>
      <c r="C315" s="25" t="s">
        <v>1036</v>
      </c>
      <c r="D315" s="9" t="str">
        <f>HYPERLINK("https://www.biocoop.fr/magasin-biocoop_champollion/biscuit-cereales-miel-chocolat-190g-ca1149-000.html","18.95")</f>
        <v>18.95</v>
      </c>
      <c r="E315" s="1" t="s">
        <v>869</v>
      </c>
      <c r="F315" s="9" t="str">
        <f>HYPERLINK("https://www.biocoop.fr/magasin-biocoop_fontaine/biscuit-cereales-miel-chocolat-190g-ca1149-000.html","17.37")</f>
        <v>17.37</v>
      </c>
      <c r="G315" s="25" t="s">
        <v>1381</v>
      </c>
      <c r="H315" s="9" t="str">
        <f t="shared" si="255"/>
        <v>18.42</v>
      </c>
      <c r="I315" s="25" t="s">
        <v>1079</v>
      </c>
      <c r="J315" s="9" t="str">
        <f>HYPERLINK("https://www.greenweez.com/produit/ptit-dej-bio-chocolat-miel-190g/2MOUL0025","19.05")</f>
        <v>19.05</v>
      </c>
      <c r="K315" s="25" t="s">
        <v>1382</v>
      </c>
      <c r="L315" s="9" t="str">
        <f>HYPERLINK("https://metabase.lelefan.org/public/dashboard/53c41f3f-5644-466e-935e-897e7725f6bc?rayon=&amp;d%25C3%25A9signation=PETIT DEJ MIEL CHOCOLAT&amp;fournisseur=&amp;date_d%25C3%25A9but=&amp;date_fin=","888888")</f>
        <v>888888</v>
      </c>
      <c r="M315" s="16" t="s">
        <v>869</v>
      </c>
      <c r="N315" s="16">
        <v>888888.0</v>
      </c>
    </row>
    <row r="316" ht="14.25" customHeight="1">
      <c r="A316" s="5" t="s">
        <v>557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 ht="14.25" customHeight="1">
      <c r="A317" s="1" t="s">
        <v>558</v>
      </c>
      <c r="B317" s="9" t="str">
        <f>HYPERLINK("https://lafourche.fr/products/bien-briochettes-pepites-de-chocolat-bio-0-24kg-f","16.21")</f>
        <v>16.21</v>
      </c>
      <c r="C317" s="25" t="s">
        <v>1383</v>
      </c>
      <c r="D317" s="7" t="str">
        <f>HYPERLINK("https://www.biocoop.fr/magasin-biocoop_champollion/briochette-pepites-choc-lait-6-240g-pc8552-000.html","16.04")</f>
        <v>16.04</v>
      </c>
      <c r="E317" s="1" t="s">
        <v>869</v>
      </c>
      <c r="F317" s="9" t="str">
        <f>HYPERLINK("https://www.biocoop.fr/magasin-biocoop_fontaine/briochette-pepites-choc-lait-6-240g-pc8552-000.html","888888")</f>
        <v>888888</v>
      </c>
      <c r="G317" s="16" t="s">
        <v>869</v>
      </c>
      <c r="H317" s="16">
        <v>888888.0</v>
      </c>
      <c r="J317" s="9" t="str">
        <f>HYPERLINK("https://www.greenweez.com/produit/briochette-aux-pepites-de-chocolat-au-lait-x-6/1BIEN0014","21.04")</f>
        <v>21.04</v>
      </c>
      <c r="K317" s="25" t="s">
        <v>218</v>
      </c>
      <c r="L317" s="9" t="str">
        <f>HYPERLINK("https://metabase.lelefan.org/public/dashboard/53c41f3f-5644-466e-935e-897e7725f6bc?rayon=&amp;d%25C3%25A9signation=BRIOCHE PETITES DE CHOCO/PRALINES AU KG&amp;fournisseur=&amp;date_d%25C3%25A9but=&amp;date_fin=","21.1")</f>
        <v>21.1</v>
      </c>
      <c r="M317" s="1" t="s">
        <v>869</v>
      </c>
      <c r="N317" s="16">
        <v>888888.0</v>
      </c>
    </row>
    <row r="318" ht="14.25" customHeight="1">
      <c r="A318" s="1" t="s">
        <v>559</v>
      </c>
      <c r="B318" s="9" t="str">
        <f>HYPERLINK("https://lafourche.fr/products/bien-pains-au-lait-bio-0-28kg-f","10.21")</f>
        <v>10.21</v>
      </c>
      <c r="C318" s="25" t="s">
        <v>1384</v>
      </c>
      <c r="D318" s="9" t="str">
        <f>HYPERLINK("https://www.biocoop.fr/magasin-biocoop_champollion/pains-au-lait-pur-beurre-bf2214-000.html","888888")</f>
        <v>888888</v>
      </c>
      <c r="E318" s="18" t="s">
        <v>56</v>
      </c>
      <c r="F318" s="9" t="str">
        <f>HYPERLINK("https://www.biocoop.fr/magasin-biocoop_fontaine/pains-au-lait-pur-beurre-bf2214-000.html","888888")</f>
        <v>888888</v>
      </c>
      <c r="G318" s="18" t="s">
        <v>56</v>
      </c>
      <c r="H318" s="9" t="str">
        <f>HYPERLINK("https://satoriz-comboire.bio/products/re15046","11.07")</f>
        <v>11.07</v>
      </c>
      <c r="I318" s="1" t="s">
        <v>869</v>
      </c>
      <c r="J318" s="9" t="str">
        <f>HYPERLINK("https://www.greenweez.com/produit/pains-au-lait-280g/1BIEN0011","11.79")</f>
        <v>11.79</v>
      </c>
      <c r="K318" s="26" t="s">
        <v>1385</v>
      </c>
      <c r="L318" s="9" t="str">
        <f>HYPERLINK("https://metabase.lelefan.org/public/dashboard/53c41f3f-5644-466e-935e-897e7725f6bc?rayon=&amp;d%25C3%25A9signation=PAIN AU LAIT X8&amp;fournisseur=&amp;date_d%25C3%25A9but=&amp;date_fin=","11.32")</f>
        <v>11.32</v>
      </c>
      <c r="M318" s="26" t="s">
        <v>1386</v>
      </c>
      <c r="N318" s="7" t="str">
        <f>HYPERLINK("https://fd11-courses.leclercdrive.fr/magasin-063801-063801-Echirolles---Comboire/fiche-produits-19119-Pains-au-lait-La-Boulangere.aspx","7.25")</f>
        <v>7.25</v>
      </c>
    </row>
    <row r="319" ht="14.25" customHeight="1">
      <c r="A319" s="1" t="s">
        <v>560</v>
      </c>
      <c r="B319" s="9" t="str">
        <f>HYPERLINK("https://lafourche.fr/products/bien-brioche-tranchee-bio-0-4kg-f","9.98")</f>
        <v>9.98</v>
      </c>
      <c r="C319" s="25" t="s">
        <v>983</v>
      </c>
      <c r="D319" s="9" t="str">
        <f>HYPERLINK("https://www.biocoop.fr/magasin-biocoop_champollion/brioche-tranchee-pur-beurre-400g-bf2215-000.html","11.62")</f>
        <v>11.62</v>
      </c>
      <c r="E319" s="26" t="s">
        <v>1387</v>
      </c>
      <c r="F319" s="9" t="str">
        <f>HYPERLINK("https://www.biocoop.fr/magasin-biocoop_fontaine/brioche-epeautre-vendeenne-tranchee-400g-si9888-000.html","13.63")</f>
        <v>13.63</v>
      </c>
      <c r="G319" s="1" t="s">
        <v>869</v>
      </c>
      <c r="H319" s="9" t="str">
        <f>HYPERLINK("https://satoriz-comboire.bio/products/bi3785","14.9")</f>
        <v>14.9</v>
      </c>
      <c r="I319" s="25" t="s">
        <v>1388</v>
      </c>
      <c r="J319" s="9" t="str">
        <f>HYPERLINK("https://www.greenweez.com/produit/brioche-tranchee-400g-1/1BIEN0015","12.05")</f>
        <v>12.05</v>
      </c>
      <c r="K319" s="16" t="s">
        <v>896</v>
      </c>
      <c r="L319" s="16">
        <v>888888.0</v>
      </c>
      <c r="N319" s="7" t="str">
        <f>HYPERLINK("https://fd11-courses.leclercdrive.fr/magasin-063801-063801-Echirolles---Comboire/fiche-produits-81768-Brioche-tranchee-La-Boulangere.aspx","4.48")</f>
        <v>4.48</v>
      </c>
    </row>
    <row r="320" ht="14.25" customHeight="1">
      <c r="A320" s="5" t="s">
        <v>561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 ht="14.25" customHeight="1">
      <c r="A321" s="1" t="s">
        <v>562</v>
      </c>
      <c r="B321" s="7" t="str">
        <f>HYPERLINK("https://lafourche.fr/products/la-fourche-palet-de-chocolat-noir-bio-et-equitable-en-vrac-500g","18.7")</f>
        <v>18.7</v>
      </c>
      <c r="C321" s="1" t="s">
        <v>869</v>
      </c>
      <c r="D321" s="9" t="str">
        <f>HYPERLINK("https://www.biocoop.fr/magasin-biocoop_champollion/chocolat-noir-dessert-palets-58-bio-po0450-000.html","20.15")</f>
        <v>20.15</v>
      </c>
      <c r="E321" s="25" t="s">
        <v>1389</v>
      </c>
      <c r="F321" s="9" t="str">
        <f>HYPERLINK("https://www.biocoop.fr/magasin-biocoop_fontaine/chocolat-noir-palet-54-bio-da9010-000.html","18.9")</f>
        <v>18.9</v>
      </c>
      <c r="G321" s="1" t="s">
        <v>869</v>
      </c>
      <c r="H321" s="9" t="str">
        <f>HYPERLINK("https://satoriz-comboire.bio/collections/vrac/products/ma8069","23.1")</f>
        <v>23.1</v>
      </c>
      <c r="I321" s="25" t="s">
        <v>1390</v>
      </c>
      <c r="J321" s="9" t="str">
        <f>HYPERLINK("https://www.greenweez.com/produit/palets-de-chocolat-noir-58-1kg/1KAOK0016","30.87")</f>
        <v>30.87</v>
      </c>
      <c r="K321" s="1" t="s">
        <v>869</v>
      </c>
      <c r="L321" s="16">
        <v>888888.0</v>
      </c>
      <c r="N321" s="16">
        <v>888888.0</v>
      </c>
    </row>
    <row r="322" ht="14.25" customHeight="1">
      <c r="A322" s="1" t="s">
        <v>563</v>
      </c>
      <c r="B322" s="9" t="str">
        <f t="shared" ref="B322:B323" si="256">HYPERLINK("https://lafourche.fr/products/la-fourche-pepites-de-chocolat-noir-60-bio-en-vrac-0-5kg","24.98")</f>
        <v>24.98</v>
      </c>
      <c r="C322" s="25" t="s">
        <v>1391</v>
      </c>
      <c r="D322" s="9" t="str">
        <f>HYPERLINK("https://www.biocoop.fr/magasin-biocoop_champollion/chocolat-noir-pepites-60-by0943-000.html","888888")</f>
        <v>888888</v>
      </c>
      <c r="E322" s="16" t="s">
        <v>869</v>
      </c>
      <c r="F322" s="7" t="str">
        <f t="shared" ref="F322:F323" si="257">HYPERLINK("https://www.biocoop.fr/magasin-biocoop_fontaine/chocolat-noir-pepites-60-bio-po0448-000.html","18.9")</f>
        <v>18.9</v>
      </c>
      <c r="G322" s="25" t="s">
        <v>1392</v>
      </c>
      <c r="H322" s="9" t="str">
        <f t="shared" ref="H322:H323" si="258">HYPERLINK("https://satoriz-comboire.bio/collections/vrac/products/ma73001","22.5")</f>
        <v>22.5</v>
      </c>
      <c r="I322" s="25" t="s">
        <v>1176</v>
      </c>
      <c r="J322" s="9" t="str">
        <f>HYPERLINK("https://www.greenweez.com/produit/pepites-de-chocolat-noir-60-de-cacao-5kg/1SENF0062","27.09")</f>
        <v>27.09</v>
      </c>
      <c r="K322" s="25" t="s">
        <v>1393</v>
      </c>
      <c r="L322" s="9" t="str">
        <f t="shared" ref="L322:L323" si="259">HYPERLINK("https://metabase.lelefan.org/public/dashboard/53c41f3f-5644-466e-935e-897e7725f6bc?rayon=&amp;d%25C3%25A9signation=PEPITES CHOCO NOIR 60% VRAC&amp;fournisseur=&amp;date_d%25C3%25A9but=&amp;date_fin=","26.31")</f>
        <v>26.31</v>
      </c>
      <c r="M322" s="25" t="s">
        <v>1394</v>
      </c>
      <c r="N322" s="9" t="str">
        <f>HYPERLINK("https://fd11-courses.leclercdrive.fr/magasin-063801-063801-Echirolles---Comboire/fiche-produits-120872-Pepites-chocolat-Bio-Village.aspx","20.9")</f>
        <v>20.9</v>
      </c>
    </row>
    <row r="323" ht="14.25" customHeight="1">
      <c r="A323" s="1" t="s">
        <v>564</v>
      </c>
      <c r="B323" s="9" t="str">
        <f t="shared" si="256"/>
        <v>24.98</v>
      </c>
      <c r="C323" s="25" t="s">
        <v>1391</v>
      </c>
      <c r="D323" s="9" t="str">
        <f>HYPERLINK("https://www.biocoop.fr/magasin-biocoop_champollion/chocolat-noir-pepites-60-bio-po0448-000.html","888888")</f>
        <v>888888</v>
      </c>
      <c r="E323" s="16" t="s">
        <v>869</v>
      </c>
      <c r="F323" s="7" t="str">
        <f t="shared" si="257"/>
        <v>18.9</v>
      </c>
      <c r="G323" s="25" t="s">
        <v>1392</v>
      </c>
      <c r="H323" s="9" t="str">
        <f t="shared" si="258"/>
        <v>22.5</v>
      </c>
      <c r="I323" s="25" t="s">
        <v>1176</v>
      </c>
      <c r="J323" s="9" t="str">
        <f>HYPERLINK("https://www.greenweez.com/produit/pepites-de-chocolat-noir-60-bio-et-equitables-500g/2WEEZ0401","888888")</f>
        <v>888888</v>
      </c>
      <c r="K323" s="18" t="s">
        <v>56</v>
      </c>
      <c r="L323" s="9" t="str">
        <f t="shared" si="259"/>
        <v>26.31</v>
      </c>
      <c r="M323" s="25" t="s">
        <v>1394</v>
      </c>
      <c r="N323" s="16">
        <v>888888.0</v>
      </c>
    </row>
    <row r="324" ht="14.25" customHeight="1">
      <c r="A324" s="1" t="s">
        <v>565</v>
      </c>
      <c r="B324" s="9" t="str">
        <f>HYPERLINK("https://lafourche.fr/products/la-fourche-pepites-de-chocolat-au-lait-36-bio-en-vrac-0-5kg","24.2")</f>
        <v>24.2</v>
      </c>
      <c r="C324" s="25" t="s">
        <v>1395</v>
      </c>
      <c r="D324" s="9" t="str">
        <f>HYPERLINK("https://www.biocoop.fr/magasin-biocoop_champollion/chocolat-lait-pepites-38-bio-da9007-000.html","888888")</f>
        <v>888888</v>
      </c>
      <c r="E324" s="16" t="s">
        <v>869</v>
      </c>
      <c r="F324" s="7" t="str">
        <f>HYPERLINK("https://www.biocoop.fr/magasin-biocoop_fontaine/chocolat-lait-pepites-38-bio-da9007-000.html","21.5")</f>
        <v>21.5</v>
      </c>
      <c r="G324" s="1" t="s">
        <v>869</v>
      </c>
      <c r="H324" s="9" t="str">
        <f>HYPERLINK("https://satoriz-comboire.bio/collections/vrac/products/ma00074","29.0")</f>
        <v>29.0</v>
      </c>
      <c r="I324" s="26" t="s">
        <v>928</v>
      </c>
      <c r="J324" s="9" t="str">
        <f>HYPERLINK("https://www.greenweez.com/produit/pepites-de-chocolat-au-lait-36-bio-et-equitables-500g/2WEEZ0400","888888")</f>
        <v>888888</v>
      </c>
      <c r="K324" s="16" t="s">
        <v>869</v>
      </c>
      <c r="L324" s="16">
        <v>888888.0</v>
      </c>
      <c r="N324" s="16">
        <v>888888.0</v>
      </c>
    </row>
    <row r="325" ht="14.25" customHeight="1">
      <c r="A325" s="1" t="s">
        <v>566</v>
      </c>
      <c r="B325" s="9" t="str">
        <f>HYPERLINK("https://lafourche.fr/products/chocolat-patissier-56-bio","27.7")</f>
        <v>27.7</v>
      </c>
      <c r="C325" s="25" t="s">
        <v>1396</v>
      </c>
      <c r="D325" s="9" t="str">
        <f>HYPERLINK("https://www.biocoop.fr/magasin-biocoop_champollion/chocolat-noir-dessert-56-200g-bc4128-000.html","24.0")</f>
        <v>24.0</v>
      </c>
      <c r="E325" s="25" t="s">
        <v>1397</v>
      </c>
      <c r="F325" s="9" t="str">
        <f>HYPERLINK("https://www.biocoop.fr/magasin-biocoop_fontaine/chocolat-noir-dessert-58-200g-aa0106-000.html","888888")</f>
        <v>888888</v>
      </c>
      <c r="G325" s="18" t="s">
        <v>56</v>
      </c>
      <c r="H325" s="9" t="str">
        <f>HYPERLINK("https://satoriz-comboire.bio/collections/epicerie-sucree/products/bt2411","24.25")</f>
        <v>24.25</v>
      </c>
      <c r="I325" s="25" t="s">
        <v>1398</v>
      </c>
      <c r="J325" s="9" t="str">
        <f>HYPERLINK("https://www.greenweez.com/produit/tablette-chocolat-noir-patisserie-60-200g/1BTER0030","24.75")</f>
        <v>24.75</v>
      </c>
      <c r="K325" s="25" t="s">
        <v>1399</v>
      </c>
      <c r="L325" s="9" t="str">
        <f>HYPERLINK("https://metabase.lelefan.org/public/dashboard/53c41f3f-5644-466e-935e-897e7725f6bc?rayon=&amp;d%25C3%25A9signation=CHOCOLAT NOIR DESSERT 72% CACAO&amp;fournisseur=&amp;date_d%25C3%25A9but=&amp;date_fin=","22.3")</f>
        <v>22.3</v>
      </c>
      <c r="M325" s="26" t="s">
        <v>1400</v>
      </c>
      <c r="N325" s="7" t="str">
        <f>HYPERLINK("https://fd11-courses.leclercdrive.fr/magasin-063801-063801-Echirolles---Comboire/fiche-produits-28228-Chocolat-Patissier-Bio-Village.aspx","12.35")</f>
        <v>12.35</v>
      </c>
    </row>
    <row r="326" ht="14.25" customHeight="1">
      <c r="A326" s="1" t="s">
        <v>567</v>
      </c>
      <c r="B326" s="9" t="str">
        <f>HYPERLINK("https://lafourche.fr/products/chocolat-noir-a-la-fleur-de-sel-la-fourche-bio","36")</f>
        <v>36</v>
      </c>
      <c r="C326" s="25" t="s">
        <v>1401</v>
      </c>
      <c r="D326" s="9" t="str">
        <f>HYPERLINK("https://www.biocoop.fr/magasin-biocoop_champollion/chocolat-noir-fleur-de-sel-70-100g-bc4129-000.html","41.0")</f>
        <v>41.0</v>
      </c>
      <c r="E326" s="25" t="s">
        <v>1402</v>
      </c>
      <c r="F326" s="7" t="str">
        <f>HYPERLINK("https://www.biocoop.fr/magasin-biocoop_fontaine/chocolat-noir-fleur-de-sel-70-100g-po0456-000.html","29.9")</f>
        <v>29.9</v>
      </c>
      <c r="G326" s="26" t="s">
        <v>1403</v>
      </c>
      <c r="H326" s="9" t="str">
        <f>HYPERLINK("https://satoriz-comboire.bio/collections/epicerie-sucree/products/ma7079","37.5")</f>
        <v>37.5</v>
      </c>
      <c r="I326" s="25" t="s">
        <v>297</v>
      </c>
      <c r="J326" s="9" t="str">
        <f>HYPERLINK("https://www.greenweez.com/produit/lot-de-3-chocolats-noirs-bio-70-fleur-de-sel-100g/1PACK3610","888888")</f>
        <v>888888</v>
      </c>
      <c r="K326" s="16" t="s">
        <v>869</v>
      </c>
      <c r="L326" s="9" t="str">
        <f>HYPERLINK("https://metabase.lelefan.org/public/dashboard/53c41f3f-5644-466e-935e-897e7725f6bc?rayon=&amp;d%25C3%25A9signation=CHOCOLAT NOIR FLEUR DE SEL&amp;fournisseur=&amp;date_d%25C3%25A9but=&amp;date_fin=","888888")</f>
        <v>888888</v>
      </c>
      <c r="M326" s="16" t="s">
        <v>869</v>
      </c>
      <c r="N326" s="16">
        <v>888888.0</v>
      </c>
    </row>
    <row r="327" ht="14.25" customHeight="1">
      <c r="A327" s="1" t="s">
        <v>568</v>
      </c>
      <c r="B327" s="9" t="str">
        <f>HYPERLINK("https://lafourche.fr/products/chocolat-noir-55p-a-lorange","33")</f>
        <v>33</v>
      </c>
      <c r="C327" s="1" t="s">
        <v>869</v>
      </c>
      <c r="D327" s="9" t="str">
        <f>HYPERLINK("https://www.biocoop.fr/magasin-biocoop_champollion/chocolat-noir-orange-58-100g-po0424-000.html","888888")</f>
        <v>888888</v>
      </c>
      <c r="E327" s="16" t="s">
        <v>869</v>
      </c>
      <c r="F327" s="7" t="str">
        <f>HYPERLINK("https://www.biocoop.fr/magasin-biocoop_fontaine/chocolat-noir-orange-58-100g-po0424-000.html","28.5")</f>
        <v>28.5</v>
      </c>
      <c r="G327" s="26" t="s">
        <v>1404</v>
      </c>
      <c r="H327" s="9" t="str">
        <f>HYPERLINK("https://satoriz-comboire.bio/collections/epicerie-sucree/products/ma1213","37.0")</f>
        <v>37.0</v>
      </c>
      <c r="I327" s="1" t="s">
        <v>869</v>
      </c>
      <c r="J327" s="9" t="str">
        <f>HYPERLINK("https://www.greenweez.com/produit/tablette-chocolat-noir-orange-100g/1EURO0003","37.6")</f>
        <v>37.6</v>
      </c>
      <c r="K327" s="25" t="s">
        <v>1289</v>
      </c>
      <c r="L327" s="9" t="str">
        <f>HYPERLINK("https://metabase.lelefan.org/public/dashboard/53c41f3f-5644-466e-935e-897e7725f6bc?rayon=&amp;d%25C3%25A9signation=CHOCOLAT NOIR ORANGES&amp;fournisseur=&amp;date_d%25C3%25A9but=&amp;date_fin=","888888")</f>
        <v>888888</v>
      </c>
      <c r="M327" s="16" t="s">
        <v>869</v>
      </c>
      <c r="N327" s="16">
        <v>888888.0</v>
      </c>
    </row>
    <row r="328" ht="14.25" customHeight="1">
      <c r="A328" s="1" t="s">
        <v>569</v>
      </c>
      <c r="B328" s="9" t="str">
        <f t="shared" ref="B328:B329" si="260">HYPERLINK("https://lafourche.fr/products/chocolat-noir-70-la-fourche-bio","29.7")</f>
        <v>29.7</v>
      </c>
      <c r="C328" s="25" t="s">
        <v>1405</v>
      </c>
      <c r="D328" s="9" t="str">
        <f t="shared" ref="D328:D329" si="261">HYPERLINK("https://www.biocoop.fr/magasin-biocoop_champollion/chocolat-noir-70-100g-bc4127-000.html","28.5")</f>
        <v>28.5</v>
      </c>
      <c r="E328" s="25" t="s">
        <v>1406</v>
      </c>
      <c r="F328" s="9" t="str">
        <f t="shared" ref="F328:F329" si="262">HYPERLINK("https://www.biocoop.fr/magasin-biocoop_fontaine/chocolat-noir-70-100g-po0425-000.html","29.0")</f>
        <v>29.0</v>
      </c>
      <c r="G328" s="26" t="s">
        <v>143</v>
      </c>
      <c r="H328" s="9" t="str">
        <f t="shared" ref="H328:H329" si="263">HYPERLINK("https://satoriz-comboire.bio/collections/epicerie-sucree/products/ma01206","29.0")</f>
        <v>29.0</v>
      </c>
      <c r="I328" s="1" t="s">
        <v>869</v>
      </c>
      <c r="J328" s="9" t="str">
        <f>HYPERLINK("https://www.greenweez.com/produit/lot-de-3-chocolats-noirs-bio-70-100g/1PACK3609","29.57")</f>
        <v>29.57</v>
      </c>
      <c r="K328" s="25" t="s">
        <v>1407</v>
      </c>
      <c r="L328" s="16">
        <v>888888.0</v>
      </c>
      <c r="N328" s="7" t="str">
        <f t="shared" ref="N328:N329" si="264">HYPERLINK("https://fd11-courses.leclercdrive.fr/magasin-063801-063801-Echirolles---Comboire/fiche-produits-8566-Chocolat-noir-Bio-Village.aspx","15.9")</f>
        <v>15.9</v>
      </c>
    </row>
    <row r="329" ht="14.25" customHeight="1">
      <c r="A329" s="1" t="s">
        <v>570</v>
      </c>
      <c r="B329" s="9" t="str">
        <f t="shared" si="260"/>
        <v>29.7</v>
      </c>
      <c r="C329" s="25" t="s">
        <v>1405</v>
      </c>
      <c r="D329" s="9" t="str">
        <f t="shared" si="261"/>
        <v>28.5</v>
      </c>
      <c r="E329" s="25" t="s">
        <v>1406</v>
      </c>
      <c r="F329" s="9" t="str">
        <f t="shared" si="262"/>
        <v>29.0</v>
      </c>
      <c r="G329" s="26" t="s">
        <v>143</v>
      </c>
      <c r="H329" s="9" t="str">
        <f t="shared" si="263"/>
        <v>29.0</v>
      </c>
      <c r="I329" s="1" t="s">
        <v>869</v>
      </c>
      <c r="J329" s="9" t="str">
        <f>HYPERLINK("https://www.greenweez.com/produit/chocolat-noir-bio-70-100g/2WEEZ0270","888888")</f>
        <v>888888</v>
      </c>
      <c r="K329" s="18" t="s">
        <v>56</v>
      </c>
      <c r="L329" s="16">
        <v>888888.0</v>
      </c>
      <c r="N329" s="7" t="str">
        <f t="shared" si="264"/>
        <v>15.9</v>
      </c>
    </row>
    <row r="330" ht="14.25" customHeight="1">
      <c r="A330" s="1" t="s">
        <v>571</v>
      </c>
      <c r="B330" s="9" t="str">
        <f>HYPERLINK("https://lafourche.fr/products/chocolat-au-lait-41-la-fourche-bio","34.6")</f>
        <v>34.6</v>
      </c>
      <c r="C330" s="25" t="s">
        <v>1408</v>
      </c>
      <c r="D330" s="9" t="str">
        <f>HYPERLINK("https://www.biocoop.fr/magasin-biocoop_champollion/chocolat-au-lait-41-100g-bc4126-000.html","36.5")</f>
        <v>36.5</v>
      </c>
      <c r="E330" s="25" t="s">
        <v>1409</v>
      </c>
      <c r="F330" s="9" t="str">
        <f>HYPERLINK("https://www.biocoop.fr/magasin-biocoop_fontaine/chocolat-lait-fondant-40-100g-po0423-000.html","36.5")</f>
        <v>36.5</v>
      </c>
      <c r="G330" s="1" t="s">
        <v>869</v>
      </c>
      <c r="H330" s="9" t="str">
        <f>HYPERLINK("https://satoriz-comboire.bio/collections/epicerie-sucree/products/raclait","34.0")</f>
        <v>34.0</v>
      </c>
      <c r="I330" s="26" t="s">
        <v>1410</v>
      </c>
      <c r="J330" s="9" t="str">
        <f>HYPERLINK("https://www.greenweez.com/produit/tablette-chocolat-lait-nature-perou-bio-100g/1ETHI0076","31.9")</f>
        <v>31.9</v>
      </c>
      <c r="K330" s="25" t="s">
        <v>1411</v>
      </c>
      <c r="L330" s="16">
        <v>888888.0</v>
      </c>
      <c r="N330" s="7" t="str">
        <f>HYPERLINK("https://fd11-courses.leclercdrive.fr/magasin-063801-063801-Echirolles---Comboire/fiche-produits-28227-Tablette-bio-Bio-Village.aspx","17.0")</f>
        <v>17.0</v>
      </c>
    </row>
    <row r="331" ht="14.25" customHeight="1">
      <c r="A331" s="1" t="s">
        <v>572</v>
      </c>
      <c r="B331" s="7" t="str">
        <f>HYPERLINK("https://lafourche.fr/products/rapunzel-chocolat-blanc-bio-100g","31.1")</f>
        <v>31.1</v>
      </c>
      <c r="C331" s="1" t="s">
        <v>869</v>
      </c>
      <c r="D331" s="16">
        <v>888888.0</v>
      </c>
      <c r="F331" s="16">
        <v>888888.0</v>
      </c>
      <c r="H331" s="9" t="str">
        <f>HYPERLINK("https://satoriz-comboire.bio/collections/epicerie-sucree/products/racblan","34.0")</f>
        <v>34.0</v>
      </c>
      <c r="I331" s="26" t="s">
        <v>1410</v>
      </c>
      <c r="J331" s="9" t="str">
        <f>HYPERLINK("https://www.greenweez.com/produit/tablette-chocolat-blanc-bliss-70g/1RAWC0042","56.29")</f>
        <v>56.29</v>
      </c>
      <c r="K331" s="25" t="s">
        <v>1412</v>
      </c>
      <c r="L331" s="16">
        <v>888888.0</v>
      </c>
      <c r="N331" s="16">
        <v>888888.0</v>
      </c>
    </row>
    <row r="332" ht="14.25" customHeight="1">
      <c r="A332" s="5" t="s">
        <v>353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 ht="14.25" customHeight="1">
      <c r="A333" s="1" t="s">
        <v>573</v>
      </c>
      <c r="B333" s="9" t="str">
        <f>HYPERLINK("https://lafourche.fr/products/la-fourche-puree-pommes-bio-0-915kg","3.77")</f>
        <v>3.77</v>
      </c>
      <c r="C333" s="26" t="s">
        <v>1413</v>
      </c>
      <c r="D333" s="9" t="str">
        <f>HYPERLINK("https://www.biocoop.fr/magasin-biocoop_champollion/puree-pomme-pr5264-000.html","4.02")</f>
        <v>4.02</v>
      </c>
      <c r="E333" s="26" t="s">
        <v>1414</v>
      </c>
      <c r="F333" s="9" t="str">
        <f>HYPERLINK("https://www.biocoop.fr/magasin-biocoop_fontaine/puree-pomme-pr5264-000.html","4.02")</f>
        <v>4.02</v>
      </c>
      <c r="G333" s="26" t="s">
        <v>1414</v>
      </c>
      <c r="H333" s="9" t="str">
        <f>HYPERLINK("https://satoriz-comboire.bio/collections/epicerie-sucree/products/cn0849","4.88")</f>
        <v>4.88</v>
      </c>
      <c r="I333" s="25" t="s">
        <v>1415</v>
      </c>
      <c r="J333" s="9" t="str">
        <f>HYPERLINK("https://www.greenweez.com/produit/puree-de-pommes-bio-700g/2WEEZ0536","4.97")</f>
        <v>4.97</v>
      </c>
      <c r="K333" s="1" t="s">
        <v>869</v>
      </c>
      <c r="L333" s="9" t="str">
        <f>HYPERLINK("https://metabase.lelefan.org/public/dashboard/53c41f3f-5644-466e-935e-897e7725f6bc?rayon=&amp;d%25C3%25A9signation=PUREE DE POMMES SANS SUCRE AJOUTE BOCAL&amp;fournisseur=&amp;date_d%25C3%25A9but=&amp;date_fin=","3.89")</f>
        <v>3.89</v>
      </c>
      <c r="M333" s="25" t="s">
        <v>1416</v>
      </c>
      <c r="N333" s="7" t="str">
        <f>HYPERLINK("https://fd11-courses.leclercdrive.fr/magasin-063801-063801-Echirolles---Comboire/fiche-produits-62726-Compote-bio-Bio-Village.aspx","3.5")</f>
        <v>3.5</v>
      </c>
    </row>
    <row r="334" ht="14.25" customHeight="1">
      <c r="A334" s="1" t="s">
        <v>574</v>
      </c>
      <c r="B334" s="9" t="str">
        <f>HYPERLINK("https://lafourche.fr/products/la-fourche-puree-pommes-poires-bio-0-915kg","4.81")</f>
        <v>4.81</v>
      </c>
      <c r="C334" s="25" t="s">
        <v>1417</v>
      </c>
      <c r="D334" s="9" t="str">
        <f>HYPERLINK("https://www.biocoop.fr/magasin-biocoop_champollion/puree-pomme-poire-he2002-000.html","6.12")</f>
        <v>6.12</v>
      </c>
      <c r="E334" s="1" t="s">
        <v>869</v>
      </c>
      <c r="F334" s="9" t="str">
        <f>HYPERLINK("https://www.biocoop.fr/magasin-biocoop_fontaine/puree-pomme-poire-1-05kg-dn1113-000.html","6.48")</f>
        <v>6.48</v>
      </c>
      <c r="G334" s="1" t="s">
        <v>869</v>
      </c>
      <c r="H334" s="9" t="str">
        <f>HYPERLINK("https://satoriz-comboire.bio/products/re43944","5.29")</f>
        <v>5.29</v>
      </c>
      <c r="I334" s="1" t="s">
        <v>869</v>
      </c>
      <c r="J334" s="9" t="str">
        <f>HYPERLINK("https://www.greenweez.com/produit/puree-pomme-poire-bio-700g/2WEEZ0538","5.41")</f>
        <v>5.41</v>
      </c>
      <c r="K334" s="26" t="s">
        <v>1418</v>
      </c>
      <c r="L334" s="9" t="str">
        <f>HYPERLINK("https://metabase.lelefan.org/public/dashboard/53c41f3f-5644-466e-935e-897e7725f6bc?rayon=&amp;d%25C3%25A9signation=COMPOTE POMME POIRE&amp;fournisseur=&amp;date_d%25C3%25A9but=&amp;date_fin=","5.71")</f>
        <v>5.71</v>
      </c>
      <c r="M334" s="1" t="s">
        <v>869</v>
      </c>
      <c r="N334" s="7" t="str">
        <f>HYPERLINK("https://fd11-courses.leclercdrive.fr/magasin-063801-063801-Echirolles---Comboire/fiche-produits-62727-Compote-bio-Bio-Village.aspx","3.55")</f>
        <v>3.55</v>
      </c>
    </row>
    <row r="335" ht="14.25" customHeight="1">
      <c r="A335" s="1" t="s">
        <v>575</v>
      </c>
      <c r="B335" s="9" t="str">
        <f>HYPERLINK("https://lafourche.fr/products/compote-danival-dani-pom-pomme-banane-1-05kg-bio","5.24")</f>
        <v>5.24</v>
      </c>
      <c r="C335" s="25" t="s">
        <v>1419</v>
      </c>
      <c r="D335" s="9" t="str">
        <f>HYPERLINK("https://www.biocoop.fr/magasin-biocoop_champollion/puree-de-pommes-et-bananes-cn0219-000.html","5.66")</f>
        <v>5.66</v>
      </c>
      <c r="E335" s="26" t="s">
        <v>1420</v>
      </c>
      <c r="F335" s="9" t="str">
        <f>HYPERLINK("https://www.biocoop.fr/magasin-biocoop_fontaine/puree-de-pommes-et-bananes-cn0219-000.html","5.66")</f>
        <v>5.66</v>
      </c>
      <c r="G335" s="26" t="s">
        <v>1420</v>
      </c>
      <c r="H335" s="9" t="str">
        <f>HYPERLINK("https://satoriz-comboire.bio/products/da01440","5.81")</f>
        <v>5.81</v>
      </c>
      <c r="I335" s="25" t="s">
        <v>1421</v>
      </c>
      <c r="J335" s="9" t="str">
        <f>HYPERLINK("https://www.greenweez.com/produit/dessert-pomme-banane-1-05kg/1DANI0190","888888")</f>
        <v>888888</v>
      </c>
      <c r="K335" s="18" t="s">
        <v>56</v>
      </c>
      <c r="L335" s="16">
        <v>888888.0</v>
      </c>
      <c r="N335" s="7" t="str">
        <f>HYPERLINK("https://fd11-courses.leclercdrive.fr/magasin-063801-063801-Echirolles---Comboire/fiche-produits-166601-Compote-bio-Jardin-Bio.aspx","4.57")</f>
        <v>4.57</v>
      </c>
    </row>
    <row r="336" ht="14.25" customHeight="1">
      <c r="A336" s="1" t="s">
        <v>576</v>
      </c>
      <c r="B336" s="7" t="str">
        <f>HYPERLINK("https://lafourche.fr/products/sojade-so-soja-dessert-chocolat-uht-bio-0-53kg","4.43")</f>
        <v>4.43</v>
      </c>
      <c r="C336" s="25" t="s">
        <v>1422</v>
      </c>
      <c r="D336" s="9" t="str">
        <f>HYPERLINK("https://www.biocoop.fr/magasin-biocoop_champollion/so-soja-chocolat-ti3030-000.html","5.94")</f>
        <v>5.94</v>
      </c>
      <c r="E336" s="1" t="s">
        <v>869</v>
      </c>
      <c r="F336" s="9" t="str">
        <f>HYPERLINK("https://www.biocoop.fr/magasin-biocoop_fontaine/so-soja-chocolat-ti3030-000.html","5.19")</f>
        <v>5.19</v>
      </c>
      <c r="G336" s="25" t="s">
        <v>914</v>
      </c>
      <c r="H336" s="9" t="str">
        <f>HYPERLINK("https://satoriz-comboire.bio/collections/epicerie-sucree/products/fr18734","4.81")</f>
        <v>4.81</v>
      </c>
      <c r="I336" s="25" t="s">
        <v>1423</v>
      </c>
      <c r="J336" s="16">
        <v>888888.0</v>
      </c>
      <c r="L336" s="16">
        <v>888888.0</v>
      </c>
      <c r="N336" s="16">
        <v>888888.0</v>
      </c>
    </row>
    <row r="337" ht="14.25" customHeight="1">
      <c r="A337" s="1" t="s">
        <v>577</v>
      </c>
      <c r="B337" s="7" t="str">
        <f>HYPERLINK("https://lafourche.fr/products/sojade-so-soja-dessert-vanille-uht-bio-0-53kg","4.43")</f>
        <v>4.43</v>
      </c>
      <c r="C337" s="25" t="s">
        <v>1424</v>
      </c>
      <c r="D337" s="9" t="str">
        <f>HYPERLINK("https://www.biocoop.fr/magasin-biocoop_champollion/so-soja-vanille-ti3031-000.html","4.72")</f>
        <v>4.72</v>
      </c>
      <c r="E337" s="1" t="s">
        <v>869</v>
      </c>
      <c r="F337" s="9" t="str">
        <f>HYPERLINK("https://www.biocoop.fr/magasin-biocoop_fontaine/so-soja-vanille-ti3031-000.html","4.81")</f>
        <v>4.81</v>
      </c>
      <c r="G337" s="25" t="s">
        <v>1425</v>
      </c>
      <c r="H337" s="9" t="str">
        <f>HYPERLINK("https://satoriz-comboire.bio/collections/epicerie-sucree/products/fr18736","4.81")</f>
        <v>4.81</v>
      </c>
      <c r="I337" s="25" t="s">
        <v>1423</v>
      </c>
      <c r="J337" s="16">
        <v>888888.0</v>
      </c>
      <c r="L337" s="16">
        <v>888888.0</v>
      </c>
      <c r="N337" s="16">
        <v>888888.0</v>
      </c>
    </row>
    <row r="338" ht="14.25" customHeight="1">
      <c r="A338" s="1" t="s">
        <v>578</v>
      </c>
      <c r="B338" s="16">
        <v>888888.0</v>
      </c>
      <c r="D338" s="9" t="str">
        <f>HYPERLINK("https://www.biocoop.fr/magasin-biocoop_champollion/ananas-et-son-jus-equitables-240g-mx0109-000.html","888888")</f>
        <v>888888</v>
      </c>
      <c r="E338" s="16" t="s">
        <v>869</v>
      </c>
      <c r="F338" s="9" t="str">
        <f>HYPERLINK("https://www.biocoop.fr/magasin-biocoop_fontaine/ananas-et-son-jus-equitables-240g-mx0109-000.html","19.79")</f>
        <v>19.79</v>
      </c>
      <c r="G338" s="1" t="s">
        <v>869</v>
      </c>
      <c r="H338" s="7" t="str">
        <f>HYPERLINK("https://satoriz-comboire.bio/products/su039","15.1")</f>
        <v>15.1</v>
      </c>
      <c r="I338" s="1" t="s">
        <v>869</v>
      </c>
      <c r="J338" s="9" t="str">
        <f>HYPERLINK("https://www.greenweez.com/produit/ananas-en-morceaux-400g/1BASE0008","888888")</f>
        <v>888888</v>
      </c>
      <c r="K338" s="16" t="s">
        <v>869</v>
      </c>
      <c r="L338" s="9" t="str">
        <f>HYPERLINK("https://metabase.lelefan.org/public/dashboard/53c41f3f-5644-466e-935e-897e7725f6bc?rayon=&amp;d%25C3%25A9signation=ANANAS CONSERVE BOCAL&amp;fournisseur=&amp;date_d%25C3%25A9but=&amp;date_fin=","16.88")</f>
        <v>16.88</v>
      </c>
      <c r="M338" s="1" t="s">
        <v>869</v>
      </c>
      <c r="N338" s="16">
        <v>888888.0</v>
      </c>
    </row>
    <row r="339" ht="14.25" customHeight="1">
      <c r="A339" s="5" t="s">
        <v>579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 ht="14.25" customHeight="1">
      <c r="A340" s="1" t="s">
        <v>580</v>
      </c>
      <c r="B340" s="9" t="str">
        <f>HYPERLINK("https://lafourche.fr/products/elibio-cereales-fourrees-tout-chocolat-bio-375g","10.35")</f>
        <v>10.35</v>
      </c>
      <c r="C340" s="25" t="s">
        <v>1426</v>
      </c>
      <c r="D340" s="9" t="str">
        <f>HYPERLINK("https://www.biocoop.fr/magasin-biocoop_champollion/ka-re-fourres-chocolat-noisettes-bio-lg2005-000.html","10.9")</f>
        <v>10.9</v>
      </c>
      <c r="E340" s="1" t="s">
        <v>869</v>
      </c>
      <c r="F340" s="7" t="str">
        <f>HYPERLINK("https://www.biocoop.fr/magasin-biocoop_fontaine/ka-re-fourres-chocolat-noisettes-bio-lg2005-000.html","9.95")</f>
        <v>9.95</v>
      </c>
      <c r="G340" s="1" t="s">
        <v>869</v>
      </c>
      <c r="H340" s="9" t="str">
        <f>HYPERLINK("https://satoriz-comboire.bio/collections/vrac/products/gr554","10.8")</f>
        <v>10.8</v>
      </c>
      <c r="I340" s="25" t="s">
        <v>1427</v>
      </c>
      <c r="J340" s="9" t="str">
        <f>HYPERLINK("https://www.greenweez.com/produit/cereales-kare-fourrees-chocolat-noisettes-500g/1GRIL0036","12.42")</f>
        <v>12.42</v>
      </c>
      <c r="K340" s="26" t="s">
        <v>1428</v>
      </c>
      <c r="L340" s="9" t="str">
        <f>HYPERLINK("https://metabase.lelefan.org/public/dashboard/53c41f3f-5644-466e-935e-897e7725f6bc?rayon=&amp;d%25C3%25A9signation=CHOCO CROK FOURRES NOISETTES CACAO&amp;fournisseur=&amp;date_d%25C3%25A9but=&amp;date_fin=","10.16")</f>
        <v>10.16</v>
      </c>
      <c r="M340" s="1" t="s">
        <v>869</v>
      </c>
      <c r="N340" s="16">
        <v>888888.0</v>
      </c>
      <c r="P340" s="1">
        <v>0.1</v>
      </c>
    </row>
    <row r="341" ht="14.25" customHeight="1">
      <c r="A341" s="1" t="s">
        <v>581</v>
      </c>
      <c r="B341" s="9" t="str">
        <f>HYPERLINK("https://lafourche.fr/products/grillon-dor-chocolune-bio-0-375kg","10")</f>
        <v>10</v>
      </c>
      <c r="C341" s="25" t="s">
        <v>1429</v>
      </c>
      <c r="D341" s="9" t="str">
        <f>HYPERLINK("https://www.biocoop.fr/magasin-biocoop_champollion/crosti-griffs-choco-10kg-bio-pr5170-000.html","8.5")</f>
        <v>8.5</v>
      </c>
      <c r="E341" s="26" t="s">
        <v>1430</v>
      </c>
      <c r="F341" s="9" t="str">
        <f>HYPERLINK("https://www.biocoop.fr/magasin-biocoop_fontaine/crosti-griffs-choco-10kg-bio-pr5170-000.html","8.5")</f>
        <v>8.5</v>
      </c>
      <c r="G341" s="26" t="s">
        <v>1430</v>
      </c>
      <c r="H341" s="7" t="str">
        <f>HYPERLINK("https://satoriz-comboire.bio/collections/vrac/products/grexch","8.1")</f>
        <v>8.1</v>
      </c>
      <c r="I341" s="1" t="s">
        <v>869</v>
      </c>
      <c r="J341" s="9" t="str">
        <f>HYPERLINK("https://www.greenweez.com/produit/cereales-chocolune-375g/1GRIL0051","9.84")</f>
        <v>9.84</v>
      </c>
      <c r="K341" s="26" t="s">
        <v>1431</v>
      </c>
      <c r="L341" s="9" t="str">
        <f>HYPERLINK("https://metabase.lelefan.org/public/dashboard/53c41f3f-5644-466e-935e-897e7725f6bc?rayon=&amp;d%25C3%25A9signation=CROC  O  CHOC VRAC&amp;fournisseur=&amp;date_d%25C3%25A9but=&amp;date_fin=","14.87")</f>
        <v>14.87</v>
      </c>
      <c r="M341" s="25" t="s">
        <v>1432</v>
      </c>
      <c r="N341" s="16">
        <v>888888.0</v>
      </c>
      <c r="P341" s="1">
        <v>0.1</v>
      </c>
    </row>
    <row r="342" ht="14.25" customHeight="1">
      <c r="A342" s="1" t="s">
        <v>582</v>
      </c>
      <c r="B342" s="7" t="str">
        <f>HYPERLINK("https://lafourche.fr/products/cereales-mops-au-miel","9.83")</f>
        <v>9.83</v>
      </c>
      <c r="C342" s="25" t="s">
        <v>1433</v>
      </c>
      <c r="D342" s="9" t="str">
        <f>HYPERLINK("https://www.biocoop.fr/magasin-biocoop_champollion/mops-miel-lg2066-000.html","11.0")</f>
        <v>11.0</v>
      </c>
      <c r="E342" s="1" t="s">
        <v>869</v>
      </c>
      <c r="F342" s="9" t="str">
        <f>HYPERLINK("https://www.biocoop.fr/magasin-biocoop_fontaine/mops-miel-lg2066-000.html","11.17")</f>
        <v>11.17</v>
      </c>
      <c r="G342" s="25" t="s">
        <v>1434</v>
      </c>
      <c r="H342" s="9" t="str">
        <f>HYPERLINK("https://satoriz-comboire.bio/products/gr375m","888888")</f>
        <v>888888</v>
      </c>
      <c r="I342" s="18" t="s">
        <v>56</v>
      </c>
      <c r="J342" s="9" t="str">
        <f>HYPERLINK("https://www.greenweez.com/produit/cereales-mops-miel-300g/1GRIL0172","10.5")</f>
        <v>10.5</v>
      </c>
      <c r="K342" s="1" t="s">
        <v>869</v>
      </c>
      <c r="L342" s="9" t="str">
        <f>HYPERLINK("https://metabase.lelefan.org/public/dashboard/53c41f3f-5644-466e-935e-897e7725f6bc?rayon=&amp;d%25C3%25A9signation=MOPS MIEL VRAC&amp;fournisseur=&amp;date_d%25C3%25A9but=&amp;date_fin=","888888")</f>
        <v>888888</v>
      </c>
      <c r="M342" s="16" t="s">
        <v>869</v>
      </c>
      <c r="N342" s="16">
        <v>888888.0</v>
      </c>
    </row>
    <row r="343" ht="14.25" customHeight="1">
      <c r="A343" s="1" t="s">
        <v>583</v>
      </c>
      <c r="B343" s="7" t="str">
        <f>HYPERLINK("https://lafourche.fr/products/la-fourche-1kg-de-petits-flocons-d-avoine-en-vrac-france-bio","2.55")</f>
        <v>2.55</v>
      </c>
      <c r="C343" s="25" t="s">
        <v>1435</v>
      </c>
      <c r="D343" s="9" t="str">
        <f>HYPERLINK("https://www.biocoop.fr/magasin-biocoop_champollion/flocons-d-avoine-petits-non-toastes-bio-pr5344-000.html","2.85")</f>
        <v>2.85</v>
      </c>
      <c r="E343" s="1" t="s">
        <v>869</v>
      </c>
      <c r="F343" s="9" t="str">
        <f>HYPERLINK("https://www.biocoop.fr/magasin-biocoop_fontaine/flocons-d-avoine-petits-non-toastes-bio-pr5344-000.html","888888")</f>
        <v>888888</v>
      </c>
      <c r="G343" s="18" t="s">
        <v>56</v>
      </c>
      <c r="H343" s="9" t="str">
        <f>HYPERLINK("https://satoriz-comboire.bio/products/cefap25","3.05")</f>
        <v>3.05</v>
      </c>
      <c r="I343" s="25" t="s">
        <v>1436</v>
      </c>
      <c r="J343" s="9" t="str">
        <f>HYPERLINK("https://www.greenweez.com/produit/flocons-davoine-petit-bio-1-5kg/2WEEZ0129","2.9")</f>
        <v>2.9</v>
      </c>
      <c r="K343" s="26" t="s">
        <v>143</v>
      </c>
      <c r="L343" s="9" t="str">
        <f>HYPERLINK("https://metabase.lelefan.org/public/dashboard/53c41f3f-5644-466e-935e-897e7725f6bc?rayon=&amp;d%25C3%25A9signation=FLOCON D AVOINE BABY VRAC&amp;fournisseur=&amp;date_d%25C3%25A9but=&amp;date_fin=","2.73")</f>
        <v>2.73</v>
      </c>
      <c r="M343" s="1" t="s">
        <v>869</v>
      </c>
      <c r="N343" s="16">
        <v>888888.0</v>
      </c>
    </row>
    <row r="344" ht="14.25" customHeight="1">
      <c r="A344" s="1" t="s">
        <v>584</v>
      </c>
      <c r="B344" s="7" t="str">
        <f>HYPERLINK("https://lafourche.fr/products/la-fourche-1kg-de-gros-flocons-davoine-bio-en-vrac","2.59")</f>
        <v>2.59</v>
      </c>
      <c r="C344" s="25" t="s">
        <v>1013</v>
      </c>
      <c r="D344" s="9" t="str">
        <f>HYPERLINK("https://www.biocoop.fr/magasin-biocoop_champollion/flocons-d-avoine-gros-bio-lg2061-000.html","3.95")</f>
        <v>3.95</v>
      </c>
      <c r="E344" s="1" t="s">
        <v>869</v>
      </c>
      <c r="F344" s="9" t="str">
        <f>HYPERLINK("https://www.biocoop.fr/magasin-biocoop_fontaine/flocons-d-avoine-gros-bio-lg2061-000.html","888888")</f>
        <v>888888</v>
      </c>
      <c r="G344" s="18" t="s">
        <v>56</v>
      </c>
      <c r="H344" s="9" t="str">
        <f>HYPERLINK("https://satoriz-comboire.bio/products/cefag-10","2.9")</f>
        <v>2.9</v>
      </c>
      <c r="I344" s="26" t="s">
        <v>928</v>
      </c>
      <c r="J344" s="9" t="str">
        <f>HYPERLINK("https://www.greenweez.com/produit/flocons-davoine-gros-bio-1-5kg/2WEEZ0531","2.99")</f>
        <v>2.99</v>
      </c>
      <c r="K344" s="1" t="s">
        <v>869</v>
      </c>
      <c r="L344" s="16">
        <v>888888.0</v>
      </c>
      <c r="N344" s="16">
        <v>888888.0</v>
      </c>
    </row>
    <row r="345" ht="14.25" customHeight="1">
      <c r="A345" s="1" t="s">
        <v>585</v>
      </c>
      <c r="B345" s="9" t="str">
        <f>HYPERLINK("https://lafourche.fr/products/la-fourche-1kg-de-muesli-5-cereales-en-vrac-bio","4.69")</f>
        <v>4.69</v>
      </c>
      <c r="C345" s="26" t="s">
        <v>1437</v>
      </c>
      <c r="D345" s="9" t="str">
        <f>HYPERLINK("https://www.biocoop.fr/magasin-biocoop_champollion/muesli-graines-et-fruits-secs-1kg-lg1713-000.html","7.95")</f>
        <v>7.95</v>
      </c>
      <c r="E345" s="25" t="s">
        <v>1438</v>
      </c>
      <c r="F345" s="9" t="str">
        <f>HYPERLINK("https://www.biocoop.fr/magasin-biocoop_fontaine/muesli-graines-et-fruits-secs-1kg-lg1713-000.html","7.35")</f>
        <v>7.35</v>
      </c>
      <c r="G345" s="1" t="s">
        <v>869</v>
      </c>
      <c r="H345" s="9" t="str">
        <f>HYPERLINK("https://satoriz-comboire.bio/products/ce25b","4.9")</f>
        <v>4.9</v>
      </c>
      <c r="I345" s="26" t="s">
        <v>1439</v>
      </c>
      <c r="J345" s="9" t="str">
        <f>HYPERLINK("https://www.greenweez.com/produit/muesli-5-cereales-500g/1CELN0029","6.92")</f>
        <v>6.92</v>
      </c>
      <c r="K345" s="1" t="s">
        <v>869</v>
      </c>
      <c r="L345" s="16">
        <v>888888.0</v>
      </c>
      <c r="N345" s="7" t="str">
        <f>HYPERLINK("https://fd11-courses.leclercdrive.fr/magasin-063801-063801-Echirolles---Comboire/fiche-produits-19643-Muesli-Floconneux-Bio-Village.aspx","4.64")</f>
        <v>4.64</v>
      </c>
    </row>
    <row r="346" ht="14.25" customHeight="1">
      <c r="A346" s="1" t="s">
        <v>586</v>
      </c>
      <c r="B346" s="9" t="str">
        <f>HYPERLINK("https://lafourche.fr/products/grillon-mueslifruits-1kg","5.95")</f>
        <v>5.95</v>
      </c>
      <c r="C346" s="25" t="s">
        <v>1440</v>
      </c>
      <c r="D346" s="9" t="str">
        <f>HYPERLINK("https://www.biocoop.fr/magasin-biocoop_champollion/muesli-aux-fruits-bio-pr5343-000.html","5.35")</f>
        <v>5.35</v>
      </c>
      <c r="E346" s="1" t="s">
        <v>869</v>
      </c>
      <c r="F346" s="9" t="str">
        <f>HYPERLINK("https://www.biocoop.fr/magasin-biocoop_fontaine/muesli-aux-fruits-bio-pr5343-000.html","888888")</f>
        <v>888888</v>
      </c>
      <c r="G346" s="18" t="s">
        <v>56</v>
      </c>
      <c r="H346" s="7" t="str">
        <f>HYPERLINK("https://satoriz-comboire.bio/products/ce0990","5.3")</f>
        <v>5.3</v>
      </c>
      <c r="I346" s="25" t="s">
        <v>1441</v>
      </c>
      <c r="J346" s="9" t="str">
        <f>HYPERLINK("https://www.greenweez.com/produit/muesli-fruits-1kg/1GRIL0001","6.39")</f>
        <v>6.39</v>
      </c>
      <c r="K346" s="1" t="s">
        <v>869</v>
      </c>
      <c r="L346" s="16">
        <v>888888.0</v>
      </c>
      <c r="N346" s="9" t="str">
        <f>HYPERLINK("https://fd11-courses.leclercdrive.fr/magasin-063801-063801-Echirolles---Comboire/fiche-produits-184564-Muesli-floconneux-Bio-village.aspx","6.5")</f>
        <v>6.5</v>
      </c>
    </row>
    <row r="347" ht="14.25" customHeight="1">
      <c r="A347" s="1" t="s">
        <v>587</v>
      </c>
      <c r="B347" s="9" t="str">
        <f>HYPERLINK("https://lafourche.fr/products/la-fourche-muesli-croustillant-nature-bio-1kg","4.99")</f>
        <v>4.99</v>
      </c>
      <c r="C347" s="25" t="s">
        <v>949</v>
      </c>
      <c r="D347" s="9" t="str">
        <f>HYPERLINK("https://www.biocoop.fr/magasin-biocoop_champollion/muesli-croustillant-essentiel-1kg-aa0122-000.html","6.95")</f>
        <v>6.95</v>
      </c>
      <c r="E347" s="1" t="s">
        <v>869</v>
      </c>
      <c r="F347" s="9" t="str">
        <f>HYPERLINK("https://www.biocoop.fr/magasin-biocoop_fontaine/krounchy-nature-lg2007-000.html","7.0")</f>
        <v>7.0</v>
      </c>
      <c r="G347" s="1" t="s">
        <v>869</v>
      </c>
      <c r="H347" s="9" t="str">
        <f>HYPERLINK("https://satoriz-comboire.bio/products/gr2953","4.65")</f>
        <v>4.65</v>
      </c>
      <c r="I347" s="26" t="s">
        <v>1304</v>
      </c>
      <c r="J347" s="9" t="str">
        <f>HYPERLINK("https://www.greenweez.com/produit/krounchy-nature-1kg/1GRIL0018","888888")</f>
        <v>888888</v>
      </c>
      <c r="K347" s="18" t="s">
        <v>56</v>
      </c>
      <c r="L347" s="9" t="str">
        <f>HYPERLINK("https://metabase.lelefan.org/public/dashboard/53c41f3f-5644-466e-935e-897e7725f6bc?rayon=&amp;d%25C3%25A9signation=MUESLI TRADITION VRAC&amp;fournisseur=&amp;date_d%25C3%25A9but=&amp;date_fin=","4.97")</f>
        <v>4.97</v>
      </c>
      <c r="M347" s="25" t="s">
        <v>1442</v>
      </c>
      <c r="N347" s="7" t="str">
        <f>HYPERLINK("https://fd11-courses.leclercdrive.fr/magasin-063801-063801-Echirolles---Comboire/fiche-produits-69107-Cereales-Terres-et-Cereales-bio.aspx","4.43")</f>
        <v>4.43</v>
      </c>
    </row>
    <row r="348" ht="14.25" customHeight="1">
      <c r="A348" s="1" t="s">
        <v>588</v>
      </c>
      <c r="B348" s="7" t="str">
        <f>HYPERLINK("https://lafourche.fr/products/la-fourche-muesli-croustillant-duo-choco-bio-1kg","6.49")</f>
        <v>6.49</v>
      </c>
      <c r="C348" s="25" t="s">
        <v>1443</v>
      </c>
      <c r="D348" s="9" t="str">
        <f>HYPERLINK("https://www.biocoop.fr/magasin-biocoop_champollion/krounchy-epeautre-chocolat-noir-lg1932-000.html","8.7")</f>
        <v>8.7</v>
      </c>
      <c r="E348" s="1" t="s">
        <v>869</v>
      </c>
      <c r="F348" s="9" t="str">
        <f>HYPERLINK("https://www.biocoop.fr/magasin-biocoop_fontaine/krounchy-epeautre-chocolat-noir-lg1932-000.html","9.5")</f>
        <v>9.5</v>
      </c>
      <c r="G348" s="25" t="s">
        <v>1444</v>
      </c>
      <c r="H348" s="9" t="str">
        <f>HYPERLINK("https://satoriz-comboire.bio/products/grceee","6.7")</f>
        <v>6.7</v>
      </c>
      <c r="I348" s="26" t="s">
        <v>975</v>
      </c>
      <c r="J348" s="9" t="str">
        <f>HYPERLINK("https://www.greenweez.com/produit/krounchy-chocolat-1kg/1GRIL0020","6.98")</f>
        <v>6.98</v>
      </c>
      <c r="K348" s="1" t="s">
        <v>869</v>
      </c>
      <c r="L348" s="9" t="str">
        <f>HYPERLINK("https://metabase.lelefan.org/public/dashboard/53c41f3f-5644-466e-935e-897e7725f6bc?rayon=&amp;d%25C3%25A9signation=MUESLI CROUSTILLANT CHOCOLAT VRAC&amp;fournisseur=&amp;date_d%25C3%25A9but=&amp;date_fin=","13.18")</f>
        <v>13.18</v>
      </c>
      <c r="M348" s="25" t="s">
        <v>1445</v>
      </c>
      <c r="N348" s="9" t="str">
        <f>HYPERLINK("https://fd11-courses.leclercdrive.fr/magasin-063801-063801-Echirolles---Comboire/fiche-produits-102338-Muesli-Terres-et-Cereales.aspx","888888")</f>
        <v>888888</v>
      </c>
      <c r="P348" s="1">
        <v>0.1</v>
      </c>
    </row>
    <row r="349" ht="14.25" customHeight="1">
      <c r="A349" s="1" t="s">
        <v>589</v>
      </c>
      <c r="B349" s="9" t="str">
        <f>HYPERLINK("https://lafourche.fr/products/grillon-krounchy-fruits-rouges-500g","11.98")</f>
        <v>11.98</v>
      </c>
      <c r="C349" s="25" t="s">
        <v>867</v>
      </c>
      <c r="D349" s="9" t="str">
        <f>HYPERLINK("https://www.biocoop.fr/magasin-biocoop_champollion/krounchy-fruits-rouges-lg0966-000.html","14.9")</f>
        <v>14.9</v>
      </c>
      <c r="E349" s="1" t="s">
        <v>869</v>
      </c>
      <c r="F349" s="9" t="str">
        <f>HYPERLINK("https://www.biocoop.fr/magasin-biocoop_fontaine/krounchy-fruits-rouges-lg0966-000.html","14.9")</f>
        <v>14.9</v>
      </c>
      <c r="G349" s="1" t="s">
        <v>869</v>
      </c>
      <c r="H349" s="9" t="str">
        <f>HYPERLINK("https://satoriz-comboire.bio/products/grcrufr","14.8")</f>
        <v>14.8</v>
      </c>
      <c r="I349" s="25" t="s">
        <v>1446</v>
      </c>
      <c r="J349" s="9" t="str">
        <f>HYPERLINK("https://www.greenweez.com/produit/crunchy-fruits-rouges-bio-500g/5GREE0216","9.9")</f>
        <v>9.9</v>
      </c>
      <c r="K349" s="1" t="s">
        <v>869</v>
      </c>
      <c r="L349" s="9" t="str">
        <f>HYPERLINK("https://metabase.lelefan.org/public/dashboard/53c41f3f-5644-466e-935e-897e7725f6bc?rayon=&amp;d%25C3%25A9signation=MUESLI CROUSTILLANT FRUITS VRAC&amp;fournisseur=&amp;date_d%25C3%25A9but=&amp;date_fin=","11.15")</f>
        <v>11.15</v>
      </c>
      <c r="M349" s="25" t="s">
        <v>1447</v>
      </c>
      <c r="N349" s="7" t="str">
        <f>HYPERLINK("https://fd11-courses.leclercdrive.fr/magasin-063801-063801-Echirolles---Comboire/fiche-produits-180356-Muesli-Terres-et-Cereales-Bio.aspx","5.39")</f>
        <v>5.39</v>
      </c>
      <c r="P349" s="1">
        <v>0.1</v>
      </c>
    </row>
    <row r="350" ht="14.25" customHeight="1">
      <c r="A350" s="5" t="s">
        <v>590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 ht="14.25" customHeight="1">
      <c r="A351" s="1" t="s">
        <v>591</v>
      </c>
      <c r="B351" s="7" t="str">
        <f>HYPERLINK("https://lafourche.fr/products/la-fourche-500g-amandes-decortiquees-en-vrac-bio","13.04")</f>
        <v>13.04</v>
      </c>
      <c r="C351" s="1" t="s">
        <v>869</v>
      </c>
      <c r="D351" s="9" t="str">
        <f>HYPERLINK("https://www.biocoop.fr/magasin-biocoop_champollion/amandes-completes-bio-ag3005-000.html","15.9")</f>
        <v>15.9</v>
      </c>
      <c r="E351" s="1" t="s">
        <v>869</v>
      </c>
      <c r="F351" s="9" t="str">
        <f>HYPERLINK("https://www.biocoop.fr/magasin-biocoop_fontaine/amande-complete-italie-bio-bc5507-000.html","14.9")</f>
        <v>14.9</v>
      </c>
      <c r="G351" s="1" t="s">
        <v>869</v>
      </c>
      <c r="H351" s="9" t="str">
        <f>HYPERLINK("https://satoriz-comboire.bio/collections/vrac/products/ag0417","13.15")</f>
        <v>13.15</v>
      </c>
      <c r="I351" s="25" t="s">
        <v>898</v>
      </c>
      <c r="J351" s="9" t="str">
        <f>HYPERLINK("https://www.greenweez.com/produit/amandes-decortiquees-1kg/2WEEZ0354","888888")</f>
        <v>888888</v>
      </c>
      <c r="K351" s="18" t="s">
        <v>56</v>
      </c>
      <c r="L351" s="9" t="str">
        <f>HYPERLINK("https://metabase.lelefan.org/public/dashboard/53c41f3f-5644-466e-935e-897e7725f6bc?rayon=&amp;d%25C3%25A9signation=AMANDE DECORTIQUEE VRAC&amp;fournisseur=&amp;date_d%25C3%25A9but=&amp;date_fin=","13.56")</f>
        <v>13.56</v>
      </c>
      <c r="M351" s="1" t="s">
        <v>869</v>
      </c>
      <c r="N351" s="9" t="str">
        <f>HYPERLINK("https://fd11-courses.leclercdrive.fr/magasin-063801-063801-Echirolles---Comboire/fiche-produits-125241-Amandes-Bio-Village.aspx","20.9")</f>
        <v>20.9</v>
      </c>
    </row>
    <row r="352" ht="14.25" customHeight="1">
      <c r="A352" s="1" t="s">
        <v>592</v>
      </c>
      <c r="B352" s="7" t="str">
        <f>HYPERLINK("https://lafourche.fr/products/la-fourche-noisettes-bio-2-5kg-v2","13.4")</f>
        <v>13.4</v>
      </c>
      <c r="D352" s="9" t="str">
        <f t="shared" ref="D352:D353" si="265">HYPERLINK("https://www.biocoop.fr/magasin-biocoop_champollion/noisettes-bio-bc5500-000.html","21.5")</f>
        <v>21.5</v>
      </c>
      <c r="F352" s="9" t="str">
        <f t="shared" ref="F352:F353" si="266">HYPERLINK("https://www.biocoop.fr/magasin-biocoop_fontaine/noisettes-bio-bc5500-000.html","19.9")</f>
        <v>19.9</v>
      </c>
      <c r="H352" s="9" t="str">
        <f t="shared" ref="H352:H353" si="267">HYPERLINK("https://satoriz-comboire.bio/collections/vrac/products/ag0394","17.2")</f>
        <v>17.2</v>
      </c>
      <c r="J352" s="9" t="str">
        <f>HYPERLINK("https://www.greenweez.com/produit/noisettes-decortiquees-2-5kg/2WEEZ0386","16.78")</f>
        <v>16.78</v>
      </c>
      <c r="L352" s="9" t="str">
        <f>HYPERLINK("https://metabase.lelefan.org/public/dashboard/53c41f3f-5644-466e-935e-897e7725f6bc?rayon=&amp;d%25C3%25A9signation=NOISETTE GRILLEE VRAC&amp;fournisseur=&amp;date_d%25C3%25A9but=&amp;date_fin=","19.32")</f>
        <v>19.32</v>
      </c>
      <c r="N352" s="16">
        <v>888888.0</v>
      </c>
      <c r="P352" s="1">
        <v>0.05</v>
      </c>
    </row>
    <row r="353" ht="14.25" customHeight="1">
      <c r="A353" s="1" t="s">
        <v>593</v>
      </c>
      <c r="B353" s="9" t="str">
        <f>HYPERLINK("https://lafourche.fr/products/la-fourche-noisettes-bio-en-vrac-0-5kg","17.98")</f>
        <v>17.98</v>
      </c>
      <c r="D353" s="9" t="str">
        <f t="shared" si="265"/>
        <v>21.5</v>
      </c>
      <c r="F353" s="9" t="str">
        <f t="shared" si="266"/>
        <v>19.9</v>
      </c>
      <c r="H353" s="7" t="str">
        <f t="shared" si="267"/>
        <v>17.2</v>
      </c>
      <c r="J353" s="9" t="str">
        <f>HYPERLINK("https://www.greenweez.com/produit/noisettes-decortiquees-1kg/2WEEZ0385","17.95")</f>
        <v>17.95</v>
      </c>
      <c r="L353" s="9" t="str">
        <f>HYPERLINK("https://metabase.lelefan.org/public/dashboard/53c41f3f-5644-466e-935e-897e7725f6bc?rayon=&amp;d%25C3%25A9signation=NOISETTES DECORTIQUEES&amp;fournisseur=&amp;date_d%25C3%25A9but=&amp;date_fin=","888888")</f>
        <v>888888</v>
      </c>
      <c r="N353" s="16">
        <v>888888.0</v>
      </c>
    </row>
    <row r="354" ht="14.25" customHeight="1">
      <c r="A354" s="1" t="s">
        <v>594</v>
      </c>
      <c r="B354" s="9" t="str">
        <f t="shared" ref="B354:B355" si="268">HYPERLINK("https://lafourche.fr/products/la-fourche-500g-de-noix-de-cajou-bio-en-vrac","17.9")</f>
        <v>17.9</v>
      </c>
      <c r="C354" s="25" t="s">
        <v>1448</v>
      </c>
      <c r="D354" s="9" t="str">
        <f t="shared" ref="D354:D355" si="269">HYPERLINK("https://www.biocoop.fr/magasin-biocoop_champollion/noix-de-cajou-bio-ag3057-000.html","19.9")</f>
        <v>19.9</v>
      </c>
      <c r="E354" s="1" t="s">
        <v>869</v>
      </c>
      <c r="F354" s="9" t="str">
        <f t="shared" ref="F354:F355" si="270">HYPERLINK("https://www.biocoop.fr/magasin-biocoop_fontaine/noix-de-cajou-bio-ag3057-000.html","19.5")</f>
        <v>19.5</v>
      </c>
      <c r="G354" s="1" t="s">
        <v>869</v>
      </c>
      <c r="H354" s="9" t="str">
        <f t="shared" ref="H354:H355" si="271">HYPERLINK("https://satoriz-comboire.bio/collections/vrac/products/ag0585","17.2")</f>
        <v>17.2</v>
      </c>
      <c r="I354" s="25" t="s">
        <v>1449</v>
      </c>
      <c r="J354" s="9" t="str">
        <f>HYPERLINK("https://www.greenweez.com/produit/noix-de-cajou-crues-2-5kg/2WEEZ0391","15.98")</f>
        <v>15.98</v>
      </c>
      <c r="K354" s="1" t="s">
        <v>869</v>
      </c>
      <c r="L354" s="7" t="str">
        <f t="shared" ref="L354:L355" si="272">HYPERLINK("https://metabase.lelefan.org/public/dashboard/53c41f3f-5644-466e-935e-897e7725f6bc?rayon=&amp;d%25C3%25A9signation=NOIX DE CAJOU VRAC&amp;fournisseur=&amp;date_d%25C3%25A9but=&amp;date_fin=","14.84")</f>
        <v>14.84</v>
      </c>
      <c r="M354" s="25" t="s">
        <v>1176</v>
      </c>
      <c r="N354" s="16">
        <v>888888.0</v>
      </c>
      <c r="P354" s="1">
        <v>0.05</v>
      </c>
    </row>
    <row r="355" ht="14.25" customHeight="1">
      <c r="A355" s="1" t="s">
        <v>595</v>
      </c>
      <c r="B355" s="9" t="str">
        <f t="shared" si="268"/>
        <v>17.9</v>
      </c>
      <c r="C355" s="25" t="s">
        <v>1448</v>
      </c>
      <c r="D355" s="9" t="str">
        <f t="shared" si="269"/>
        <v>19.9</v>
      </c>
      <c r="E355" s="1" t="s">
        <v>869</v>
      </c>
      <c r="F355" s="9" t="str">
        <f t="shared" si="270"/>
        <v>19.5</v>
      </c>
      <c r="G355" s="1" t="s">
        <v>869</v>
      </c>
      <c r="H355" s="9" t="str">
        <f t="shared" si="271"/>
        <v>17.2</v>
      </c>
      <c r="I355" s="25" t="s">
        <v>1449</v>
      </c>
      <c r="J355" s="9" t="str">
        <f>HYPERLINK("https://www.greenweez.com/produit/noix-de-cajou-crues-1kg/2WEEZ0390","16.94")</f>
        <v>16.94</v>
      </c>
      <c r="K355" s="25" t="s">
        <v>1450</v>
      </c>
      <c r="L355" s="7" t="str">
        <f t="shared" si="272"/>
        <v>14.84</v>
      </c>
      <c r="M355" s="25" t="s">
        <v>1176</v>
      </c>
      <c r="N355" s="16">
        <v>888888.0</v>
      </c>
      <c r="P355" s="1">
        <v>0.05</v>
      </c>
    </row>
    <row r="356" ht="14.25" customHeight="1">
      <c r="A356" s="1" t="s">
        <v>596</v>
      </c>
      <c r="B356" s="7" t="str">
        <f>HYPERLINK("https://lafourche.fr/products/la-fourche-raisins-secs-sultanine-bio-2-5kg-v2","7.01")</f>
        <v>7.01</v>
      </c>
      <c r="C356" s="1" t="s">
        <v>869</v>
      </c>
      <c r="D356" s="9" t="str">
        <f t="shared" ref="D356:D357" si="273">HYPERLINK("https://www.biocoop.fr/magasin-biocoop_champollion/raisins-sultanine-n-9-bio-ag3030-000.html","9.6")</f>
        <v>9.6</v>
      </c>
      <c r="E356" s="25" t="s">
        <v>1451</v>
      </c>
      <c r="F356" s="9" t="str">
        <f t="shared" ref="F356:F357" si="274">HYPERLINK("https://www.biocoop.fr/magasin-biocoop_fontaine/raisins-sultanine-n-9-bio-ag3030-000.html","9.6")</f>
        <v>9.6</v>
      </c>
      <c r="G356" s="1" t="s">
        <v>869</v>
      </c>
      <c r="H356" s="9" t="str">
        <f t="shared" ref="H356:H357" si="275">HYPERLINK("https://satoriz-comboire.bio/collections/vrac/products/ag0387","8.95")</f>
        <v>8.95</v>
      </c>
      <c r="I356" s="25" t="s">
        <v>1295</v>
      </c>
      <c r="J356" s="9" t="str">
        <f>HYPERLINK("https://www.greenweez.com/produit/raisins-sultanine-1kg/1MKAL0257","9.48")</f>
        <v>9.48</v>
      </c>
      <c r="K356" s="25" t="s">
        <v>1452</v>
      </c>
      <c r="L356" s="9" t="str">
        <f t="shared" ref="L356:L357" si="276">HYPERLINK("https://metabase.lelefan.org/public/dashboard/53c41f3f-5644-466e-935e-897e7725f6bc?rayon=&amp;d%25C3%25A9signation=RAISINS DE CORINTHE AOP VRAC&amp;fournisseur=&amp;date_d%25C3%25A9but=&amp;date_fin=","8.18")</f>
        <v>8.18</v>
      </c>
      <c r="M356" s="25" t="s">
        <v>1453</v>
      </c>
      <c r="N356" s="16">
        <v>888888.0</v>
      </c>
      <c r="P356" s="1">
        <v>0.05</v>
      </c>
    </row>
    <row r="357" ht="14.25" customHeight="1">
      <c r="A357" s="1" t="s">
        <v>597</v>
      </c>
      <c r="B357" s="7" t="str">
        <f>HYPERLINK("https://lafourche.fr/products/la-fourche-raisins-secs-sultanines-bio-en-vrac-0-5kg","7.58")</f>
        <v>7.58</v>
      </c>
      <c r="C357" s="25" t="s">
        <v>1408</v>
      </c>
      <c r="D357" s="9" t="str">
        <f t="shared" si="273"/>
        <v>9.6</v>
      </c>
      <c r="E357" s="25" t="s">
        <v>1451</v>
      </c>
      <c r="F357" s="9" t="str">
        <f t="shared" si="274"/>
        <v>9.6</v>
      </c>
      <c r="G357" s="1" t="s">
        <v>869</v>
      </c>
      <c r="H357" s="9" t="str">
        <f t="shared" si="275"/>
        <v>8.95</v>
      </c>
      <c r="I357" s="25" t="s">
        <v>1295</v>
      </c>
      <c r="J357" s="9" t="str">
        <f>HYPERLINK("https://www.greenweez.com/produit/raisins-sultanines-bio-500g/2WEEZ0006","9.68")</f>
        <v>9.68</v>
      </c>
      <c r="K357" s="25" t="s">
        <v>1454</v>
      </c>
      <c r="L357" s="9" t="str">
        <f t="shared" si="276"/>
        <v>8.18</v>
      </c>
      <c r="M357" s="25" t="s">
        <v>1453</v>
      </c>
      <c r="N357" s="16">
        <v>888888.0</v>
      </c>
      <c r="P357" s="1">
        <v>0.05</v>
      </c>
    </row>
    <row r="358" ht="14.25" customHeight="1">
      <c r="A358" s="1" t="s">
        <v>598</v>
      </c>
      <c r="B358" s="9" t="str">
        <f>HYPERLINK("https://lafourche.fr/products/la-fourche-250g-de-cranberries-en-vrac-bio","15.96")</f>
        <v>15.96</v>
      </c>
      <c r="C358" s="25" t="s">
        <v>1455</v>
      </c>
      <c r="D358" s="7" t="str">
        <f>HYPERLINK("https://www.biocoop.fr/magasin-biocoop_champollion/cranberry-sechee-canada-bio-ag3039-000.html","14.9")</f>
        <v>14.9</v>
      </c>
      <c r="E358" s="26" t="s">
        <v>1456</v>
      </c>
      <c r="F358" s="7" t="str">
        <f>HYPERLINK("https://www.biocoop.fr/magasin-biocoop_fontaine/cranberry-sechee-canada-bio-ag3039-000.html","14.9")</f>
        <v>14.9</v>
      </c>
      <c r="G358" s="26" t="s">
        <v>18</v>
      </c>
      <c r="H358" s="9" t="str">
        <f>HYPERLINK("https://satoriz-comboire.bio/collections/vrac/products/ag0479","15.4")</f>
        <v>15.4</v>
      </c>
      <c r="I358" s="26" t="s">
        <v>1457</v>
      </c>
      <c r="J358" s="9" t="str">
        <f>HYPERLINK("https://www.greenweez.com/produit/cranberries-demies-bio-500g/2WEEZ0368","15.08")</f>
        <v>15.08</v>
      </c>
      <c r="K358" s="25" t="s">
        <v>1458</v>
      </c>
      <c r="L358" s="9" t="str">
        <f>HYPERLINK("https://metabase.lelefan.org/public/dashboard/53c41f3f-5644-466e-935e-897e7725f6bc?rayon=&amp;d%25C3%25A9signation=CANNEBERGE VRAC&amp;fournisseur=&amp;date_d%25C3%25A9but=&amp;date_fin=","20.56")</f>
        <v>20.56</v>
      </c>
      <c r="M358" s="25" t="s">
        <v>1349</v>
      </c>
      <c r="N358" s="16">
        <v>888888.0</v>
      </c>
      <c r="P358" s="1">
        <v>0.05</v>
      </c>
    </row>
    <row r="359" ht="14.25" customHeight="1">
      <c r="A359" s="1" t="s">
        <v>599</v>
      </c>
      <c r="B359" s="7" t="str">
        <f>HYPERLINK("https://lafourche.fr/products/la-fourche-abricots-seches-bio-2-5kg","11.78")</f>
        <v>11.78</v>
      </c>
      <c r="C359" s="1" t="s">
        <v>869</v>
      </c>
      <c r="D359" s="9" t="str">
        <f t="shared" ref="D359:D360" si="277">HYPERLINK("https://www.biocoop.fr/magasin-biocoop_champollion/abricots-secs-n-2-turquie-bio-ag3029-000.html","14.5")</f>
        <v>14.5</v>
      </c>
      <c r="E359" s="26" t="s">
        <v>1459</v>
      </c>
      <c r="F359" s="9" t="str">
        <f t="shared" ref="F359:F360" si="278">HYPERLINK("https://www.biocoop.fr/magasin-biocoop_fontaine/abricots-secs-n-2-turquie-bio-ag3029-000.html","15.0")</f>
        <v>15.0</v>
      </c>
      <c r="G359" s="1" t="s">
        <v>869</v>
      </c>
      <c r="H359" s="9" t="str">
        <f t="shared" ref="H359:H360" si="279">HYPERLINK("https://satoriz-comboire.bio/products/ag363","13.85")</f>
        <v>13.85</v>
      </c>
      <c r="I359" s="26" t="s">
        <v>1460</v>
      </c>
      <c r="J359" s="9" t="str">
        <f t="shared" ref="J359:J360" si="280">HYPERLINK("https://www.greenweez.com/produit/abricots-secs-bruns-bio-500g/2WEEZ0252","15.88")</f>
        <v>15.88</v>
      </c>
      <c r="K359" s="1" t="s">
        <v>869</v>
      </c>
      <c r="L359" s="9" t="str">
        <f t="shared" ref="L359:L360" si="281">HYPERLINK("https://metabase.lelefan.org/public/dashboard/53c41f3f-5644-466e-935e-897e7725f6bc?rayon=&amp;d%25C3%25A9signation=ABRICOT SEC OUZBEKISTAN ENTIER VRAC&amp;fournisseur=&amp;date_d%25C3%25A9but=&amp;date_fin=","13.78")</f>
        <v>13.78</v>
      </c>
      <c r="M359" s="1" t="s">
        <v>869</v>
      </c>
      <c r="N359" s="16">
        <v>888888.0</v>
      </c>
    </row>
    <row r="360" ht="14.25" customHeight="1">
      <c r="A360" s="1" t="s">
        <v>599</v>
      </c>
      <c r="B360" s="7" t="str">
        <f>HYPERLINK("https://lafourche.fr/products/la-fourche-abricots-bruns-bio-en-vrac-0-5kg","12.4")</f>
        <v>12.4</v>
      </c>
      <c r="C360" s="25" t="s">
        <v>1461</v>
      </c>
      <c r="D360" s="9" t="str">
        <f t="shared" si="277"/>
        <v>14.5</v>
      </c>
      <c r="E360" s="26" t="s">
        <v>1459</v>
      </c>
      <c r="F360" s="9" t="str">
        <f t="shared" si="278"/>
        <v>15.0</v>
      </c>
      <c r="G360" s="1" t="s">
        <v>869</v>
      </c>
      <c r="H360" s="9" t="str">
        <f t="shared" si="279"/>
        <v>13.85</v>
      </c>
      <c r="I360" s="26" t="s">
        <v>1460</v>
      </c>
      <c r="J360" s="9" t="str">
        <f t="shared" si="280"/>
        <v>15.88</v>
      </c>
      <c r="K360" s="1" t="s">
        <v>869</v>
      </c>
      <c r="L360" s="9" t="str">
        <f t="shared" si="281"/>
        <v>13.78</v>
      </c>
      <c r="M360" s="1" t="s">
        <v>869</v>
      </c>
      <c r="N360" s="16">
        <v>888888.0</v>
      </c>
    </row>
    <row r="361" ht="14.25" customHeight="1">
      <c r="A361" s="1" t="s">
        <v>600</v>
      </c>
      <c r="B361" s="7" t="str">
        <f>HYPERLINK("https://lafourche.fr/products/la-fourche-figues-calabacita-bio-en-vrac-1kg","8.5")</f>
        <v>8.5</v>
      </c>
      <c r="C361" s="1" t="s">
        <v>869</v>
      </c>
      <c r="D361" s="9" t="str">
        <f>HYPERLINK("https://www.biocoop.fr/magasin-biocoop_champollion/figue-lerida-n-3-bio-ag3044-000.html","17.8")</f>
        <v>17.8</v>
      </c>
      <c r="E361" s="25" t="s">
        <v>1462</v>
      </c>
      <c r="F361" s="9" t="str">
        <f>HYPERLINK("https://www.biocoop.fr/magasin-biocoop_fontaine/figue-calabacita-espagne-250g-by1176-000.html","16.6")</f>
        <v>16.6</v>
      </c>
      <c r="G361" s="1" t="s">
        <v>869</v>
      </c>
      <c r="H361" s="9" t="str">
        <f>HYPERLINK("https://satoriz-comboire.bio/products/nop2","13.45")</f>
        <v>13.45</v>
      </c>
      <c r="I361" s="26" t="s">
        <v>1030</v>
      </c>
      <c r="J361" s="9" t="str">
        <f>HYPERLINK("https://www.greenweez.com/produit/figuettes-despagne-200g/1LADS0067","14.7")</f>
        <v>14.7</v>
      </c>
      <c r="K361" s="16" t="s">
        <v>896</v>
      </c>
      <c r="L361" s="9" t="str">
        <f>HYPERLINK("https://metabase.lelefan.org/public/dashboard/53c41f3f-5644-466e-935e-897e7725f6bc?rayon=&amp;d%25C3%25A9signation=FIGUE SECHEE VRAC&amp;fournisseur=&amp;date_d%25C3%25A9but=&amp;date_fin=","14.9")</f>
        <v>14.9</v>
      </c>
      <c r="N361" s="16">
        <v>888888.0</v>
      </c>
    </row>
    <row r="362" ht="14.25" customHeight="1">
      <c r="A362" s="1" t="s">
        <v>601</v>
      </c>
      <c r="B362" s="9" t="str">
        <f>HYPERLINK("https://lafourche.fr/products/lou-prunel-pruneaux-dagen-bio-tres-gros-44-55-500-gr-bio","13.58")</f>
        <v>13.58</v>
      </c>
      <c r="C362" s="25" t="s">
        <v>1463</v>
      </c>
      <c r="D362" s="9" t="str">
        <f>HYPERLINK("https://www.biocoop.fr/magasin-biocoop_champollion/pruneau-d-agen-tres-gros-250g-cc0032-000.html","19.32")</f>
        <v>19.32</v>
      </c>
      <c r="E362" s="1" t="s">
        <v>869</v>
      </c>
      <c r="F362" s="9" t="str">
        <f>HYPERLINK("https://www.biocoop.fr/magasin-biocoop_fontaine/pruneau-agen-rehydrate-geant-500g-cc0033-000.html","14.4")</f>
        <v>14.4</v>
      </c>
      <c r="G362" s="1" t="s">
        <v>869</v>
      </c>
      <c r="H362" s="7" t="str">
        <f>HYPERLINK("https://satoriz-comboire.bio/products/fon056","9.25")</f>
        <v>9.25</v>
      </c>
      <c r="I362" s="26" t="s">
        <v>978</v>
      </c>
      <c r="J362" s="9" t="str">
        <f>HYPERLINK("https://www.greenweez.com/produit/pruneaux-dagen-sud-ouest-gros-500g/1LADS0034","14.26")</f>
        <v>14.26</v>
      </c>
      <c r="K362" s="1" t="s">
        <v>869</v>
      </c>
      <c r="L362" s="9" t="str">
        <f>HYPERLINK("https://metabase.lelefan.org/public/dashboard/53c41f3f-5644-466e-935e-897e7725f6bc?rayon=&amp;d%25C3%25A9signation=PRUNEAUX D AGEN ENTIERS CAL 33/44&amp;fournisseur=&amp;date_d%25C3%25A9but=&amp;date_fin=","11.06")</f>
        <v>11.06</v>
      </c>
      <c r="M362" s="26" t="s">
        <v>1464</v>
      </c>
      <c r="N362" s="16">
        <v>888888.0</v>
      </c>
      <c r="P362" s="1">
        <v>0.02</v>
      </c>
    </row>
    <row r="363" ht="14.25" customHeight="1">
      <c r="A363" s="1" t="s">
        <v>602</v>
      </c>
      <c r="B363" s="7" t="str">
        <f>HYPERLINK("https://lafourche.fr/products/lou-prunel-pruneaux-dagen-bio-denoyautes-44-55-500-gr-bio","15.1")</f>
        <v>15.1</v>
      </c>
      <c r="C363" s="25" t="s">
        <v>1465</v>
      </c>
      <c r="D363" s="9" t="str">
        <f>HYPERLINK("https://www.biocoop.fr/magasin-biocoop_champollion/pruneau-agen-denoyaute-tres-gros-500g-lo0051-000.html","21.7")</f>
        <v>21.7</v>
      </c>
      <c r="E363" s="1" t="s">
        <v>869</v>
      </c>
      <c r="F363" s="9" t="str">
        <f>HYPERLINK("https://www.biocoop.fr/magasin-biocoop_fontaine/pruneau-d-agen-denoyaute-tres-gros-250g-lo0050-000.html","23.96")</f>
        <v>23.96</v>
      </c>
      <c r="G363" s="1" t="s">
        <v>869</v>
      </c>
      <c r="H363" s="9" t="str">
        <f>HYPERLINK("https://satoriz-comboire.bio/collections/epicerie-sucree/products/fon063","15.8")</f>
        <v>15.8</v>
      </c>
      <c r="I363" s="25" t="s">
        <v>1121</v>
      </c>
      <c r="J363" s="9" t="str">
        <f>HYPERLINK("https://www.greenweez.com/produit/pruneaux-bio-denoyautes-55-66-500g/1LOUP0004","20.1")</f>
        <v>20.1</v>
      </c>
      <c r="K363" s="25" t="s">
        <v>1466</v>
      </c>
      <c r="L363" s="9" t="str">
        <f>HYPERLINK("https://metabase.lelefan.org/public/dashboard/53c41f3f-5644-466e-935e-897e7725f6bc?rayon=&amp;d%25C3%25A9signation=PRUNEAUX D AGEN DENOYAUTES&amp;fournisseur=&amp;date_d%25C3%25A9but=&amp;date_fin=","888888")</f>
        <v>888888</v>
      </c>
      <c r="M363" s="16" t="s">
        <v>869</v>
      </c>
      <c r="N363" s="16">
        <v>888888.0</v>
      </c>
    </row>
    <row r="364" ht="14.25" customHeight="1">
      <c r="A364" s="1" t="s">
        <v>603</v>
      </c>
      <c r="B364" s="7" t="str">
        <f>HYPERLINK("https://lafourche.fr/products/pepite-dattes-fraiches-mazafati-iran-boite-de-500-g-bio","10.14")</f>
        <v>10.14</v>
      </c>
      <c r="C364" s="25" t="s">
        <v>1467</v>
      </c>
      <c r="D364" s="9" t="str">
        <f>HYPERLINK("https://www.biocoop.fr/magasin-biocoop_champollion/datte-mazafati-barquette-fel2264-000-iran.html","888888")</f>
        <v>888888</v>
      </c>
      <c r="E364" s="16" t="s">
        <v>869</v>
      </c>
      <c r="F364" s="9" t="str">
        <f>HYPERLINK("https://www.biocoop.fr/magasin-biocoop_fontaine/datte-mazafati-barquette-fel2264-000-iran.html","13.8")</f>
        <v>13.8</v>
      </c>
      <c r="G364" s="1" t="s">
        <v>869</v>
      </c>
      <c r="H364" s="9" t="str">
        <f>HYPERLINK("https://satoriz-comboire.bio/products/nop1","11.5")</f>
        <v>11.5</v>
      </c>
      <c r="I364" s="1" t="s">
        <v>869</v>
      </c>
      <c r="J364" s="9" t="str">
        <f>HYPERLINK("https://www.greenweez.com/produit/dattes-fraiches-mazafati-iran-500g/1DPFS0099","12.58")</f>
        <v>12.58</v>
      </c>
      <c r="K364" s="25" t="s">
        <v>1468</v>
      </c>
      <c r="L364" s="9" t="str">
        <f>HYPERLINK("https://metabase.lelefan.org/public/dashboard/53c41f3f-5644-466e-935e-897e7725f6bc?rayon=&amp;d%25C3%25A9signation=DATTES BIO MAZAFATI 500G&amp;fournisseur=&amp;date_d%25C3%25A9but=&amp;date_fin=","14.24")</f>
        <v>14.24</v>
      </c>
      <c r="M364" s="1" t="s">
        <v>869</v>
      </c>
      <c r="N364" s="16">
        <v>888888.0</v>
      </c>
    </row>
    <row r="365" ht="14.25" customHeight="1">
      <c r="A365" s="1" t="s">
        <v>604</v>
      </c>
      <c r="B365" s="7" t="str">
        <f t="shared" ref="B365:B366" si="282">HYPERLINK("https://lafourche.fr/products/la-fourche-dattes-deglet-nour-non-branchees-bio-en-vrac-0-5kg","5.98")</f>
        <v>5.98</v>
      </c>
      <c r="C365" s="1" t="s">
        <v>869</v>
      </c>
      <c r="D365" s="16">
        <v>888888.0</v>
      </c>
      <c r="F365" s="16">
        <v>888888.0</v>
      </c>
      <c r="H365" s="9" t="str">
        <f t="shared" ref="H365:H366" si="283">HYPERLINK("https://satoriz-comboire.bio/products/mon4","6.2")</f>
        <v>6.2</v>
      </c>
      <c r="I365" s="26" t="s">
        <v>1469</v>
      </c>
      <c r="J365" s="9" t="str">
        <f>HYPERLINK("https://www.greenweez.com/produit/dattes-deglet-nour-des-palmeraies-du-sud-tunisien-1kg/1DPFS0056","6.98")</f>
        <v>6.98</v>
      </c>
      <c r="K365" s="26" t="s">
        <v>1470</v>
      </c>
      <c r="L365" s="16">
        <v>888888.0</v>
      </c>
      <c r="N365" s="16">
        <v>888888.0</v>
      </c>
    </row>
    <row r="366" ht="14.25" customHeight="1">
      <c r="A366" s="1" t="s">
        <v>605</v>
      </c>
      <c r="B366" s="7" t="str">
        <f t="shared" si="282"/>
        <v>5.98</v>
      </c>
      <c r="C366" s="1" t="s">
        <v>869</v>
      </c>
      <c r="D366" s="16">
        <v>888888.0</v>
      </c>
      <c r="F366" s="16">
        <v>888888.0</v>
      </c>
      <c r="H366" s="9" t="str">
        <f t="shared" si="283"/>
        <v>6.2</v>
      </c>
      <c r="I366" s="26" t="s">
        <v>1469</v>
      </c>
      <c r="J366" s="9" t="str">
        <f>HYPERLINK("https://www.greenweez.com/produit/dattes-deglet-nour-en-ravier-500g/1RAPU0140","9.9")</f>
        <v>9.9</v>
      </c>
      <c r="K366" s="25" t="s">
        <v>1471</v>
      </c>
      <c r="L366" s="16">
        <v>888888.0</v>
      </c>
      <c r="N366" s="16">
        <v>888888.0</v>
      </c>
    </row>
    <row r="367" ht="14.25" customHeight="1">
      <c r="A367" s="1" t="s">
        <v>606</v>
      </c>
      <c r="B367" s="7" t="str">
        <f>HYPERLINK("https://lafourche.fr/products/la-fourche-dattes-denoyautees-deglet-nour-bio-en-vrac-0-5kg","7.3")</f>
        <v>7.3</v>
      </c>
      <c r="C367" s="1" t="s">
        <v>869</v>
      </c>
      <c r="D367" s="16">
        <v>888888.0</v>
      </c>
      <c r="F367" s="16">
        <v>888888.0</v>
      </c>
      <c r="H367" s="16">
        <v>888888.0</v>
      </c>
      <c r="J367" s="9" t="str">
        <f>HYPERLINK("https://www.greenweez.com/produit/dattes-bio-denoyautees-500g/2WEEZ0524","888888")</f>
        <v>888888</v>
      </c>
      <c r="K367" s="18" t="s">
        <v>56</v>
      </c>
      <c r="L367" s="16">
        <v>888888.0</v>
      </c>
      <c r="N367" s="16">
        <v>888888.0</v>
      </c>
    </row>
    <row r="368" ht="14.25" customHeight="1">
      <c r="A368" s="1" t="s">
        <v>607</v>
      </c>
      <c r="B368" s="9" t="str">
        <f>HYPERLINK("https://lafourche.fr/products/la-fourche-chips-de-banane-bio-1-5kg","6.6")</f>
        <v>6.6</v>
      </c>
      <c r="C368" s="1" t="s">
        <v>869</v>
      </c>
      <c r="D368" s="9" t="str">
        <f t="shared" ref="D368:D369" si="284">HYPERLINK("https://www.biocoop.fr/magasin-biocoop_champollion/banane-sechee-chips-philippines-bio-ag3007-000.html","888888")</f>
        <v>888888</v>
      </c>
      <c r="E368" s="16" t="s">
        <v>869</v>
      </c>
      <c r="F368" s="9" t="str">
        <f t="shared" ref="F368:F369" si="285">HYPERLINK("https://www.biocoop.fr/magasin-biocoop_fontaine/banane-sechee-chips-philippines-bio-ag3007-000.html","9.0")</f>
        <v>9.0</v>
      </c>
      <c r="G368" s="1" t="s">
        <v>869</v>
      </c>
      <c r="H368" s="16">
        <v>888888.0</v>
      </c>
      <c r="J368" s="9" t="str">
        <f>HYPERLINK("https://www.greenweez.com/produit/banane-chips-bio-1kg/2WEEZ0575","6.78")</f>
        <v>6.78</v>
      </c>
      <c r="K368" s="1" t="s">
        <v>869</v>
      </c>
      <c r="L368" s="7" t="str">
        <f t="shared" ref="L368:L369" si="286">HYPERLINK("https://metabase.lelefan.org/public/dashboard/53c41f3f-5644-466e-935e-897e7725f6bc?rayon=&amp;d%25C3%25A9signation=BANANE CHIPS VRAC&amp;fournisseur=&amp;date_d%25C3%25A9but=&amp;date_fin=","6.27")</f>
        <v>6.27</v>
      </c>
      <c r="M368" s="1" t="s">
        <v>869</v>
      </c>
      <c r="N368" s="16">
        <v>888888.0</v>
      </c>
    </row>
    <row r="369" ht="14.25" customHeight="1">
      <c r="A369" s="1" t="s">
        <v>607</v>
      </c>
      <c r="B369" s="9" t="str">
        <f>HYPERLINK("https://lafourche.fr/products/la-fourche-chips-de-banane-bio-en-vrac-0-5kg","7.9")</f>
        <v>7.9</v>
      </c>
      <c r="C369" s="25" t="s">
        <v>1472</v>
      </c>
      <c r="D369" s="9" t="str">
        <f t="shared" si="284"/>
        <v>888888</v>
      </c>
      <c r="E369" s="16" t="s">
        <v>869</v>
      </c>
      <c r="F369" s="9" t="str">
        <f t="shared" si="285"/>
        <v>9.0</v>
      </c>
      <c r="G369" s="1" t="s">
        <v>869</v>
      </c>
      <c r="H369" s="16">
        <v>888888.0</v>
      </c>
      <c r="J369" s="16">
        <v>888888.0</v>
      </c>
      <c r="K369" s="18" t="s">
        <v>56</v>
      </c>
      <c r="L369" s="7" t="str">
        <f t="shared" si="286"/>
        <v>6.27</v>
      </c>
      <c r="M369" s="1" t="s">
        <v>869</v>
      </c>
      <c r="N369" s="16">
        <v>888888.0</v>
      </c>
    </row>
    <row r="370" ht="14.25" customHeight="1">
      <c r="A370" s="1" t="s">
        <v>608</v>
      </c>
      <c r="B370" s="9" t="str">
        <f>HYPERLINK("https://lafourche.fr/products/la-fourche-gingembre-confit-cubes-bio-en-vrac-0-5kg","11.78")</f>
        <v>11.78</v>
      </c>
      <c r="C370" s="1" t="s">
        <v>869</v>
      </c>
      <c r="D370" s="9" t="str">
        <f>HYPERLINK("https://www.biocoop.fr/magasin-biocoop_champollion/gingembre-confit-cube-bio-ft2031-000.html","12.9")</f>
        <v>12.9</v>
      </c>
      <c r="E370" s="1" t="s">
        <v>869</v>
      </c>
      <c r="F370" s="9" t="str">
        <f>HYPERLINK("https://www.biocoop.fr/magasin-biocoop_fontaine/gingembre-confit-cube-bio-ft2031-000.html","12.6")</f>
        <v>12.6</v>
      </c>
      <c r="G370" s="1" t="s">
        <v>869</v>
      </c>
      <c r="H370" s="7" t="str">
        <f>HYPERLINK("https://satoriz-comboire.bio/products/ag0509","10.95")</f>
        <v>10.95</v>
      </c>
      <c r="I370" s="26" t="s">
        <v>1319</v>
      </c>
      <c r="J370" s="9" t="str">
        <f>HYPERLINK("https://www.greenweez.com/produit/gingembre-confit-cube-500g/2WEEZ0371","12.58")</f>
        <v>12.58</v>
      </c>
      <c r="K370" s="26" t="s">
        <v>1473</v>
      </c>
      <c r="L370" s="9" t="str">
        <f>HYPERLINK("https://metabase.lelefan.org/public/dashboard/53c41f3f-5644-466e-935e-897e7725f6bc?rayon=&amp;d%25C3%25A9signation=GINGEMBRE CONFIT EN CUBE VRAC&amp;fournisseur=&amp;date_d%25C3%25A9but=&amp;date_fin=","17.39")</f>
        <v>17.39</v>
      </c>
      <c r="M370" s="1" t="s">
        <v>869</v>
      </c>
      <c r="N370" s="16">
        <v>888888.0</v>
      </c>
    </row>
    <row r="371" ht="14.25" customHeight="1">
      <c r="A371" s="5" t="s">
        <v>609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 ht="14.25" customHeight="1">
      <c r="A372" s="1" t="s">
        <v>610</v>
      </c>
      <c r="B372" s="7" t="str">
        <f>HYPERLINK("https://lafourche.fr/products/biosoleil-madeleine-pur-beurre-x9-bio-0-23kg","19.25")</f>
        <v>19.25</v>
      </c>
      <c r="C372" s="25" t="s">
        <v>1474</v>
      </c>
      <c r="D372" s="9" t="str">
        <f>HYPERLINK("https://www.biocoop.fr/magasin-biocoop_champollion/madeleines-ro1103-000.html","22.29")</f>
        <v>22.29</v>
      </c>
      <c r="E372" s="1" t="s">
        <v>869</v>
      </c>
      <c r="F372" s="9" t="str">
        <f>HYPERLINK("https://www.biocoop.fr/magasin-biocoop_fontaine/madeleines-ro1103-000.html","23.47")</f>
        <v>23.47</v>
      </c>
      <c r="G372" s="1" t="s">
        <v>869</v>
      </c>
      <c r="H372" s="9" t="str">
        <f>HYPERLINK("https://satoriz-comboire.bio/products/al2203","20.75")</f>
        <v>20.75</v>
      </c>
      <c r="I372" s="25" t="s">
        <v>1475</v>
      </c>
      <c r="J372" s="9" t="str">
        <f>HYPERLINK("https://www.greenweez.com/produit/madeleines-pur-beurre-x9-200g/8BIOS0075","19.45")</f>
        <v>19.45</v>
      </c>
      <c r="K372" s="26" t="s">
        <v>1476</v>
      </c>
      <c r="L372" s="16">
        <v>888888.0</v>
      </c>
      <c r="N372" s="16">
        <v>888888.0</v>
      </c>
    </row>
    <row r="373" ht="14.25" customHeight="1">
      <c r="A373" s="1" t="s">
        <v>611</v>
      </c>
      <c r="B373" s="9" t="str">
        <f>HYPERLINK("https://lafourche.fr/products/biosoleil-madeleines-sans-beurre-180g","15.44")</f>
        <v>15.44</v>
      </c>
      <c r="C373" s="26" t="s">
        <v>1477</v>
      </c>
      <c r="D373" s="9" t="str">
        <f>HYPERLINK("https://www.biocoop.fr/magasin-biocoop_champollion/madeleine-sans-beurre-400g-sm3001-000.html","9.98")</f>
        <v>9.98</v>
      </c>
      <c r="E373" s="1" t="s">
        <v>869</v>
      </c>
      <c r="F373" s="9" t="str">
        <f>HYPERLINK("https://www.biocoop.fr/magasin-biocoop_fontaine/madeleine-sans-beurre-400g-sm3001-000.html","9.98")</f>
        <v>9.98</v>
      </c>
      <c r="G373" s="1" t="s">
        <v>869</v>
      </c>
      <c r="H373" s="9" t="str">
        <f>HYPERLINK("https://satoriz-comboire.bio/products/al0221","17.78")</f>
        <v>17.78</v>
      </c>
      <c r="I373" s="25" t="s">
        <v>1467</v>
      </c>
      <c r="J373" s="9" t="str">
        <f>HYPERLINK("https://www.greenweez.com/produit/specialite-de-madeleines-sans-beurre-x8/8BIOS0002","16.78")</f>
        <v>16.78</v>
      </c>
      <c r="K373" s="26" t="s">
        <v>1478</v>
      </c>
      <c r="L373" s="9" t="str">
        <f>HYPERLINK("https://metabase.lelefan.org/public/dashboard/53c41f3f-5644-466e-935e-897e7725f6bc?rayon=&amp;d%25C3%25A9signation=MADELEINES&amp;fournisseur=&amp;date_d%25C3%25A9but=&amp;date_fin=","25.44")</f>
        <v>25.44</v>
      </c>
      <c r="M373" s="25" t="s">
        <v>1479</v>
      </c>
      <c r="N373" s="7" t="str">
        <f>HYPERLINK("https://fd11-courses.leclercdrive.fr/magasin-063801-063801-Echirolles---Comboire/fiche-produits-23226-Madeleines-bio-Bio-Village.aspx","7.56")</f>
        <v>7.56</v>
      </c>
      <c r="P373" s="1">
        <v>0.1</v>
      </c>
    </row>
    <row r="374" ht="14.25" customHeight="1">
      <c r="A374" s="1" t="s">
        <v>612</v>
      </c>
      <c r="B374" s="7" t="str">
        <f>HYPERLINK("https://lafourche.fr/products/celiane-madeleines-pepites-chocolat-bio-0-18kg","22.17")</f>
        <v>22.17</v>
      </c>
      <c r="C374" s="25" t="s">
        <v>1480</v>
      </c>
      <c r="D374" s="9" t="str">
        <f>HYPERLINK("https://www.biocoop.fr/magasin-biocoop_champollion/madeleine-chocolat-6-180g-al3022-000.html","26.39")</f>
        <v>26.39</v>
      </c>
      <c r="E374" s="1" t="s">
        <v>869</v>
      </c>
      <c r="F374" s="9" t="str">
        <f>HYPERLINK("https://www.biocoop.fr/magasin-biocoop_fontaine/madeleine-chocolat-6-180g-al3022-000.html","25.56")</f>
        <v>25.56</v>
      </c>
      <c r="G374" s="1" t="s">
        <v>869</v>
      </c>
      <c r="H374" s="9" t="str">
        <f>HYPERLINK("https://satoriz-comboire.bio/products/re37288","28.33")</f>
        <v>28.33</v>
      </c>
      <c r="I374" s="25" t="s">
        <v>1119</v>
      </c>
      <c r="J374" s="9" t="str">
        <f>HYPERLINK("https://www.greenweez.com/produit/madeleines-pepites-de-chocolat-sans-gluten-180g/1RECE0035","26.56")</f>
        <v>26.56</v>
      </c>
      <c r="K374" s="25" t="s">
        <v>1481</v>
      </c>
      <c r="L374" s="16">
        <v>888888.0</v>
      </c>
      <c r="N374" s="16">
        <v>888888.0</v>
      </c>
    </row>
    <row r="375" ht="14.25" customHeight="1">
      <c r="A375" s="5" t="s">
        <v>613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 ht="14.25" customHeight="1">
      <c r="A376" s="1" t="s">
        <v>614</v>
      </c>
      <c r="B376" s="9" t="str">
        <f>HYPERLINK("https://lafourche.fr/products/la-fourche-sirop-d-agave-bio-0-5l","9.2")</f>
        <v>9.2</v>
      </c>
      <c r="C376" s="26" t="s">
        <v>1482</v>
      </c>
      <c r="D376" s="9" t="str">
        <f>HYPERLINK("https://www.biocoop.fr/magasin-biocoop_champollion/sirop-agave-690g-na6021-000.html","11.2")</f>
        <v>11.2</v>
      </c>
      <c r="E376" s="25" t="s">
        <v>1483</v>
      </c>
      <c r="F376" s="9" t="str">
        <f>HYPERLINK("https://www.biocoop.fr/magasin-biocoop_fontaine/sirop-agave-690g-na6021-000.html","10.8")</f>
        <v>10.8</v>
      </c>
      <c r="G376" s="25" t="s">
        <v>1484</v>
      </c>
      <c r="H376" s="9" t="str">
        <f>HYPERLINK("https://satoriz-comboire.bio/collections/epicerie-sucree/products/re39977","8.48")</f>
        <v>8.48</v>
      </c>
      <c r="I376" s="1" t="s">
        <v>869</v>
      </c>
      <c r="J376" s="9" t="str">
        <f>HYPERLINK("https://www.greenweez.com/produit/sirop-dagave-690g/1PHIL4026","10.06")</f>
        <v>10.06</v>
      </c>
      <c r="K376" s="25" t="s">
        <v>1485</v>
      </c>
      <c r="L376" s="9" t="str">
        <f>HYPERLINK("https://metabase.lelefan.org/public/dashboard/53c41f3f-5644-466e-935e-897e7725f6bc?rayon=&amp;d%25C3%25A9signation=SIROP D AGAVE 330G&amp;fournisseur=&amp;date_d%25C3%25A9but=&amp;date_fin=","11.48")</f>
        <v>11.48</v>
      </c>
      <c r="M376" s="25" t="s">
        <v>1486</v>
      </c>
      <c r="N376" s="7" t="str">
        <f>HYPERLINK("https://fd11-courses.leclercdrive.fr/magasin-063801-063801-Echirolles---Comboire/fiche-produits-39550-Sirop-dagave-bio-Bio-Village.aspx","6.49")</f>
        <v>6.49</v>
      </c>
    </row>
    <row r="377" ht="14.25" customHeight="1">
      <c r="A377" s="5" t="s">
        <v>615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 ht="14.25" customHeight="1">
      <c r="A378" s="1" t="s">
        <v>616</v>
      </c>
      <c r="B378" s="7" t="str">
        <f>HYPERLINK("https://lafourche.fr/products/la-fourche-farine-de-ble-bio-t65-2-5kg","1.36")</f>
        <v>1.36</v>
      </c>
      <c r="C378" s="25" t="s">
        <v>19</v>
      </c>
      <c r="D378" s="9" t="str">
        <f t="shared" ref="D378:D379" si="287">HYPERLINK("https://www.biocoop.fr/magasin-biocoop_champollion/farine-de-ble-t65-bio-dm3003-000.html","1.65")</f>
        <v>1.65</v>
      </c>
      <c r="E378" s="26" t="s">
        <v>1487</v>
      </c>
      <c r="F378" s="9" t="str">
        <f t="shared" ref="F378:F379" si="288">HYPERLINK("https://www.biocoop.fr/magasin-biocoop_fontaine/farine-de-ble-t65-bio-dm3003-000.html","1.49")</f>
        <v>1.49</v>
      </c>
      <c r="G378" s="1" t="s">
        <v>869</v>
      </c>
      <c r="H378" s="9" t="str">
        <f t="shared" ref="H378:H379" si="289">HYPERLINK("https://satoriz-comboire.bio/collections/epicerie-salee/products/pi65","1.75")</f>
        <v>1.75</v>
      </c>
      <c r="I378" s="25" t="s">
        <v>1488</v>
      </c>
      <c r="J378" s="9" t="str">
        <f>HYPERLINK("https://www.greenweez.com/produit/farine-de-ble-t65-meule-france-bio-2-5kg/2WEEZ0239","1.76")</f>
        <v>1.76</v>
      </c>
      <c r="K378" s="1" t="s">
        <v>869</v>
      </c>
      <c r="L378" s="9" t="str">
        <f t="shared" ref="L378:L379" si="290">HYPERLINK("https://metabase.lelefan.org/public/dashboard/53c41f3f-5644-466e-935e-897e7725f6bc?rayon=&amp;d%25C3%25A9signation=FARINE T65 VRAC&amp;fournisseur=&amp;date_d%25C3%25A9but=&amp;date_fin=","1.48")</f>
        <v>1.48</v>
      </c>
      <c r="M378" s="1" t="s">
        <v>869</v>
      </c>
      <c r="N378" s="9" t="str">
        <f t="shared" ref="N378:N379" si="291">HYPERLINK("https://fd11-courses.leclercdrive.fr/magasin-063801-063801-Echirolles---Comboire/fiche-produits-5125-Farine-ble-bio-Bio-Village.aspx","888888")</f>
        <v>888888</v>
      </c>
      <c r="P378" s="1">
        <v>0.5</v>
      </c>
    </row>
    <row r="379" ht="14.25" customHeight="1">
      <c r="A379" s="1" t="s">
        <v>617</v>
      </c>
      <c r="B379" s="7" t="str">
        <f>HYPERLINK("https://lafourche.fr/products/la-fourche-farine-de-ble-t65-bio-1kg-papier","1.46")</f>
        <v>1.46</v>
      </c>
      <c r="C379" s="25" t="s">
        <v>1489</v>
      </c>
      <c r="D379" s="9" t="str">
        <f t="shared" si="287"/>
        <v>1.65</v>
      </c>
      <c r="E379" s="26" t="s">
        <v>1487</v>
      </c>
      <c r="F379" s="9" t="str">
        <f t="shared" si="288"/>
        <v>1.49</v>
      </c>
      <c r="G379" s="1" t="s">
        <v>869</v>
      </c>
      <c r="H379" s="9" t="str">
        <f t="shared" si="289"/>
        <v>1.75</v>
      </c>
      <c r="I379" s="25" t="s">
        <v>1488</v>
      </c>
      <c r="J379" s="9" t="str">
        <f>HYPERLINK("https://www.greenweez.com/produit/farine-de-ble-t65-meule-bio-france-1kg/2WEEZ0081","1.78")</f>
        <v>1.78</v>
      </c>
      <c r="K379" s="25" t="s">
        <v>1490</v>
      </c>
      <c r="L379" s="9" t="str">
        <f t="shared" si="290"/>
        <v>1.48</v>
      </c>
      <c r="M379" s="1" t="s">
        <v>869</v>
      </c>
      <c r="N379" s="9" t="str">
        <f t="shared" si="291"/>
        <v>888888</v>
      </c>
      <c r="P379" s="1">
        <v>0.5</v>
      </c>
    </row>
    <row r="380" ht="14.25" customHeight="1">
      <c r="A380" s="1" t="s">
        <v>618</v>
      </c>
      <c r="B380" s="9" t="str">
        <f>HYPERLINK("https://lafourche.fr/products/la-fourche-farine-de-ble-t110-bio-2-5kg","1.6")</f>
        <v>1.6</v>
      </c>
      <c r="C380" s="1" t="s">
        <v>869</v>
      </c>
      <c r="D380" s="9" t="str">
        <f t="shared" ref="D380:D381" si="292">HYPERLINK("https://www.biocoop.fr/magasin-biocoop_champollion/farine-de-ble-t110-1kg-br0212-000.html","2.8")</f>
        <v>2.8</v>
      </c>
      <c r="E380" s="1" t="s">
        <v>869</v>
      </c>
      <c r="F380" s="9" t="str">
        <f t="shared" ref="F380:F381" si="293">HYPERLINK("https://www.biocoop.fr/magasin-biocoop_fontaine/farine-de-ble-t110-1kg-br0212-000.html","2.79")</f>
        <v>2.79</v>
      </c>
      <c r="G380" s="1" t="s">
        <v>869</v>
      </c>
      <c r="H380" s="9" t="str">
        <f t="shared" ref="H380:H381" si="294">HYPERLINK("https://satoriz-comboire.bio/collections/epicerie-salee/products/pi110","1.7")</f>
        <v>1.7</v>
      </c>
      <c r="I380" s="25" t="s">
        <v>19</v>
      </c>
      <c r="J380" s="9" t="str">
        <f>HYPERLINK("https://www.greenweez.com/produit/farine-de-ble-demi-complete-t110-2-5kg/1MOUL0318","2.2")</f>
        <v>2.2</v>
      </c>
      <c r="K380" s="1" t="s">
        <v>869</v>
      </c>
      <c r="L380" s="9" t="str">
        <f t="shared" ref="L380:L381" si="295">HYPERLINK("https://metabase.lelefan.org/public/dashboard/53c41f3f-5644-466e-935e-897e7725f6bc?rayon=&amp;d%25C3%25A9signation=FARINE T120 VRAC&amp;fournisseur=&amp;date_d%25C3%25A9but=&amp;date_fin=","1.58")</f>
        <v>1.58</v>
      </c>
      <c r="M380" s="1" t="s">
        <v>869</v>
      </c>
      <c r="N380" s="7" t="str">
        <f t="shared" ref="N380:N381" si="296">HYPERLINK("https://fd11-courses.leclercdrive.fr/magasin-063801-063801-Echirolles---Comboire/fiche-produits-121699-Farine-semi-complete-Bio.aspx","1.4")</f>
        <v>1.4</v>
      </c>
      <c r="P380" s="1">
        <v>0.2</v>
      </c>
    </row>
    <row r="381" ht="14.25" customHeight="1">
      <c r="A381" s="1" t="s">
        <v>619</v>
      </c>
      <c r="B381" s="9" t="str">
        <f>HYPERLINK("https://lafourche.fr/products/la-fourche-farine-de-ble-bio-t110-1kg","1.7")</f>
        <v>1.7</v>
      </c>
      <c r="C381" s="25" t="s">
        <v>1491</v>
      </c>
      <c r="D381" s="9" t="str">
        <f t="shared" si="292"/>
        <v>2.8</v>
      </c>
      <c r="E381" s="1" t="s">
        <v>869</v>
      </c>
      <c r="F381" s="9" t="str">
        <f t="shared" si="293"/>
        <v>2.79</v>
      </c>
      <c r="G381" s="1" t="s">
        <v>869</v>
      </c>
      <c r="H381" s="9" t="str">
        <f t="shared" si="294"/>
        <v>1.7</v>
      </c>
      <c r="I381" s="25" t="s">
        <v>19</v>
      </c>
      <c r="J381" s="9" t="str">
        <f>HYPERLINK("https://www.greenweez.com/produit/farine-de-ble-bio-t110-1kg/2WEEZ0486","2.18")</f>
        <v>2.18</v>
      </c>
      <c r="K381" s="26" t="s">
        <v>147</v>
      </c>
      <c r="L381" s="9" t="str">
        <f t="shared" si="295"/>
        <v>1.58</v>
      </c>
      <c r="M381" s="1" t="s">
        <v>869</v>
      </c>
      <c r="N381" s="7" t="str">
        <f t="shared" si="296"/>
        <v>1.4</v>
      </c>
      <c r="P381" s="1">
        <v>0.2</v>
      </c>
    </row>
    <row r="382" ht="14.25" customHeight="1">
      <c r="A382" s="1" t="s">
        <v>620</v>
      </c>
      <c r="B382" s="7" t="str">
        <f t="shared" ref="B382:B383" si="297">HYPERLINK("https://lafourche.fr/products/la-fourche-farine-de-seigle-bio-1kg","1.74")</f>
        <v>1.74</v>
      </c>
      <c r="C382" s="1" t="s">
        <v>869</v>
      </c>
      <c r="D382" s="9" t="str">
        <f t="shared" ref="D382:D383" si="298">HYPERLINK("https://www.biocoop.fr/magasin-biocoop_champollion/farine-de-seigle-t130-1kg-br0213-000.html","2.83")</f>
        <v>2.83</v>
      </c>
      <c r="E382" s="1" t="s">
        <v>869</v>
      </c>
      <c r="F382" s="9" t="str">
        <f t="shared" ref="F382:F383" si="299">HYPERLINK("https://www.biocoop.fr/magasin-biocoop_fontaine/farine-de-seigle-t130-1kg-br0213-000.html","2.85")</f>
        <v>2.85</v>
      </c>
      <c r="G382" s="1" t="s">
        <v>869</v>
      </c>
      <c r="H382" s="9" t="str">
        <f t="shared" ref="H382:H383" si="300">HYPERLINK("https://satoriz-comboire.bio/collections/epicerie-salee/products/seix1","2.1")</f>
        <v>2.1</v>
      </c>
      <c r="I382" s="25" t="s">
        <v>1070</v>
      </c>
      <c r="J382" s="9" t="str">
        <f>HYPERLINK("https://www.greenweez.com/produit/farine-de-seigle-t130-bio-france-2-5kg/2WEEZ0238","1.94")</f>
        <v>1.94</v>
      </c>
      <c r="K382" s="1" t="s">
        <v>869</v>
      </c>
      <c r="L382" s="9" t="str">
        <f t="shared" ref="L382:L383" si="301">HYPERLINK("https://metabase.lelefan.org/public/dashboard/53c41f3f-5644-466e-935e-897e7725f6bc?rayon=&amp;d%25C3%25A9signation=FARINE DE SEIGLE&amp;fournisseur=&amp;date_d%25C3%25A9but=&amp;date_fin=","2.28")</f>
        <v>2.28</v>
      </c>
      <c r="M382" s="1" t="s">
        <v>869</v>
      </c>
      <c r="N382" s="16">
        <v>888888.0</v>
      </c>
      <c r="P382" s="1">
        <v>0.1</v>
      </c>
    </row>
    <row r="383" ht="14.25" customHeight="1">
      <c r="A383" s="1" t="s">
        <v>621</v>
      </c>
      <c r="B383" s="7" t="str">
        <f t="shared" si="297"/>
        <v>1.74</v>
      </c>
      <c r="C383" s="1" t="s">
        <v>869</v>
      </c>
      <c r="D383" s="9" t="str">
        <f t="shared" si="298"/>
        <v>2.83</v>
      </c>
      <c r="E383" s="1" t="s">
        <v>869</v>
      </c>
      <c r="F383" s="9" t="str">
        <f t="shared" si="299"/>
        <v>2.85</v>
      </c>
      <c r="G383" s="1" t="s">
        <v>869</v>
      </c>
      <c r="H383" s="9" t="str">
        <f t="shared" si="300"/>
        <v>2.1</v>
      </c>
      <c r="I383" s="25" t="s">
        <v>1070</v>
      </c>
      <c r="J383" s="9" t="str">
        <f>HYPERLINK("https://www.greenweez.com/produit/farine-de-seigle-t130-bio-france-1kg/2WEEZ0013","2.05")</f>
        <v>2.05</v>
      </c>
      <c r="K383" s="25" t="s">
        <v>1492</v>
      </c>
      <c r="L383" s="9" t="str">
        <f t="shared" si="301"/>
        <v>2.28</v>
      </c>
      <c r="M383" s="1" t="s">
        <v>869</v>
      </c>
      <c r="N383" s="16">
        <v>888888.0</v>
      </c>
      <c r="P383" s="1">
        <v>0.1</v>
      </c>
    </row>
    <row r="384" ht="14.25" customHeight="1">
      <c r="A384" s="1" t="s">
        <v>622</v>
      </c>
      <c r="B384" s="9" t="str">
        <f t="shared" ref="B384:B385" si="302">HYPERLINK("https://lafourche.fr/products/celnat-farine-5-cereales-1kg","2.89")</f>
        <v>2.89</v>
      </c>
      <c r="C384" s="1" t="s">
        <v>869</v>
      </c>
      <c r="D384" s="9" t="str">
        <f t="shared" ref="D384:D385" si="303">HYPERLINK("https://www.biocoop.fr/magasin-biocoop_champollion/farine-de-5-cereales-t130-1kg-br0219-000.html","3.2")</f>
        <v>3.2</v>
      </c>
      <c r="E384" s="1" t="s">
        <v>869</v>
      </c>
      <c r="F384" s="9" t="str">
        <f t="shared" ref="F384:F385" si="304">HYPERLINK("https://www.biocoop.fr/magasin-biocoop_fontaine/farine-de-5-cereales-t130-1kg-br0219-000.html","3.2")</f>
        <v>3.2</v>
      </c>
      <c r="G384" s="1" t="s">
        <v>869</v>
      </c>
      <c r="H384" s="9" t="str">
        <f t="shared" ref="H384:H385" si="305">HYPERLINK("https://satoriz-comboire.bio/collections/epicerie-salee/products/cei03003","3.4")</f>
        <v>3.4</v>
      </c>
      <c r="I384" s="25" t="s">
        <v>1072</v>
      </c>
      <c r="J384" s="9" t="str">
        <f>HYPERLINK("https://www.greenweez.com/produit/farine-complete-5-cereales-bio-3kg/5GREE0146","2.65")</f>
        <v>2.65</v>
      </c>
      <c r="K384" s="26" t="s">
        <v>1493</v>
      </c>
      <c r="L384" s="7" t="str">
        <f t="shared" ref="L384:L385" si="306">HYPERLINK("https://metabase.lelefan.org/public/dashboard/53c41f3f-5644-466e-935e-897e7725f6bc?rayon=&amp;d%25C3%25A9signation=FARINE MULTICEREALES VRAC&amp;fournisseur=&amp;date_d%25C3%25A9but=&amp;date_fin=","1.85")</f>
        <v>1.85</v>
      </c>
      <c r="M384" s="1" t="s">
        <v>869</v>
      </c>
      <c r="N384" s="16">
        <v>888888.0</v>
      </c>
      <c r="P384" s="1">
        <v>0.1</v>
      </c>
    </row>
    <row r="385" ht="14.25" customHeight="1">
      <c r="A385" s="1" t="s">
        <v>622</v>
      </c>
      <c r="B385" s="9" t="str">
        <f t="shared" si="302"/>
        <v>2.89</v>
      </c>
      <c r="C385" s="1" t="s">
        <v>869</v>
      </c>
      <c r="D385" s="9" t="str">
        <f t="shared" si="303"/>
        <v>3.2</v>
      </c>
      <c r="E385" s="1" t="s">
        <v>869</v>
      </c>
      <c r="F385" s="9" t="str">
        <f t="shared" si="304"/>
        <v>3.2</v>
      </c>
      <c r="G385" s="1" t="s">
        <v>869</v>
      </c>
      <c r="H385" s="9" t="str">
        <f t="shared" si="305"/>
        <v>3.4</v>
      </c>
      <c r="I385" s="25" t="s">
        <v>1072</v>
      </c>
      <c r="J385" s="9" t="str">
        <f>HYPERLINK("https://www.greenweez.com/produit/farine-complete-5-cereales-bio-1kg/1CELN0030","3.46")</f>
        <v>3.46</v>
      </c>
      <c r="K385" s="25" t="s">
        <v>1494</v>
      </c>
      <c r="L385" s="7" t="str">
        <f t="shared" si="306"/>
        <v>1.85</v>
      </c>
      <c r="M385" s="1" t="s">
        <v>869</v>
      </c>
      <c r="N385" s="16">
        <v>888888.0</v>
      </c>
      <c r="P385" s="1">
        <v>0.1</v>
      </c>
    </row>
    <row r="386" ht="14.25" customHeight="1">
      <c r="A386" s="1" t="s">
        <v>623</v>
      </c>
      <c r="B386" s="7" t="str">
        <f>HYPERLINK("https://lafourche.fr/products/la-fourche-farine-de-sarrasin-bio-2-5kg","3.14")</f>
        <v>3.14</v>
      </c>
      <c r="C386" s="25" t="s">
        <v>1495</v>
      </c>
      <c r="D386" s="9" t="str">
        <f t="shared" ref="D386:D387" si="307">HYPERLINK("https://www.biocoop.fr/magasin-biocoop_champollion/farine-de-sarrasin-1kg-al8025-000.html","6.65")</f>
        <v>6.65</v>
      </c>
      <c r="E386" s="1" t="s">
        <v>869</v>
      </c>
      <c r="F386" s="9" t="str">
        <f t="shared" ref="F386:F387" si="308">HYPERLINK("https://www.biocoop.fr/magasin-biocoop_fontaine/farine-de-sarrasin-t130-1kg-br0216-000.html","4.95")</f>
        <v>4.95</v>
      </c>
      <c r="G386" s="26" t="s">
        <v>1040</v>
      </c>
      <c r="H386" s="9" t="str">
        <f>HYPERLINK("https://satoriz-comboire.bio/collections/epicerie-salee/products/eco1627","4.14")</f>
        <v>4.14</v>
      </c>
      <c r="I386" s="25" t="s">
        <v>1496</v>
      </c>
      <c r="J386" s="9" t="str">
        <f>HYPERLINK("https://www.greenweez.com/produit/farine-de-sarrasin-bio-france-2-5kg/2WEEZ0240","3.74")</f>
        <v>3.74</v>
      </c>
      <c r="K386" s="1" t="s">
        <v>869</v>
      </c>
      <c r="L386" s="9" t="str">
        <f t="shared" ref="L386:L387" si="309">HYPERLINK("https://metabase.lelefan.org/public/dashboard/53c41f3f-5644-466e-935e-897e7725f6bc?rayon=&amp;d%25C3%25A9signation=FARINE T80 SARRASIN BISE VRAC&amp;fournisseur=&amp;date_d%25C3%25A9but=&amp;date_fin=","3.96")</f>
        <v>3.96</v>
      </c>
      <c r="M386" s="1" t="s">
        <v>869</v>
      </c>
      <c r="N386" s="16">
        <v>888888.0</v>
      </c>
    </row>
    <row r="387" ht="14.25" customHeight="1">
      <c r="A387" s="1" t="s">
        <v>624</v>
      </c>
      <c r="B387" s="7" t="str">
        <f>HYPERLINK("https://lafourche.fr/products/la-fourche-farine-de-sarrasin-bio-1kg-papier","3.19")</f>
        <v>3.19</v>
      </c>
      <c r="C387" s="25" t="s">
        <v>1497</v>
      </c>
      <c r="D387" s="9" t="str">
        <f t="shared" si="307"/>
        <v>6.65</v>
      </c>
      <c r="E387" s="1" t="s">
        <v>869</v>
      </c>
      <c r="F387" s="9" t="str">
        <f t="shared" si="308"/>
        <v>4.95</v>
      </c>
      <c r="G387" s="26" t="s">
        <v>1040</v>
      </c>
      <c r="H387" s="9" t="str">
        <f>HYPERLINK("https://satoriz-comboire.bio/collections/epicerie-salee/products/eco894","4.75")</f>
        <v>4.75</v>
      </c>
      <c r="I387" s="25" t="s">
        <v>1498</v>
      </c>
      <c r="J387" s="9" t="str">
        <f>HYPERLINK("https://www.greenweez.com/produit/farine-de-sarrasin-bio-france-1kg/2WEEZ0084","3.95")</f>
        <v>3.95</v>
      </c>
      <c r="K387" s="25" t="s">
        <v>1499</v>
      </c>
      <c r="L387" s="9" t="str">
        <f t="shared" si="309"/>
        <v>3.96</v>
      </c>
      <c r="M387" s="1" t="s">
        <v>869</v>
      </c>
      <c r="N387" s="16">
        <v>888888.0</v>
      </c>
    </row>
    <row r="388" ht="14.25" customHeight="1">
      <c r="A388" s="1" t="s">
        <v>625</v>
      </c>
      <c r="B388" s="7" t="str">
        <f>HYPERLINK("https://lafourche.fr/products/sans-detour-farine-complete-de-mais-bio-2-5kg","1.89")</f>
        <v>1.89</v>
      </c>
      <c r="C388" s="26" t="s">
        <v>1500</v>
      </c>
      <c r="D388" s="9" t="str">
        <f t="shared" ref="D388:D389" si="310">HYPERLINK("https://www.biocoop.fr/magasin-biocoop_champollion/farine-de-mais-500g-al8026-000.html","4.3")</f>
        <v>4.3</v>
      </c>
      <c r="E388" s="1" t="s">
        <v>869</v>
      </c>
      <c r="F388" s="9" t="str">
        <f t="shared" ref="F388:F389" si="311">HYPERLINK("https://www.biocoop.fr/magasin-biocoop_fontaine/farine-de-mais-500g-ml1138-000.html","4.3")</f>
        <v>4.3</v>
      </c>
      <c r="G388" s="1" t="s">
        <v>869</v>
      </c>
      <c r="H388" s="9" t="str">
        <f t="shared" ref="H388:H389" si="312">HYPERLINK("https://satoriz-comboire.bio/collections/epicerie-salee/products/re42911","888888")</f>
        <v>888888</v>
      </c>
      <c r="I388" s="18" t="s">
        <v>56</v>
      </c>
      <c r="J388" s="9" t="str">
        <f t="shared" ref="J388:J389" si="313">HYPERLINK("https://www.greenweez.com/produit/farine-de-mais-500g/1MKAL0038","888888")</f>
        <v>888888</v>
      </c>
      <c r="K388" s="18" t="s">
        <v>56</v>
      </c>
      <c r="L388" s="9" t="str">
        <f t="shared" ref="L388:L389" si="314">HYPERLINK("https://metabase.lelefan.org/public/dashboard/53c41f3f-5644-466e-935e-897e7725f6bc?rayon=&amp;d%25C3%25A9signation=FARINE DE MAIS INTEGRALE VRAC&amp;fournisseur=&amp;date_d%25C3%25A9but=&amp;date_fin=","2.64")</f>
        <v>2.64</v>
      </c>
      <c r="M388" s="1" t="s">
        <v>869</v>
      </c>
      <c r="N388" s="16">
        <v>888888.0</v>
      </c>
    </row>
    <row r="389" ht="14.25" customHeight="1">
      <c r="A389" s="1" t="s">
        <v>626</v>
      </c>
      <c r="B389" s="9" t="str">
        <f>HYPERLINK("https://lafourche.fr/products/sans-detour-farine-complete-de-mais-bio-1kg","2.7")</f>
        <v>2.7</v>
      </c>
      <c r="C389" s="25" t="s">
        <v>1284</v>
      </c>
      <c r="D389" s="9" t="str">
        <f t="shared" si="310"/>
        <v>4.3</v>
      </c>
      <c r="E389" s="1" t="s">
        <v>869</v>
      </c>
      <c r="F389" s="9" t="str">
        <f t="shared" si="311"/>
        <v>4.3</v>
      </c>
      <c r="G389" s="1" t="s">
        <v>869</v>
      </c>
      <c r="H389" s="9" t="str">
        <f t="shared" si="312"/>
        <v>888888</v>
      </c>
      <c r="I389" s="18" t="s">
        <v>56</v>
      </c>
      <c r="J389" s="9" t="str">
        <f t="shared" si="313"/>
        <v>888888</v>
      </c>
      <c r="K389" s="18" t="s">
        <v>56</v>
      </c>
      <c r="L389" s="7" t="str">
        <f t="shared" si="314"/>
        <v>2.64</v>
      </c>
      <c r="M389" s="1" t="s">
        <v>869</v>
      </c>
      <c r="N389" s="16">
        <v>888888.0</v>
      </c>
    </row>
    <row r="390" ht="14.25" customHeight="1">
      <c r="A390" s="1" t="s">
        <v>627</v>
      </c>
      <c r="B390" s="9" t="str">
        <f t="shared" ref="B390:B391" si="315">HYPERLINK("https://lafourche.fr/products/nature-cie-farine-de-riz-blanc-500g","6.1")</f>
        <v>6.1</v>
      </c>
      <c r="C390" s="25" t="s">
        <v>1501</v>
      </c>
      <c r="D390" s="9" t="str">
        <f t="shared" ref="D390:D391" si="316">HYPERLINK("https://www.biocoop.fr/magasin-biocoop_champollion/farine-de-riz-nc2508-000.html","7.56")</f>
        <v>7.56</v>
      </c>
      <c r="E390" s="1" t="s">
        <v>869</v>
      </c>
      <c r="F390" s="9" t="str">
        <f t="shared" ref="F390:F391" si="317">HYPERLINK("https://www.biocoop.fr/magasin-biocoop_fontaine/farine-de-riz-nc2508-000.html","7.7")</f>
        <v>7.7</v>
      </c>
      <c r="G390" s="25" t="s">
        <v>1168</v>
      </c>
      <c r="H390" s="9" t="str">
        <f t="shared" ref="H390:H391" si="318">HYPERLINK("https://satoriz-comboire.bio/products/eu9637","7.2")</f>
        <v>7.2</v>
      </c>
      <c r="I390" s="1" t="s">
        <v>869</v>
      </c>
      <c r="J390" s="7" t="str">
        <f>HYPERLINK("https://www.greenweez.com/produit/farine-de-riz-blanc-2-5kg/1MOUL0302","4.05")</f>
        <v>4.05</v>
      </c>
      <c r="K390" s="26" t="s">
        <v>75</v>
      </c>
      <c r="L390" s="9" t="str">
        <f t="shared" ref="L390:L391" si="319">HYPERLINK("https://metabase.lelefan.org/public/dashboard/53c41f3f-5644-466e-935e-897e7725f6bc?rayon=&amp;d%25C3%25A9signation=FARINE DE RIZ BLANCHE&amp;fournisseur=&amp;date_d%25C3%25A9but=&amp;date_fin=","888888")</f>
        <v>888888</v>
      </c>
      <c r="M390" s="18" t="s">
        <v>56</v>
      </c>
      <c r="N390" s="16">
        <v>888888.0</v>
      </c>
    </row>
    <row r="391" ht="14.25" customHeight="1">
      <c r="A391" s="1" t="s">
        <v>1502</v>
      </c>
      <c r="B391" s="9" t="str">
        <f t="shared" si="315"/>
        <v>6.1</v>
      </c>
      <c r="D391" s="9" t="str">
        <f t="shared" si="316"/>
        <v>7.56</v>
      </c>
      <c r="F391" s="9" t="str">
        <f t="shared" si="317"/>
        <v>7.7</v>
      </c>
      <c r="H391" s="9" t="str">
        <f t="shared" si="318"/>
        <v>7.2</v>
      </c>
      <c r="J391" s="7" t="str">
        <f>HYPERLINK("https://www.greenweez.com/produit/farine-de-riz-blanc-500g-1/1MOUL0177","5.82")</f>
        <v>5.82</v>
      </c>
      <c r="L391" s="9" t="str">
        <f t="shared" si="319"/>
        <v>888888</v>
      </c>
      <c r="N391" s="16">
        <v>888888.0</v>
      </c>
    </row>
    <row r="392" ht="14.25" customHeight="1">
      <c r="A392" s="1" t="s">
        <v>629</v>
      </c>
      <c r="B392" s="7" t="str">
        <f t="shared" ref="B392:B393" si="320">HYPERLINK("https://lafourche.fr/products/ma-vie-sans-gluten-farine-de-riz-demi-complete-bio-1kg","5.25")</f>
        <v>5.25</v>
      </c>
      <c r="C392" s="25" t="s">
        <v>1503</v>
      </c>
      <c r="D392" s="16">
        <v>888888.0</v>
      </c>
      <c r="F392" s="16">
        <v>888888.0</v>
      </c>
      <c r="H392" s="9" t="str">
        <f>HYPERLINK("https://satoriz-comboire.bio/products/mo221","888888")</f>
        <v>888888</v>
      </c>
      <c r="I392" s="18" t="s">
        <v>56</v>
      </c>
      <c r="J392" s="9" t="str">
        <f>HYPERLINK("https://www.greenweez.com/produit/farine-de-riz-demi-complet-3kg/1MAVI0007","5.76")</f>
        <v>5.76</v>
      </c>
      <c r="K392" s="25" t="s">
        <v>1504</v>
      </c>
      <c r="L392" s="16">
        <v>888888.0</v>
      </c>
      <c r="N392" s="16">
        <v>888888.0</v>
      </c>
    </row>
    <row r="393" ht="14.25" customHeight="1">
      <c r="A393" s="1" t="s">
        <v>630</v>
      </c>
      <c r="B393" s="7" t="str">
        <f t="shared" si="320"/>
        <v>5.25</v>
      </c>
      <c r="C393" s="25" t="s">
        <v>1503</v>
      </c>
      <c r="D393" s="16">
        <v>888888.0</v>
      </c>
      <c r="F393" s="16">
        <v>888888.0</v>
      </c>
      <c r="H393" s="16">
        <v>888888.0</v>
      </c>
      <c r="I393" s="18" t="s">
        <v>56</v>
      </c>
      <c r="J393" s="9" t="str">
        <f>HYPERLINK("https://www.greenweez.com/produit/farine-de-riz-demi-complet-bio-500g/5GREE0196","5.32")</f>
        <v>5.32</v>
      </c>
      <c r="K393" s="25" t="s">
        <v>1505</v>
      </c>
      <c r="L393" s="16">
        <v>888888.0</v>
      </c>
      <c r="N393" s="16">
        <v>888888.0</v>
      </c>
    </row>
    <row r="394" ht="14.25" customHeight="1">
      <c r="A394" s="1" t="s">
        <v>631</v>
      </c>
      <c r="B394" s="7" t="str">
        <f t="shared" ref="B394:B395" si="321">HYPERLINK("https://lafourche.fr/products/celnat-farine-de-riz-complet-1kg","3.95")</f>
        <v>3.95</v>
      </c>
      <c r="C394" s="26" t="s">
        <v>204</v>
      </c>
      <c r="D394" s="9" t="str">
        <f t="shared" ref="D394:D395" si="322">HYPERLINK("https://www.biocoop.fr/magasin-biocoop_champollion/farine-de-riz-complet-500g-al8016-000.html","6.3")</f>
        <v>6.3</v>
      </c>
      <c r="E394" s="1" t="s">
        <v>869</v>
      </c>
      <c r="F394" s="9" t="str">
        <f t="shared" ref="F394:F395" si="323">HYPERLINK("https://www.biocoop.fr/magasin-biocoop_fontaine/farine-de-riz-complet-bio-al8040-000.html","4.3")</f>
        <v>4.3</v>
      </c>
      <c r="G394" s="1" t="s">
        <v>869</v>
      </c>
      <c r="H394" s="9" t="str">
        <f t="shared" ref="H394:H395" si="324">HYPERLINK("https://satoriz-comboire.bio/products/eu2403","6.55")</f>
        <v>6.55</v>
      </c>
      <c r="I394" s="25" t="s">
        <v>1381</v>
      </c>
      <c r="J394" s="9" t="str">
        <f>HYPERLINK("https://www.greenweez.com/produit/farine-de-riz-complet-bio-3kg/5GREE0193","4.73")</f>
        <v>4.73</v>
      </c>
      <c r="K394" s="1" t="s">
        <v>869</v>
      </c>
      <c r="L394" s="9" t="str">
        <f t="shared" ref="L394:L395" si="325">HYPERLINK("https://metabase.lelefan.org/public/dashboard/53c41f3f-5644-466e-935e-897e7725f6bc?rayon=&amp;d%25C3%25A9signation=FARINE DE RIZ INTEGRALE VRAC&amp;fournisseur=&amp;date_d%25C3%25A9but=&amp;date_fin=","4.75")</f>
        <v>4.75</v>
      </c>
      <c r="M394" s="1" t="s">
        <v>869</v>
      </c>
      <c r="N394" s="16">
        <v>888888.0</v>
      </c>
    </row>
    <row r="395" ht="14.25" customHeight="1">
      <c r="A395" s="1" t="s">
        <v>632</v>
      </c>
      <c r="B395" s="7" t="str">
        <f t="shared" si="321"/>
        <v>3.95</v>
      </c>
      <c r="C395" s="26" t="s">
        <v>204</v>
      </c>
      <c r="D395" s="9" t="str">
        <f t="shared" si="322"/>
        <v>6.3</v>
      </c>
      <c r="E395" s="1" t="s">
        <v>869</v>
      </c>
      <c r="F395" s="9" t="str">
        <f t="shared" si="323"/>
        <v>4.3</v>
      </c>
      <c r="G395" s="1" t="s">
        <v>869</v>
      </c>
      <c r="H395" s="9" t="str">
        <f t="shared" si="324"/>
        <v>6.55</v>
      </c>
      <c r="I395" s="25" t="s">
        <v>1381</v>
      </c>
      <c r="J395" s="9" t="str">
        <f>HYPERLINK("https://www.greenweez.com/produit/farine-de-riz-complete-500g/1MOUL0178","5.14")</f>
        <v>5.14</v>
      </c>
      <c r="K395" s="25" t="s">
        <v>1506</v>
      </c>
      <c r="L395" s="9" t="str">
        <f t="shared" si="325"/>
        <v>4.75</v>
      </c>
      <c r="M395" s="1" t="s">
        <v>869</v>
      </c>
      <c r="N395" s="16">
        <v>888888.0</v>
      </c>
    </row>
    <row r="396" ht="14.25" customHeight="1">
      <c r="A396" s="1" t="s">
        <v>633</v>
      </c>
      <c r="B396" s="9" t="str">
        <f>HYPERLINK("https://lafourche.fr/products/markal-farine-chataigne-500g","15.9")</f>
        <v>15.9</v>
      </c>
      <c r="C396" s="25" t="s">
        <v>1507</v>
      </c>
      <c r="D396" s="9" t="str">
        <f>HYPERLINK("https://www.biocoop.fr/magasin-biocoop_champollion/farine-de-chataigne-400g-mn3004-000.html","17.0")</f>
        <v>17.0</v>
      </c>
      <c r="E396" s="1" t="s">
        <v>869</v>
      </c>
      <c r="F396" s="9" t="str">
        <f>HYPERLINK("https://www.biocoop.fr/magasin-biocoop_fontaine/farine-de-chataigne-400g-mn3004-000.html","17.0")</f>
        <v>17.0</v>
      </c>
      <c r="G396" s="1" t="s">
        <v>869</v>
      </c>
      <c r="H396" s="9" t="str">
        <f>HYPERLINK("https://satoriz-comboire.bio/collections/epicerie-salee/products/rch","16.6")</f>
        <v>16.6</v>
      </c>
      <c r="I396" s="25" t="s">
        <v>1508</v>
      </c>
      <c r="J396" s="7" t="str">
        <f>HYPERLINK("https://www.greenweez.com/produit/farine-de-chataigne-500g/1MOUL0174","14.58")</f>
        <v>14.58</v>
      </c>
      <c r="K396" s="26" t="s">
        <v>1509</v>
      </c>
      <c r="L396" s="9" t="str">
        <f>HYPERLINK("https://metabase.lelefan.org/public/dashboard/53c41f3f-5644-466e-935e-897e7725f6bc?rayon=&amp;d%25C3%25A9signation=FARINE DE CHATAIGNE&amp;fournisseur=&amp;date_d%25C3%25A9but=&amp;date_fin=","888888")</f>
        <v>888888</v>
      </c>
      <c r="M396" s="16" t="s">
        <v>869</v>
      </c>
      <c r="N396" s="16">
        <v>888888.0</v>
      </c>
    </row>
    <row r="397" ht="14.25" customHeight="1">
      <c r="A397" s="1" t="s">
        <v>634</v>
      </c>
      <c r="B397" s="9" t="str">
        <f>HYPERLINK("https://lafourche.fr/products/la-fourche-farine-de-petit-epautre-bio-2-5kg","4.88")</f>
        <v>4.88</v>
      </c>
      <c r="C397" s="25" t="s">
        <v>1510</v>
      </c>
      <c r="D397" s="9" t="str">
        <f t="shared" ref="D397:D398" si="326">HYPERLINK("https://www.biocoop.fr/magasin-biocoop_champollion/farine-de-petit-epeautre-t150-1kg-ci1018-000.html","6.15")</f>
        <v>6.15</v>
      </c>
      <c r="E397" s="1" t="s">
        <v>869</v>
      </c>
      <c r="F397" s="9" t="str">
        <f t="shared" ref="F397:F398" si="327">HYPERLINK("https://www.biocoop.fr/magasin-biocoop_fontaine/farine-de-petit-epeautre-t150-1kg-ci1018-000.html","888888")</f>
        <v>888888</v>
      </c>
      <c r="G397" s="16" t="s">
        <v>869</v>
      </c>
      <c r="H397" s="9" t="str">
        <f t="shared" ref="H397:H398" si="328">HYPERLINK("https://satoriz-comboire.bio/collections/epicerie-salee/products/tpex1","5.35")</f>
        <v>5.35</v>
      </c>
      <c r="I397" s="25" t="s">
        <v>1160</v>
      </c>
      <c r="J397" s="7" t="str">
        <f t="shared" ref="J397:J398" si="329">HYPERLINK("https://www.greenweez.com/produit/farine-depeautre-complete-t150-1kg/1MOUL0287","3.92")</f>
        <v>3.92</v>
      </c>
      <c r="K397" s="26" t="s">
        <v>1106</v>
      </c>
      <c r="L397" s="9" t="str">
        <f t="shared" ref="L397:L398" si="330">HYPERLINK("https://metabase.lelefan.org/public/dashboard/53c41f3f-5644-466e-935e-897e7725f6bc?rayon=&amp;d%25C3%25A9signation=FARINE DE PETIT EPEAUTRE BISE T80 VRAC&amp;fournisseur=&amp;date_d%25C3%25A9but=&amp;date_fin=","5.01")</f>
        <v>5.01</v>
      </c>
      <c r="M397" s="1" t="s">
        <v>869</v>
      </c>
      <c r="N397" s="16">
        <v>888888.0</v>
      </c>
    </row>
    <row r="398" ht="14.25" customHeight="1">
      <c r="A398" s="1" t="s">
        <v>635</v>
      </c>
      <c r="B398" s="9" t="str">
        <f>HYPERLINK("https://lafourche.fr/products/la-fourche-farine-de-petit-epeautre-t150-bio-1kg","5.15")</f>
        <v>5.15</v>
      </c>
      <c r="C398" s="25" t="s">
        <v>1511</v>
      </c>
      <c r="D398" s="9" t="str">
        <f t="shared" si="326"/>
        <v>6.15</v>
      </c>
      <c r="E398" s="1" t="s">
        <v>869</v>
      </c>
      <c r="F398" s="9" t="str">
        <f t="shared" si="327"/>
        <v>888888</v>
      </c>
      <c r="G398" s="16" t="s">
        <v>869</v>
      </c>
      <c r="H398" s="9" t="str">
        <f t="shared" si="328"/>
        <v>5.35</v>
      </c>
      <c r="I398" s="25" t="s">
        <v>1160</v>
      </c>
      <c r="J398" s="7" t="str">
        <f t="shared" si="329"/>
        <v>3.92</v>
      </c>
      <c r="K398" s="26" t="s">
        <v>1106</v>
      </c>
      <c r="L398" s="9" t="str">
        <f t="shared" si="330"/>
        <v>5.01</v>
      </c>
      <c r="M398" s="1" t="s">
        <v>869</v>
      </c>
      <c r="N398" s="16">
        <v>888888.0</v>
      </c>
    </row>
    <row r="399" ht="14.25" customHeight="1">
      <c r="A399" s="1" t="s">
        <v>636</v>
      </c>
      <c r="B399" s="9" t="str">
        <f>HYPERLINK("https://lafourche.fr/products/sans-detour-farine-de-pois-chiche-bio-2-5kg","3.96")</f>
        <v>3.96</v>
      </c>
      <c r="C399" s="26" t="s">
        <v>1512</v>
      </c>
      <c r="D399" s="9" t="str">
        <f t="shared" ref="D399:D400" si="331">HYPERLINK("https://www.biocoop.fr/magasin-biocoop_champollion/farine-de-pois-chiches-500g-al8021-000.html","7.98")</f>
        <v>7.98</v>
      </c>
      <c r="E399" s="1" t="s">
        <v>869</v>
      </c>
      <c r="F399" s="9" t="str">
        <f t="shared" ref="F399:F400" si="332">HYPERLINK("https://www.biocoop.fr/magasin-biocoop_fontaine/farine-de-pois-chiche-bio-al8041-000.html","5.5")</f>
        <v>5.5</v>
      </c>
      <c r="G399" s="1" t="s">
        <v>869</v>
      </c>
      <c r="H399" s="9" t="str">
        <f t="shared" ref="H399:H400" si="333">HYPERLINK("https://satoriz-comboire.bio/products/eco1781","4.8")</f>
        <v>4.8</v>
      </c>
      <c r="I399" s="1" t="s">
        <v>869</v>
      </c>
      <c r="J399" s="9" t="str">
        <f>HYPERLINK("https://www.greenweez.com/produit/farine-de-pois-chiches-bio-3kg/5GREE0195","5.65")</f>
        <v>5.65</v>
      </c>
      <c r="K399" s="16" t="s">
        <v>896</v>
      </c>
      <c r="L399" s="7" t="str">
        <f t="shared" ref="L399:L400" si="334">HYPERLINK("https://metabase.lelefan.org/public/dashboard/53c41f3f-5644-466e-935e-897e7725f6bc?rayon=&amp;d%25C3%25A9signation=FARINE DE POIS CHICHES VRAC&amp;fournisseur=&amp;date_d%25C3%25A9but=&amp;date_fin=","3.77")</f>
        <v>3.77</v>
      </c>
      <c r="M399" s="1" t="s">
        <v>869</v>
      </c>
      <c r="N399" s="16">
        <v>888888.0</v>
      </c>
    </row>
    <row r="400" ht="14.25" customHeight="1">
      <c r="A400" s="1" t="s">
        <v>637</v>
      </c>
      <c r="B400" s="9" t="str">
        <f>HYPERLINK("https://lafourche.fr/products/sans-detour-farine-complete-de-pois-chiche-bio-1kg","3.99")</f>
        <v>3.99</v>
      </c>
      <c r="C400" s="26" t="s">
        <v>324</v>
      </c>
      <c r="D400" s="9" t="str">
        <f t="shared" si="331"/>
        <v>7.98</v>
      </c>
      <c r="E400" s="1" t="s">
        <v>869</v>
      </c>
      <c r="F400" s="9" t="str">
        <f t="shared" si="332"/>
        <v>5.5</v>
      </c>
      <c r="G400" s="1" t="s">
        <v>869</v>
      </c>
      <c r="H400" s="9" t="str">
        <f t="shared" si="333"/>
        <v>4.8</v>
      </c>
      <c r="I400" s="1" t="s">
        <v>869</v>
      </c>
      <c r="J400" s="9" t="str">
        <f>HYPERLINK("https://www.greenweez.com/produit/farine-de-pois-chiches-france-500g/1MKAL0039","5.88")</f>
        <v>5.88</v>
      </c>
      <c r="K400" s="16" t="s">
        <v>896</v>
      </c>
      <c r="L400" s="7" t="str">
        <f t="shared" si="334"/>
        <v>3.77</v>
      </c>
      <c r="M400" s="1" t="s">
        <v>869</v>
      </c>
      <c r="N400" s="16">
        <v>888888.0</v>
      </c>
    </row>
    <row r="401" ht="14.25" customHeight="1">
      <c r="A401" s="1" t="s">
        <v>638</v>
      </c>
      <c r="B401" s="9" t="str">
        <f t="shared" ref="B401:B402" si="335">HYPERLINK("https://lafourche.fr/products/la-fourche-1kg-de-sucre-blond-bio-en-vrac","2.84")</f>
        <v>2.84</v>
      </c>
      <c r="C401" s="25" t="s">
        <v>1513</v>
      </c>
      <c r="D401" s="9" t="str">
        <f t="shared" ref="D401:D402" si="336">HYPERLINK("https://www.biocoop.fr/magasin-biocoop_champollion/sucre-de-canne-roux-morceaux-irregulier-bio-ne0106-000.html","5.15")</f>
        <v>5.15</v>
      </c>
      <c r="E401" s="1" t="s">
        <v>869</v>
      </c>
      <c r="F401" s="9" t="str">
        <f t="shared" ref="F401:F402" si="337">HYPERLINK("https://www.biocoop.fr/magasin-biocoop_fontaine/sucre-canne-blond-bio-ne0107-000.html","888888")</f>
        <v>888888</v>
      </c>
      <c r="G401" s="18" t="s">
        <v>56</v>
      </c>
      <c r="H401" s="7" t="str">
        <f t="shared" ref="H401:H402" si="338">HYPERLINK("https://satoriz-comboire.bio/collections/vrac/products/eu3133","1.95")</f>
        <v>1.95</v>
      </c>
      <c r="I401" s="1" t="s">
        <v>869</v>
      </c>
      <c r="J401" s="9" t="str">
        <f>HYPERLINK("https://www.greenweez.com/produit/sucre-blond-de-canne-bio-5kg/2WEEZ0550","2.79")</f>
        <v>2.79</v>
      </c>
      <c r="K401" s="1" t="s">
        <v>869</v>
      </c>
      <c r="L401" s="9" t="str">
        <f t="shared" ref="L401:L402" si="339">HYPERLINK("https://metabase.lelefan.org/public/dashboard/53c41f3f-5644-466e-935e-897e7725f6bc?rayon=&amp;d%25C3%25A9signation=SUCRE BLOND EQUITABLE VRAC&amp;fournisseur=&amp;date_d%25C3%25A9but=&amp;date_fin=","3.01")</f>
        <v>3.01</v>
      </c>
      <c r="M401" s="1" t="s">
        <v>869</v>
      </c>
      <c r="N401" s="9" t="str">
        <f>HYPERLINK("https://fd11-courses.leclercdrive.fr/magasin-063801-063801-Echirolles---Comboire/fiche-produits-33306-Specialite-sucriere-de-canne.aspx","3.32")</f>
        <v>3.32</v>
      </c>
    </row>
    <row r="402" ht="14.25" customHeight="1">
      <c r="A402" s="1" t="s">
        <v>639</v>
      </c>
      <c r="B402" s="9" t="str">
        <f t="shared" si="335"/>
        <v>2.84</v>
      </c>
      <c r="C402" s="25" t="s">
        <v>1513</v>
      </c>
      <c r="D402" s="9" t="str">
        <f t="shared" si="336"/>
        <v>5.15</v>
      </c>
      <c r="E402" s="1" t="s">
        <v>869</v>
      </c>
      <c r="F402" s="9" t="str">
        <f t="shared" si="337"/>
        <v>888888</v>
      </c>
      <c r="G402" s="18" t="s">
        <v>56</v>
      </c>
      <c r="H402" s="7" t="str">
        <f t="shared" si="338"/>
        <v>1.95</v>
      </c>
      <c r="I402" s="1" t="s">
        <v>869</v>
      </c>
      <c r="J402" s="9" t="str">
        <f>HYPERLINK("https://www.greenweez.com/produit/sucre-blond-de-canne-1kg/1MKAL0174","3.48")</f>
        <v>3.48</v>
      </c>
      <c r="K402" s="25" t="s">
        <v>1514</v>
      </c>
      <c r="L402" s="9" t="str">
        <f t="shared" si="339"/>
        <v>3.01</v>
      </c>
      <c r="M402" s="1" t="s">
        <v>869</v>
      </c>
      <c r="N402" s="16">
        <v>888888.0</v>
      </c>
    </row>
    <row r="403" ht="14.25" customHeight="1">
      <c r="A403" s="1" t="s">
        <v>640</v>
      </c>
      <c r="B403" s="9" t="str">
        <f>HYPERLINK("https://lafourche.fr/products/la-fourche-1kg-de-sucre-de-canne-complet-dulcita-bio-en-vrac","3.99")</f>
        <v>3.99</v>
      </c>
      <c r="C403" s="1" t="s">
        <v>869</v>
      </c>
      <c r="D403" s="9" t="str">
        <f>HYPERLINK("https://www.biocoop.fr/magasin-biocoop_champollion/sucre-canne-complet-dulcita-1kg-sm0393-000.html","888888")</f>
        <v>888888</v>
      </c>
      <c r="E403" s="16" t="s">
        <v>869</v>
      </c>
      <c r="F403" s="9" t="str">
        <f>HYPERLINK("https://www.biocoop.fr/magasin-biocoop_fontaine/sucre-canne-complet-dulcita-1kg-sm0393-000.html","6.2")</f>
        <v>6.2</v>
      </c>
      <c r="G403" s="25" t="s">
        <v>1447</v>
      </c>
      <c r="H403" s="7" t="str">
        <f>HYPERLINK("https://satoriz-comboire.bio/collections/vrac/products/eu10092","2.95")</f>
        <v>2.95</v>
      </c>
      <c r="I403" s="1" t="s">
        <v>869</v>
      </c>
      <c r="J403" s="9" t="str">
        <f>HYPERLINK("https://www.greenweez.com/produit/sucre-de-canne-complet-bio-500g/2WEEZ0261","5.58")</f>
        <v>5.58</v>
      </c>
      <c r="K403" s="1" t="s">
        <v>869</v>
      </c>
      <c r="L403" s="9" t="str">
        <f>HYPERLINK("https://metabase.lelefan.org/public/dashboard/53c41f3f-5644-466e-935e-897e7725f6bc?rayon=&amp;d%25C3%25A9signation=SUCRE COMPLET DE CANNE VRAC&amp;fournisseur=&amp;date_d%25C3%25A9but=&amp;date_fin=","4.96")</f>
        <v>4.96</v>
      </c>
      <c r="M403" s="25" t="s">
        <v>1221</v>
      </c>
      <c r="N403" s="9" t="str">
        <f>HYPERLINK("https://fd11-courses.leclercdrive.fr/magasin-063801-063801-Echirolles---Comboire/fiche-produits-14706-Sucre-de-canne-Bio-Alter-Eco-.aspx","4.86")</f>
        <v>4.86</v>
      </c>
    </row>
    <row r="404" ht="14.25" customHeight="1">
      <c r="A404" s="5" t="s">
        <v>641</v>
      </c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ht="14.25" customHeight="1">
      <c r="A405" s="1" t="s">
        <v>642</v>
      </c>
      <c r="B405" s="9" t="str">
        <f>HYPERLINK("https://lafourche.fr/products/la-fourche-pate-a-tartiner-chocolat-noisettes-bio-700g","9.97")</f>
        <v>9.97</v>
      </c>
      <c r="C405" s="25" t="s">
        <v>1515</v>
      </c>
      <c r="D405" s="9" t="str">
        <f>HYPERLINK("https://www.biocoop.fr/magasin-biocoop_champollion/pate-a-tartiner-noisette-cacao-600g-lg3150-000.html","9.92")</f>
        <v>9.92</v>
      </c>
      <c r="E405" s="26" t="s">
        <v>1516</v>
      </c>
      <c r="F405" s="9" t="str">
        <f>HYPERLINK("https://www.biocoop.fr/magasin-biocoop_fontaine/pate-a-tartiner-noisette-cacao-600g-lg3150-000.html","10.58")</f>
        <v>10.58</v>
      </c>
      <c r="G405" s="26" t="s">
        <v>1517</v>
      </c>
      <c r="H405" s="9" t="str">
        <f>HYPERLINK("https://satoriz-comboire.bio/collections/epicerie-sucree/products/re40699","888888")</f>
        <v>888888</v>
      </c>
      <c r="I405" s="18" t="s">
        <v>56</v>
      </c>
      <c r="J405" s="9" t="str">
        <f>HYPERLINK("https://www.greenweez.com/produit/pate-a-tartiner-noisettes-et-cacao-bio-600g/2WEEZ0443","8.92")</f>
        <v>8.92</v>
      </c>
      <c r="K405" s="1" t="s">
        <v>869</v>
      </c>
      <c r="L405" s="9" t="str">
        <f>HYPERLINK("https://metabase.lelefan.org/public/dashboard/53c41f3f-5644-466e-935e-897e7725f6bc?rayon=&amp;d%25C3%25A9signation=PATE A TARTINER KLASIK VRAC&amp;fournisseur=&amp;date_d%25C3%25A9but=&amp;date_fin=","11.73")</f>
        <v>11.73</v>
      </c>
      <c r="M405" s="25" t="s">
        <v>1518</v>
      </c>
      <c r="N405" s="7" t="str">
        <f>HYPERLINK("https://fd11-courses.leclercdrive.fr/magasin-063801-063801-Echirolles---Comboire/fiche-produits-115772-Pate-a-tartiner-Bio-Village.aspx","6.93")</f>
        <v>6.93</v>
      </c>
    </row>
    <row r="406" ht="14.25" customHeight="1">
      <c r="A406" s="1" t="s">
        <v>643</v>
      </c>
      <c r="B406" s="7" t="str">
        <f>HYPERLINK("https://lafourche.fr/products/la-fourche-pate-a-tartiner-chocolat-noisette-bio-0-7kg","10.79")</f>
        <v>10.79</v>
      </c>
      <c r="C406" s="25" t="s">
        <v>1519</v>
      </c>
      <c r="D406" s="9" t="str">
        <f>HYPERLINK("https://www.biocoop.fr/magasin-biocoop_champollion/pate-a-tartiner-chokenut-700g-np0036-000.html","888888")</f>
        <v>888888</v>
      </c>
      <c r="E406" s="18" t="s">
        <v>56</v>
      </c>
      <c r="F406" s="9" t="str">
        <f>HYPERLINK("https://www.biocoop.fr/magasin-biocoop_fontaine/pate-a-tartiner-chocolade-sans-lait-350g-he0779-000.html","31.29")</f>
        <v>31.29</v>
      </c>
      <c r="G406" s="25" t="s">
        <v>1520</v>
      </c>
      <c r="H406" s="9" t="str">
        <f>HYPERLINK("https://satoriz-comboire.bio/collections/epicerie-sucree/products/re43701","13.38")</f>
        <v>13.38</v>
      </c>
      <c r="I406" s="25" t="s">
        <v>1521</v>
      </c>
      <c r="J406" s="9" t="str">
        <f>HYPERLINK("https://www.greenweez.com/produit/pate-a-tartiner-nocciolata-sans-lait-650g/1NOCC0005","11.05")</f>
        <v>11.05</v>
      </c>
      <c r="K406" s="26" t="s">
        <v>1522</v>
      </c>
      <c r="L406" s="9" t="str">
        <f>HYPERLINK("https://metabase.lelefan.org/public/dashboard/53c41f3f-5644-466e-935e-897e7725f6bc?rayon=&amp;d%25C3%25A9signation=PATE A TARTINER CHOCOLADE SANS LAIT 750G&amp;fournisseur=&amp;date_d%25C3%25A9but=&amp;date_fin=","888888")</f>
        <v>888888</v>
      </c>
      <c r="M406" s="16" t="s">
        <v>869</v>
      </c>
      <c r="N406" s="16">
        <v>888888.0</v>
      </c>
    </row>
    <row r="407" ht="14.25" customHeight="1">
      <c r="A407" s="1" t="s">
        <v>644</v>
      </c>
      <c r="B407" s="9" t="str">
        <f t="shared" ref="B407:B408" si="340">HYPERLINK("https://lafourche.fr/products/natur-avenir-creme-de-marrons-d-ardeche-aop-bio-0-325kg","11.29")</f>
        <v>11.29</v>
      </c>
      <c r="C407" s="1" t="s">
        <v>869</v>
      </c>
      <c r="D407" s="9" t="str">
        <f t="shared" ref="D407:D408" si="341">HYPERLINK("https://www.biocoop.fr/magasin-biocoop_champollion/creme-de-chataigne-360g-dm0709-000.html","13.86")</f>
        <v>13.86</v>
      </c>
      <c r="E407" s="1" t="s">
        <v>869</v>
      </c>
      <c r="F407" s="9" t="str">
        <f t="shared" ref="F407:F408" si="342">HYPERLINK("https://www.biocoop.fr/magasin-biocoop_fontaine/creme-de-chataigne-360g-dm0709-000.html","15.56")</f>
        <v>15.56</v>
      </c>
      <c r="G407" s="1" t="s">
        <v>869</v>
      </c>
      <c r="H407" s="9" t="str">
        <f t="shared" ref="H407:H408" si="343">HYPERLINK("https://satoriz-comboire.bio/products/re42052","12.15")</f>
        <v>12.15</v>
      </c>
      <c r="I407" s="26" t="s">
        <v>1523</v>
      </c>
      <c r="J407" s="9" t="str">
        <f t="shared" ref="J407:J408" si="344">HYPERLINK("https://www.greenweez.com/produit/creme-de-marrons-bio-55-320g/2WEEZ0462","14.0")</f>
        <v>14.0</v>
      </c>
      <c r="K407" s="1" t="s">
        <v>869</v>
      </c>
      <c r="L407" s="7" t="str">
        <f>HYPERLINK("https://metabase.lelefan.org/public/dashboard/53c41f3f-5644-466e-935e-897e7725f6bc?rayon=&amp;d%25C3%25A9signation=CREME DE MARRON 750G&amp;fournisseur=&amp;date_d%25C3%25A9but=&amp;date_fin=","9.77")</f>
        <v>9.77</v>
      </c>
      <c r="M407" s="1" t="s">
        <v>869</v>
      </c>
      <c r="N407" s="16">
        <v>888888.0</v>
      </c>
      <c r="P407" s="1">
        <v>0.01</v>
      </c>
    </row>
    <row r="408" ht="14.25" customHeight="1">
      <c r="A408" s="1" t="s">
        <v>645</v>
      </c>
      <c r="B408" s="7" t="str">
        <f t="shared" si="340"/>
        <v>11.29</v>
      </c>
      <c r="C408" s="1" t="s">
        <v>869</v>
      </c>
      <c r="D408" s="9" t="str">
        <f t="shared" si="341"/>
        <v>13.86</v>
      </c>
      <c r="E408" s="1" t="s">
        <v>869</v>
      </c>
      <c r="F408" s="9" t="str">
        <f t="shared" si="342"/>
        <v>15.56</v>
      </c>
      <c r="G408" s="1" t="s">
        <v>869</v>
      </c>
      <c r="H408" s="9" t="str">
        <f t="shared" si="343"/>
        <v>12.15</v>
      </c>
      <c r="I408" s="26" t="s">
        <v>1523</v>
      </c>
      <c r="J408" s="9" t="str">
        <f t="shared" si="344"/>
        <v>14.0</v>
      </c>
      <c r="K408" s="1" t="s">
        <v>869</v>
      </c>
      <c r="L408" s="9" t="str">
        <f>HYPERLINK("https://metabase.lelefan.org/public/dashboard/53c41f3f-5644-466e-935e-897e7725f6bc?rayon=&amp;d%25C3%25A9signation=CREME DE MARRON VANILLEE 320G&amp;fournisseur=&amp;date_d%25C3%25A9but=&amp;date_fin=","13.44")</f>
        <v>13.44</v>
      </c>
      <c r="M408" s="25" t="s">
        <v>1524</v>
      </c>
      <c r="N408" s="16">
        <v>888888.0</v>
      </c>
      <c r="P408" s="1">
        <v>0.01</v>
      </c>
    </row>
    <row r="409" ht="14.25" customHeight="1">
      <c r="A409" s="1" t="s">
        <v>646</v>
      </c>
      <c r="B409" s="9" t="str">
        <f>HYPERLINK("https://lafourche.fr/products/la-fourche-confiture-extra-de-fraise-bio-0-81kg","6.53")</f>
        <v>6.53</v>
      </c>
      <c r="C409" s="25" t="s">
        <v>1525</v>
      </c>
      <c r="D409" s="9" t="str">
        <f>HYPERLINK("https://www.biocoop.fr/magasin-biocoop_champollion/confiture-extra-fraise-650g-cp0010-000.html","8.62")</f>
        <v>8.62</v>
      </c>
      <c r="E409" s="25" t="s">
        <v>1526</v>
      </c>
      <c r="F409" s="9" t="str">
        <f>HYPERLINK("https://www.biocoop.fr/magasin-biocoop_fontaine/confiture-extra-fraise-650g-cp0010-000.html","8.38")</f>
        <v>8.38</v>
      </c>
      <c r="G409" s="1" t="s">
        <v>869</v>
      </c>
      <c r="H409" s="9" t="str">
        <f>HYPERLINK("https://satoriz-comboire.bio/collections/epicerie-sucree/products/re40510","9.9")</f>
        <v>9.9</v>
      </c>
      <c r="I409" s="25" t="s">
        <v>1527</v>
      </c>
      <c r="J409" s="9" t="str">
        <f>HYPERLINK("https://www.greenweez.com/produit/confiture-extra-de-fraise-660g/2SAVE0013","9.11")</f>
        <v>9.11</v>
      </c>
      <c r="K409" s="25" t="s">
        <v>1528</v>
      </c>
      <c r="L409" s="9" t="str">
        <f t="shared" ref="L409:L410" si="345">HYPERLINK("https://metabase.lelefan.org/public/dashboard/53c41f3f-5644-466e-935e-897e7725f6bc?rayon=&amp;d%25C3%25A9signation=CONFITURE FRAISE BIO&amp;fournisseur=&amp;date_d%25C3%25A9but=&amp;date_fin=","8.85")</f>
        <v>8.85</v>
      </c>
      <c r="N409" s="7" t="str">
        <f t="shared" ref="N409:N410" si="346">HYPERLINK("https://fd11-courses.leclercdrive.fr/magasin-063801-063801-Echirolles---Comboire/fiche-produits-22689-Confiture-extra-bio-Bio-Village.aspx","5.0")</f>
        <v>5.0</v>
      </c>
    </row>
    <row r="410" ht="14.25" customHeight="1">
      <c r="A410" s="1" t="s">
        <v>647</v>
      </c>
      <c r="B410" s="9" t="str">
        <f>HYPERLINK("https://lafourche.fr/products/saveurs-et-fruits-confiture-extra-fraise-bio-0-32kg","12.47")</f>
        <v>12.47</v>
      </c>
      <c r="C410" s="25" t="s">
        <v>1529</v>
      </c>
      <c r="D410" s="9" t="str">
        <f>HYPERLINK("https://www.biocoop.fr/magasin-biocoop_champollion/confiture-extra-fraise-370g-cp0001-000.html","10.0")</f>
        <v>10.0</v>
      </c>
      <c r="E410" s="25" t="s">
        <v>1530</v>
      </c>
      <c r="F410" s="9" t="str">
        <f>HYPERLINK("https://www.biocoop.fr/magasin-biocoop_fontaine/specialite-de-fraises-lg3111-000.html","888888")</f>
        <v>888888</v>
      </c>
      <c r="G410" s="18" t="s">
        <v>56</v>
      </c>
      <c r="H410" s="9" t="str">
        <f>HYPERLINK("https://satoriz-comboire.bio/collections/epicerie-sucree/products/nat131303","15.65")</f>
        <v>15.65</v>
      </c>
      <c r="I410" s="25" t="s">
        <v>1531</v>
      </c>
      <c r="J410" s="9" t="str">
        <f>HYPERLINK("https://www.greenweez.com/produit/confiture-de-fraises-bio-65-350g/2WEEZ0461","9.94")</f>
        <v>9.94</v>
      </c>
      <c r="K410" s="25" t="s">
        <v>1532</v>
      </c>
      <c r="L410" s="9" t="str">
        <f t="shared" si="345"/>
        <v>8.85</v>
      </c>
      <c r="N410" s="7" t="str">
        <f t="shared" si="346"/>
        <v>5.0</v>
      </c>
    </row>
    <row r="411" ht="14.25" customHeight="1">
      <c r="A411" s="1" t="s">
        <v>648</v>
      </c>
      <c r="B411" s="9" t="str">
        <f>HYPERLINK("https://lafourche.fr/products/la-fourche-confiture-extra-d-abricot-bio-0-81kg","6.78")</f>
        <v>6.78</v>
      </c>
      <c r="C411" s="25" t="s">
        <v>912</v>
      </c>
      <c r="D411" s="9" t="str">
        <f>HYPERLINK("https://www.biocoop.fr/magasin-biocoop_champollion/confiture-extra-abricot-60-de-fruits-pr5199-000.html","7.28")</f>
        <v>7.28</v>
      </c>
      <c r="E411" s="1" t="s">
        <v>869</v>
      </c>
      <c r="F411" s="9" t="str">
        <f>HYPERLINK("https://www.biocoop.fr/magasin-biocoop_fontaine/confiture-extra-abricot-60-de-fruits-pr5199-000.html","7.16")</f>
        <v>7.16</v>
      </c>
      <c r="G411" s="1" t="s">
        <v>869</v>
      </c>
      <c r="H411" s="9" t="str">
        <f t="shared" ref="H411:H412" si="347">HYPERLINK("https://satoriz-comboire.bio/collections/epicerie-sucree/products/esconab","7.97")</f>
        <v>7.97</v>
      </c>
      <c r="I411" s="1" t="s">
        <v>869</v>
      </c>
      <c r="J411" s="9" t="str">
        <f>HYPERLINK("https://www.greenweez.com/produit/confiture-extra-abricot-660g/2SAVE0011","9.11")</f>
        <v>9.11</v>
      </c>
      <c r="K411" s="25" t="s">
        <v>1528</v>
      </c>
      <c r="L411" s="9" t="str">
        <f t="shared" ref="L411:L412" si="348">HYPERLINK("https://metabase.lelefan.org/public/dashboard/53c41f3f-5644-466e-935e-897e7725f6bc?rayon=&amp;d%25C3%25A9signation=CONFITURE ABRICOT BERGERON VALLEE&amp;fournisseur=&amp;date_d%25C3%25A9but=&amp;date_fin=","7.4")</f>
        <v>7.4</v>
      </c>
      <c r="N411" s="7" t="str">
        <f t="shared" ref="N411:N412" si="349">HYPERLINK("https://fd11-courses.leclercdrive.fr/magasin-063801-063801-Echirolles---Comboire/fiche-produits-22690-Confiture-extra-bio-Bio-Village.aspx","5.0")</f>
        <v>5.0</v>
      </c>
    </row>
    <row r="412" ht="14.25" customHeight="1">
      <c r="A412" s="1" t="s">
        <v>649</v>
      </c>
      <c r="B412" s="9" t="str">
        <f>HYPERLINK("https://lafourche.fr/products/saveurs-et-fruits-confiture-extra-abricot-bio-0-32kg","12.47")</f>
        <v>12.47</v>
      </c>
      <c r="C412" s="25" t="s">
        <v>1533</v>
      </c>
      <c r="D412" s="9" t="str">
        <f>HYPERLINK("https://www.biocoop.fr/magasin-biocoop_champollion/confiture-abricot-extra-310g-pr5299-000.html","9.52")</f>
        <v>9.52</v>
      </c>
      <c r="E412" s="25" t="s">
        <v>1534</v>
      </c>
      <c r="F412" s="9" t="str">
        <f>HYPERLINK("https://www.biocoop.fr/magasin-biocoop_fontaine/confiture-extra-abricot-370g-cp0002-000.html","12.57")</f>
        <v>12.57</v>
      </c>
      <c r="G412" s="25" t="s">
        <v>1535</v>
      </c>
      <c r="H412" s="9" t="str">
        <f t="shared" si="347"/>
        <v>7.97</v>
      </c>
      <c r="I412" s="1" t="s">
        <v>869</v>
      </c>
      <c r="J412" s="9" t="str">
        <f>HYPERLINK("https://www.greenweez.com/produit/confiture-dabricots-bio-65-350g/2WEEZ0464","11.29")</f>
        <v>11.29</v>
      </c>
      <c r="K412" s="25" t="s">
        <v>1536</v>
      </c>
      <c r="L412" s="9" t="str">
        <f t="shared" si="348"/>
        <v>7.4</v>
      </c>
      <c r="N412" s="7" t="str">
        <f t="shared" si="349"/>
        <v>5.0</v>
      </c>
      <c r="P412" s="1">
        <v>0.01</v>
      </c>
    </row>
    <row r="413" ht="14.25" customHeight="1">
      <c r="A413" s="1" t="s">
        <v>650</v>
      </c>
      <c r="B413" s="9" t="str">
        <f>HYPERLINK("https://lafourche.fr/products/saveurs-et-fruits-confiture-extra-dorange-bio-confiture-bio-saveur-attitudes-cuite-sous-vide-a-basse-temperature-pour-preserver-les-qualites-des-fruits","7.12")</f>
        <v>7.12</v>
      </c>
      <c r="C413" s="25" t="s">
        <v>1087</v>
      </c>
      <c r="D413" s="9" t="str">
        <f t="shared" ref="D413:D414" si="350">HYPERLINK("https://www.biocoop.fr/magasin-biocoop_champollion/confiture-extra-orange-370g-cp0004-000.html","8.08")</f>
        <v>8.08</v>
      </c>
      <c r="E413" s="26" t="s">
        <v>1537</v>
      </c>
      <c r="F413" s="9" t="str">
        <f t="shared" ref="F413:F414" si="351">HYPERLINK("https://www.biocoop.fr/magasin-biocoop_fontaine/confiture-extra-orange-370g-cp0004-000.html","8.08")</f>
        <v>8.08</v>
      </c>
      <c r="G413" s="26" t="s">
        <v>1537</v>
      </c>
      <c r="H413" s="9" t="str">
        <f t="shared" ref="H413:H414" si="352">HYPERLINK("https://satoriz-comboire.bio/collections/epicerie-sucree/products/re39798","12.92")</f>
        <v>12.92</v>
      </c>
      <c r="I413" s="25" t="s">
        <v>1538</v>
      </c>
      <c r="J413" s="9" t="str">
        <f>HYPERLINK("https://www.greenweez.com/produit/confiture-extra-dorange-660g/2SAVE0016","8.91")</f>
        <v>8.91</v>
      </c>
      <c r="K413" s="25" t="s">
        <v>1539</v>
      </c>
      <c r="L413" s="9" t="str">
        <f t="shared" ref="L413:L414" si="353">HYPERLINK("https://metabase.lelefan.org/public/dashboard/53c41f3f-5644-466e-935e-897e7725f6bc?rayon=&amp;d%25C3%25A9signation=PREPARATION 2 ORANGES&amp;fournisseur=&amp;date_d%25C3%25A9but=&amp;date_fin=","6.79")</f>
        <v>6.79</v>
      </c>
      <c r="M413" s="1" t="s">
        <v>869</v>
      </c>
      <c r="N413" s="7" t="str">
        <f t="shared" ref="N413:N414" si="354">HYPERLINK("https://fd11-courses.leclercdrive.fr/magasin-063801-063801-Echirolles---Comboire/fiche-produits-14084-Confiture-extra-bio-Bio-Village.aspx","5.97")</f>
        <v>5.97</v>
      </c>
      <c r="P413" s="1">
        <v>0.01</v>
      </c>
    </row>
    <row r="414" ht="14.25" customHeight="1">
      <c r="A414" s="1" t="s">
        <v>651</v>
      </c>
      <c r="B414" s="9" t="str">
        <f>HYPERLINK("https://lafourche.fr/products/confit-de-provence-confiture-extra-dorange-370g","8.97")</f>
        <v>8.97</v>
      </c>
      <c r="C414" s="25" t="s">
        <v>1540</v>
      </c>
      <c r="D414" s="9" t="str">
        <f t="shared" si="350"/>
        <v>8.08</v>
      </c>
      <c r="E414" s="26" t="s">
        <v>1537</v>
      </c>
      <c r="F414" s="9" t="str">
        <f t="shared" si="351"/>
        <v>8.08</v>
      </c>
      <c r="G414" s="26" t="s">
        <v>1537</v>
      </c>
      <c r="H414" s="9" t="str">
        <f t="shared" si="352"/>
        <v>12.92</v>
      </c>
      <c r="I414" s="25" t="s">
        <v>1538</v>
      </c>
      <c r="J414" s="9" t="str">
        <f>HYPERLINK("https://www.greenweez.com/produit/confiture-dorange-douce-bio-65-350g/2WEEZ0463","9.94")</f>
        <v>9.94</v>
      </c>
      <c r="K414" s="25" t="s">
        <v>1541</v>
      </c>
      <c r="L414" s="9" t="str">
        <f t="shared" si="353"/>
        <v>6.79</v>
      </c>
      <c r="M414" s="1" t="s">
        <v>869</v>
      </c>
      <c r="N414" s="7" t="str">
        <f t="shared" si="354"/>
        <v>5.97</v>
      </c>
      <c r="P414" s="1">
        <v>0.01</v>
      </c>
    </row>
    <row r="415" ht="14.25" customHeight="1">
      <c r="A415" s="1" t="s">
        <v>652</v>
      </c>
      <c r="B415" s="9" t="str">
        <f>HYPERLINK("https://lafourche.fr/products/la-fourche-confiture-extra-de-myrtille-bio-0-66kg","9.03")</f>
        <v>9.03</v>
      </c>
      <c r="C415" s="25" t="s">
        <v>1226</v>
      </c>
      <c r="D415" s="9" t="str">
        <f>HYPERLINK("https://www.biocoop.fr/magasin-biocoop_champollion/confiture-extra-myrtille-650g-cp0012-000.html","13.23")</f>
        <v>13.23</v>
      </c>
      <c r="E415" s="1" t="s">
        <v>869</v>
      </c>
      <c r="F415" s="9" t="str">
        <f>HYPERLINK("https://www.biocoop.fr/magasin-biocoop_fontaine/confiture-extra-myrtille-650g-cp0012-000.html","13.54")</f>
        <v>13.54</v>
      </c>
      <c r="G415" s="1" t="s">
        <v>869</v>
      </c>
      <c r="H415" s="9" t="str">
        <f>HYPERLINK("https://satoriz-comboire.bio/collections/epicerie-sucree/products/re40512","12.1")</f>
        <v>12.1</v>
      </c>
      <c r="I415" s="25" t="s">
        <v>1542</v>
      </c>
      <c r="J415" s="9" t="str">
        <f>HYPERLINK("https://www.greenweez.com/produit/confiture-extra-de-myrtille-660g/2SAVE0015","888888")</f>
        <v>888888</v>
      </c>
      <c r="K415" s="18" t="s">
        <v>56</v>
      </c>
      <c r="L415" s="9" t="str">
        <f>HYPERLINK("https://metabase.lelefan.org/public/dashboard/53c41f3f-5644-466e-935e-897e7725f6bc?rayon=&amp;d%25C3%25A9signation=CONFITURE MYRTILLE GRD FORMAT&amp;fournisseur=&amp;date_d%25C3%25A9but=&amp;date_fin=","8.27")</f>
        <v>8.27</v>
      </c>
      <c r="M415" s="25" t="s">
        <v>1212</v>
      </c>
      <c r="N415" s="7" t="str">
        <f t="shared" ref="N415:N416" si="355">HYPERLINK("https://fd11-courses.leclercdrive.fr/magasin-063801-063801-Echirolles---Comboire/fiche-produits-14051-Confiture-extra-bio-Bio-Village.aspx","6.19")</f>
        <v>6.19</v>
      </c>
    </row>
    <row r="416" ht="14.25" customHeight="1">
      <c r="A416" s="1" t="s">
        <v>653</v>
      </c>
      <c r="B416" s="9" t="str">
        <f>HYPERLINK("https://lafourche.fr/products/saveurs-et-fruits-confiture-extra-myrtille-bio-0-32kg","12.44")</f>
        <v>12.44</v>
      </c>
      <c r="C416" s="25" t="s">
        <v>1543</v>
      </c>
      <c r="D416" s="9" t="str">
        <f>HYPERLINK("https://www.biocoop.fr/magasin-biocoop_champollion/confiture-extra-myrtille-370g-cp0003-000.html","16.08")</f>
        <v>16.08</v>
      </c>
      <c r="E416" s="25" t="s">
        <v>1544</v>
      </c>
      <c r="F416" s="9" t="str">
        <f>HYPERLINK("https://www.biocoop.fr/magasin-biocoop_fontaine/confiture-extra-myrtille-370g-cp0003-000.html","15.54")</f>
        <v>15.54</v>
      </c>
      <c r="G416" s="25" t="s">
        <v>1545</v>
      </c>
      <c r="H416" s="9" t="str">
        <f>HYPERLINK("https://satoriz-comboire.bio/collections/epicerie-sucree/products/hp310","16.5")</f>
        <v>16.5</v>
      </c>
      <c r="I416" s="25" t="s">
        <v>1546</v>
      </c>
      <c r="J416" s="9" t="str">
        <f>HYPERLINK("https://www.greenweez.com/produit/confiture-de-myrtilles-bio-65-350g/2WEEZ0465","11.97")</f>
        <v>11.97</v>
      </c>
      <c r="K416" s="25" t="s">
        <v>1547</v>
      </c>
      <c r="L416" s="9" t="str">
        <f>HYPERLINK("https://metabase.lelefan.org/public/dashboard/53c41f3f-5644-466e-935e-897e7725f6bc?rayon=&amp;d%25C3%25A9signation=CONFITURE MYRTILLE SAUVAGE&amp;fournisseur=&amp;date_d%25C3%25A9but=&amp;date_fin=","8.94")</f>
        <v>8.94</v>
      </c>
      <c r="M416" s="25" t="s">
        <v>1548</v>
      </c>
      <c r="N416" s="7" t="str">
        <f t="shared" si="355"/>
        <v>6.19</v>
      </c>
      <c r="P416" s="1">
        <v>0.01</v>
      </c>
    </row>
    <row r="417" ht="14.25" customHeight="1">
      <c r="A417" s="1" t="s">
        <v>654</v>
      </c>
      <c r="B417" s="9" t="str">
        <f>HYPERLINK("https://lafourche.fr/products/la-fourche-confiture-extra-de-framboise-bio-0-66kg","9.08")</f>
        <v>9.08</v>
      </c>
      <c r="C417" s="25" t="s">
        <v>1549</v>
      </c>
      <c r="D417" s="9" t="str">
        <f t="shared" ref="D417:D418" si="356">HYPERLINK("https://www.biocoop.fr/magasin-biocoop_champollion/confiture-extra-framboise-370g-cp0005-000.html","13.92")</f>
        <v>13.92</v>
      </c>
      <c r="E417" s="1" t="s">
        <v>869</v>
      </c>
      <c r="F417" s="9" t="str">
        <f t="shared" ref="F417:F418" si="357">HYPERLINK("https://www.biocoop.fr/magasin-biocoop_fontaine/specialite-de-framboise-sans-pepins-lg3125-000.html","15.67")</f>
        <v>15.67</v>
      </c>
      <c r="G417" s="1" t="s">
        <v>869</v>
      </c>
      <c r="H417" s="9" t="str">
        <f>HYPERLINK("https://satoriz-comboire.bio/collections/epicerie-sucree/products/re40511","12.2")</f>
        <v>12.2</v>
      </c>
      <c r="I417" s="25" t="s">
        <v>1550</v>
      </c>
      <c r="J417" s="9" t="str">
        <f>HYPERLINK("https://www.greenweez.com/produit/confiture-extra-de-framboise-660g/2SAVE0014","11.12")</f>
        <v>11.12</v>
      </c>
      <c r="K417" s="25" t="s">
        <v>1551</v>
      </c>
      <c r="L417" s="7" t="str">
        <f>HYPERLINK("https://metabase.lelefan.org/public/dashboard/53c41f3f-5644-466e-935e-897e7725f6bc?rayon=&amp;d%25C3%25A9signation=CONFITURE FRAMBOISE GRD FORMAT&amp;fournisseur=&amp;date_d%25C3%25A9but=&amp;date_fin=","8.79")</f>
        <v>8.79</v>
      </c>
      <c r="M417" s="25" t="s">
        <v>1552</v>
      </c>
      <c r="N417" s="16">
        <v>888888.0</v>
      </c>
      <c r="P417" s="1">
        <v>0.01</v>
      </c>
    </row>
    <row r="418" ht="14.25" customHeight="1">
      <c r="A418" s="1" t="s">
        <v>655</v>
      </c>
      <c r="B418" s="9" t="str">
        <f>HYPERLINK("https://lafourche.fr/products/saveurs-et-fruits-confiture-extra-framboise-bio-0-32kg","12.47")</f>
        <v>12.47</v>
      </c>
      <c r="C418" s="25" t="s">
        <v>1553</v>
      </c>
      <c r="D418" s="9" t="str">
        <f t="shared" si="356"/>
        <v>13.92</v>
      </c>
      <c r="E418" s="1" t="s">
        <v>869</v>
      </c>
      <c r="F418" s="9" t="str">
        <f t="shared" si="357"/>
        <v>15.67</v>
      </c>
      <c r="G418" s="1" t="s">
        <v>869</v>
      </c>
      <c r="H418" s="9" t="str">
        <f>HYPERLINK("https://satoriz-comboire.bio/collections/epicerie-sucree/products/hp309","15.67")</f>
        <v>15.67</v>
      </c>
      <c r="I418" s="25" t="s">
        <v>1554</v>
      </c>
      <c r="J418" s="9" t="str">
        <f>HYPERLINK("https://www.greenweez.com/produit/confiture-de-framboises-bio-350g/2WEEZ0570","11.29")</f>
        <v>11.29</v>
      </c>
      <c r="K418" s="25" t="s">
        <v>1555</v>
      </c>
      <c r="L418" s="7" t="str">
        <f>HYPERLINK("https://metabase.lelefan.org/public/dashboard/53c41f3f-5644-466e-935e-897e7725f6bc?rayon=&amp;d%25C3%25A9signation=CONFITURE FRAMBOISE BIO T. LE PRINCE&amp;fournisseur=&amp;date_d%25C3%25A9but=&amp;date_fin=","11.06")</f>
        <v>11.06</v>
      </c>
      <c r="M418" s="25" t="s">
        <v>1556</v>
      </c>
      <c r="N418" s="16">
        <v>888888.0</v>
      </c>
      <c r="P418" s="1">
        <v>0.01</v>
      </c>
    </row>
    <row r="419" ht="14.25" customHeight="1">
      <c r="A419" s="1" t="s">
        <v>656</v>
      </c>
      <c r="B419" s="9" t="str">
        <f t="shared" ref="B419:B420" si="358">HYPERLINK("https://lafourche.fr/products/saveurs-et-fruits-confiture-extra-figue-bio-0-32kg","11.38")</f>
        <v>11.38</v>
      </c>
      <c r="C419" s="25" t="s">
        <v>1557</v>
      </c>
      <c r="D419" s="9" t="str">
        <f t="shared" ref="D419:D420" si="359">HYPERLINK("https://www.biocoop.fr/magasin-biocoop_champollion/confiture-figue-de-provence-370g-cp0026-000.html","12.84")</f>
        <v>12.84</v>
      </c>
      <c r="E419" s="1" t="s">
        <v>869</v>
      </c>
      <c r="F419" s="9" t="str">
        <f t="shared" ref="F419:F420" si="360">HYPERLINK("https://www.biocoop.fr/magasin-biocoop_fontaine/confiture-figue-de-provence-370g-cp0026-000.html","888888")</f>
        <v>888888</v>
      </c>
      <c r="G419" s="16" t="s">
        <v>869</v>
      </c>
      <c r="H419" s="9" t="str">
        <f>HYPERLINK("https://satoriz-comboire.bio/collections/epicerie-sucree/products/re43089","10.1")</f>
        <v>10.1</v>
      </c>
      <c r="I419" s="25" t="s">
        <v>1558</v>
      </c>
      <c r="J419" s="9" t="str">
        <f t="shared" ref="J419:J420" si="361">HYPERLINK("https://www.greenweez.com/produit/confiture-de-figues-bio-350g/2WEEZ0569","9.94")</f>
        <v>9.94</v>
      </c>
      <c r="K419" s="1" t="s">
        <v>869</v>
      </c>
      <c r="L419" s="9" t="str">
        <f t="shared" ref="L419:L420" si="362">HYPERLINK("https://metabase.lelefan.org/public/dashboard/53c41f3f-5644-466e-935e-897e7725f6bc?rayon=&amp;d%25C3%25A9signation=CONFITURE FIGUE ROUSILLON&amp;fournisseur=&amp;date_d%25C3%25A9but=&amp;date_fin=","8.24")</f>
        <v>8.24</v>
      </c>
      <c r="M419" s="25" t="s">
        <v>1559</v>
      </c>
      <c r="N419" s="7" t="str">
        <f t="shared" ref="N419:N420" si="363">HYPERLINK("https://fd11-courses.leclercdrive.fr/magasin-063801-063801-Echirolles---Comboire/fiche-produits-134760-Confiture-de-figues-Bio-Village.aspx","6.24")</f>
        <v>6.24</v>
      </c>
    </row>
    <row r="420" ht="14.25" customHeight="1">
      <c r="A420" s="1" t="s">
        <v>657</v>
      </c>
      <c r="B420" s="9" t="str">
        <f t="shared" si="358"/>
        <v>11.38</v>
      </c>
      <c r="C420" s="25" t="s">
        <v>1557</v>
      </c>
      <c r="D420" s="9" t="str">
        <f t="shared" si="359"/>
        <v>12.84</v>
      </c>
      <c r="E420" s="1" t="s">
        <v>869</v>
      </c>
      <c r="F420" s="9" t="str">
        <f t="shared" si="360"/>
        <v>888888</v>
      </c>
      <c r="G420" s="16" t="s">
        <v>869</v>
      </c>
      <c r="H420" s="9" t="str">
        <f>HYPERLINK("https://satoriz-comboire.bio/collections/epicerie-sucree/products/re39794","12.92")</f>
        <v>12.92</v>
      </c>
      <c r="I420" s="25" t="s">
        <v>1560</v>
      </c>
      <c r="J420" s="9" t="str">
        <f t="shared" si="361"/>
        <v>9.94</v>
      </c>
      <c r="K420" s="1" t="s">
        <v>869</v>
      </c>
      <c r="L420" s="9" t="str">
        <f t="shared" si="362"/>
        <v>8.24</v>
      </c>
      <c r="M420" s="25" t="s">
        <v>1559</v>
      </c>
      <c r="N420" s="7" t="str">
        <f t="shared" si="363"/>
        <v>6.24</v>
      </c>
    </row>
    <row r="421" ht="14.25" customHeight="1">
      <c r="A421" s="1" t="s">
        <v>658</v>
      </c>
      <c r="B421" s="9" t="str">
        <f>HYPERLINK("https://lafourche.fr/products/la-fourche-miel-bio-toutes-fleurs-origine-bulgarie-1kg","10.99")</f>
        <v>10.99</v>
      </c>
      <c r="C421" s="25" t="s">
        <v>1561</v>
      </c>
      <c r="D421" s="9" t="str">
        <f>HYPERLINK("https://www.biocoop.fr/magasin-biocoop_champollion/miel-toutes-fleurs-1kg-mz2000-000.html","15.2")</f>
        <v>15.2</v>
      </c>
      <c r="E421" s="1" t="s">
        <v>869</v>
      </c>
      <c r="F421" s="9" t="str">
        <f>HYPERLINK("https://www.biocoop.fr/magasin-biocoop_fontaine/miel-toutes-fleurs-1kg-mz2000-000.html","14.25")</f>
        <v>14.25</v>
      </c>
      <c r="G421" s="26" t="s">
        <v>1229</v>
      </c>
      <c r="H421" s="9" t="str">
        <f>HYPERLINK("https://satoriz-comboire.bio/collections/epicerie-sucree/products/mont1031","19.05")</f>
        <v>19.05</v>
      </c>
      <c r="I421" s="1" t="s">
        <v>869</v>
      </c>
      <c r="J421" s="9" t="str">
        <f>HYPERLINK("https://www.greenweez.com/produit/miel-toutes-fleurs-liquide-origine-ue-1kg/4TERR0044","888888")</f>
        <v>888888</v>
      </c>
      <c r="K421" s="18" t="s">
        <v>56</v>
      </c>
      <c r="L421" s="9" t="str">
        <f>HYPERLINK("https://metabase.lelefan.org/public/dashboard/53c41f3f-5644-466e-935e-897e7725f6bc?rayon=&amp;d%25C3%25A9signation=MIEL VRAC&amp;fournisseur=&amp;date_d%25C3%25A9but=&amp;date_fin=","16.25")</f>
        <v>16.25</v>
      </c>
      <c r="M421" s="1" t="s">
        <v>869</v>
      </c>
      <c r="N421" s="7" t="str">
        <f>HYPERLINK("https://fd11-courses.leclercdrive.fr/magasin-063801-063801-Echirolles---Comboire/fiche-produits-14082-Miel-de-fleurs-bio-Bio-Village.aspx","9.98")</f>
        <v>9.98</v>
      </c>
    </row>
    <row r="422" ht="14.25" customHeight="1">
      <c r="A422" s="1" t="s">
        <v>659</v>
      </c>
      <c r="B422" s="9" t="str">
        <f>HYPERLINK("https://lafourche.fr/products/la-fourche-miel-de-montagne-bio-0-25kg","22.8")</f>
        <v>22.8</v>
      </c>
      <c r="C422" s="25" t="s">
        <v>1562</v>
      </c>
      <c r="D422" s="16">
        <v>888888.0</v>
      </c>
      <c r="F422" s="16">
        <v>888888.0</v>
      </c>
      <c r="H422" s="9" t="str">
        <f>HYPERLINK("https://satoriz-comboire.bio/collections/epicerie-sucree/products/ver052","22.4")</f>
        <v>22.4</v>
      </c>
      <c r="I422" s="1" t="s">
        <v>869</v>
      </c>
      <c r="J422" s="7" t="str">
        <f>HYPERLINK("https://www.greenweez.com/produit/miel-de-montagne-bio-espagne-500g/2WEEZ0036","17.78")</f>
        <v>17.78</v>
      </c>
      <c r="K422" s="26" t="s">
        <v>900</v>
      </c>
      <c r="L422" s="9" t="str">
        <f>HYPERLINK("https://metabase.lelefan.org/public/dashboard/53c41f3f-5644-466e-935e-897e7725f6bc?rayon=&amp;d%25C3%25A9signation=MIEL MONTAGNE&amp;fournisseur=&amp;date_d%25C3%25A9but=&amp;date_fin=","888888")</f>
        <v>888888</v>
      </c>
      <c r="M422" s="16" t="s">
        <v>869</v>
      </c>
      <c r="N422" s="16">
        <v>888888.0</v>
      </c>
    </row>
    <row r="423" ht="14.25" customHeight="1">
      <c r="A423" s="1" t="s">
        <v>660</v>
      </c>
      <c r="B423" s="7" t="str">
        <f>HYPERLINK("https://lafourche.fr/products/la-fourche-puree-100-cacahuetes-bio-0-5kg","10.14")</f>
        <v>10.14</v>
      </c>
      <c r="C423" s="25" t="s">
        <v>1467</v>
      </c>
      <c r="D423" s="9" t="str">
        <f>HYPERLINK("https://www.biocoop.fr/magasin-biocoop_champollion/beurre-de-cacahuetes-500g-ra0617-000.html","10.3")</f>
        <v>10.3</v>
      </c>
      <c r="E423" s="26" t="s">
        <v>1563</v>
      </c>
      <c r="F423" s="9" t="str">
        <f>HYPERLINK("https://www.biocoop.fr/magasin-biocoop_fontaine/beurre-de-cacahuetes-500g-ra0617-000.html","10.3")</f>
        <v>10.3</v>
      </c>
      <c r="G423" s="26" t="s">
        <v>1563</v>
      </c>
      <c r="H423" s="9" t="str">
        <f>HYPERLINK("https://satoriz-comboire.bio/collections/epicerie-sucree/products/ag001216","10.92")</f>
        <v>10.92</v>
      </c>
      <c r="I423" s="26" t="s">
        <v>1564</v>
      </c>
      <c r="J423" s="9" t="str">
        <f>HYPERLINK("https://www.greenweez.com/produit/beurre-de-cacahuetes-280g/1PERL0131","888888")</f>
        <v>888888</v>
      </c>
      <c r="K423" s="16" t="s">
        <v>869</v>
      </c>
      <c r="L423" s="9" t="str">
        <f>HYPERLINK("https://metabase.lelefan.org/public/dashboard/53c41f3f-5644-466e-935e-897e7725f6bc?rayon=&amp;d%25C3%25A9signation=BEURRE DE CACAHUETES VRAC&amp;fournisseur=&amp;date_d%25C3%25A9but=&amp;date_fin=","12.7")</f>
        <v>12.7</v>
      </c>
      <c r="M423" s="25" t="s">
        <v>1565</v>
      </c>
      <c r="N423" s="9" t="str">
        <f>HYPERLINK("https://fd11-courses.leclercdrive.fr/magasin-063801-063801-Echirolles---Comboire/fiche-produits-59025-Pur-beurre-cacahuete-Jardin-Bio.aspx","10.66")</f>
        <v>10.66</v>
      </c>
    </row>
    <row r="424" ht="14.25" customHeight="1">
      <c r="A424" s="1" t="s">
        <v>661</v>
      </c>
      <c r="B424" s="9" t="str">
        <f>HYPERLINK("https://lafourche.fr/products/la-fourche-tahin-100-sesame-demi-complet-bio-0-5kg","12.2")</f>
        <v>12.2</v>
      </c>
      <c r="C424" s="26" t="s">
        <v>1566</v>
      </c>
      <c r="D424" s="9" t="str">
        <f t="shared" ref="D424:D425" si="364">HYPERLINK("https://www.biocoop.fr/magasin-biocoop_champollion/puree-de-sesame-1-2-complet-350g-he0860-000.html","20.43")</f>
        <v>20.43</v>
      </c>
      <c r="E424" s="1" t="s">
        <v>869</v>
      </c>
      <c r="F424" s="9" t="str">
        <f t="shared" ref="F424:F425" si="365">HYPERLINK("https://www.biocoop.fr/magasin-biocoop_fontaine/puree-de-sesame-1-2-complet-350g-he0860-000.html","17.11")</f>
        <v>17.11</v>
      </c>
      <c r="G424" s="26" t="s">
        <v>1567</v>
      </c>
      <c r="H424" s="9" t="str">
        <f t="shared" ref="H424:H425" si="366">HYPERLINK("https://satoriz-comboire.bio/collections/epicerie-sucree/products/per1240","18.75")</f>
        <v>18.75</v>
      </c>
      <c r="I424" s="26" t="s">
        <v>974</v>
      </c>
      <c r="J424" s="7" t="str">
        <f>HYPERLINK("https://www.greenweez.com/produit/puree-de-sesame-complet-bio-700g/2WEEZ0504","11.41")</f>
        <v>11.41</v>
      </c>
      <c r="K424" s="16" t="s">
        <v>896</v>
      </c>
      <c r="L424" s="9" t="str">
        <f>HYPERLINK("https://metabase.lelefan.org/public/dashboard/53c41f3f-5644-466e-935e-897e7725f6bc?rayon=&amp;d%25C3%25A9signation=PUREE DE SESAME TAHIN&amp;fournisseur=&amp;date_d%25C3%25A9but=&amp;date_fin=","19.89")</f>
        <v>19.89</v>
      </c>
      <c r="M424" s="1" t="s">
        <v>869</v>
      </c>
      <c r="N424" s="9" t="str">
        <f t="shared" ref="N424:N425" si="367">HYPERLINK("https://fd11-courses.leclercdrive.fr/magasin-063801-063801-Echirolles---Comboire/fiche-produits-88339-Puree-de-sesame-Jardin-Bio.aspx","19.14")</f>
        <v>19.14</v>
      </c>
    </row>
    <row r="425" ht="14.25" customHeight="1">
      <c r="A425" s="1" t="s">
        <v>662</v>
      </c>
      <c r="B425" s="16">
        <v>888888.0</v>
      </c>
      <c r="C425" s="18" t="s">
        <v>56</v>
      </c>
      <c r="D425" s="9" t="str">
        <f t="shared" si="364"/>
        <v>20.43</v>
      </c>
      <c r="E425" s="1" t="s">
        <v>869</v>
      </c>
      <c r="F425" s="9" t="str">
        <f t="shared" si="365"/>
        <v>17.11</v>
      </c>
      <c r="G425" s="26" t="s">
        <v>1567</v>
      </c>
      <c r="H425" s="9" t="str">
        <f t="shared" si="366"/>
        <v>18.75</v>
      </c>
      <c r="I425" s="26" t="s">
        <v>974</v>
      </c>
      <c r="J425" s="7" t="str">
        <f>HYPERLINK("https://www.greenweez.com/produit/puree-de-sesame-complet-bio-350g/2WEEZ0501","13.11")</f>
        <v>13.11</v>
      </c>
      <c r="K425" s="16" t="s">
        <v>896</v>
      </c>
      <c r="L425" s="16">
        <v>888888.0</v>
      </c>
      <c r="M425" s="18" t="s">
        <v>56</v>
      </c>
      <c r="N425" s="9" t="str">
        <f t="shared" si="367"/>
        <v>19.14</v>
      </c>
    </row>
    <row r="426" ht="14.25" customHeight="1">
      <c r="A426" s="1" t="s">
        <v>663</v>
      </c>
      <c r="B426" s="7" t="str">
        <f>HYPERLINK("https://lafourche.fr/products/la-fourche-puree-100-amandes-completes-bio-0-5kg","21.3")</f>
        <v>21.3</v>
      </c>
      <c r="C426" s="25" t="s">
        <v>1266</v>
      </c>
      <c r="D426" s="9" t="str">
        <f>HYPERLINK("https://www.biocoop.fr/magasin-biocoop_champollion/puree-d-amande-complete-grillee-750g-da8074-000.html","25.27")</f>
        <v>25.27</v>
      </c>
      <c r="E426" s="26" t="s">
        <v>1568</v>
      </c>
      <c r="F426" s="9" t="str">
        <f>HYPERLINK("https://www.biocoop.fr/magasin-biocoop_fontaine/puree-d-amande-complete-grillee-750g-da8074-000.html","25.27")</f>
        <v>25.27</v>
      </c>
      <c r="G426" s="26" t="s">
        <v>1568</v>
      </c>
      <c r="H426" s="9" t="str">
        <f>HYPERLINK("https://satoriz-comboire.bio/collections/epicerie-sucree/products/ag001043","21.62")</f>
        <v>21.62</v>
      </c>
      <c r="I426" s="25" t="s">
        <v>1251</v>
      </c>
      <c r="J426" s="9" t="str">
        <f>HYPERLINK("https://www.greenweez.com/produit/puree-damandes-completes-bio-700g/2WEEZ0283","22.13")</f>
        <v>22.13</v>
      </c>
      <c r="K426" s="26" t="s">
        <v>1569</v>
      </c>
      <c r="L426" s="9" t="str">
        <f>HYPERLINK("https://metabase.lelefan.org/public/dashboard/53c41f3f-5644-466e-935e-897e7725f6bc?rayon=&amp;d%25C3%25A9signation=PUREE D AMANDE COMPLETE&amp;fournisseur=&amp;date_d%25C3%25A9but=&amp;date_fin=","888888")</f>
        <v>888888</v>
      </c>
      <c r="M426" s="16" t="s">
        <v>869</v>
      </c>
      <c r="N426" s="9" t="str">
        <f>HYPERLINK("https://fd11-courses.leclercdrive.fr/magasin-063801-063801-Echirolles---Comboire/fiche-produits-226295-Puree-amandes-Rigoni-di-Asiago.aspx","34.64")</f>
        <v>34.64</v>
      </c>
    </row>
    <row r="427" ht="14.25" customHeight="1">
      <c r="A427" s="1" t="s">
        <v>664</v>
      </c>
      <c r="B427" s="9" t="str">
        <f>HYPERLINK("https://lafourche.fr/products/la-fourche-puree-100-noix-de-cajou-bio-0-5kg","21.98")</f>
        <v>21.98</v>
      </c>
      <c r="C427" s="1" t="s">
        <v>869</v>
      </c>
      <c r="D427" s="9" t="str">
        <f>HYPERLINK("https://www.biocoop.fr/magasin-biocoop_champollion/puree-de-noix-de-cajou-crue-300g-pd0107-000.html","32.4")</f>
        <v>32.4</v>
      </c>
      <c r="E427" s="1" t="s">
        <v>869</v>
      </c>
      <c r="F427" s="9" t="str">
        <f>HYPERLINK("https://www.biocoop.fr/magasin-biocoop_fontaine/puree-de-noix-de-cajou-350g-he0751-000.html","28.43")</f>
        <v>28.43</v>
      </c>
      <c r="G427" s="26" t="s">
        <v>1570</v>
      </c>
      <c r="H427" s="9" t="str">
        <f>HYPERLINK("https://satoriz-comboire.bio/collections/epicerie-sucree/products/per1435","29.17")</f>
        <v>29.17</v>
      </c>
      <c r="I427" s="25" t="s">
        <v>1571</v>
      </c>
      <c r="J427" s="9" t="str">
        <f>HYPERLINK("https://www.greenweez.com/produit/puree-de-noix-de-cajou-bio-350g/2WEEZ0285","22.69")</f>
        <v>22.69</v>
      </c>
      <c r="K427" s="26" t="s">
        <v>1572</v>
      </c>
      <c r="L427" s="7" t="str">
        <f>HYPERLINK("https://metabase.lelefan.org/public/dashboard/53c41f3f-5644-466e-935e-897e7725f6bc?rayon=&amp;d%25C3%25A9signation=PUREE DE CAJOU&amp;fournisseur=&amp;date_d%25C3%25A9but=&amp;date_fin=","4.79")</f>
        <v>4.79</v>
      </c>
      <c r="M427" s="1" t="s">
        <v>869</v>
      </c>
      <c r="N427" s="16">
        <v>888888.0</v>
      </c>
    </row>
    <row r="428" ht="14.25" customHeight="1">
      <c r="A428" s="1" t="s">
        <v>665</v>
      </c>
      <c r="B428" s="7" t="str">
        <f>HYPERLINK("https://lafourche.fr/products/la-fourche-puree-100-noisettes-bio-0-5kg","22.36")</f>
        <v>22.36</v>
      </c>
      <c r="C428" s="1" t="s">
        <v>869</v>
      </c>
      <c r="D428" s="9" t="str">
        <f>HYPERLINK("https://www.biocoop.fr/magasin-biocoop_champollion/puree-de-noisette-700g-he0702-000.html","33.14")</f>
        <v>33.14</v>
      </c>
      <c r="E428" s="1" t="s">
        <v>869</v>
      </c>
      <c r="F428" s="9" t="str">
        <f>HYPERLINK("https://www.biocoop.fr/magasin-biocoop_fontaine/puree-de-noisette-700g-he0702-000.html","32.79")</f>
        <v>32.79</v>
      </c>
      <c r="G428" s="25" t="s">
        <v>1388</v>
      </c>
      <c r="H428" s="9" t="str">
        <f t="shared" ref="H428:H429" si="368">HYPERLINK("https://satoriz-comboire.bio/collections/epicerie-sucree/products/ag001044","25.5")</f>
        <v>25.5</v>
      </c>
      <c r="I428" s="25" t="s">
        <v>1573</v>
      </c>
      <c r="J428" s="9" t="str">
        <f>HYPERLINK("https://www.greenweez.com/produit/puree-de-noisettes-bio-700g/2WEEZ0289","24.2")</f>
        <v>24.2</v>
      </c>
      <c r="K428" s="25" t="s">
        <v>1574</v>
      </c>
      <c r="L428" s="16">
        <v>888888.0</v>
      </c>
      <c r="N428" s="16">
        <v>888888.0</v>
      </c>
    </row>
    <row r="429" ht="14.25" customHeight="1">
      <c r="A429" s="1" t="s">
        <v>666</v>
      </c>
      <c r="B429" s="16">
        <v>888888.0</v>
      </c>
      <c r="C429" s="18" t="s">
        <v>56</v>
      </c>
      <c r="D429" s="9" t="str">
        <f>HYPERLINK("https://www.biocoop.fr/magasin-biocoop_champollion/puree-de-noisette-grillee-275g-da8052-000.html","36.33")</f>
        <v>36.33</v>
      </c>
      <c r="E429" s="25" t="s">
        <v>1575</v>
      </c>
      <c r="F429" s="9" t="str">
        <f>HYPERLINK("https://www.biocoop.fr/magasin-biocoop_fontaine/puree-de-noisette-toastee-280g-pd0117-000.html","30.36")</f>
        <v>30.36</v>
      </c>
      <c r="G429" s="26" t="s">
        <v>1576</v>
      </c>
      <c r="H429" s="7" t="str">
        <f t="shared" si="368"/>
        <v>25.5</v>
      </c>
      <c r="I429" s="25" t="s">
        <v>1573</v>
      </c>
      <c r="J429" s="9" t="str">
        <f>HYPERLINK("https://www.greenweez.com/produit/puree-de-noisettes-bio-350g/2WEEZ0287","26.26")</f>
        <v>26.26</v>
      </c>
      <c r="K429" s="25" t="s">
        <v>1577</v>
      </c>
      <c r="L429" s="16">
        <v>888888.0</v>
      </c>
      <c r="N429" s="16">
        <v>888888.0</v>
      </c>
    </row>
    <row r="430" ht="14.25" customHeight="1">
      <c r="A430" s="5" t="s">
        <v>667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 ht="14.25" customHeight="1">
      <c r="A431" s="1" t="s">
        <v>668</v>
      </c>
      <c r="B431" s="7" t="str">
        <f>HYPERLINK("https://lafourche.fr/products/borsa-biscottes-completes-bio-0-3kg","8.83")</f>
        <v>8.83</v>
      </c>
      <c r="C431" s="1" t="s">
        <v>869</v>
      </c>
      <c r="D431" s="7" t="str">
        <f>HYPERLINK("https://www.biocoop.fr/magasin-biocoop_champollion/biscottes-a-la-farine-complete-300g-bo1013-000.html","8.83")</f>
        <v>8.83</v>
      </c>
      <c r="E431" s="1" t="s">
        <v>869</v>
      </c>
      <c r="F431" s="7" t="str">
        <f>HYPERLINK("https://www.biocoop.fr/magasin-biocoop_fontaine/biscottes-a-la-farine-complete-300g-bo1013-000.html","8.83")</f>
        <v>8.83</v>
      </c>
      <c r="G431" s="1" t="s">
        <v>869</v>
      </c>
      <c r="H431" s="9" t="str">
        <f>HYPERLINK("https://satoriz-comboire.bio/collections/boulangerie/products/ma3424","9.67")</f>
        <v>9.67</v>
      </c>
      <c r="I431" s="25" t="s">
        <v>1007</v>
      </c>
      <c r="J431" s="9" t="str">
        <f>HYPERLINK("https://www.greenweez.com/produit/biscottes-a-la-farine-complete-300g/1BORS0001","12.27")</f>
        <v>12.27</v>
      </c>
      <c r="K431" s="16" t="s">
        <v>896</v>
      </c>
      <c r="L431" s="16">
        <v>888888.0</v>
      </c>
      <c r="N431" s="16">
        <v>888888.0</v>
      </c>
    </row>
    <row r="432" ht="14.25" customHeight="1">
      <c r="A432" s="1" t="s">
        <v>669</v>
      </c>
      <c r="B432" s="9" t="str">
        <f>HYPERLINK("https://lafourche.fr/products/lima-galettes-de-riz-100g","10.9")</f>
        <v>10.9</v>
      </c>
      <c r="C432" s="25" t="s">
        <v>1578</v>
      </c>
      <c r="D432" s="9" t="str">
        <f>HYPERLINK("https://www.biocoop.fr/magasin-biocoop_champollion/galettes-de-riz-de-camargue-complet-130g-bo0159-000.html","9.23")</f>
        <v>9.23</v>
      </c>
      <c r="E432" s="1" t="s">
        <v>869</v>
      </c>
      <c r="F432" s="9" t="str">
        <f>HYPERLINK("https://www.biocoop.fr/magasin-biocoop_fontaine/galettes-de-riz-de-camargue-complet-130g-bo0159-000.html","9.23")</f>
        <v>9.23</v>
      </c>
      <c r="G432" s="1" t="s">
        <v>869</v>
      </c>
      <c r="H432" s="9" t="str">
        <f>HYPERLINK("https://satoriz-comboire.bio/collections/boulangerie/products/pu7840009","13.5")</f>
        <v>13.5</v>
      </c>
      <c r="I432" s="25" t="s">
        <v>1284</v>
      </c>
      <c r="J432" s="9" t="str">
        <f>HYPERLINK("https://www.greenweez.com/produit/galettes-riz-de-camargue-sans-sel-100-france-130g/1PRIM0474","12.23")</f>
        <v>12.23</v>
      </c>
      <c r="K432" s="1" t="s">
        <v>869</v>
      </c>
      <c r="L432" s="9" t="str">
        <f>HYPERLINK("https://metabase.lelefan.org/public/dashboard/53c41f3f-5644-466e-935e-897e7725f6bc?rayon=&amp;d%25C3%25A9signation=GALETTES DE RIZ AU SEL MARIN&amp;fournisseur=&amp;date_d%25C3%25A9but=&amp;date_fin=","888888")</f>
        <v>888888</v>
      </c>
      <c r="M432" s="16" t="s">
        <v>869</v>
      </c>
      <c r="N432" s="7" t="str">
        <f>HYPERLINK("https://fd11-courses.leclercdrive.fr/magasin-063801-063801-Echirolles---Comboire/fiche-produits-3617-Galettes-de-riz-bio-Bio-Village.aspx","7.15")</f>
        <v>7.15</v>
      </c>
    </row>
    <row r="433" ht="14.25" customHeight="1">
      <c r="A433" s="1" t="s">
        <v>670</v>
      </c>
      <c r="B433" s="9" t="str">
        <f>HYPERLINK("https://lafourche.fr/products/lima-galettes-de-riz-au-chocolat-noir-bio-0-1kg","26.7")</f>
        <v>26.7</v>
      </c>
      <c r="C433" s="25" t="s">
        <v>1579</v>
      </c>
      <c r="D433" s="9" t="str">
        <f>HYPERLINK("https://www.biocoop.fr/magasin-biocoop_champollion/galette-riz-complet-choco-noir-8-100g-cf5007-000.html","35.9")</f>
        <v>35.9</v>
      </c>
      <c r="E433" s="25" t="s">
        <v>1580</v>
      </c>
      <c r="F433" s="9" t="str">
        <f>HYPERLINK("https://www.biocoop.fr/magasin-biocoop_fontaine/galette-riz-complet-choco-noir-8-100g-cf5007-000.html","31.5")</f>
        <v>31.5</v>
      </c>
      <c r="G433" s="1" t="s">
        <v>869</v>
      </c>
      <c r="H433" s="7" t="str">
        <f>HYPERLINK("https://satoriz-comboire.bio/collections/boulangerie/products/pu7840085","24.5")</f>
        <v>24.5</v>
      </c>
      <c r="I433" s="26" t="s">
        <v>1581</v>
      </c>
      <c r="J433" s="9" t="str">
        <f>HYPERLINK("https://www.greenweez.com/produit/galettes-de-riz-au-chocolat-noir-100g/1MKAL0059","888888")</f>
        <v>888888</v>
      </c>
      <c r="K433" s="16" t="s">
        <v>869</v>
      </c>
      <c r="L433" s="16">
        <v>888888.0</v>
      </c>
      <c r="N433" s="16">
        <v>888888.0</v>
      </c>
    </row>
    <row r="434" ht="14.25" customHeight="1">
      <c r="A434" s="1" t="s">
        <v>671</v>
      </c>
      <c r="B434" s="9" t="str">
        <f>HYPERLINK("https://lafourche.fr/products/pivert-pain-grille-250g","11.8")</f>
        <v>11.8</v>
      </c>
      <c r="C434" s="25" t="s">
        <v>1582</v>
      </c>
      <c r="D434" s="9" t="str">
        <f>HYPERLINK("https://www.biocoop.fr/magasin-biocoop_champollion/petit-pain-grille-complet-225g-bo1031-000.html","13.29")</f>
        <v>13.29</v>
      </c>
      <c r="E434" s="1" t="s">
        <v>869</v>
      </c>
      <c r="F434" s="9" t="str">
        <f>HYPERLINK("https://www.biocoop.fr/magasin-biocoop_fontaine/petit-pain-grille-complet-225g-bo1031-000.html","888888")</f>
        <v>888888</v>
      </c>
      <c r="G434" s="16" t="s">
        <v>869</v>
      </c>
      <c r="H434" s="9" t="str">
        <f>HYPERLINK("https://satoriz-comboire.bio/collections/boulangerie/products/ma1521","10.8")</f>
        <v>10.8</v>
      </c>
      <c r="I434" s="25" t="s">
        <v>279</v>
      </c>
      <c r="J434" s="9" t="str">
        <f>HYPERLINK("https://www.greenweez.com/produit/pain-grille-a-la-farine-complete-250g/1BORS0008","13.92")</f>
        <v>13.92</v>
      </c>
      <c r="K434" s="16" t="s">
        <v>896</v>
      </c>
      <c r="L434" s="16">
        <v>888888.0</v>
      </c>
      <c r="N434" s="7" t="str">
        <f>HYPERLINK("https://fd11-courses.leclercdrive.fr/magasin-063801-063801-Echirolles---Comboire/fiche-produits-12584-Pain-grille-bio-Bio-Village.aspx","7.04")</f>
        <v>7.04</v>
      </c>
    </row>
    <row r="435" ht="14.25" customHeight="1">
      <c r="A435" s="1" t="s">
        <v>672</v>
      </c>
      <c r="B435" s="9" t="str">
        <f>HYPERLINK("https://lafourche.fr/products/pivert-petits-pains-grilles-graines-et-cereales-225g","13.02")</f>
        <v>13.02</v>
      </c>
      <c r="C435" s="25" t="s">
        <v>891</v>
      </c>
      <c r="D435" s="9" t="str">
        <f>HYPERLINK("https://www.biocoop.fr/magasin-biocoop_champollion/petit-grille-aux-graines-170g-al3052-000.html","27.65")</f>
        <v>27.65</v>
      </c>
      <c r="E435" s="1" t="s">
        <v>869</v>
      </c>
      <c r="F435" s="7" t="str">
        <f>HYPERLINK("https://www.biocoop.fr/magasin-biocoop_fontaine/petit-pain-grille-cereales-graines-225g-bo1016-000.html","11.11")</f>
        <v>11.11</v>
      </c>
      <c r="G435" s="25" t="s">
        <v>1583</v>
      </c>
      <c r="H435" s="9" t="str">
        <f>HYPERLINK("https://satoriz-comboire.bio/collections/boulangerie/products/mpi120268","14.0")</f>
        <v>14.0</v>
      </c>
      <c r="I435" s="25" t="s">
        <v>1584</v>
      </c>
      <c r="J435" s="9" t="str">
        <f>HYPERLINK("https://www.greenweez.com/produit/petits-pains-grilles-cereales-et-graines-225g/1BORS0005","13.96")</f>
        <v>13.96</v>
      </c>
      <c r="K435" s="16" t="s">
        <v>896</v>
      </c>
      <c r="L435" s="16">
        <v>888888.0</v>
      </c>
      <c r="N435" s="16">
        <v>888888.0</v>
      </c>
    </row>
    <row r="436" ht="14.25" customHeight="1"/>
    <row r="437" ht="14.25" customHeight="1">
      <c r="A437" s="3" t="s">
        <v>673</v>
      </c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 ht="14.25" customHeight="1">
      <c r="A438" s="5" t="s">
        <v>674</v>
      </c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 ht="14.25" customHeight="1">
      <c r="A439" s="1" t="s">
        <v>675</v>
      </c>
      <c r="B439" s="9" t="str">
        <f>HYPERLINK("https://lafourche.fr/products/vitaquell-margarine-megarine-bio-0-25kg","12.48")</f>
        <v>12.48</v>
      </c>
      <c r="C439" s="1" t="s">
        <v>869</v>
      </c>
      <c r="D439" s="9" t="str">
        <f>HYPERLINK("https://www.biocoop.fr/magasin-biocoop_champollion/margarine-cuisine-patisserie-500g-el0024-000.html","13.4")</f>
        <v>13.4</v>
      </c>
      <c r="E439" s="1" t="s">
        <v>869</v>
      </c>
      <c r="F439" s="9" t="str">
        <f>HYPERLINK("https://www.biocoop.fr/magasin-biocoop_fontaine/margarine-cuisine-patisserie-500g-el0024-000.html","13.3")</f>
        <v>13.3</v>
      </c>
      <c r="G439" s="1" t="s">
        <v>869</v>
      </c>
      <c r="H439" s="9" t="str">
        <f>HYPERLINK("https://satoriz-comboire.bio/collections/produits-frais/products/bt637","12.2")</f>
        <v>12.2</v>
      </c>
      <c r="I439" s="25" t="s">
        <v>309</v>
      </c>
      <c r="J439" s="9" t="str">
        <f>HYPERLINK("https://www.greenweez.com/produit/megarine-250g/1VIFR0015","888888")</f>
        <v>888888</v>
      </c>
      <c r="K439" s="18" t="s">
        <v>56</v>
      </c>
      <c r="L439" s="16">
        <v>888888.0</v>
      </c>
      <c r="N439" s="7" t="str">
        <f>HYPERLINK("https://fd11-courses.leclercdrive.fr/magasin-063801-063801-Echirolles---Comboire/fiche-produits-49401-Matiere-grasse-Primevere-Bio.aspx","9.04")</f>
        <v>9.04</v>
      </c>
    </row>
    <row r="440" ht="14.25" customHeight="1">
      <c r="A440" s="1" t="s">
        <v>676</v>
      </c>
      <c r="B440" s="9" t="str">
        <f>HYPERLINK("https://lafourche.fr/products/ose-bio-beurre-moule-doux-bio-0-25kg","888888")</f>
        <v>888888</v>
      </c>
      <c r="C440" s="18" t="s">
        <v>56</v>
      </c>
      <c r="D440" s="9" t="str">
        <f>HYPERLINK("https://www.biocoop.fr/magasin-biocoop_champollion/beurre-de-baratte-doux-250g-gl6001-000.html","13.4")</f>
        <v>13.4</v>
      </c>
      <c r="E440" s="1" t="s">
        <v>869</v>
      </c>
      <c r="F440" s="9" t="str">
        <f>HYPERLINK("https://www.biocoop.fr/magasin-biocoop_fontaine/beurre-de-baratte-doux-250g-gl6001-000.html","13.4")</f>
        <v>13.4</v>
      </c>
      <c r="G440" s="1" t="s">
        <v>869</v>
      </c>
      <c r="H440" s="9" t="str">
        <f>HYPERLINK("https://satoriz-comboire.bio/collections/produits-frais/products/fob","13.0")</f>
        <v>13.0</v>
      </c>
      <c r="I440" s="25" t="s">
        <v>1585</v>
      </c>
      <c r="J440" s="9" t="str">
        <f>HYPERLINK("https://www.greenweez.com/produit/beurre-moule-doux-250g/1NATA0064","888888")</f>
        <v>888888</v>
      </c>
      <c r="K440" s="16" t="s">
        <v>869</v>
      </c>
      <c r="L440" s="9" t="str">
        <f>HYPERLINK("https://metabase.lelefan.org/public/dashboard/53c41f3f-5644-466e-935e-897e7725f6bc?rayon=&amp;d%25C3%25A9signation=BEURRE DE SAVOIE&amp;fournisseur=&amp;date_d%25C3%25A9but=&amp;date_fin=","14.4")</f>
        <v>14.4</v>
      </c>
      <c r="M440" s="25" t="s">
        <v>954</v>
      </c>
      <c r="N440" s="7" t="str">
        <f>HYPERLINK("https://fd11-courses.leclercdrive.fr/magasin-063801-063801-Echirolles---Comboire/fiche-produits-3040-Beurre-moule-bio-Bio-Village.aspx","11.6")</f>
        <v>11.6</v>
      </c>
    </row>
    <row r="441" ht="14.25" customHeight="1">
      <c r="A441" s="1" t="s">
        <v>677</v>
      </c>
      <c r="B441" s="9" t="str">
        <f>HYPERLINK("https://lafourche.fr/products/natur-avenir-beurre-moule-demi-sel-bio-0-25kg","13.28")</f>
        <v>13.28</v>
      </c>
      <c r="C441" s="25" t="s">
        <v>1586</v>
      </c>
      <c r="D441" s="9" t="str">
        <f>HYPERLINK("https://www.biocoop.fr/magasin-biocoop_champollion/beurre-de-baratte-demi-sel-250g-gl6002-000.html","13.4")</f>
        <v>13.4</v>
      </c>
      <c r="E441" s="1" t="s">
        <v>869</v>
      </c>
      <c r="F441" s="9" t="str">
        <f>HYPERLINK("https://www.biocoop.fr/magasin-biocoop_fontaine/beurre-de-baratte-demi-sel-250g-gl6002-000.html","13.4")</f>
        <v>13.4</v>
      </c>
      <c r="G441" s="1" t="s">
        <v>869</v>
      </c>
      <c r="H441" s="9" t="str">
        <f>HYPERLINK("https://satoriz-comboire.bio/collections/produits-frais/products/re17178","13.4")</f>
        <v>13.4</v>
      </c>
      <c r="I441" s="25" t="s">
        <v>1587</v>
      </c>
      <c r="J441" s="9" t="str">
        <f>HYPERLINK("https://www.greenweez.com/produit/beurre-de-baratte-moule-demi-sel-250g-1/1TANT0024","16.76")</f>
        <v>16.76</v>
      </c>
      <c r="K441" s="25" t="s">
        <v>1455</v>
      </c>
      <c r="L441" s="7" t="str">
        <f>HYPERLINK("https://metabase.lelefan.org/public/dashboard/53c41f3f-5644-466e-935e-897e7725f6bc?rayon=&amp;d%25C3%25A9signation=BEURRE 1/2 SEL&amp;fournisseur=&amp;date_d%25C3%25A9but=&amp;date_fin=","12.12")</f>
        <v>12.12</v>
      </c>
      <c r="M441" s="1" t="s">
        <v>869</v>
      </c>
      <c r="N441" s="16">
        <v>888888.0</v>
      </c>
    </row>
    <row r="442" ht="14.25" customHeight="1">
      <c r="A442" s="1" t="s">
        <v>678</v>
      </c>
      <c r="B442" s="9" t="str">
        <f>HYPERLINK("https://lafourche.fr/products/ose-bio-creme-fraiche-epaisse-bio-0-49kg","7.24")</f>
        <v>7.24</v>
      </c>
      <c r="D442" s="9" t="str">
        <f>HYPERLINK("https://www.biocoop.fr/magasin-biocoop_champollion/creme-fraiche-epaisse-30-mg-50cl-yo1016-000.html","6.4")</f>
        <v>6.4</v>
      </c>
      <c r="F442" s="9" t="str">
        <f>HYPERLINK("https://www.biocoop.fr/magasin-biocoop_fontaine/creme-fraiche-epaisse-30-mg-50cl-yo1016-000.html","888888")</f>
        <v>888888</v>
      </c>
      <c r="H442" s="9" t="str">
        <f>HYPERLINK("https://satoriz-comboire.bio/collections/produits-frais/products/y96","7.2")</f>
        <v>7.2</v>
      </c>
      <c r="J442" s="9" t="str">
        <f>HYPERLINK("https://www.greenweez.com/produit/creme-fraiche-epaisse-30-50cl/1YOGM0005","10.48")</f>
        <v>10.48</v>
      </c>
      <c r="L442" s="9" t="str">
        <f>HYPERLINK("https://metabase.lelefan.org/public/dashboard/53c41f3f-5644-466e-935e-897e7725f6bc?rayon=&amp;d%25C3%25A9signation=CREME FRAICHE POT 50 CL&amp;fournisseur=&amp;date_d%25C3%25A9but=&amp;date_fin=","888888")</f>
        <v>888888</v>
      </c>
      <c r="N442" s="7" t="str">
        <f>HYPERLINK("https://fd11-courses.leclercdrive.fr/magasin-063801-063801-Echirolles---Comboire/fiche-produits-71531-Creme-fraiche-bio-Bio-village.aspx","5.32")</f>
        <v>5.32</v>
      </c>
    </row>
    <row r="443" ht="14.25" customHeight="1">
      <c r="A443" s="1" t="s">
        <v>679</v>
      </c>
      <c r="B443" s="9" t="str">
        <f>HYPERLINK("https://lafourche.fr/products/ose-bio-creme-fraiche-epaisse-bio-0-196kg","9.45")</f>
        <v>9.45</v>
      </c>
      <c r="D443" s="9" t="str">
        <f>HYPERLINK("https://www.biocoop.fr/magasin-biocoop_champollion/creme-fraiche-epaisse-30-mg-20cl-yo1014-000.html","7.0")</f>
        <v>7.0</v>
      </c>
      <c r="F443" s="9" t="str">
        <f>HYPERLINK("https://www.biocoop.fr/magasin-biocoop_fontaine/creme-fraiche-epaisse-30-mg-20cl-yo1014-000.html","7.0")</f>
        <v>7.0</v>
      </c>
      <c r="H443" s="9" t="str">
        <f>HYPERLINK("https://satoriz-comboire.bio/collections/produits-frais/products/y93","8.0")</f>
        <v>8.0</v>
      </c>
      <c r="J443" s="9" t="str">
        <f>HYPERLINK("https://www.greenweez.com/produit/creme-fraiche-epaisse-30-20cl/1YOGM0003","11.5")</f>
        <v>11.5</v>
      </c>
      <c r="L443" s="9" t="str">
        <f>HYPERLINK("https://metabase.lelefan.org/public/dashboard/53c41f3f-5644-466e-935e-897e7725f6bc?rayon=&amp;d%25C3%25A9signation=CREME DOUCE GIRALP&amp;fournisseur=&amp;date_d%25C3%25A9but=&amp;date_fin=","15.35")</f>
        <v>15.35</v>
      </c>
      <c r="N443" s="7" t="str">
        <f>HYPERLINK("https://fd11-courses.leclercdrive.fr/magasin-063801-063801-Echirolles---Comboire/fiche-produits-6073-Creme-fraiche-bio-Bio-village.aspx","5.75")</f>
        <v>5.75</v>
      </c>
    </row>
    <row r="444" ht="14.25" customHeight="1">
      <c r="A444" s="1" t="s">
        <v>680</v>
      </c>
      <c r="B444" s="9" t="str">
        <f>HYPERLINK("https://lafourche.fr/products/yogourmand-yaourt-nature-entier-bio-12x125g-1-5kg","2.61")</f>
        <v>2.61</v>
      </c>
      <c r="C444" s="25" t="s">
        <v>1588</v>
      </c>
      <c r="D444" s="9" t="str">
        <f>HYPERLINK("https://www.biocoop.fr/magasin-biocoop_champollion/yaourt-au-lait-entier-nature-12x125g-yo1006-000.html","2.33")</f>
        <v>2.33</v>
      </c>
      <c r="E444" s="1" t="s">
        <v>869</v>
      </c>
      <c r="F444" s="9" t="str">
        <f>HYPERLINK("https://www.biocoop.fr/magasin-biocoop_fontaine/yaourt-au-lait-entier-nature-12x125g-yo1006-000.html","2.3")</f>
        <v>2.3</v>
      </c>
      <c r="G444" s="1" t="s">
        <v>869</v>
      </c>
      <c r="H444" s="9" t="str">
        <f>HYPERLINK("https://satoriz-comboire.bio/collections/produits-frais/products/y91","2.3")</f>
        <v>2.3</v>
      </c>
      <c r="I444" s="1" t="s">
        <v>869</v>
      </c>
      <c r="J444" s="9" t="str">
        <f t="shared" ref="J444:J445" si="369">HYPERLINK("https://www.greenweez.com/produit/yaourt-nature-origine-france-4x125g/1BTER0411","3.16")</f>
        <v>3.16</v>
      </c>
      <c r="K444" s="25" t="s">
        <v>1589</v>
      </c>
      <c r="L444" s="9" t="str">
        <f t="shared" ref="L444:L445" si="370">HYPERLINK("https://metabase.lelefan.org/public/dashboard/53c41f3f-5644-466e-935e-897e7725f6bc?rayon=&amp;d%25C3%25A9signation=YAOURT NATURE DE VACHE PAR 4&amp;fournisseur=&amp;date_d%25C3%25A9but=&amp;date_fin=","888888")</f>
        <v>888888</v>
      </c>
      <c r="M444" s="16" t="s">
        <v>869</v>
      </c>
      <c r="N444" s="7" t="str">
        <f>HYPERLINK("https://fd11-courses.leclercdrive.fr/magasin-063801-063801-Echirolles---Comboire/fiche-produits-20010-Yaourts-lait-entier-nature-Bio-.aspx","1.64")</f>
        <v>1.64</v>
      </c>
    </row>
    <row r="445" ht="14.25" customHeight="1">
      <c r="A445" s="1" t="s">
        <v>681</v>
      </c>
      <c r="B445" s="9" t="str">
        <f>HYPERLINK("https://lafourche.fr/products/yogourmand-yaourt-nature-entier-bio-4x125g-0-5kg","888888")</f>
        <v>888888</v>
      </c>
      <c r="C445" s="18" t="s">
        <v>56</v>
      </c>
      <c r="D445" s="9" t="str">
        <f>HYPERLINK("https://www.biocoop.fr/magasin-biocoop_champollion/yaourt-au-lait-entier-nature-4x125g-yo1005-000.html","3.1")</f>
        <v>3.1</v>
      </c>
      <c r="E445" s="25" t="s">
        <v>1590</v>
      </c>
      <c r="F445" s="9" t="str">
        <f>HYPERLINK("https://www.biocoop.fr/magasin-biocoop_fontaine/yaourt-au-lait-entier-nature-4x125g-yo1005-000.html","2.6")</f>
        <v>2.6</v>
      </c>
      <c r="G445" s="25" t="s">
        <v>1591</v>
      </c>
      <c r="H445" s="9" t="str">
        <f>HYPERLINK("https://satoriz-comboire.bio/collections/produits-frais/products/y92","2.4")</f>
        <v>2.4</v>
      </c>
      <c r="I445" s="25" t="s">
        <v>164</v>
      </c>
      <c r="J445" s="9" t="str">
        <f t="shared" si="369"/>
        <v>3.16</v>
      </c>
      <c r="K445" s="25" t="s">
        <v>1589</v>
      </c>
      <c r="L445" s="9" t="str">
        <f t="shared" si="370"/>
        <v>888888</v>
      </c>
      <c r="M445" s="16" t="s">
        <v>869</v>
      </c>
      <c r="N445" s="7" t="str">
        <f>HYPERLINK("https://fd11-courses.leclercdrive.fr/magasin-063801-063801-Echirolles---Comboire/fiche-produits-10641-Yaourts-lait-entier-nature-Bio.aspx","1.9")</f>
        <v>1.9</v>
      </c>
    </row>
    <row r="446" ht="14.25" customHeight="1">
      <c r="A446" s="1" t="s">
        <v>682</v>
      </c>
      <c r="B446" s="9" t="str">
        <f t="shared" ref="B446:B447" si="371">HYPERLINK("https://lafourche.fr/products/tante-helene-fromage-blanc-nature-bio-et-equitable-0-4kg","6.18")</f>
        <v>6.18</v>
      </c>
      <c r="C446" s="26" t="s">
        <v>1592</v>
      </c>
      <c r="D446" s="9" t="str">
        <f t="shared" ref="D446:D447" si="372">HYPERLINK("https://www.biocoop.fr/magasin-biocoop_champollion/fromage-blanc-nature-3-5-400g-th1004-000.html","5.62")</f>
        <v>5.62</v>
      </c>
      <c r="E446" s="26" t="s">
        <v>1593</v>
      </c>
      <c r="F446" s="9" t="str">
        <f>HYPERLINK("https://www.biocoop.fr/magasin-biocoop_fontaine/fromage-blanc-3-6-mg-1kg-bc6500-000.html","5.4")</f>
        <v>5.4</v>
      </c>
      <c r="G446" s="26" t="s">
        <v>1594</v>
      </c>
      <c r="H446" s="9" t="str">
        <f>HYPERLINK("https://satoriz-comboire.bio/collections/produits-frais/products/re16521","5.45")</f>
        <v>5.45</v>
      </c>
      <c r="I446" s="25" t="s">
        <v>1427</v>
      </c>
      <c r="J446" s="9" t="str">
        <f t="shared" ref="J446:J447" si="373">HYPERLINK("https://www.greenweez.com/produit/fromage-blanc-nature-3-6-mg-400g/1TANT0001","7.4")</f>
        <v>7.4</v>
      </c>
      <c r="K446" s="26" t="s">
        <v>1595</v>
      </c>
      <c r="L446" s="9" t="str">
        <f t="shared" ref="L446:L447" si="374">HYPERLINK("https://metabase.lelefan.org/public/dashboard/53c41f3f-5644-466e-935e-897e7725f6bc?rayon=&amp;d%25C3%25A9signation=FROMAGE BLANC VACHE - NATURE STE LUCE&amp;fournisseur=&amp;date_d%25C3%25A9but=&amp;date_fin=","7.38")</f>
        <v>7.38</v>
      </c>
      <c r="M446" s="1" t="s">
        <v>869</v>
      </c>
      <c r="N446" s="7" t="str">
        <f t="shared" ref="N446:N447" si="375">HYPERLINK("https://fd11-courses.leclercdrive.fr/magasin-063801-063801-Echirolles---Comboire/fiche-produits-14904-Fromage-frais-nature-Bio.aspx","3.52")</f>
        <v>3.52</v>
      </c>
    </row>
    <row r="447" ht="14.25" customHeight="1">
      <c r="A447" s="1" t="s">
        <v>683</v>
      </c>
      <c r="B447" s="9" t="str">
        <f t="shared" si="371"/>
        <v>6.18</v>
      </c>
      <c r="C447" s="26" t="s">
        <v>1592</v>
      </c>
      <c r="D447" s="9" t="str">
        <f t="shared" si="372"/>
        <v>5.62</v>
      </c>
      <c r="E447" s="26" t="s">
        <v>1593</v>
      </c>
      <c r="F447" s="9" t="str">
        <f>HYPERLINK("https://www.biocoop.fr/magasin-biocoop_fontaine/fromage-blanc-nature-3-5-400g-th1004-000.html","5.63")</f>
        <v>5.63</v>
      </c>
      <c r="G447" s="26" t="s">
        <v>1596</v>
      </c>
      <c r="H447" s="9" t="str">
        <f>HYPERLINK("https://satoriz-comboire.bio/collections/produits-frais/products/gb204","5.7")</f>
        <v>5.7</v>
      </c>
      <c r="I447" s="25" t="s">
        <v>1376</v>
      </c>
      <c r="J447" s="9" t="str">
        <f t="shared" si="373"/>
        <v>7.4</v>
      </c>
      <c r="K447" s="26" t="s">
        <v>1595</v>
      </c>
      <c r="L447" s="9" t="str">
        <f t="shared" si="374"/>
        <v>7.38</v>
      </c>
      <c r="M447" s="1" t="s">
        <v>869</v>
      </c>
      <c r="N447" s="7" t="str">
        <f t="shared" si="375"/>
        <v>3.52</v>
      </c>
    </row>
    <row r="448" ht="14.25" customHeight="1">
      <c r="A448" s="1" t="s">
        <v>684</v>
      </c>
      <c r="B448" s="9" t="str">
        <f>HYPERLINK("https://lafourche.fr/products/sojade-dessert-vegetal-soja-nature-bio-0-4kg","4.12")</f>
        <v>4.12</v>
      </c>
      <c r="C448" s="1" t="s">
        <v>869</v>
      </c>
      <c r="D448" s="7" t="str">
        <f>HYPERLINK("https://www.biocoop.fr/magasin-biocoop_champollion/sojade-nature-400g-al9206-000.html","3.75")</f>
        <v>3.75</v>
      </c>
      <c r="E448" s="1" t="s">
        <v>869</v>
      </c>
      <c r="F448" s="7" t="str">
        <f>HYPERLINK("https://www.biocoop.fr/magasin-biocoop_fontaine/sojade-nature-400g-al9206-000.html","3.75")</f>
        <v>3.75</v>
      </c>
      <c r="G448" s="1" t="s">
        <v>869</v>
      </c>
      <c r="H448" s="9" t="str">
        <f>HYPERLINK("https://satoriz-comboire.bio/collections/produits-frais/products/fr18102","4.13")</f>
        <v>4.13</v>
      </c>
      <c r="I448" s="25" t="s">
        <v>1597</v>
      </c>
      <c r="J448" s="9" t="str">
        <f>HYPERLINK("https://www.greenweez.com/produit/dessert-nature-au-soja-400g/1SOJA0006","5.4")</f>
        <v>5.4</v>
      </c>
      <c r="K448" s="25" t="s">
        <v>1598</v>
      </c>
      <c r="L448" s="16">
        <v>888888.0</v>
      </c>
      <c r="N448" s="16">
        <v>888888.0</v>
      </c>
    </row>
    <row r="449" ht="14.25" customHeight="1">
      <c r="A449" s="1" t="s">
        <v>685</v>
      </c>
      <c r="B449" s="16">
        <v>888888.0</v>
      </c>
      <c r="D449" s="7" t="str">
        <f>HYPERLINK("https://www.biocoop.fr/magasin-biocoop_champollion/sojade-nature-4x100g-al9229-000.html","4.75")</f>
        <v>4.75</v>
      </c>
      <c r="E449" s="1" t="s">
        <v>869</v>
      </c>
      <c r="F449" s="7" t="str">
        <f>HYPERLINK("https://www.biocoop.fr/magasin-biocoop_fontaine/sojade-nature-4x100g-al9229-000.html","4.75")</f>
        <v>4.75</v>
      </c>
      <c r="G449" s="1" t="s">
        <v>869</v>
      </c>
      <c r="H449" s="7" t="str">
        <f>HYPERLINK("https://satoriz-comboire.bio/collections/produits-frais/products/fr18451","4.75")</f>
        <v>4.75</v>
      </c>
      <c r="I449" s="25" t="s">
        <v>1390</v>
      </c>
      <c r="J449" s="9" t="str">
        <f>HYPERLINK("https://www.greenweez.com/produit/dessert-nature-au-soja-4x100g/1SOJA0014","6.1")</f>
        <v>6.1</v>
      </c>
      <c r="K449" s="25" t="s">
        <v>1599</v>
      </c>
      <c r="L449" s="9" t="str">
        <f>HYPERLINK("https://metabase.lelefan.org/public/dashboard/53c41f3f-5644-466e-935e-897e7725f6bc?rayon=&amp;d%25C3%25A9signation=SOJADE NATURE&amp;fournisseur=&amp;date_d%25C3%25A9but=&amp;date_fin=","5.25")</f>
        <v>5.25</v>
      </c>
      <c r="M449" s="26" t="s">
        <v>1600</v>
      </c>
      <c r="N449" s="16">
        <v>888888.0</v>
      </c>
    </row>
    <row r="450" ht="14.25" customHeight="1">
      <c r="A450" s="1" t="s">
        <v>686</v>
      </c>
      <c r="B450" s="7" t="str">
        <f>HYPERLINK("https://lafourche.fr/products/sojade-dessert-vegetal-soja-chocolat-bio-0-4kg","6.62")</f>
        <v>6.62</v>
      </c>
      <c r="C450" s="26" t="s">
        <v>1601</v>
      </c>
      <c r="D450" s="7" t="str">
        <f>HYPERLINK("https://www.biocoop.fr/magasin-biocoop_champollion/sojade-dessert-chocolat-4x100g-al9230-000.html","6.62")</f>
        <v>6.62</v>
      </c>
      <c r="E450" s="26" t="s">
        <v>1602</v>
      </c>
      <c r="F450" s="9" t="str">
        <f>HYPERLINK("https://www.biocoop.fr/magasin-biocoop_fontaine/sojade-dessert-chocolat-4x100g-al9230-000.html","6.63")</f>
        <v>6.63</v>
      </c>
      <c r="G450" s="26" t="s">
        <v>1603</v>
      </c>
      <c r="H450" s="9" t="str">
        <f>HYPERLINK("https://satoriz-comboire.bio/collections/produits-frais/products/fr18491","6.88")</f>
        <v>6.88</v>
      </c>
      <c r="I450" s="25" t="s">
        <v>1604</v>
      </c>
      <c r="J450" s="9" t="str">
        <f>HYPERLINK("https://www.greenweez.com/produit/dessert-chocolat-au-soja-4x100-g/1SOJA0016","8.57")</f>
        <v>8.57</v>
      </c>
      <c r="K450" s="25" t="s">
        <v>1605</v>
      </c>
      <c r="L450" s="16">
        <v>888888.0</v>
      </c>
      <c r="N450" s="16">
        <v>888888.0</v>
      </c>
    </row>
    <row r="451" ht="14.25" customHeight="1">
      <c r="A451" s="1" t="s">
        <v>687</v>
      </c>
      <c r="B451" s="9" t="str">
        <f>HYPERLINK("https://lafourche.fr/products/valmartin-fromage-rape-emmental-bio-1kg","12.2")</f>
        <v>12.2</v>
      </c>
      <c r="C451" s="26" t="s">
        <v>1606</v>
      </c>
      <c r="D451" s="9" t="str">
        <f t="shared" ref="D451:D452" si="376">HYPERLINK("https://www.biocoop.fr/magasin-biocoop_champollion/emmental-rape-29-lpast-200g-fs3003-000.html","14.95")</f>
        <v>14.95</v>
      </c>
      <c r="E451" s="1" t="s">
        <v>869</v>
      </c>
      <c r="F451" s="9" t="str">
        <f>HYPERLINK("https://www.biocoop.fr/magasin-biocoop_fontaine/emmental-rape-29-400g-fs3001-000.html","14.88")</f>
        <v>14.88</v>
      </c>
      <c r="G451" s="1" t="s">
        <v>869</v>
      </c>
      <c r="H451" s="9" t="str">
        <f>HYPERLINK("https://satoriz-comboire.bio/collections/produits-frais/products/val3","13.1")</f>
        <v>13.1</v>
      </c>
      <c r="I451" s="25" t="s">
        <v>1434</v>
      </c>
      <c r="J451" s="9" t="str">
        <f t="shared" ref="J451:J452" si="377">HYPERLINK("https://www.greenweez.com/produit/emmental-rape-lait-pasteurise-200g/1BTER0565","14.95")</f>
        <v>14.95</v>
      </c>
      <c r="K451" s="25" t="s">
        <v>1607</v>
      </c>
      <c r="L451" s="7" t="str">
        <f>HYPERLINK("https://metabase.lelefan.org/public/dashboard/53c41f3f-5644-466e-935e-897e7725f6bc?rayon=&amp;d%25C3%25A9signation=EMMENTAL RAPE SACHET 1 KG LAIT CRU&amp;fournisseur=&amp;date_d%25C3%25A9but=&amp;date_fin=","10.38")</f>
        <v>10.38</v>
      </c>
      <c r="M451" s="25" t="s">
        <v>1608</v>
      </c>
      <c r="N451" s="9" t="str">
        <f>HYPERLINK("https://fd11-courses.leclercdrive.fr/magasin-063801-063801-Echirolles---Comboire/fiche-produits-86940-Emmental-fromage-rape-bio.aspx","10.93")</f>
        <v>10.93</v>
      </c>
    </row>
    <row r="452" ht="14.25" customHeight="1">
      <c r="A452" s="1" t="s">
        <v>688</v>
      </c>
      <c r="B452" s="9" t="str">
        <f>HYPERLINK("https://lafourche.fr/products/valmartin-fromage-emmental-rape-bio-0-2kg","14")</f>
        <v>14</v>
      </c>
      <c r="C452" s="25" t="s">
        <v>1609</v>
      </c>
      <c r="D452" s="9" t="str">
        <f t="shared" si="376"/>
        <v>14.95</v>
      </c>
      <c r="E452" s="1" t="s">
        <v>869</v>
      </c>
      <c r="F452" s="9" t="str">
        <f>HYPERLINK("https://www.biocoop.fr/magasin-biocoop_fontaine/emmental-rape-29-lpast-200g-fs3003-000.html","888888")</f>
        <v>888888</v>
      </c>
      <c r="G452" s="18" t="s">
        <v>56</v>
      </c>
      <c r="H452" s="9" t="str">
        <f>HYPERLINK("https://satoriz-comboire.bio/collections/produits-frais/products/val2","13.75")</f>
        <v>13.75</v>
      </c>
      <c r="I452" s="25" t="s">
        <v>1610</v>
      </c>
      <c r="J452" s="9" t="str">
        <f t="shared" si="377"/>
        <v>14.95</v>
      </c>
      <c r="K452" s="25" t="s">
        <v>1607</v>
      </c>
      <c r="L452" s="9" t="str">
        <f>HYPERLINK("https://metabase.lelefan.org/public/dashboard/53c41f3f-5644-466e-935e-897e7725f6bc?rayon=&amp;d%25C3%25A9signation=EMMENTAL RAPE SACHET 150 G LAIT CRU&amp;fournisseur=&amp;date_d%25C3%25A9but=&amp;date_fin=","11.93")</f>
        <v>11.93</v>
      </c>
      <c r="M452" s="25" t="s">
        <v>1611</v>
      </c>
      <c r="N452" s="7" t="str">
        <f>HYPERLINK("https://fd11-courses.leclercdrive.fr/magasin-063801-063801-Echirolles---Comboire/fiche-produits-32352-Emmental-fromage-rape-bio.aspx","11.15")</f>
        <v>11.15</v>
      </c>
    </row>
    <row r="453" ht="14.25" customHeight="1">
      <c r="A453" s="1" t="s">
        <v>689</v>
      </c>
      <c r="B453" s="7" t="str">
        <f>HYPERLINK("https://lafourche.fr/products/philia-fromage-rape-parmesan-reggiano-aop-12-mois-bio-0-06kg","26.17")</f>
        <v>26.17</v>
      </c>
      <c r="C453" s="25" t="s">
        <v>1612</v>
      </c>
      <c r="D453" s="9" t="str">
        <f>HYPERLINK("https://www.biocoop.fr/magasin-biocoop_champollion/parmigiano-reggiano-dop-rape-90g-to3005-000.html","38.33")</f>
        <v>38.33</v>
      </c>
      <c r="E453" s="26" t="s">
        <v>1613</v>
      </c>
      <c r="F453" s="9" t="str">
        <f>HYPERLINK("https://www.biocoop.fr/magasin-biocoop_fontaine/parmigiano-reggiano-dop-rape-90g-to3005-000.html","38.33")</f>
        <v>38.33</v>
      </c>
      <c r="G453" s="26" t="s">
        <v>1613</v>
      </c>
      <c r="H453" s="9" t="str">
        <f>HYPERLINK("https://satoriz-comboire.bio/collections/produits-frais/products/bt3014729","39.0")</f>
        <v>39.0</v>
      </c>
      <c r="I453" s="25" t="s">
        <v>404</v>
      </c>
      <c r="J453" s="9" t="str">
        <f>HYPERLINK("https://www.greenweez.com/produit/parmesan-reggiano-rape-aop-50g/1BTER0357","888888")</f>
        <v>888888</v>
      </c>
      <c r="K453" s="16" t="s">
        <v>869</v>
      </c>
      <c r="L453" s="9" t="str">
        <f>HYPERLINK("https://metabase.lelefan.org/public/dashboard/53c41f3f-5644-466e-935e-897e7725f6bc?rayon=&amp;d%25C3%25A9signation=PARMESAN RAPE DOP&amp;fournisseur=&amp;date_d%25C3%25A9but=&amp;date_fin=","38.25")</f>
        <v>38.25</v>
      </c>
      <c r="M453" s="25" t="s">
        <v>1614</v>
      </c>
      <c r="N453" s="9" t="str">
        <f>HYPERLINK("https://fd11-courses.leclercdrive.fr/magasin-063801-063801-Echirolles---Comboire/fiche-produits-86947-Parmesan-rape-AOP-30-MG-Bio.aspx","31.6")</f>
        <v>31.6</v>
      </c>
    </row>
    <row r="454" ht="14.25" customHeight="1">
      <c r="A454" s="1" t="s">
        <v>690</v>
      </c>
      <c r="B454" s="9" t="str">
        <f>HYPERLINK("https://lafourche.fr/products/oma-feta-greco-aop-bio-0-18kg","18.44")</f>
        <v>18.44</v>
      </c>
      <c r="C454" s="25" t="s">
        <v>1091</v>
      </c>
      <c r="D454" s="9" t="str">
        <f>HYPERLINK("https://www.biocoop.fr/magasin-biocoop_champollion/feta-nature-aop-150g-or1010-000.html","32.67")</f>
        <v>32.67</v>
      </c>
      <c r="E454" s="1" t="s">
        <v>869</v>
      </c>
      <c r="F454" s="9" t="str">
        <f>HYPERLINK("https://www.biocoop.fr/magasin-biocoop_fontaine/feta-nature-aop-150g-or1010-000.html","31.33")</f>
        <v>31.33</v>
      </c>
      <c r="G454" s="26" t="s">
        <v>1615</v>
      </c>
      <c r="H454" s="9" t="str">
        <f>HYPERLINK("https://satoriz-comboire.bio/products/re16386","23.67")</f>
        <v>23.67</v>
      </c>
      <c r="I454" s="25" t="s">
        <v>1616</v>
      </c>
      <c r="J454" s="9" t="str">
        <f>HYPERLINK("https://www.greenweez.com/produit/feta-originale-180g/1BVER0050","888888")</f>
        <v>888888</v>
      </c>
      <c r="K454" s="16" t="s">
        <v>869</v>
      </c>
      <c r="L454" s="9" t="str">
        <f>HYPERLINK("https://metabase.lelefan.org/public/dashboard/53c41f3f-5644-466e-935e-897e7725f6bc?rayon=&amp;d%25C3%25A9signation=FETA  AOP 24% MG&amp;fournisseur=&amp;date_d%25C3%25A9but=&amp;date_fin=","20.61")</f>
        <v>20.61</v>
      </c>
      <c r="M454" s="25" t="s">
        <v>1617</v>
      </c>
      <c r="N454" s="7" t="str">
        <f>HYPERLINK("https://fd11-courses.leclercdrive.fr/magasin-063801-063801-Echirolles---Comboire/fiche-produits-216014-Feta-bio-Bio-Village.aspx","17.27")</f>
        <v>17.27</v>
      </c>
    </row>
    <row r="455" ht="14.25" customHeight="1">
      <c r="A455" s="1" t="s">
        <v>691</v>
      </c>
      <c r="B455" s="9" t="str">
        <f>HYPERLINK("https://lafourche.fr/products/oma-mozzarella-di-bufala-campana-aop-bio-0-125kg","21.52")</f>
        <v>21.52</v>
      </c>
      <c r="C455" s="25" t="s">
        <v>1618</v>
      </c>
      <c r="D455" s="9" t="str">
        <f>HYPERLINK("https://www.biocoop.fr/magasin-biocoop_champollion/mozzarella-di-bufala-campana-125g-to3000-000.html","27.68")</f>
        <v>27.68</v>
      </c>
      <c r="E455" s="1" t="s">
        <v>869</v>
      </c>
      <c r="F455" s="9" t="str">
        <f>HYPERLINK("https://www.biocoop.fr/magasin-biocoop_fontaine/mozzarella-di-bufala-campana-125g-to3000-000.html","28.8")</f>
        <v>28.8</v>
      </c>
      <c r="G455" s="1" t="s">
        <v>869</v>
      </c>
      <c r="H455" s="9" t="str">
        <f>HYPERLINK("https://satoriz-comboire.bio/collections/produits-frais/products/vi13415","23.6")</f>
        <v>23.6</v>
      </c>
      <c r="I455" s="25" t="s">
        <v>910</v>
      </c>
      <c r="J455" s="9" t="str">
        <f>HYPERLINK("https://www.greenweez.com/produit/mozzarella-di-bufala-aop-125g/1BTER0362","23.92")</f>
        <v>23.92</v>
      </c>
      <c r="K455" s="1" t="s">
        <v>869</v>
      </c>
      <c r="L455" s="9" t="str">
        <f>HYPERLINK("https://metabase.lelefan.org/public/dashboard/53c41f3f-5644-466e-935e-897e7725f6bc?rayon=&amp;d%25C3%25A9signation=MOZZARELLA DI BUFALA CAMPANA DOP&amp;fournisseur=&amp;date_d%25C3%25A9but=&amp;date_fin=","22.24")</f>
        <v>22.24</v>
      </c>
      <c r="M455" s="25" t="s">
        <v>1619</v>
      </c>
      <c r="N455" s="7" t="str">
        <f>HYPERLINK("https://fd11-courses.leclercdrive.fr/magasin-063801-063801-Echirolles---Comboire/fiche-produits-90633-Ricotta-Bio-Village.aspx","7.16")</f>
        <v>7.16</v>
      </c>
    </row>
    <row r="456" ht="14.25" customHeight="1">
      <c r="A456" s="1" t="s">
        <v>692</v>
      </c>
      <c r="B456" s="7" t="str">
        <f>HYPERLINK("https://lafourche.fr/products/ambrosi-ricotta-bio-0-25kg","10.2")</f>
        <v>10.2</v>
      </c>
      <c r="C456" s="26" t="s">
        <v>1620</v>
      </c>
      <c r="D456" s="7" t="str">
        <f>HYPERLINK("https://www.biocoop.fr/magasin-biocoop_champollion/ricotta-7-mg-250g-aa0042-000.html","10.2")</f>
        <v>10.2</v>
      </c>
      <c r="E456" s="1" t="s">
        <v>869</v>
      </c>
      <c r="F456" s="9" t="str">
        <f>HYPERLINK("https://www.biocoop.fr/magasin-biocoop_fontaine/ricotta-7-mg-250g-aa0042-000.html","888888")</f>
        <v>888888</v>
      </c>
      <c r="G456" s="16" t="s">
        <v>869</v>
      </c>
      <c r="H456" s="9" t="str">
        <f>HYPERLINK("https://satoriz-comboire.bio/products/re13922","11.4")</f>
        <v>11.4</v>
      </c>
      <c r="I456" s="25" t="s">
        <v>1621</v>
      </c>
      <c r="J456" s="9" t="str">
        <f>HYPERLINK("https://www.greenweez.com/produit/ricotta-250g-3/1ZUGE0001","13.52")</f>
        <v>13.52</v>
      </c>
      <c r="K456" s="25" t="s">
        <v>1622</v>
      </c>
      <c r="L456" s="9" t="str">
        <f>HYPERLINK("https://metabase.lelefan.org/public/dashboard/53c41f3f-5644-466e-935e-897e7725f6bc?rayon=&amp;d%25C3%25A9signation=RICOTTA 9%&amp;fournisseur=&amp;date_d%25C3%25A9but=&amp;date_fin=","11.12")</f>
        <v>11.12</v>
      </c>
      <c r="M456" s="26" t="s">
        <v>1623</v>
      </c>
      <c r="N456" s="16">
        <v>888888.0</v>
      </c>
    </row>
    <row r="457" ht="14.25" customHeight="1">
      <c r="A457" s="1" t="s">
        <v>693</v>
      </c>
      <c r="B457" s="9" t="str">
        <f>HYPERLINK("https://lafourche.fr/products/bonneterre-oeufs-plein-air-bio-12unite-f","888888")</f>
        <v>888888</v>
      </c>
      <c r="C457" s="18" t="s">
        <v>56</v>
      </c>
      <c r="D457" s="16">
        <v>888888.0</v>
      </c>
      <c r="F457" s="9" t="str">
        <f t="shared" ref="F457:F458" si="378">HYPERLINK("https://www.biocoop.fr/magasin-biocoop_fontaine/oeufs-6-calibre-53-63-moyen-na6311-000.html","888888")</f>
        <v>888888</v>
      </c>
      <c r="G457" s="16" t="s">
        <v>869</v>
      </c>
      <c r="H457" s="9" t="str">
        <f>HYPERLINK("https://satoriz-comboire.bio/collections/produits-frais/products/va693","0.37")</f>
        <v>0.37</v>
      </c>
      <c r="I457" s="25" t="s">
        <v>1446</v>
      </c>
      <c r="J457" s="16">
        <v>888888.0</v>
      </c>
      <c r="L457" s="9" t="str">
        <f t="shared" ref="L457:L458" si="379">HYPERLINK("https://metabase.lelefan.org/public/dashboard/53c41f3f-5644-466e-935e-897e7725f6bc?rayon=&amp;d%25C3%25A9signation=OEUF BIO // UNITE&amp;fournisseur=&amp;date_d%25C3%25A9but=&amp;date_fin=","0.46")</f>
        <v>0.46</v>
      </c>
      <c r="M457" s="1" t="s">
        <v>869</v>
      </c>
      <c r="N457" s="7" t="str">
        <f>HYPERLINK("https://fd11-courses.leclercdrive.fr/magasin-063801-063801-Echirolles---Comboire/fiche-produits-16429-Oeufs-frais-plein-air-Bio.aspx","0.34")</f>
        <v>0.34</v>
      </c>
    </row>
    <row r="458" ht="14.25" customHeight="1">
      <c r="A458" s="1" t="s">
        <v>694</v>
      </c>
      <c r="B458" s="16">
        <v>888888.0</v>
      </c>
      <c r="C458" s="18" t="s">
        <v>56</v>
      </c>
      <c r="D458" s="16">
        <v>888888.0</v>
      </c>
      <c r="F458" s="9" t="str">
        <f t="shared" si="378"/>
        <v>888888</v>
      </c>
      <c r="G458" s="16" t="s">
        <v>869</v>
      </c>
      <c r="H458" s="9" t="str">
        <f>HYPERLINK("https://satoriz-comboire.bio/collections/produits-frais/products/valoeuf","0.46")</f>
        <v>0.46</v>
      </c>
      <c r="I458" s="25" t="s">
        <v>1624</v>
      </c>
      <c r="J458" s="16">
        <v>888888.0</v>
      </c>
      <c r="L458" s="9" t="str">
        <f t="shared" si="379"/>
        <v>0.46</v>
      </c>
      <c r="M458" s="1" t="s">
        <v>869</v>
      </c>
      <c r="N458" s="7" t="str">
        <f>HYPERLINK("https://fd11-courses.leclercdrive.fr/magasin-063801-063801-Echirolles---Comboire/fiche-produits-3000-Oeufs-frais-plein-air-Bio.aspx","0.35")</f>
        <v>0.35</v>
      </c>
    </row>
    <row r="459" ht="14.25" customHeight="1">
      <c r="A459" s="5" t="s">
        <v>695</v>
      </c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 ht="14.25" customHeight="1">
      <c r="A460" s="1" t="s">
        <v>696</v>
      </c>
      <c r="B460" s="9" t="str">
        <f>HYPERLINK("https://lafourche.fr/products/la-fourche-pommes-bicolores-bio-origine-france-2kg","888888")</f>
        <v>888888</v>
      </c>
      <c r="C460" s="18" t="s">
        <v>56</v>
      </c>
      <c r="D460" s="9" t="str">
        <f>HYPERLINK("https://www.biocoop.fr/magasin-biocoop_champollion/pomme-bicolore-fel4194-000-france.html","888888")</f>
        <v>888888</v>
      </c>
      <c r="E460" s="16" t="s">
        <v>869</v>
      </c>
      <c r="F460" s="7" t="str">
        <f>HYPERLINK("https://www.biocoop.fr/magasin-biocoop_fontaine/pomme-bicolore-fel4194-000-france.html","3.5")</f>
        <v>3.5</v>
      </c>
      <c r="G460" s="1" t="s">
        <v>869</v>
      </c>
      <c r="H460" s="9" t="str">
        <f>HYPERLINK("https://satoriz-comboire.bio/collections/fruits-et-legumes/products/fru759","888888")</f>
        <v>888888</v>
      </c>
      <c r="I460" s="18" t="s">
        <v>56</v>
      </c>
      <c r="J460" s="9" t="str">
        <f>HYPERLINK("https://www.greenweez.com/produit/pomme-juliet-france-1kg-1/1VRAC0117","3.86")</f>
        <v>3.86</v>
      </c>
      <c r="K460" s="25" t="s">
        <v>1625</v>
      </c>
      <c r="L460" s="16">
        <v>888888.0</v>
      </c>
      <c r="N460" s="16">
        <v>888888.0</v>
      </c>
    </row>
    <row r="461" ht="14.25" customHeight="1">
      <c r="A461" s="1" t="s">
        <v>697</v>
      </c>
      <c r="B461" s="16">
        <v>888888.0</v>
      </c>
      <c r="D461" s="9" t="str">
        <f>HYPERLINK("https://www.biocoop.fr/magasin-biocoop_champollion/banane-cavendish-fel4011-000-dominicaine-republique-.html","888888")</f>
        <v>888888</v>
      </c>
      <c r="E461" s="18" t="s">
        <v>56</v>
      </c>
      <c r="F461" s="7" t="str">
        <f>HYPERLINK("https://www.biocoop.fr/magasin-biocoop_fontaine/banane-cavendish-fel4011-000-dominicaine-republique-.html","1.99")</f>
        <v>1.99</v>
      </c>
      <c r="G461" s="1" t="s">
        <v>869</v>
      </c>
      <c r="H461" s="9" t="str">
        <f>HYPERLINK("https://satoriz-comboire.bio/collections/fruits-et-legumes/products/fru140","2.09")</f>
        <v>2.09</v>
      </c>
      <c r="I461" s="26" t="s">
        <v>1626</v>
      </c>
      <c r="J461" s="9" t="str">
        <f>HYPERLINK("https://www.greenweez.com/produit/bananes-jaunes-1kg-1/1VRAC0018","888888")</f>
        <v>888888</v>
      </c>
      <c r="K461" s="18" t="s">
        <v>56</v>
      </c>
      <c r="L461" s="9" t="str">
        <f>HYPERLINK("https://metabase.lelefan.org/public/dashboard/53c41f3f-5644-466e-935e-897e7725f6bc?rayon=&amp;d%25C3%25A9signation=BANANE BIO AGRINEDIS&amp;fournisseur=&amp;date_d%25C3%25A9but=&amp;date_fin=","2.24")</f>
        <v>2.24</v>
      </c>
      <c r="M461" s="25" t="s">
        <v>1627</v>
      </c>
      <c r="N461" s="16">
        <v>888888.0</v>
      </c>
    </row>
    <row r="462" ht="14.25" customHeight="1">
      <c r="A462" s="1" t="s">
        <v>698</v>
      </c>
      <c r="B462" s="9" t="str">
        <f>HYPERLINK("https://lafourche.fr/products/la-fourche-clementines-bio-origine-italiie-1-5-kg","888888")</f>
        <v>888888</v>
      </c>
      <c r="C462" s="18" t="s">
        <v>56</v>
      </c>
      <c r="D462" s="9" t="str">
        <f>HYPERLINK("https://www.biocoop.fr/magasin-biocoop_champollion/clementine-feuille-fel3386-000-france.html","888888")</f>
        <v>888888</v>
      </c>
      <c r="E462" s="16" t="s">
        <v>869</v>
      </c>
      <c r="F462" s="9" t="str">
        <f>HYPERLINK("https://www.biocoop.fr/magasin-biocoop_fontaine/clementine-feuille-fel3386-000-france.html","5.5")</f>
        <v>5.5</v>
      </c>
      <c r="G462" s="1" t="s">
        <v>869</v>
      </c>
      <c r="H462" s="9" t="str">
        <f>HYPERLINK("https://satoriz-comboire.bio/collections/fruits-et-legumes/products/fru210","888888")</f>
        <v>888888</v>
      </c>
      <c r="I462" s="18" t="s">
        <v>56</v>
      </c>
      <c r="J462" s="9" t="str">
        <f>HYPERLINK("https://www.greenweez.com/produit/clementine-italie-1kg/1VRAC0420","888888")</f>
        <v>888888</v>
      </c>
      <c r="K462" s="18" t="s">
        <v>56</v>
      </c>
      <c r="L462" s="7" t="str">
        <f>HYPERLINK("https://metabase.lelefan.org/public/dashboard/53c41f3f-5644-466e-935e-897e7725f6bc?rayon=&amp;d%25C3%25A9signation=CLEMENTINE/MANDARINE BIO AGRINEDIS&amp;fournisseur=&amp;date_d%25C3%25A9but=&amp;date_fin=","3.03")</f>
        <v>3.03</v>
      </c>
      <c r="M462" s="1" t="s">
        <v>869</v>
      </c>
      <c r="N462" s="9" t="str">
        <f>HYPERLINK("https://fd11-courses.leclercdrive.fr/magasin-063801-063801-Echirolles---Comboire/fiche-produits-100318-Mandarines-a-deguster-bio.aspx","4.65")</f>
        <v>4.65</v>
      </c>
    </row>
    <row r="463" ht="14.25" customHeight="1">
      <c r="A463" s="1" t="s">
        <v>699</v>
      </c>
      <c r="B463" s="9" t="str">
        <f>HYPERLINK("https://lafourche.fr/products/la-fourche-kiwis-bio-origine-france-1-kg","6.75")</f>
        <v>6.75</v>
      </c>
      <c r="C463" s="25" t="s">
        <v>1628</v>
      </c>
      <c r="D463" s="9" t="str">
        <f>HYPERLINK("https://www.biocoop.fr/magasin-biocoop_champollion/kiwi-vert-fel4030-000-italie.html","888888")</f>
        <v>888888</v>
      </c>
      <c r="E463" s="16" t="s">
        <v>869</v>
      </c>
      <c r="F463" s="9" t="str">
        <f>HYPERLINK("https://www.biocoop.fr/magasin-biocoop_fontaine/kiwi-vert-fel4030-000-italie.html","888888")</f>
        <v>888888</v>
      </c>
      <c r="G463" s="18" t="s">
        <v>56</v>
      </c>
      <c r="H463" s="9" t="str">
        <f>HYPERLINK("https://satoriz-comboire.bio/collections/fruits-et-legumes/products/fru300","7.1")</f>
        <v>7.1</v>
      </c>
      <c r="I463" s="25" t="s">
        <v>1629</v>
      </c>
      <c r="J463" s="9" t="str">
        <f>HYPERLINK("https://www.greenweez.com/produit/kiwi-hayward-italie-1/1VRAC0014","888888")</f>
        <v>888888</v>
      </c>
      <c r="K463" s="16" t="s">
        <v>869</v>
      </c>
      <c r="L463" s="7" t="str">
        <f>HYPERLINK("https://metabase.lelefan.org/public/dashboard/53c41f3f-5644-466e-935e-897e7725f6bc?rayon=&amp;d%25C3%25A9signation=KIWI BIO&amp;fournisseur=&amp;date_d%25C3%25A9but=&amp;date_fin=","5.37")</f>
        <v>5.37</v>
      </c>
      <c r="M463" s="25" t="s">
        <v>1630</v>
      </c>
      <c r="N463" s="16">
        <v>888888.0</v>
      </c>
    </row>
    <row r="464" ht="14.25" customHeight="1">
      <c r="A464" s="1" t="s">
        <v>700</v>
      </c>
      <c r="B464" s="7" t="str">
        <f>HYPERLINK("https://lafourche.fr/products/la-fourche-poires-william-bio-origine-france-1kg","888888")</f>
        <v>888888</v>
      </c>
      <c r="C464" s="18" t="s">
        <v>56</v>
      </c>
      <c r="D464" s="22">
        <v>888888.0</v>
      </c>
      <c r="F464" s="22">
        <v>888888.0</v>
      </c>
      <c r="H464" s="7" t="str">
        <f>HYPERLINK("https://satoriz-comboire.bio/collections/fruits-et-legumes/products/fru623","888888")</f>
        <v>888888</v>
      </c>
      <c r="I464" s="18" t="s">
        <v>56</v>
      </c>
      <c r="J464" s="7" t="str">
        <f>HYPERLINK("https://www.greenweez.com/produit/poire-conference-france-1/1VRAC0015","888888")</f>
        <v>888888</v>
      </c>
      <c r="K464" s="16" t="s">
        <v>869</v>
      </c>
      <c r="L464" s="22">
        <v>888888.0</v>
      </c>
      <c r="N464" s="22">
        <v>888888.0</v>
      </c>
    </row>
    <row r="465" ht="14.25" customHeight="1">
      <c r="A465" s="1" t="s">
        <v>701</v>
      </c>
      <c r="B465" s="9" t="str">
        <f>HYPERLINK("https://lafourche.fr/products/la-fourche-oranges-bio-origine-espagne-kg-2","888888")</f>
        <v>888888</v>
      </c>
      <c r="C465" s="18" t="s">
        <v>56</v>
      </c>
      <c r="D465" s="9" t="str">
        <f>HYPERLINK("https://www.biocoop.fr/magasin-biocoop_champollion/orange-blonde-navel.html","888888")</f>
        <v>888888</v>
      </c>
      <c r="E465" s="16" t="s">
        <v>869</v>
      </c>
      <c r="F465" s="7" t="str">
        <f>HYPERLINK("https://www.biocoop.fr/magasin-biocoop_fontaine/orange-blonde-navel.html","2.4")</f>
        <v>2.4</v>
      </c>
      <c r="G465" s="26" t="s">
        <v>1522</v>
      </c>
      <c r="H465" s="9" t="str">
        <f>HYPERLINK("https://satoriz-comboire.bio/collections/fruits-et-legumes/products/fru450","2.75")</f>
        <v>2.75</v>
      </c>
      <c r="I465" s="26" t="s">
        <v>1631</v>
      </c>
      <c r="J465" s="9" t="str">
        <f>HYPERLINK("https://www.greenweez.com/produit/orange-de-table-espagne-1-5kg/1VRAC0009","888888")</f>
        <v>888888</v>
      </c>
      <c r="K465" s="16" t="s">
        <v>869</v>
      </c>
      <c r="L465" s="9" t="str">
        <f>HYPERLINK("https://metabase.lelefan.org/public/dashboard/53c41f3f-5644-466e-935e-897e7725f6bc?rayon=&amp;d%25C3%25A9signation=ORANGE BIO AGRINEDIS&amp;fournisseur=&amp;date_d%25C3%25A9but=&amp;date_fin=","2.51")</f>
        <v>2.51</v>
      </c>
      <c r="M465" s="25" t="s">
        <v>1632</v>
      </c>
      <c r="N465" s="16">
        <v>888888.0</v>
      </c>
    </row>
    <row r="466" ht="14.25" customHeight="1">
      <c r="A466" s="1" t="s">
        <v>702</v>
      </c>
      <c r="B466" s="7" t="str">
        <f>HYPERLINK("https://lafourche.fr/products/la-fourche-citron-bio-origine-italie-kg-1","2.45")</f>
        <v>2.45</v>
      </c>
      <c r="C466" s="26" t="s">
        <v>1633</v>
      </c>
      <c r="D466" s="9" t="str">
        <f>HYPERLINK("https://www.biocoop.fr/magasin-biocoop_champollion/citron-jaune.html","888888")</f>
        <v>888888</v>
      </c>
      <c r="E466" s="18" t="s">
        <v>56</v>
      </c>
      <c r="F466" s="9" t="str">
        <f>HYPERLINK("https://www.biocoop.fr/magasin-biocoop_fontaine/citron-jaune.html","2.9")</f>
        <v>2.9</v>
      </c>
      <c r="G466" s="25" t="s">
        <v>972</v>
      </c>
      <c r="H466" s="9" t="str">
        <f>HYPERLINK("https://satoriz-comboire.bio/collections/fruits-et-legumes/products/fru202","3.36")</f>
        <v>3.36</v>
      </c>
      <c r="I466" s="1" t="s">
        <v>869</v>
      </c>
      <c r="J466" s="9" t="str">
        <f>HYPERLINK("https://www.greenweez.com/produit/citron-jaune-espagne-500g/1VRAC0011","2.8")</f>
        <v>2.8</v>
      </c>
      <c r="K466" s="26" t="s">
        <v>1634</v>
      </c>
      <c r="L466" s="9" t="str">
        <f>HYPERLINK("https://metabase.lelefan.org/public/dashboard/53c41f3f-5644-466e-935e-897e7725f6bc?rayon=&amp;d%25C3%25A9signation=CITRON BIO AGRINEDIS&amp;fournisseur=&amp;date_d%25C3%25A9but=&amp;date_fin=","3.03")</f>
        <v>3.03</v>
      </c>
      <c r="M466" s="1" t="s">
        <v>869</v>
      </c>
      <c r="N466" s="16">
        <v>888888.0</v>
      </c>
    </row>
    <row r="467" ht="14.25" customHeight="1">
      <c r="A467" s="5" t="s">
        <v>703</v>
      </c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 ht="14.25" customHeight="1">
      <c r="A468" s="1" t="s">
        <v>704</v>
      </c>
      <c r="B468" s="9" t="str">
        <f>HYPERLINK("https://lafourche.fr/products/la-fourche-ail-bio-origine-france-0-15-kg","15")</f>
        <v>15</v>
      </c>
      <c r="C468" s="25" t="s">
        <v>1591</v>
      </c>
      <c r="D468" s="9" t="str">
        <f>HYPERLINK("https://www.biocoop.fr/magasin-biocoop_champollion/ail-sec-blanc.html","888888")</f>
        <v>888888</v>
      </c>
      <c r="E468" s="16" t="s">
        <v>869</v>
      </c>
      <c r="F468" s="9" t="str">
        <f>HYPERLINK("https://www.biocoop.fr/magasin-biocoop_fontaine/ail-sec-blanc.html","15.0")</f>
        <v>15.0</v>
      </c>
      <c r="G468" s="1" t="s">
        <v>869</v>
      </c>
      <c r="H468" s="9" t="str">
        <f>HYPERLINK("https://satoriz-comboire.bio/collections/fruits-et-legumes/products/lgu105","16.0")</f>
        <v>16.0</v>
      </c>
      <c r="I468" s="25" t="s">
        <v>1635</v>
      </c>
      <c r="J468" s="7" t="str">
        <f>HYPERLINK("https://www.greenweez.com/produit/ail-blanc-violet-sec-espagne-200g-1/1VRAC0299","9.4")</f>
        <v>9.4</v>
      </c>
      <c r="K468" s="26" t="s">
        <v>1636</v>
      </c>
      <c r="L468" s="16">
        <v>888888.0</v>
      </c>
      <c r="N468" s="16">
        <v>888888.0</v>
      </c>
    </row>
    <row r="469" ht="14.25" customHeight="1">
      <c r="A469" s="1" t="s">
        <v>705</v>
      </c>
      <c r="B469" s="9" t="str">
        <f>HYPERLINK("https://lafourche.fr/products/la-fourche-gingembre-bio-origine-perou-0-2kg","8.25")</f>
        <v>8.25</v>
      </c>
      <c r="C469" s="25" t="s">
        <v>1637</v>
      </c>
      <c r="D469" s="9" t="str">
        <f>HYPERLINK("https://www.biocoop.fr/magasin-biocoop_champollion/gingembre.html","888888")</f>
        <v>888888</v>
      </c>
      <c r="E469" s="16" t="s">
        <v>869</v>
      </c>
      <c r="F469" s="9" t="str">
        <f>HYPERLINK("https://www.biocoop.fr/magasin-biocoop_fontaine/gingembre.html","9.5")</f>
        <v>9.5</v>
      </c>
      <c r="G469" s="26" t="s">
        <v>1308</v>
      </c>
      <c r="H469" s="9" t="str">
        <f>HYPERLINK("https://satoriz-comboire.bio/collections/fruits-et-legumes/products/lgu510","8.95")</f>
        <v>8.95</v>
      </c>
      <c r="I469" s="25" t="s">
        <v>1638</v>
      </c>
      <c r="J469" s="7" t="str">
        <f>HYPERLINK("https://www.greenweez.com/produit/gingembre-perou-200g/1VRAC0054","7.4")</f>
        <v>7.4</v>
      </c>
      <c r="K469" s="25" t="s">
        <v>1639</v>
      </c>
      <c r="L469" s="9" t="str">
        <f>HYPERLINK("https://metabase.lelefan.org/public/dashboard/53c41f3f-5644-466e-935e-897e7725f6bc?rayon=&amp;d%25C3%25A9signation=GINGEMBRE FRAIS BIO AGRINEDIS&amp;fournisseur=&amp;date_d%25C3%25A9but=&amp;date_fin=","9.23")</f>
        <v>9.23</v>
      </c>
      <c r="M469" s="1" t="s">
        <v>869</v>
      </c>
      <c r="N469" s="9" t="str">
        <f>HYPERLINK("https://fd11-courses.leclercdrive.fr/magasin-063801-063801-Echirolles---Comboire/fiche-produits-55765-Gingembre-Bio-.aspx","11.25")</f>
        <v>11.25</v>
      </c>
    </row>
    <row r="470" ht="14.25" customHeight="1">
      <c r="A470" s="1" t="s">
        <v>706</v>
      </c>
      <c r="B470" s="9" t="str">
        <f>HYPERLINK("https://lafourche.fr/products/la-fourche-oignons-jaunes-bio-origine-france-1kg","2.85")</f>
        <v>2.85</v>
      </c>
      <c r="C470" s="25" t="s">
        <v>1562</v>
      </c>
      <c r="D470" s="9" t="str">
        <f>HYPERLINK("https://www.biocoop.fr/magasin-biocoop_champollion/oignon-vrac-jaune.html","888888")</f>
        <v>888888</v>
      </c>
      <c r="E470" s="18" t="s">
        <v>56</v>
      </c>
      <c r="F470" s="9" t="str">
        <f>HYPERLINK("https://www.biocoop.fr/magasin-biocoop_fontaine/oignon-vrac-jaune.html","3.3")</f>
        <v>3.3</v>
      </c>
      <c r="G470" s="25" t="s">
        <v>1640</v>
      </c>
      <c r="H470" s="7" t="str">
        <f>HYPERLINK("https://satoriz-comboire.bio/collections/fruits-et-legumes/products/lgu608","2.8")</f>
        <v>2.8</v>
      </c>
      <c r="I470" s="25" t="s">
        <v>889</v>
      </c>
      <c r="J470" s="9" t="str">
        <f>HYPERLINK("https://www.greenweez.com/produit/oignon-jaune-cal-40-80-france-1kg-1/1VRAC0533","2.89")</f>
        <v>2.89</v>
      </c>
      <c r="K470" s="26" t="s">
        <v>1641</v>
      </c>
      <c r="L470" s="9" t="str">
        <f>HYPERLINK("https://metabase.lelefan.org/public/dashboard/53c41f3f-5644-466e-935e-897e7725f6bc?rayon=&amp;d%25C3%25A9signation=OIGNON BIO AGRINEDIS&amp;fournisseur=&amp;date_d%25C3%25A9but=&amp;date_fin=","2.9")</f>
        <v>2.9</v>
      </c>
      <c r="M470" s="25" t="s">
        <v>943</v>
      </c>
      <c r="N470" s="16">
        <v>888888.0</v>
      </c>
    </row>
    <row r="471" ht="14.25" customHeight="1">
      <c r="A471" s="1" t="s">
        <v>707</v>
      </c>
      <c r="B471" s="9" t="str">
        <f>HYPERLINK("https://lafourche.fr/products/la-fourche-oignons-rouges-bio-origine-france-1kg","888888")</f>
        <v>888888</v>
      </c>
      <c r="C471" s="18" t="s">
        <v>56</v>
      </c>
      <c r="D471" s="9" t="str">
        <f>HYPERLINK("https://www.biocoop.fr/magasin-biocoop_champollion/oignon-vrac-rouge.html","888888")</f>
        <v>888888</v>
      </c>
      <c r="E471" s="18" t="s">
        <v>56</v>
      </c>
      <c r="F471" s="9" t="str">
        <f>HYPERLINK("https://www.biocoop.fr/magasin-biocoop_fontaine/oignon-vrac-rouge.html","3.95")</f>
        <v>3.95</v>
      </c>
      <c r="G471" s="1" t="s">
        <v>869</v>
      </c>
      <c r="H471" s="9" t="str">
        <f>HYPERLINK("https://satoriz-comboire.bio/collections/fruits-et-legumes/products/oignon-rouge","3.56")</f>
        <v>3.56</v>
      </c>
      <c r="I471" s="1" t="s">
        <v>869</v>
      </c>
      <c r="J471" s="7" t="str">
        <f>HYPERLINK("https://www.greenweez.com/produit/oignon-rouge-france-1kg-1/1VRAC0035","3.44")</f>
        <v>3.44</v>
      </c>
      <c r="K471" s="1" t="s">
        <v>869</v>
      </c>
      <c r="L471" s="16">
        <v>888888.0</v>
      </c>
      <c r="N471" s="9" t="str">
        <f>HYPERLINK("https://fd11-courses.leclercdrive.fr/magasin-063801-063801-Echirolles---Comboire/fiche-produits-112556-Oignon-rouge-Bio-.aspx","4.98")</f>
        <v>4.98</v>
      </c>
    </row>
    <row r="472" ht="14.25" customHeight="1">
      <c r="A472" s="1" t="s">
        <v>708</v>
      </c>
      <c r="B472" s="9" t="str">
        <f>HYPERLINK("https://lafourche.fr/products/la-fourche-betterave-rouge-bio-origine-france-1-kg","888888")</f>
        <v>888888</v>
      </c>
      <c r="C472" s="18" t="s">
        <v>56</v>
      </c>
      <c r="D472" s="9" t="str">
        <f>HYPERLINK("https://www.biocoop.fr/magasin-biocoop_champollion/betterave-rouge.html","888888")</f>
        <v>888888</v>
      </c>
      <c r="E472" s="16" t="s">
        <v>869</v>
      </c>
      <c r="F472" s="9" t="str">
        <f>HYPERLINK("https://www.biocoop.fr/magasin-biocoop_fontaine/betterave-rouge.html","2.9")</f>
        <v>2.9</v>
      </c>
      <c r="G472" s="1" t="s">
        <v>869</v>
      </c>
      <c r="H472" s="7" t="str">
        <f>HYPERLINK("https://satoriz-comboire.bio/collections/fruits-et-legumes/products/lgu210-1","2.3")</f>
        <v>2.3</v>
      </c>
      <c r="I472" s="26" t="s">
        <v>1642</v>
      </c>
      <c r="J472" s="9" t="str">
        <f>HYPERLINK("https://www.greenweez.com/produit/betterave-crue-rouge-france-1kg/1VRAC0023","888888")</f>
        <v>888888</v>
      </c>
      <c r="K472" s="16" t="s">
        <v>869</v>
      </c>
      <c r="L472" s="9" t="str">
        <f>HYPERLINK("https://metabase.lelefan.org/public/dashboard/53c41f3f-5644-466e-935e-897e7725f6bc?rayon=&amp;d%25C3%25A9signation=BETTERAVES CRUES BIO&amp;fournisseur=&amp;date_d%25C3%25A9but=&amp;date_fin=","888888")</f>
        <v>888888</v>
      </c>
      <c r="M472" s="18" t="s">
        <v>56</v>
      </c>
      <c r="N472" s="16">
        <v>888888.0</v>
      </c>
    </row>
    <row r="473" ht="14.25" customHeight="1">
      <c r="A473" s="1" t="s">
        <v>709</v>
      </c>
      <c r="B473" s="9" t="str">
        <f>HYPERLINK("https://lafourche.fr/products/la-fourche-pied-de-blettes-bio","3.99")</f>
        <v>3.99</v>
      </c>
      <c r="C473" s="25" t="s">
        <v>1643</v>
      </c>
      <c r="D473" s="9" t="str">
        <f>HYPERLINK("https://www.biocoop.fr/magasin-biocoop_champollion/blette-pied.html","888888")</f>
        <v>888888</v>
      </c>
      <c r="E473" s="18" t="s">
        <v>56</v>
      </c>
      <c r="F473" s="9" t="str">
        <f>HYPERLINK("https://www.biocoop.fr/magasin-biocoop_fontaine/blette-pied.html","888888")</f>
        <v>888888</v>
      </c>
      <c r="G473" s="16" t="s">
        <v>869</v>
      </c>
      <c r="H473" s="9" t="str">
        <f>HYPERLINK("https://satoriz-comboire.bio/collections/fruits-et-legumes/products/lgu222","3.8")</f>
        <v>3.8</v>
      </c>
      <c r="I473" s="25" t="s">
        <v>1249</v>
      </c>
      <c r="J473" s="9" t="str">
        <f>HYPERLINK("https://www.greenweez.com/produit/pied-de-blette-france-1-3kg/1VRAC0064","888888")</f>
        <v>888888</v>
      </c>
      <c r="K473" s="16" t="s">
        <v>869</v>
      </c>
      <c r="L473" s="7" t="str">
        <f>HYPERLINK("https://metabase.lelefan.org/public/dashboard/53c41f3f-5644-466e-935e-897e7725f6bc?rayon=&amp;d%25C3%25A9signation=BLETTE BIO&amp;fournisseur=&amp;date_d%25C3%25A9but=&amp;date_fin=","3.76")</f>
        <v>3.76</v>
      </c>
      <c r="M473" s="26" t="s">
        <v>1644</v>
      </c>
      <c r="N473" s="16">
        <v>888888.0</v>
      </c>
    </row>
    <row r="474" ht="14.25" customHeight="1">
      <c r="A474" s="1" t="s">
        <v>710</v>
      </c>
      <c r="B474" s="16">
        <v>888888.0</v>
      </c>
      <c r="D474" s="9" t="str">
        <f>HYPERLINK("https://www.biocoop.fr/magasin-biocoop_champollion/chou-brocoli.html","888888")</f>
        <v>888888</v>
      </c>
      <c r="E474" s="16" t="s">
        <v>869</v>
      </c>
      <c r="F474" s="7" t="str">
        <f>HYPERLINK("https://www.biocoop.fr/magasin-biocoop_fontaine/chou-brocoli.html","4.9")</f>
        <v>4.9</v>
      </c>
      <c r="G474" s="26" t="s">
        <v>1645</v>
      </c>
      <c r="H474" s="9" t="str">
        <f>HYPERLINK("https://satoriz-comboire.bio/collections/fruits-et-legumes/products/lgu230","5.8")</f>
        <v>5.8</v>
      </c>
      <c r="I474" s="25" t="s">
        <v>1646</v>
      </c>
      <c r="J474" s="9" t="str">
        <f>HYPERLINK("https://www.greenweez.com/produit/brocoli-france-800g-1/1VRAC0033","888888")</f>
        <v>888888</v>
      </c>
      <c r="K474" s="16" t="s">
        <v>869</v>
      </c>
      <c r="L474" s="9" t="str">
        <f>HYPERLINK("https://metabase.lelefan.org/public/dashboard/53c41f3f-5644-466e-935e-897e7725f6bc?rayon=&amp;d%25C3%25A9signation=BROCOLI BIO&amp;fournisseur=&amp;date_d%25C3%25A9but=&amp;date_fin=","888888")</f>
        <v>888888</v>
      </c>
      <c r="M474" s="16" t="s">
        <v>869</v>
      </c>
      <c r="N474" s="16">
        <v>888888.0</v>
      </c>
    </row>
    <row r="475" ht="14.25" customHeight="1">
      <c r="A475" s="1" t="s">
        <v>711</v>
      </c>
      <c r="B475" s="7" t="str">
        <f>HYPERLINK("https://lafourche.fr/products/la-fourche-carottes-bio-origine-france-2-kg-2","1.95")</f>
        <v>1.95</v>
      </c>
      <c r="C475" s="1" t="s">
        <v>869</v>
      </c>
      <c r="D475" s="9" t="str">
        <f>HYPERLINK("https://www.biocoop.fr/magasin-biocoop_champollion/carotte-lavee.html","888888")</f>
        <v>888888</v>
      </c>
      <c r="E475" s="18" t="s">
        <v>56</v>
      </c>
      <c r="F475" s="9" t="str">
        <f>HYPERLINK("https://www.biocoop.fr/magasin-biocoop_fontaine/carotte-lavee.html","2.8")</f>
        <v>2.8</v>
      </c>
      <c r="G475" s="1" t="s">
        <v>869</v>
      </c>
      <c r="H475" s="9" t="str">
        <f>HYPERLINK("https://satoriz-comboire.bio/collections/fruits-et-legumes/products/lgu248","888888")</f>
        <v>888888</v>
      </c>
      <c r="I475" s="18" t="s">
        <v>56</v>
      </c>
      <c r="J475" s="9" t="str">
        <f>HYPERLINK("https://www.greenweez.com/produit/carottes-lavees-france-1kg/1VRAC0034","2.5")</f>
        <v>2.5</v>
      </c>
      <c r="K475" s="26" t="s">
        <v>1647</v>
      </c>
      <c r="L475" s="9" t="str">
        <f>HYPERLINK("https://metabase.lelefan.org/public/dashboard/53c41f3f-5644-466e-935e-897e7725f6bc?rayon=&amp;d%25C3%25A9signation=CAROTTES BIO MANGEZ BIO ISERE&amp;fournisseur=&amp;date_d%25C3%25A9but=&amp;date_fin=","3.17")</f>
        <v>3.17</v>
      </c>
      <c r="M475" s="25" t="s">
        <v>1648</v>
      </c>
      <c r="N475" s="9" t="str">
        <f>HYPERLINK("https://fd11-courses.leclercdrive.fr/magasin-063801-063801-Echirolles---Comboire/fiche-produits-187942-Carottes-Bio-Bio-Village.aspx","1.99")</f>
        <v>1.99</v>
      </c>
    </row>
    <row r="476" ht="14.25" customHeight="1">
      <c r="A476" s="1" t="s">
        <v>712</v>
      </c>
      <c r="B476" s="22">
        <v>888888.0</v>
      </c>
      <c r="D476" s="22">
        <v>888888.0</v>
      </c>
      <c r="F476" s="22">
        <v>888888.0</v>
      </c>
      <c r="H476" s="7" t="str">
        <f>HYPERLINK("https://satoriz-comboire.bio/collections/fruits-et-legumes/products/lgu300","888888")</f>
        <v>888888</v>
      </c>
      <c r="I476" s="18" t="s">
        <v>56</v>
      </c>
      <c r="J476" s="7" t="str">
        <f>HYPERLINK("https://www.greenweez.com/produit/celeri-rave-france-1-3kgs/1VRAC0422","888888")</f>
        <v>888888</v>
      </c>
      <c r="K476" s="16" t="s">
        <v>869</v>
      </c>
      <c r="L476" s="7" t="str">
        <f>HYPERLINK("https://metabase.lelefan.org/public/dashboard/53c41f3f-5644-466e-935e-897e7725f6bc?rayon=&amp;d%25C3%25A9signation=CELERI RAVE BIO&amp;fournisseur=&amp;date_d%25C3%25A9but=&amp;date_fin=","888888")</f>
        <v>888888</v>
      </c>
      <c r="M476" s="18" t="s">
        <v>56</v>
      </c>
      <c r="N476" s="22">
        <v>888888.0</v>
      </c>
    </row>
    <row r="477" ht="14.25" customHeight="1">
      <c r="A477" s="1" t="s">
        <v>713</v>
      </c>
      <c r="B477" s="9" t="str">
        <f>HYPERLINK("https://lafourche.fr/products/la-fourche-celeri-branche-bio-0-5kg","3.98")</f>
        <v>3.98</v>
      </c>
      <c r="C477" s="25" t="s">
        <v>1649</v>
      </c>
      <c r="D477" s="9" t="str">
        <f>HYPERLINK("https://www.biocoop.fr/magasin-biocoop_champollion/celeri-branche.html","888888")</f>
        <v>888888</v>
      </c>
      <c r="E477" s="18" t="s">
        <v>56</v>
      </c>
      <c r="F477" s="7" t="str">
        <f>HYPERLINK("https://www.biocoop.fr/magasin-biocoop_fontaine/celeri-branche.html","3.9")</f>
        <v>3.9</v>
      </c>
      <c r="G477" s="1" t="s">
        <v>869</v>
      </c>
      <c r="H477" s="9" t="str">
        <f>HYPERLINK("https://satoriz-comboire.bio/collections/fruits-et-legumes/products/lgu301","4.1")</f>
        <v>4.1</v>
      </c>
      <c r="I477" s="25" t="s">
        <v>1650</v>
      </c>
      <c r="J477" s="9" t="str">
        <f>HYPERLINK("https://www.greenweez.com/produit/celeri-branche-france-800g/1VRAC0040","888888")</f>
        <v>888888</v>
      </c>
      <c r="K477" s="18" t="s">
        <v>56</v>
      </c>
      <c r="L477" s="16">
        <v>888888.0</v>
      </c>
      <c r="N477" s="16">
        <v>888888.0</v>
      </c>
    </row>
    <row r="478" ht="14.25" customHeight="1">
      <c r="A478" s="1" t="s">
        <v>714</v>
      </c>
      <c r="B478" s="7" t="str">
        <f>HYPERLINK("https://lafourche.fr/products/la-fourche-champignons-de-paris-bio-origine-france-0-5-kg-2","10.9")</f>
        <v>10.9</v>
      </c>
      <c r="C478" s="25" t="s">
        <v>1427</v>
      </c>
      <c r="D478" s="9" t="str">
        <f>HYPERLINK("https://www.biocoop.fr/magasin-biocoop_champollion/champignon-blond.html","888888")</f>
        <v>888888</v>
      </c>
      <c r="E478" s="18" t="s">
        <v>56</v>
      </c>
      <c r="F478" s="7" t="str">
        <f>HYPERLINK("https://www.biocoop.fr/magasin-biocoop_fontaine/champignon-blond.html","10.9")</f>
        <v>10.9</v>
      </c>
      <c r="G478" s="25" t="s">
        <v>1651</v>
      </c>
      <c r="H478" s="9" t="str">
        <f>HYPERLINK("https://satoriz-comboire.bio/collections/fruits-et-legumes/products/lgu321","11.5")</f>
        <v>11.5</v>
      </c>
      <c r="I478" s="26" t="s">
        <v>1652</v>
      </c>
      <c r="J478" s="9" t="str">
        <f>HYPERLINK("https://www.greenweez.com/produit/champignons-blancs/1VRAC0150","11.9")</f>
        <v>11.9</v>
      </c>
      <c r="K478" s="16" t="s">
        <v>896</v>
      </c>
      <c r="L478" s="9" t="str">
        <f>HYPERLINK("https://metabase.lelefan.org/public/dashboard/53c41f3f-5644-466e-935e-897e7725f6bc?rayon=&amp;d%25C3%25A9signation=CHAMPIGNON DE PARIS BIO&amp;fournisseur=&amp;date_d%25C3%25A9but=&amp;date_fin=","888888")</f>
        <v>888888</v>
      </c>
      <c r="M478" s="16" t="s">
        <v>869</v>
      </c>
      <c r="N478" s="9" t="str">
        <f>HYPERLINK("https://fd11-courses.leclercdrive.fr/magasin-063801-063801-Echirolles---Comboire/fiche-produits-102077-Champignons-de-Paris-bruns-Bio.aspx","10.95")</f>
        <v>10.95</v>
      </c>
    </row>
    <row r="479" ht="14.25" customHeight="1">
      <c r="A479" s="1" t="s">
        <v>715</v>
      </c>
      <c r="B479" s="9" t="str">
        <f>HYPERLINK("https://lafourche.fr/products/la-fourche-pleurotes-bio-origine-france-0-5kg","16.88")</f>
        <v>16.88</v>
      </c>
      <c r="C479" s="25" t="s">
        <v>1653</v>
      </c>
      <c r="D479" s="16">
        <v>888888.0</v>
      </c>
      <c r="F479" s="16">
        <v>888888.0</v>
      </c>
      <c r="H479" s="7" t="str">
        <f>HYPERLINK("https://satoriz-comboire.bio/collections/fruits-et-legumes/products/lgu325","13.0")</f>
        <v>13.0</v>
      </c>
      <c r="I479" s="26" t="s">
        <v>1654</v>
      </c>
      <c r="J479" s="9" t="str">
        <f>HYPERLINK("https://www.greenweez.com/produit/champignon-pleurote-ile-de-france-1/1VRAC0311","888888")</f>
        <v>888888</v>
      </c>
      <c r="K479" s="16" t="s">
        <v>869</v>
      </c>
      <c r="L479" s="9" t="str">
        <f>HYPERLINK("https://metabase.lelefan.org/public/dashboard/53c41f3f-5644-466e-935e-897e7725f6bc?rayon=&amp;d%25C3%25A9signation=PLEUROTE BIO VRAC&amp;fournisseur=&amp;date_d%25C3%25A9but=&amp;date_fin=","13.06")</f>
        <v>13.06</v>
      </c>
      <c r="M479" s="25" t="s">
        <v>1655</v>
      </c>
      <c r="N479" s="16">
        <v>888888.0</v>
      </c>
    </row>
    <row r="480" ht="14.25" customHeight="1">
      <c r="A480" s="1" t="s">
        <v>716</v>
      </c>
      <c r="B480" s="7" t="str">
        <f>HYPERLINK("https://lafourche.fr/products/la-fourche-choux-de-bruxelles-origine-france-0-25kg","888888")</f>
        <v>888888</v>
      </c>
      <c r="C480" s="18" t="s">
        <v>56</v>
      </c>
      <c r="D480" s="22">
        <v>888888.0</v>
      </c>
      <c r="F480" s="22">
        <v>888888.0</v>
      </c>
      <c r="H480" s="7" t="str">
        <f>HYPERLINK("https://satoriz-comboire.bio/collections/fruits-et-legumes/products/lgu338","888888")</f>
        <v>888888</v>
      </c>
      <c r="I480" s="18" t="s">
        <v>56</v>
      </c>
      <c r="J480" s="22">
        <v>888888.0</v>
      </c>
      <c r="L480" s="7" t="str">
        <f>HYPERLINK("https://metabase.lelefan.org/public/dashboard/53c41f3f-5644-466e-935e-897e7725f6bc?rayon=&amp;d%25C3%25A9signation=CHOU DE BRUXELLES BIO&amp;fournisseur=&amp;date_d%25C3%25A9but=&amp;date_fin=","888888")</f>
        <v>888888</v>
      </c>
      <c r="M480" s="16" t="s">
        <v>869</v>
      </c>
      <c r="N480" s="22">
        <v>888888.0</v>
      </c>
    </row>
    <row r="481" ht="14.25" customHeight="1">
      <c r="A481" s="1" t="s">
        <v>717</v>
      </c>
      <c r="B481" s="22">
        <v>888888.0</v>
      </c>
      <c r="D481" s="7" t="str">
        <f>HYPERLINK("https://www.biocoop.fr/magasin-biocoop_champollion/chou-rouge-fel1980-000-france.html","888888")</f>
        <v>888888</v>
      </c>
      <c r="E481" s="18" t="s">
        <v>56</v>
      </c>
      <c r="F481" s="7" t="str">
        <f>HYPERLINK("https://www.biocoop.fr/magasin-biocoop_fontaine/chou-rouge-fel1980-000-france.html","888888")</f>
        <v>888888</v>
      </c>
      <c r="G481" s="16" t="s">
        <v>869</v>
      </c>
      <c r="H481" s="7" t="str">
        <f>HYPERLINK("https://satoriz-comboire.bio/collections/fruits-et-legumes/products/lgu330","888888")</f>
        <v>888888</v>
      </c>
      <c r="I481" s="18" t="s">
        <v>56</v>
      </c>
      <c r="J481" s="22">
        <v>888888.0</v>
      </c>
      <c r="L481" s="22">
        <v>888888.0</v>
      </c>
      <c r="N481" s="22">
        <v>888888.0</v>
      </c>
    </row>
    <row r="482" ht="14.25" customHeight="1">
      <c r="A482" s="1" t="s">
        <v>718</v>
      </c>
      <c r="B482" s="16">
        <v>888888.0</v>
      </c>
      <c r="D482" s="9" t="str">
        <f>HYPERLINK("https://www.biocoop.fr/magasin-biocoop_champollion/courge-butternut-fel4759-000-france.html","888888")</f>
        <v>888888</v>
      </c>
      <c r="E482" s="16" t="s">
        <v>869</v>
      </c>
      <c r="F482" s="9" t="str">
        <f>HYPERLINK("https://www.biocoop.fr/magasin-biocoop_fontaine/courge-butternut-fel4759-000-france.html","888888")</f>
        <v>888888</v>
      </c>
      <c r="G482" s="18" t="s">
        <v>56</v>
      </c>
      <c r="H482" s="7" t="str">
        <f>HYPERLINK("https://satoriz-comboire.bio/collections/fruits-et-legumes/products/lgu401","2.0")</f>
        <v>2.0</v>
      </c>
      <c r="I482" s="26" t="s">
        <v>1656</v>
      </c>
      <c r="J482" s="9" t="str">
        <f>HYPERLINK("https://www.greenweez.com/produit/courge-butternut-france-2kg/1VRAC0036","888888")</f>
        <v>888888</v>
      </c>
      <c r="K482" s="16" t="s">
        <v>869</v>
      </c>
      <c r="L482" s="16">
        <v>888888.0</v>
      </c>
      <c r="N482" s="16">
        <v>888888.0</v>
      </c>
    </row>
    <row r="483" ht="14.25" customHeight="1">
      <c r="A483" s="1" t="s">
        <v>719</v>
      </c>
      <c r="B483" s="16">
        <v>888888.0</v>
      </c>
      <c r="D483" s="16">
        <v>888888.0</v>
      </c>
      <c r="F483" s="7" t="str">
        <f>HYPERLINK("https://www.biocoop.fr/magasin-biocoop_fontaine/potimarron-orange-fel3130-000-france.html","2.9")</f>
        <v>2.9</v>
      </c>
      <c r="G483" s="26" t="s">
        <v>1657</v>
      </c>
      <c r="H483" s="9" t="str">
        <f>HYPERLINK("https://satoriz-comboire.bio/collections/fruits-et-legumes/products/lgu791","888888")</f>
        <v>888888</v>
      </c>
      <c r="I483" s="18" t="s">
        <v>56</v>
      </c>
      <c r="J483" s="9" t="str">
        <f>HYPERLINK("https://www.greenweez.com/produit/courge-potimarron-orange-france-1500g/1VRAC0051","888888")</f>
        <v>888888</v>
      </c>
      <c r="K483" s="18" t="s">
        <v>56</v>
      </c>
      <c r="L483" s="16">
        <v>888888.0</v>
      </c>
      <c r="N483" s="16">
        <v>888888.0</v>
      </c>
    </row>
    <row r="484" ht="14.25" customHeight="1">
      <c r="A484" s="1" t="s">
        <v>720</v>
      </c>
      <c r="B484" s="7" t="str">
        <f>HYPERLINK("https://lafourche.fr/products/la-fourche-echalotes-bio-origine-france-0-5kg","7.7")</f>
        <v>7.7</v>
      </c>
      <c r="C484" s="25" t="s">
        <v>1658</v>
      </c>
      <c r="D484" s="9" t="str">
        <f>HYPERLINK("https://www.biocoop.fr/magasin-biocoop_champollion/echalote-vrac.html","888888")</f>
        <v>888888</v>
      </c>
      <c r="E484" s="18" t="s">
        <v>56</v>
      </c>
      <c r="F484" s="9" t="str">
        <f>HYPERLINK("https://www.biocoop.fr/magasin-biocoop_fontaine/echalote-vrac.html","7.9")</f>
        <v>7.9</v>
      </c>
      <c r="G484" s="25" t="s">
        <v>1544</v>
      </c>
      <c r="H484" s="9" t="str">
        <f>HYPERLINK("https://satoriz-comboire.bio/collections/fruits-et-legumes/products/lgu420","7.8")</f>
        <v>7.8</v>
      </c>
      <c r="I484" s="25" t="s">
        <v>1349</v>
      </c>
      <c r="J484" s="9" t="str">
        <f>HYPERLINK("https://www.greenweez.com/produit/echalote-nouvelle/1VRAC0053","7.72")</f>
        <v>7.72</v>
      </c>
      <c r="K484" s="25" t="s">
        <v>1659</v>
      </c>
      <c r="L484" s="16">
        <v>888888.0</v>
      </c>
      <c r="N484" s="16">
        <v>888888.0</v>
      </c>
    </row>
    <row r="485" ht="14.25" customHeight="1">
      <c r="A485" s="1" t="s">
        <v>721</v>
      </c>
      <c r="B485" s="9" t="str">
        <f>HYPERLINK("https://lafourche.fr/products/la-fourche-endives-bio-origine-france-0-5kg","7.9")</f>
        <v>7.9</v>
      </c>
      <c r="C485" s="26" t="s">
        <v>1193</v>
      </c>
      <c r="D485" s="16">
        <v>888888.0</v>
      </c>
      <c r="F485" s="16">
        <v>888888.0</v>
      </c>
      <c r="H485" s="7" t="str">
        <f>HYPERLINK("https://satoriz-comboire.bio/collections/fruits-et-legumes/products/lgu422","6.95")</f>
        <v>6.95</v>
      </c>
      <c r="I485" s="26" t="s">
        <v>1660</v>
      </c>
      <c r="J485" s="9" t="str">
        <f>HYPERLINK("https://www.greenweez.com/produit/endive-france-4/1VRAC0047","7.72")</f>
        <v>7.72</v>
      </c>
      <c r="K485" s="16" t="s">
        <v>896</v>
      </c>
      <c r="L485" s="9" t="str">
        <f>HYPERLINK("https://metabase.lelefan.org/public/dashboard/53c41f3f-5644-466e-935e-897e7725f6bc?rayon=&amp;d%25C3%25A9signation=ENDIVE BIO MANGEZ BIO ISERE&amp;fournisseur=&amp;date_d%25C3%25A9but=&amp;date_fin=","888888")</f>
        <v>888888</v>
      </c>
      <c r="M485" s="16" t="s">
        <v>869</v>
      </c>
      <c r="N485" s="16">
        <v>888888.0</v>
      </c>
    </row>
    <row r="486" ht="14.25" customHeight="1">
      <c r="A486" s="1" t="s">
        <v>722</v>
      </c>
      <c r="B486" s="16">
        <v>888888.0</v>
      </c>
      <c r="D486" s="16">
        <v>888888.0</v>
      </c>
      <c r="F486" s="16">
        <v>888888.0</v>
      </c>
      <c r="H486" s="7" t="str">
        <f>HYPERLINK("https://satoriz-comboire.bio/collections/fruits-et-legumes/products/lgu440","4.52")</f>
        <v>4.52</v>
      </c>
      <c r="I486" s="1" t="s">
        <v>869</v>
      </c>
      <c r="J486" s="9" t="str">
        <f>HYPERLINK("https://www.greenweez.com/produit/epinards/1VRAC0083","888888")</f>
        <v>888888</v>
      </c>
      <c r="K486" s="16" t="s">
        <v>869</v>
      </c>
      <c r="L486" s="9" t="str">
        <f>HYPERLINK("https://metabase.lelefan.org/public/dashboard/53c41f3f-5644-466e-935e-897e7725f6bc?rayon=&amp;d%25C3%25A9signation=EPINARD BIO&amp;fournisseur=&amp;date_d%25C3%25A9but=&amp;date_fin=","888888")</f>
        <v>888888</v>
      </c>
      <c r="M486" s="18" t="s">
        <v>56</v>
      </c>
      <c r="N486" s="16">
        <v>888888.0</v>
      </c>
    </row>
    <row r="487" ht="14.25" customHeight="1">
      <c r="A487" s="1" t="s">
        <v>723</v>
      </c>
      <c r="B487" s="16">
        <v>888888.0</v>
      </c>
      <c r="D487" s="9" t="str">
        <f>HYPERLINK("https://www.biocoop.fr/magasin-biocoop_champollion/fenouil-fel4515-000-france.html","888888")</f>
        <v>888888</v>
      </c>
      <c r="E487" s="18" t="s">
        <v>56</v>
      </c>
      <c r="F487" s="9" t="str">
        <f>HYPERLINK("https://www.biocoop.fr/magasin-biocoop_fontaine/fenouil-fel4515-000-france.html","5.5")</f>
        <v>5.5</v>
      </c>
      <c r="G487" s="1" t="s">
        <v>869</v>
      </c>
      <c r="H487" s="9" t="str">
        <f>HYPERLINK("https://satoriz-comboire.bio/collections/fruits-et-legumes/products/lgu460","5.1")</f>
        <v>5.1</v>
      </c>
      <c r="I487" s="25" t="s">
        <v>1491</v>
      </c>
      <c r="J487" s="9" t="str">
        <f>HYPERLINK("https://www.greenweez.com/produit/fenouil-france-800g-1/1VRAC0029","5.22")</f>
        <v>5.22</v>
      </c>
      <c r="K487" s="26" t="s">
        <v>1661</v>
      </c>
      <c r="L487" s="7" t="str">
        <f>HYPERLINK("https://metabase.lelefan.org/public/dashboard/53c41f3f-5644-466e-935e-897e7725f6bc?rayon=&amp;d%25C3%25A9signation=FENOUIL BIO&amp;fournisseur=&amp;date_d%25C3%25A9but=&amp;date_fin=","4.48")</f>
        <v>4.48</v>
      </c>
      <c r="M487" s="1" t="s">
        <v>869</v>
      </c>
      <c r="N487" s="16">
        <v>888888.0</v>
      </c>
    </row>
    <row r="488" ht="14.25" customHeight="1">
      <c r="A488" s="1" t="s">
        <v>724</v>
      </c>
      <c r="B488" s="9" t="str">
        <f>HYPERLINK("https://lafourche.fr/products/la-fourche-navets-nouveaux-bio-origine-france-0-5kg","888888")</f>
        <v>888888</v>
      </c>
      <c r="C488" s="18" t="s">
        <v>56</v>
      </c>
      <c r="D488" s="9" t="str">
        <f>HYPERLINK("https://www.biocoop.fr/magasin-biocoop_champollion/navet-vrac-violet.html","888888")</f>
        <v>888888</v>
      </c>
      <c r="E488" s="18" t="s">
        <v>56</v>
      </c>
      <c r="F488" s="7" t="str">
        <f>HYPERLINK("https://www.biocoop.fr/magasin-biocoop_fontaine/navet-vrac-violet.html","2.9")</f>
        <v>2.9</v>
      </c>
      <c r="G488" s="1" t="s">
        <v>869</v>
      </c>
      <c r="H488" s="16">
        <v>888888.0</v>
      </c>
      <c r="J488" s="9" t="str">
        <f>HYPERLINK("https://www.greenweez.com/produit/navet-violet-france-500g/1VRAC0045","3.76")</f>
        <v>3.76</v>
      </c>
      <c r="K488" s="1" t="s">
        <v>869</v>
      </c>
      <c r="L488" s="9" t="str">
        <f>HYPERLINK("https://metabase.lelefan.org/public/dashboard/53c41f3f-5644-466e-935e-897e7725f6bc?rayon=&amp;d%25C3%25A9signation=NAVET BIO&amp;fournisseur=&amp;date_d%25C3%25A9but=&amp;date_fin=","888888")</f>
        <v>888888</v>
      </c>
      <c r="M488" s="18" t="s">
        <v>56</v>
      </c>
      <c r="N488" s="16">
        <v>888888.0</v>
      </c>
    </row>
    <row r="489" ht="14.25" customHeight="1">
      <c r="A489" s="1" t="s">
        <v>725</v>
      </c>
      <c r="B489" s="7" t="str">
        <f>HYPERLINK("https://lafourche.fr/products/la-fourche-panais-bio-origine-france-0-5kg","888888")</f>
        <v>888888</v>
      </c>
      <c r="C489" s="18" t="s">
        <v>56</v>
      </c>
      <c r="D489" s="22">
        <v>888888.0</v>
      </c>
      <c r="F489" s="22">
        <v>888888.0</v>
      </c>
      <c r="H489" s="7" t="str">
        <f>HYPERLINK("https://satoriz-comboire.bio/collections/fruits-et-legumes/products/lgu620","888888")</f>
        <v>888888</v>
      </c>
      <c r="I489" s="18" t="s">
        <v>56</v>
      </c>
      <c r="J489" s="7" t="str">
        <f>HYPERLINK("https://www.greenweez.com/produit/panais-france-500g-1/1VRAC0031","888888")</f>
        <v>888888</v>
      </c>
      <c r="K489" s="18" t="s">
        <v>56</v>
      </c>
      <c r="L489" s="7" t="str">
        <f>HYPERLINK("https://metabase.lelefan.org/public/dashboard/53c41f3f-5644-466e-935e-897e7725f6bc?rayon=&amp;d%25C3%25A9signation=PANAIS BIO&amp;fournisseur=&amp;date_d%25C3%25A9but=&amp;date_fin=","888888")</f>
        <v>888888</v>
      </c>
      <c r="M489" s="16" t="s">
        <v>869</v>
      </c>
      <c r="N489" s="22">
        <v>888888.0</v>
      </c>
    </row>
    <row r="490" ht="14.25" customHeight="1">
      <c r="A490" s="1" t="s">
        <v>726</v>
      </c>
      <c r="B490" s="9" t="str">
        <f>HYPERLINK("https://lafourche.fr/products/la-fourche-patates-douces-roses-bio-origine-france-1kg","3.6")</f>
        <v>3.6</v>
      </c>
      <c r="C490" s="25" t="s">
        <v>164</v>
      </c>
      <c r="D490" s="9" t="str">
        <f>HYPERLINK("https://www.biocoop.fr/magasin-biocoop_champollion/patate-douce-fel4074-000-france.html","888888")</f>
        <v>888888</v>
      </c>
      <c r="E490" s="18" t="s">
        <v>56</v>
      </c>
      <c r="F490" s="9" t="str">
        <f>HYPERLINK("https://www.biocoop.fr/magasin-biocoop_fontaine/patate-douce-fel4074-000-france.html","4.9")</f>
        <v>4.9</v>
      </c>
      <c r="G490" s="1" t="s">
        <v>869</v>
      </c>
      <c r="H490" s="9" t="str">
        <f>HYPERLINK("https://satoriz-comboire.bio/collections/fruits-et-legumes/products/lgu631","888888")</f>
        <v>888888</v>
      </c>
      <c r="I490" s="18" t="s">
        <v>56</v>
      </c>
      <c r="J490" s="7" t="str">
        <f>HYPERLINK("https://www.greenweez.com/produit/patate-douce-espagne-1kg-1/1VRAC0426","3.13")</f>
        <v>3.13</v>
      </c>
      <c r="K490" s="25" t="s">
        <v>1662</v>
      </c>
      <c r="L490" s="9" t="str">
        <f>HYPERLINK("https://metabase.lelefan.org/public/dashboard/53c41f3f-5644-466e-935e-897e7725f6bc?rayon=&amp;d%25C3%25A9signation=PATATE DOUCE BIO&amp;fournisseur=&amp;date_d%25C3%25A9but=&amp;date_fin=","888888")</f>
        <v>888888</v>
      </c>
      <c r="M490" s="18" t="s">
        <v>56</v>
      </c>
      <c r="N490" s="9" t="str">
        <f>HYPERLINK("https://fd11-courses.leclercdrive.fr/magasin-063801-063801-Echirolles---Comboire/fiche-produits-122403-Patate-douce-Bio-Bio-Village.aspx","4.58")</f>
        <v>4.58</v>
      </c>
    </row>
    <row r="491" ht="14.25" customHeight="1">
      <c r="A491" s="1" t="s">
        <v>727</v>
      </c>
      <c r="B491" s="9" t="str">
        <f>HYPERLINK("https://lafourche.fr/products/la-fourche-poireaux-bio-origine-france-1kg","888888")</f>
        <v>888888</v>
      </c>
      <c r="C491" s="18" t="s">
        <v>56</v>
      </c>
      <c r="D491" s="9" t="str">
        <f>HYPERLINK("https://www.biocoop.fr/magasin-biocoop_champollion/poireau.html","888888")</f>
        <v>888888</v>
      </c>
      <c r="E491" s="16" t="s">
        <v>869</v>
      </c>
      <c r="F491" s="9" t="str">
        <f>HYPERLINK("https://www.biocoop.fr/magasin-biocoop_fontaine/poireau.html","3.9")</f>
        <v>3.9</v>
      </c>
      <c r="G491" s="26" t="s">
        <v>1663</v>
      </c>
      <c r="H491" s="9" t="str">
        <f>HYPERLINK("https://satoriz-comboire.bio/collections/fruits-et-legumes/products/lgu710","4.5")</f>
        <v>4.5</v>
      </c>
      <c r="I491" s="25" t="s">
        <v>1176</v>
      </c>
      <c r="J491" s="7" t="str">
        <f>HYPERLINK("https://www.greenweez.com/produit/poireau-primeur-france-1000g/1VRAC0024","3.86")</f>
        <v>3.86</v>
      </c>
      <c r="K491" s="16" t="s">
        <v>896</v>
      </c>
      <c r="L491" s="9" t="str">
        <f>HYPERLINK("https://metabase.lelefan.org/public/dashboard/53c41f3f-5644-466e-935e-897e7725f6bc?rayon=&amp;d%25C3%25A9signation=POIREAU BIO&amp;fournisseur=&amp;date_d%25C3%25A9but=&amp;date_fin=","4.3")</f>
        <v>4.3</v>
      </c>
      <c r="M491" s="16" t="s">
        <v>896</v>
      </c>
      <c r="N491" s="9" t="str">
        <f>HYPERLINK("https://fd11-courses.leclercdrive.fr/magasin-063801-063801-Echirolles---Comboire/fiche-produits-93029-Poireau-Bio-Bio-Village.aspx","5.05")</f>
        <v>5.05</v>
      </c>
    </row>
    <row r="492" ht="14.25" customHeight="1">
      <c r="A492" s="1" t="s">
        <v>728</v>
      </c>
      <c r="B492" s="9" t="str">
        <f>HYPERLINK("https://lafourche.fr/products/la-fourche-pommes-de-terre-chair-ferme-bio-origine-france-2-kg","2")</f>
        <v>2</v>
      </c>
      <c r="C492" s="1" t="s">
        <v>869</v>
      </c>
      <c r="D492" s="9" t="str">
        <f>HYPERLINK("https://www.biocoop.fr/magasin-biocoop_champollion/pomme-de-terre-tendre-autre.html","888888")</f>
        <v>888888</v>
      </c>
      <c r="E492" s="16" t="s">
        <v>869</v>
      </c>
      <c r="F492" s="9" t="str">
        <f>HYPERLINK("https://www.biocoop.fr/magasin-biocoop_fontaine/pomme-de-terre-tendre-autre.html","2.5")</f>
        <v>2.5</v>
      </c>
      <c r="G492" s="1" t="s">
        <v>869</v>
      </c>
      <c r="H492" s="9" t="str">
        <f>HYPERLINK("https://satoriz-comboire.bio/collections/fruits-et-legumes/products/lgu761","2.4")</f>
        <v>2.4</v>
      </c>
      <c r="I492" s="25" t="s">
        <v>1664</v>
      </c>
      <c r="J492" s="9" t="str">
        <f>HYPERLINK("https://www.greenweez.com/produit/pomme-de-terre-ferme-en-filet-france-2-5kg/1FLEG0596","2.6")</f>
        <v>2.6</v>
      </c>
      <c r="K492" s="26" t="s">
        <v>1665</v>
      </c>
      <c r="L492" s="7" t="str">
        <f>HYPERLINK("https://metabase.lelefan.org/public/dashboard/53c41f3f-5644-466e-935e-897e7725f6bc?rayon=&amp;d%25C3%25A9signation=POMME DE TERRE GROSSE BIO MANGEZ BIO&amp;fournisseur=&amp;date_d%25C3%25A9but=&amp;date_fin=","1.97")</f>
        <v>1.97</v>
      </c>
      <c r="M492" s="26" t="s">
        <v>1157</v>
      </c>
      <c r="N492" s="9" t="str">
        <f>HYPERLINK("https://fd11-courses.leclercdrive.fr/magasin-063801-063801-Echirolles---Comboire/fiche-produits-191661-Pommes-de-terre-Bio-Bio-Village.aspx","2.33")</f>
        <v>2.33</v>
      </c>
    </row>
    <row r="493" ht="14.25" customHeight="1">
      <c r="A493" s="1" t="s">
        <v>729</v>
      </c>
      <c r="B493" s="9" t="str">
        <f>HYPERLINK("https://lafourche.fr/products/la-fourche-topinambour-origine-france-0-5kg","888888")</f>
        <v>888888</v>
      </c>
      <c r="C493" s="18" t="s">
        <v>56</v>
      </c>
      <c r="D493" s="16">
        <v>888888.0</v>
      </c>
      <c r="F493" s="16">
        <v>888888.0</v>
      </c>
      <c r="H493" s="16">
        <v>888888.0</v>
      </c>
      <c r="J493" s="7" t="str">
        <f>HYPERLINK("https://www.greenweez.com/produit/topinambour-france-1000g/1VRAC0093","4.18")</f>
        <v>4.18</v>
      </c>
      <c r="K493" s="16" t="s">
        <v>896</v>
      </c>
      <c r="L493" s="16">
        <v>888888.0</v>
      </c>
      <c r="N493" s="16">
        <v>888888.0</v>
      </c>
    </row>
    <row r="494" ht="14.25" customHeight="1">
      <c r="A494" s="5" t="s">
        <v>730</v>
      </c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 ht="14.25" customHeight="1">
      <c r="A495" s="1" t="s">
        <v>731</v>
      </c>
      <c r="B495" s="9" t="str">
        <f t="shared" ref="B495:B496" si="380">HYPERLINK("https://lafourche.fr/products/taifun-tofu-nature-bio-0-2kg","8.3")</f>
        <v>8.3</v>
      </c>
      <c r="C495" s="25" t="s">
        <v>1666</v>
      </c>
      <c r="D495" s="9" t="str">
        <f>HYPERLINK("https://www.biocoop.fr/magasin-biocoop_champollion/tofu-nature-500g-to7084-000.html","8.7")</f>
        <v>8.7</v>
      </c>
      <c r="E495" s="1" t="s">
        <v>869</v>
      </c>
      <c r="F495" s="9" t="str">
        <f>HYPERLINK("https://www.biocoop.fr/magasin-biocoop_fontaine/tofu-nature-500g-to7084-000.html","8.7")</f>
        <v>8.7</v>
      </c>
      <c r="G495" s="1" t="s">
        <v>869</v>
      </c>
      <c r="H495" s="7" t="str">
        <f>HYPERLINK("https://satoriz-comboire.bio/collections/produits-frais/products/re1507","8.15")</f>
        <v>8.15</v>
      </c>
      <c r="I495" s="1" t="s">
        <v>869</v>
      </c>
      <c r="J495" s="9" t="str">
        <f t="shared" ref="J495:J496" si="381">HYPERLINK("https://www.greenweez.com/produit/tofu-nature-200g/1TAIF0030","9.7")</f>
        <v>9.7</v>
      </c>
      <c r="K495" s="1" t="s">
        <v>869</v>
      </c>
      <c r="L495" s="16">
        <v>888888.0</v>
      </c>
      <c r="N495" s="9" t="str">
        <f t="shared" ref="N495:N496" si="382">HYPERLINK("https://fd11-courses.leclercdrive.fr/magasin-063801-063801-Echirolles---Comboire/fiche-produits-90627-Tofu-Cereal-Bio.aspx","9.04")</f>
        <v>9.04</v>
      </c>
    </row>
    <row r="496" ht="14.25" customHeight="1">
      <c r="A496" s="1" t="s">
        <v>732</v>
      </c>
      <c r="B496" s="7" t="str">
        <f t="shared" si="380"/>
        <v>8.3</v>
      </c>
      <c r="C496" s="25" t="s">
        <v>1666</v>
      </c>
      <c r="D496" s="16">
        <v>888888.0</v>
      </c>
      <c r="E496" s="18" t="s">
        <v>56</v>
      </c>
      <c r="F496" s="9" t="str">
        <f>HYPERLINK("https://www.biocoop.fr/magasin-biocoop_fontaine/tofu-nature-2x125g-to7081-000.html","11.96")</f>
        <v>11.96</v>
      </c>
      <c r="G496" s="25" t="s">
        <v>1667</v>
      </c>
      <c r="H496" s="9" t="str">
        <f>HYPERLINK("https://satoriz-comboire.bio/collections/produits-frais/products/sttona","10.0")</f>
        <v>10.0</v>
      </c>
      <c r="I496" s="25" t="s">
        <v>1668</v>
      </c>
      <c r="J496" s="9" t="str">
        <f t="shared" si="381"/>
        <v>9.7</v>
      </c>
      <c r="K496" s="1" t="s">
        <v>869</v>
      </c>
      <c r="L496" s="16">
        <v>888888.0</v>
      </c>
      <c r="N496" s="9" t="str">
        <f t="shared" si="382"/>
        <v>9.04</v>
      </c>
    </row>
    <row r="497" ht="14.25" customHeight="1">
      <c r="A497" s="1" t="s">
        <v>733</v>
      </c>
      <c r="B497" s="9" t="str">
        <f t="shared" ref="B497:B498" si="383">HYPERLINK("https://lafourche.fr/products/taifun-tofu-fume-bio-0-2kg","12.25")</f>
        <v>12.25</v>
      </c>
      <c r="C497" s="25" t="s">
        <v>1213</v>
      </c>
      <c r="D497" s="9" t="str">
        <f t="shared" ref="D497:D498" si="384">HYPERLINK("https://www.biocoop.fr/magasin-biocoop_champollion/tofou-fume-2x100g-sy9938-000.html","16.75")</f>
        <v>16.75</v>
      </c>
      <c r="E497" s="26" t="s">
        <v>1357</v>
      </c>
      <c r="F497" s="9" t="str">
        <f t="shared" ref="F497:F498" si="385">HYPERLINK("https://www.biocoop.fr/magasin-biocoop_fontaine/tofou-fume-2x100g-sy9938-000.html","16.75")</f>
        <v>16.75</v>
      </c>
      <c r="G497" s="26" t="s">
        <v>1357</v>
      </c>
      <c r="H497" s="9" t="str">
        <f>HYPERLINK("https://satoriz-comboire.bio/collections/produits-frais/products/sttfu500","12.7")</f>
        <v>12.7</v>
      </c>
      <c r="I497" s="26" t="s">
        <v>1002</v>
      </c>
      <c r="J497" s="9" t="str">
        <f t="shared" ref="J497:J498" si="386">HYPERLINK("https://www.greenweez.com/produit/tofu-fume-200g/1TAIF0024","12.45")</f>
        <v>12.45</v>
      </c>
      <c r="K497" s="26" t="s">
        <v>1669</v>
      </c>
      <c r="L497" s="9" t="str">
        <f t="shared" ref="L497:L498" si="387">HYPERLINK("https://metabase.lelefan.org/public/dashboard/53c41f3f-5644-466e-935e-897e7725f6bc?rayon=&amp;d%25C3%25A9signation=TOFU FUME&amp;fournisseur=&amp;date_d%25C3%25A9but=&amp;date_fin=","13.6")</f>
        <v>13.6</v>
      </c>
      <c r="M497" s="1" t="s">
        <v>869</v>
      </c>
      <c r="N497" s="7" t="str">
        <f t="shared" ref="N497:N498" si="388">HYPERLINK("https://fd11-courses.leclercdrive.fr/magasin-063801-063801-Echirolles---Comboire/fiche-produits-127552-Tofu-fume-Cereal-Bio.aspx","11.25")</f>
        <v>11.25</v>
      </c>
    </row>
    <row r="498" ht="14.25" customHeight="1">
      <c r="A498" s="1" t="s">
        <v>734</v>
      </c>
      <c r="B498" s="9" t="str">
        <f t="shared" si="383"/>
        <v>12.25</v>
      </c>
      <c r="C498" s="25" t="s">
        <v>1213</v>
      </c>
      <c r="D498" s="9" t="str">
        <f t="shared" si="384"/>
        <v>16.75</v>
      </c>
      <c r="E498" s="26" t="s">
        <v>1357</v>
      </c>
      <c r="F498" s="9" t="str">
        <f t="shared" si="385"/>
        <v>16.75</v>
      </c>
      <c r="G498" s="26" t="s">
        <v>1357</v>
      </c>
      <c r="H498" s="9" t="str">
        <f>HYPERLINK("https://satoriz-comboire.bio/collections/produits-frais/products/sttf","15.75")</f>
        <v>15.75</v>
      </c>
      <c r="I498" s="25" t="s">
        <v>1670</v>
      </c>
      <c r="J498" s="9" t="str">
        <f t="shared" si="386"/>
        <v>12.45</v>
      </c>
      <c r="K498" s="26" t="s">
        <v>1669</v>
      </c>
      <c r="L498" s="9" t="str">
        <f t="shared" si="387"/>
        <v>13.6</v>
      </c>
      <c r="M498" s="1" t="s">
        <v>869</v>
      </c>
      <c r="N498" s="7" t="str">
        <f t="shared" si="388"/>
        <v>11.25</v>
      </c>
    </row>
    <row r="499" ht="14.25" customHeight="1">
      <c r="A499" s="1" t="s">
        <v>735</v>
      </c>
      <c r="B499" s="9" t="str">
        <f t="shared" ref="B499:B500" si="389">HYPERLINK("https://lafourche.fr/products/taifun-tofu-soyeux-bio-0-4kg","7.1")</f>
        <v>7.1</v>
      </c>
      <c r="C499" s="25" t="s">
        <v>352</v>
      </c>
      <c r="D499" s="9" t="str">
        <f>HYPERLINK("https://www.biocoop.fr/magasin-biocoop_champollion/tofou-soyeux-400g-sy9829-000.html","7.48")</f>
        <v>7.48</v>
      </c>
      <c r="E499" s="1" t="s">
        <v>869</v>
      </c>
      <c r="F499" s="9" t="str">
        <f>HYPERLINK("https://www.biocoop.fr/magasin-biocoop_fontaine/tofou-soyeux-400g-sy9829-000.html","7.48")</f>
        <v>7.48</v>
      </c>
      <c r="G499" s="1" t="s">
        <v>869</v>
      </c>
      <c r="H499" s="9" t="str">
        <f>HYPERLINK("https://satoriz-comboire.bio/collections/produits-frais/products/aa5425","7.38")</f>
        <v>7.38</v>
      </c>
      <c r="I499" s="1" t="s">
        <v>869</v>
      </c>
      <c r="J499" s="9" t="str">
        <f>HYPERLINK("https://www.greenweez.com/produit/tofu-soyeux-400g-1/1TAIF0029","8.3")</f>
        <v>8.3</v>
      </c>
      <c r="K499" s="1" t="s">
        <v>869</v>
      </c>
      <c r="L499" s="9" t="str">
        <f>HYPERLINK("https://metabase.lelefan.org/public/dashboard/53c41f3f-5644-466e-935e-897e7725f6bc?rayon=&amp;d%25C3%25A9signation=TOFU SOYEUX&amp;fournisseur=&amp;date_d%25C3%25A9but=&amp;date_fin=","8.6")</f>
        <v>8.6</v>
      </c>
      <c r="M499" s="25" t="s">
        <v>1292</v>
      </c>
      <c r="N499" s="7" t="str">
        <f>HYPERLINK("https://fd11-courses.leclercdrive.fr/magasin-063801-063801-Echirolles---Comboire/fiche-produits-90625-Tofu-soyeux-Cereal-Bio.aspx","4.88")</f>
        <v>4.88</v>
      </c>
    </row>
    <row r="500" ht="14.25" customHeight="1">
      <c r="A500" s="1" t="s">
        <v>736</v>
      </c>
      <c r="B500" s="7" t="str">
        <f t="shared" si="389"/>
        <v>7.1</v>
      </c>
      <c r="C500" s="25" t="s">
        <v>352</v>
      </c>
      <c r="D500" s="9" t="str">
        <f>HYPERLINK("https://www.biocoop.fr/magasin-biocoop_champollion/tofou-soyeux-nature-2x120g-sy9844-000.html","12.29")</f>
        <v>12.29</v>
      </c>
      <c r="E500" s="25" t="s">
        <v>1671</v>
      </c>
      <c r="F500" s="9" t="str">
        <f>HYPERLINK("https://www.biocoop.fr/magasin-biocoop_fontaine/tofou-soyeux-nature-2x120g-sy9844-000.html","888888")</f>
        <v>888888</v>
      </c>
      <c r="G500" s="18" t="s">
        <v>56</v>
      </c>
      <c r="H500" s="9" t="str">
        <f>HYPERLINK("https://satoriz-comboire.bio/collections/produits-frais/products/aa197792","10.42")</f>
        <v>10.42</v>
      </c>
      <c r="I500" s="25" t="s">
        <v>1672</v>
      </c>
      <c r="J500" s="9" t="str">
        <f>HYPERLINK("https://www.greenweez.com/produit/tofu-soyeux-2x120g/1SOYY0059","12.29")</f>
        <v>12.29</v>
      </c>
      <c r="K500" s="25" t="s">
        <v>1673</v>
      </c>
      <c r="L500" s="16">
        <v>888888.0</v>
      </c>
      <c r="M500" s="18" t="s">
        <v>56</v>
      </c>
      <c r="N500" s="16">
        <v>888888.0</v>
      </c>
    </row>
    <row r="501" ht="14.25" customHeight="1">
      <c r="A501" s="5" t="s">
        <v>737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 ht="14.25" customHeight="1">
      <c r="A502" s="1" t="s">
        <v>738</v>
      </c>
      <c r="B502" s="9" t="str">
        <f>HYPERLINK("https://lafourche.fr/products/coquelicot-provence-gnocchi-nature-bio-0-3kg","9.97")</f>
        <v>9.97</v>
      </c>
      <c r="C502" s="25" t="s">
        <v>1044</v>
      </c>
      <c r="D502" s="16">
        <v>888888.0</v>
      </c>
      <c r="F502" s="16">
        <v>888888.0</v>
      </c>
      <c r="H502" s="7" t="str">
        <f>HYPERLINK("https://satoriz-comboire.bio/products/fs6","2.7")</f>
        <v>2.7</v>
      </c>
      <c r="I502" s="26" t="s">
        <v>1674</v>
      </c>
      <c r="J502" s="9" t="str">
        <f>HYPERLINK("https://www.greenweez.com/produit/gnocchi-originaux-400g/1BVER0039","888888")</f>
        <v>888888</v>
      </c>
      <c r="K502" s="18" t="s">
        <v>56</v>
      </c>
      <c r="L502" s="9" t="str">
        <f>HYPERLINK("https://metabase.lelefan.org/public/dashboard/53c41f3f-5644-466e-935e-897e7725f6bc?rayon=&amp;d%25C3%25A9signation=GNOCCHI BLANC VRAC&amp;fournisseur=&amp;date_d%25C3%25A9but=&amp;date_fin=","4.35")</f>
        <v>4.35</v>
      </c>
      <c r="M502" s="1" t="s">
        <v>869</v>
      </c>
      <c r="N502" s="9" t="str">
        <f>HYPERLINK("https://fd11-courses.leclercdrive.fr/magasin-063801-063801-Echirolles---Comboire/fiche-produits-52961-Gnocchi-Bio-Village.aspx","6.63")</f>
        <v>6.63</v>
      </c>
    </row>
    <row r="503" ht="14.25" customHeight="1">
      <c r="A503" s="1" t="s">
        <v>739</v>
      </c>
      <c r="B503" s="9" t="str">
        <f>HYPERLINK("https://lafourche.fr/products/comptoir-du-pastier-gnocchi-frais-a-poeler-bio-0-3kg","9.5")</f>
        <v>9.5</v>
      </c>
      <c r="C503" s="26" t="s">
        <v>1644</v>
      </c>
      <c r="D503" s="9" t="str">
        <f>HYPERLINK("https://www.biocoop.fr/magasin-biocoop_champollion/gnocchi-a-poeler-300g-sj3014-000.html","11.67")</f>
        <v>11.67</v>
      </c>
      <c r="E503" s="1" t="s">
        <v>869</v>
      </c>
      <c r="F503" s="9" t="str">
        <f>HYPERLINK("https://www.biocoop.fr/magasin-biocoop_fontaine/gnocchi-a-poeler-pommes-de-terre-300g-co9058-000.html","9.33")</f>
        <v>9.33</v>
      </c>
      <c r="G503" s="1" t="s">
        <v>869</v>
      </c>
      <c r="H503" s="9" t="str">
        <f>HYPERLINK("https://satoriz-comboire.bio/products/re14647","10.33")</f>
        <v>10.33</v>
      </c>
      <c r="I503" s="25" t="s">
        <v>1675</v>
      </c>
      <c r="J503" s="9" t="str">
        <f>HYPERLINK("https://www.greenweez.com/produit/gnocchetti-frais-nature-400g/1BVER0031","9.9")</f>
        <v>9.9</v>
      </c>
      <c r="K503" s="16" t="s">
        <v>896</v>
      </c>
      <c r="L503" s="7" t="str">
        <f>HYPERLINK("https://metabase.lelefan.org/public/dashboard/53c41f3f-5644-466e-935e-897e7725f6bc?rayon=&amp;d%25C3%25A9signation=GNOCCHI BIO A POELER&amp;fournisseur=&amp;date_d%25C3%25A9but=&amp;date_fin=","8.4")</f>
        <v>8.4</v>
      </c>
      <c r="M503" s="25" t="s">
        <v>1676</v>
      </c>
      <c r="N503" s="16">
        <v>888888.0</v>
      </c>
    </row>
    <row r="504" ht="14.25" customHeight="1">
      <c r="A504" s="1" t="s">
        <v>740</v>
      </c>
      <c r="B504" s="9" t="str">
        <f>HYPERLINK("https://lafourche.fr/products/comptoir-du-pastier-ravioles-fraiche-emmental-bio-0-24kg","16.63")</f>
        <v>16.63</v>
      </c>
      <c r="C504" s="26" t="s">
        <v>1677</v>
      </c>
      <c r="D504" s="7" t="str">
        <f>HYPERLINK("https://www.biocoop.fr/magasin-biocoop_champollion/ravioles-emmental-sj3017-000.html","15.83")</f>
        <v>15.83</v>
      </c>
      <c r="E504" s="26" t="s">
        <v>1114</v>
      </c>
      <c r="F504" s="7" t="str">
        <f>HYPERLINK("https://www.biocoop.fr/magasin-biocoop_fontaine/ravioles-emmental-sj3017-000.html","15.83")</f>
        <v>15.83</v>
      </c>
      <c r="G504" s="26" t="s">
        <v>1114</v>
      </c>
      <c r="H504" s="9" t="str">
        <f>HYPERLINK("https://satoriz-comboire.bio/products/sj132100","18.96")</f>
        <v>18.96</v>
      </c>
      <c r="I504" s="25" t="s">
        <v>1678</v>
      </c>
      <c r="J504" s="9" t="str">
        <f>HYPERLINK("https://www.greenweez.com/produit/ravioles-a-lemmental-240g/1CDPA0002","888888")</f>
        <v>888888</v>
      </c>
      <c r="K504" s="18" t="s">
        <v>56</v>
      </c>
      <c r="L504" s="9" t="str">
        <f>HYPERLINK("https://metabase.lelefan.org/public/dashboard/53c41f3f-5644-466e-935e-897e7725f6bc?rayon=&amp;d%25C3%25A9signation=RAVIOLES EMMENTAL BIO 4 PLAQUES&amp;fournisseur=&amp;date_d%25C3%25A9but=&amp;date_fin=","888888")</f>
        <v>888888</v>
      </c>
      <c r="M504" s="16" t="s">
        <v>869</v>
      </c>
      <c r="N504" s="16">
        <v>888888.0</v>
      </c>
    </row>
    <row r="505" ht="14.25" customHeight="1">
      <c r="A505" s="1" t="s">
        <v>741</v>
      </c>
      <c r="B505" s="9" t="str">
        <f>HYPERLINK("https://lafourche.fr/products/wieninger-levure-fraiche-en-cube-bio-kg","20.24")</f>
        <v>20.24</v>
      </c>
      <c r="C505" s="25" t="s">
        <v>1491</v>
      </c>
      <c r="D505" s="9" t="str">
        <f>HYPERLINK("https://www.biocoop.fr/magasin-biocoop_champollion/levure-boulangere-fraiche-cube-42g-ra6007-000.html","21.43")</f>
        <v>21.43</v>
      </c>
      <c r="E505" s="25" t="s">
        <v>1679</v>
      </c>
      <c r="F505" s="9" t="str">
        <f>HYPERLINK("https://www.biocoop.fr/magasin-biocoop_fontaine/levure-boulangere-fraiche-cube-42g-ra6007-000.html","21.43")</f>
        <v>21.43</v>
      </c>
      <c r="G505" s="25" t="s">
        <v>1679</v>
      </c>
      <c r="H505" s="7" t="str">
        <f>HYPERLINK("https://satoriz-comboire.bio/collections/produits-frais/products/re17063","19.05")</f>
        <v>19.05</v>
      </c>
      <c r="I505" s="1" t="s">
        <v>869</v>
      </c>
      <c r="J505" s="9" t="str">
        <f>HYPERLINK("https://www.greenweez.com/produit/levure-fraiche-en-cube-42g/2BIOR0046","26.67")</f>
        <v>26.67</v>
      </c>
      <c r="K505" s="25" t="s">
        <v>1492</v>
      </c>
      <c r="L505" s="9" t="str">
        <f>HYPERLINK("https://metabase.lelefan.org/public/dashboard/53c41f3f-5644-466e-935e-897e7725f6bc?rayon=&amp;d%25C3%25A9signation=LEVURE FRAICHE&amp;fournisseur=&amp;date_d%25C3%25A9but=&amp;date_fin=","26.9")</f>
        <v>26.9</v>
      </c>
      <c r="M505" s="25" t="s">
        <v>1547</v>
      </c>
      <c r="N505" s="16">
        <v>888888.0</v>
      </c>
    </row>
    <row r="506" ht="14.25" customHeight="1">
      <c r="A506" s="1" t="s">
        <v>742</v>
      </c>
      <c r="B506" s="9" t="str">
        <f>HYPERLINK("https://lafourche.fr/products/biobleud-pate-feuilletee-beurre-multicereales-bio-0-25kg","10.48")</f>
        <v>10.48</v>
      </c>
      <c r="C506" s="25" t="s">
        <v>1680</v>
      </c>
      <c r="D506" s="9" t="str">
        <f>HYPERLINK("https://www.biocoop.fr/magasin-biocoop_champollion/pate-brisee-pur-beurre-250g-mt9340-000.html","12.4")</f>
        <v>12.4</v>
      </c>
      <c r="E506" s="1" t="s">
        <v>869</v>
      </c>
      <c r="F506" s="9" t="str">
        <f>HYPERLINK("https://www.biocoop.fr/magasin-biocoop_fontaine/pate-brisee-pur-beurre-250g-mt9340-000.html","888888")</f>
        <v>888888</v>
      </c>
      <c r="G506" s="16" t="s">
        <v>869</v>
      </c>
      <c r="H506" s="9" t="str">
        <f>HYPERLINK("https://satoriz-comboire.bio/collections/produits-frais/products/vi0111001","11.0")</f>
        <v>11.0</v>
      </c>
      <c r="I506" s="25" t="s">
        <v>1527</v>
      </c>
      <c r="J506" s="9" t="str">
        <f>HYPERLINK("https://www.greenweez.com/produit/pate-feuilletee-pur-beurre-250g-1/1NATA0083","888888")</f>
        <v>888888</v>
      </c>
      <c r="K506" s="18" t="s">
        <v>56</v>
      </c>
      <c r="L506" s="9" t="str">
        <f>HYPERLINK("https://metabase.lelefan.org/public/dashboard/53c41f3f-5644-466e-935e-897e7725f6bc?rayon=&amp;d%25C3%25A9signation=PATE FEUILLETEE PUR BEURRE&amp;fournisseur=&amp;date_d%25C3%25A9but=&amp;date_fin=","10.8")</f>
        <v>10.8</v>
      </c>
      <c r="M506" s="26" t="s">
        <v>1681</v>
      </c>
      <c r="N506" s="7" t="str">
        <f>HYPERLINK("https://fd11-courses.leclercdrive.fr/magasin-063801-063801-Echirolles---Comboire/fiche-produits-16433-Pate-feuilletee-Bio.aspx","7.17")</f>
        <v>7.17</v>
      </c>
    </row>
    <row r="507" ht="14.25" customHeight="1">
      <c r="A507" s="1" t="s">
        <v>743</v>
      </c>
      <c r="B507" s="9" t="str">
        <f>HYPERLINK("https://lafourche.fr/products/natur-avenir-pate-brisee-pur-beurre-bio-0-25kg","888888")</f>
        <v>888888</v>
      </c>
      <c r="C507" s="18" t="s">
        <v>56</v>
      </c>
      <c r="D507" s="9" t="str">
        <f>HYPERLINK("https://www.biocoop.fr/magasin-biocoop_champollion/pate-feuilletee-pur-beurre-250g-mt9341-000.html","12.6")</f>
        <v>12.6</v>
      </c>
      <c r="E507" s="25" t="s">
        <v>1682</v>
      </c>
      <c r="F507" s="9" t="str">
        <f>HYPERLINK("https://www.biocoop.fr/magasin-biocoop_fontaine/pate-feuilletee-pur-beurre-250g-mt9341-000.html","888888")</f>
        <v>888888</v>
      </c>
      <c r="G507" s="16" t="s">
        <v>869</v>
      </c>
      <c r="H507" s="9" t="str">
        <f>HYPERLINK("https://satoriz-comboire.bio/collections/produits-frais/products/vi0112001","10.8")</f>
        <v>10.8</v>
      </c>
      <c r="I507" s="25" t="s">
        <v>1683</v>
      </c>
      <c r="J507" s="9" t="str">
        <f>HYPERLINK("https://www.greenweez.com/produit/pate-brisee-pur-beurre-250g-1/1NATA0082","14.72")</f>
        <v>14.72</v>
      </c>
      <c r="K507" s="16" t="s">
        <v>896</v>
      </c>
      <c r="L507" s="9" t="str">
        <f>HYPERLINK("https://metabase.lelefan.org/public/dashboard/53c41f3f-5644-466e-935e-897e7725f6bc?rayon=&amp;d%25C3%25A9signation=PATE BRISEE PUR BEURRE&amp;fournisseur=&amp;date_d%25C3%25A9but=&amp;date_fin=","9.76")</f>
        <v>9.76</v>
      </c>
      <c r="M507" s="25" t="s">
        <v>1684</v>
      </c>
      <c r="N507" s="7" t="str">
        <f>HYPERLINK("https://fd11-courses.leclercdrive.fr/magasin-063801-063801-Echirolles---Comboire/fiche-produits-16432-Pate-brisee-Bio-.aspx","8.65")</f>
        <v>8.65</v>
      </c>
    </row>
    <row r="508" ht="14.25" customHeight="1">
      <c r="A508" s="1" t="s">
        <v>744</v>
      </c>
      <c r="B508" s="9" t="str">
        <f>HYPERLINK("https://lafourche.fr/products/biobleud-pate-a-pizza-bio-0-27kg","7.37")</f>
        <v>7.37</v>
      </c>
      <c r="C508" s="25" t="s">
        <v>1685</v>
      </c>
      <c r="D508" s="9" t="str">
        <f>HYPERLINK("https://www.biocoop.fr/magasin-biocoop_champollion/pate-a-pizza-aux-cereales-completes-430g-mt9335-000.html","888888")</f>
        <v>888888</v>
      </c>
      <c r="E508" s="18" t="s">
        <v>56</v>
      </c>
      <c r="F508" s="9" t="str">
        <f>HYPERLINK("https://www.biocoop.fr/magasin-biocoop_fontaine/pate-a-pizza-aux-cereales-completes-430g-mt9335-000.html","888888")</f>
        <v>888888</v>
      </c>
      <c r="G508" s="18" t="s">
        <v>56</v>
      </c>
      <c r="H508" s="9" t="str">
        <f>HYPERLINK("https://satoriz-comboire.bio/collections/produits-frais/products/vi10104008","8.33")</f>
        <v>8.33</v>
      </c>
      <c r="I508" s="25" t="s">
        <v>1310</v>
      </c>
      <c r="J508" s="16">
        <v>888888.0</v>
      </c>
      <c r="L508" s="9" t="str">
        <f>HYPERLINK("https://metabase.lelefan.org/public/dashboard/53c41f3f-5644-466e-935e-897e7725f6bc?rayon=&amp;d%25C3%25A9signation=PATE A PIZZA&amp;fournisseur=&amp;date_d%25C3%25A9but=&amp;date_fin=","888888")</f>
        <v>888888</v>
      </c>
      <c r="M508" s="16" t="s">
        <v>869</v>
      </c>
      <c r="N508" s="7" t="str">
        <f>HYPERLINK("https://fd11-courses.leclercdrive.fr/magasin-063801-063801-Echirolles---Comboire/fiche-produits-25393-Pate-a-pizza-Bio.aspx","7.0")</f>
        <v>7.0</v>
      </c>
    </row>
    <row r="509" ht="14.25" customHeight="1">
      <c r="A509" s="1" t="s">
        <v>745</v>
      </c>
      <c r="B509" s="9" t="str">
        <f>HYPERLINK("https://lafourche.fr/products/tossolia-hache-vegetal-a-la-bolognaise-bio-0-24kg","15.38")</f>
        <v>15.38</v>
      </c>
      <c r="C509" s="25" t="s">
        <v>902</v>
      </c>
      <c r="D509" s="7" t="str">
        <f>HYPERLINK("https://www.biocoop.fr/magasin-biocoop_champollion/hache-vegetal-a-la-bolognaise-240g-to7142-000.html","14.79")</f>
        <v>14.79</v>
      </c>
      <c r="E509" s="26" t="s">
        <v>1686</v>
      </c>
      <c r="F509" s="7" t="str">
        <f>HYPERLINK("https://www.biocoop.fr/magasin-biocoop_fontaine/hache-vegetal-a-la-bolognaise-240g-to7142-000.html","14.79")</f>
        <v>14.79</v>
      </c>
      <c r="G509" s="26" t="s">
        <v>1687</v>
      </c>
      <c r="H509" s="9" t="str">
        <f>HYPERLINK("https://satoriz-comboire.bio/collections/produits-frais/products/sthvb","15.21")</f>
        <v>15.21</v>
      </c>
      <c r="I509" s="25" t="s">
        <v>1507</v>
      </c>
      <c r="J509" s="9" t="str">
        <f>HYPERLINK("https://www.greenweez.com/produit/hache-vegetal-facon-bolognaise-240g/1IDEE0001","18.92")</f>
        <v>18.92</v>
      </c>
      <c r="K509" s="16" t="s">
        <v>896</v>
      </c>
      <c r="L509" s="9" t="str">
        <f>HYPERLINK("https://metabase.lelefan.org/public/dashboard/53c41f3f-5644-466e-935e-897e7725f6bc?rayon=&amp;d%25C3%25A9signation=HACHE VEGETAL A LA BOLOGNAISE&amp;fournisseur=&amp;date_d%25C3%25A9but=&amp;date_fin=","20.7")</f>
        <v>20.7</v>
      </c>
      <c r="M509" s="25" t="s">
        <v>1688</v>
      </c>
      <c r="N509" s="16">
        <v>888888.0</v>
      </c>
      <c r="P509" s="1">
        <v>0.24</v>
      </c>
    </row>
    <row r="510" ht="14.25" customHeight="1">
      <c r="A510" s="1" t="s">
        <v>746</v>
      </c>
      <c r="B510" s="7" t="str">
        <f>HYPERLINK("https://lafourche.fr/products/soy-steak-vegan-bio-0-18kg","21.67")</f>
        <v>21.67</v>
      </c>
      <c r="C510" s="26" t="s">
        <v>1137</v>
      </c>
      <c r="D510" s="9" t="str">
        <f>HYPERLINK("https://www.biocoop.fr/magasin-biocoop_champollion/steak-vegan-2x90g-sy9895-000.html","888888")</f>
        <v>888888</v>
      </c>
      <c r="E510" s="18" t="s">
        <v>56</v>
      </c>
      <c r="F510" s="9" t="str">
        <f>HYPERLINK("https://www.biocoop.fr/magasin-biocoop_fontaine/steak-vegan-2x90g-sy9895-000.html","888888")</f>
        <v>888888</v>
      </c>
      <c r="G510" s="18" t="s">
        <v>56</v>
      </c>
      <c r="H510" s="9" t="str">
        <f>HYPERLINK("https://satoriz-comboire.bio/collections/produits-frais/products/re15525","23.61")</f>
        <v>23.61</v>
      </c>
      <c r="I510" s="25" t="s">
        <v>1689</v>
      </c>
      <c r="J510" s="9" t="str">
        <f>HYPERLINK("https://www.greenweez.com/produit/steak-vegan-2-x-90g/1SOYY0100","27.89")</f>
        <v>27.89</v>
      </c>
      <c r="K510" s="25" t="s">
        <v>1690</v>
      </c>
      <c r="L510" s="9" t="str">
        <f>HYPERLINK("https://metabase.lelefan.org/public/dashboard/53c41f3f-5644-466e-935e-897e7725f6bc?rayon=&amp;d%25C3%25A9signation=STEAK VEGAN&amp;fournisseur=&amp;date_d%25C3%25A9but=&amp;date_fin=","25.44")</f>
        <v>25.44</v>
      </c>
      <c r="M510" s="1" t="s">
        <v>869</v>
      </c>
      <c r="N510" s="16">
        <v>888888.0</v>
      </c>
    </row>
    <row r="511" ht="14.25" customHeight="1">
      <c r="A511" s="1" t="s">
        <v>748</v>
      </c>
      <c r="B511" s="7" t="str">
        <f>HYPERLINK("https://lafourche.fr/products/nudj-nuggets-vegetales-jacquier-0-16kg","22.44")</f>
        <v>22.44</v>
      </c>
      <c r="C511" s="1" t="s">
        <v>869</v>
      </c>
      <c r="D511" s="9" t="str">
        <f>HYPERLINK("https://www.biocoop.fr/magasin-biocoop_champollion/nuggets-veggie-6-170g-sy9890-000.html","888888")</f>
        <v>888888</v>
      </c>
      <c r="E511" s="18" t="s">
        <v>56</v>
      </c>
      <c r="F511" s="9" t="str">
        <f>HYPERLINK("https://www.biocoop.fr/magasin-biocoop_fontaine/nuggets-veggie-6-170g-sy9890-000.html","888888")</f>
        <v>888888</v>
      </c>
      <c r="G511" s="18" t="s">
        <v>56</v>
      </c>
      <c r="H511" s="9" t="str">
        <f>HYPERLINK("https://satoriz-comboire.bio/collections/produits-frais/products/aa209400","25.0")</f>
        <v>25.0</v>
      </c>
      <c r="I511" s="26" t="s">
        <v>253</v>
      </c>
      <c r="J511" s="9" t="str">
        <f>HYPERLINK("https://www.greenweez.com/produit/6-nuggets-vegan-170g/1SOYY0101","30.71")</f>
        <v>30.71</v>
      </c>
      <c r="K511" s="25" t="s">
        <v>1691</v>
      </c>
      <c r="L511" s="16">
        <v>888888.0</v>
      </c>
      <c r="N511" s="16">
        <v>888888.0</v>
      </c>
    </row>
    <row r="512" ht="14.25" customHeight="1">
      <c r="A512" s="1" t="s">
        <v>749</v>
      </c>
      <c r="B512" s="9" t="str">
        <f>HYPERLINK("https://lafourche.fr/products/soto-falafel-traditionnel-bio-0-22kg","888888")</f>
        <v>888888</v>
      </c>
      <c r="C512" s="18" t="s">
        <v>56</v>
      </c>
      <c r="D512" s="16">
        <v>888888.0</v>
      </c>
      <c r="F512" s="16">
        <v>888888.0</v>
      </c>
      <c r="H512" s="7" t="str">
        <f>HYPERLINK("https://satoriz-comboire.bio/collections/produits-frais/products/aa204786","16.4")</f>
        <v>16.4</v>
      </c>
      <c r="I512" s="26" t="s">
        <v>1692</v>
      </c>
      <c r="J512" s="9" t="str">
        <f>HYPERLINK("https://www.greenweez.com/produit/falafel-220g/1SOTO0010","888888")</f>
        <v>888888</v>
      </c>
      <c r="K512" s="18" t="s">
        <v>56</v>
      </c>
      <c r="L512" s="9" t="str">
        <f>HYPERLINK("https://metabase.lelefan.org/public/dashboard/53c41f3f-5644-466e-935e-897e7725f6bc?rayon=&amp;d%25C3%25A9signation=FALAFEL TRADITIONNEL&amp;fournisseur=&amp;date_d%25C3%25A9but=&amp;date_fin=","22.0")</f>
        <v>22.0</v>
      </c>
      <c r="M512" s="1" t="s">
        <v>869</v>
      </c>
      <c r="N512" s="16">
        <v>888888.0</v>
      </c>
    </row>
    <row r="513" ht="14.25" customHeight="1"/>
    <row r="514" ht="14.25" customHeight="1">
      <c r="A514" s="3" t="s">
        <v>750</v>
      </c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</row>
    <row r="515" ht="14.25" customHeight="1">
      <c r="A515" s="5" t="s">
        <v>751</v>
      </c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 ht="14.25" customHeight="1">
      <c r="A516" s="1" t="s">
        <v>752</v>
      </c>
      <c r="B516" s="9" t="str">
        <f>HYPERLINK("https://lafourche.fr/products/la-fourche-vinaigre-blanc-12-5l","1.6")</f>
        <v>1.6</v>
      </c>
      <c r="C516" s="26" t="s">
        <v>1260</v>
      </c>
      <c r="D516" s="9" t="str">
        <f t="shared" ref="D516:D517" si="390">HYPERLINK("https://www.biocoop.fr/magasin-biocoop_champollion/vinaigre-d-alcool-8-1l-se4010-000.html","2.15")</f>
        <v>2.15</v>
      </c>
      <c r="E516" s="1" t="s">
        <v>869</v>
      </c>
      <c r="F516" s="9" t="str">
        <f t="shared" ref="F516:F517" si="391">HYPERLINK("https://www.biocoop.fr/magasin-biocoop_fontaine/vinaigre-d-alcool-8-1l-se4010-000.html","2.2")</f>
        <v>2.2</v>
      </c>
      <c r="G516" s="25" t="s">
        <v>1287</v>
      </c>
      <c r="H516" s="7" t="str">
        <f>HYPERLINK("https://satoriz-comboire.bio/collections/maison/products/cb4405","1.59")</f>
        <v>1.59</v>
      </c>
      <c r="I516" s="1" t="s">
        <v>869</v>
      </c>
      <c r="J516" s="9" t="str">
        <f>HYPERLINK("https://www.greenweez.com/produit/vinaigre-blanc-9-5deg-5l/2WEEZ0344","1.92")</f>
        <v>1.92</v>
      </c>
      <c r="K516" s="1" t="s">
        <v>869</v>
      </c>
      <c r="L516" s="9" t="str">
        <f t="shared" ref="L516:L517" si="392">HYPERLINK("https://metabase.lelefan.org/public/dashboard/53c41f3f-5644-466e-935e-897e7725f6bc?rayon=&amp;d%25C3%25A9signation=VINAIGRE NATUREL 14° VRAC&amp;fournisseur=&amp;date_d%25C3%25A9but=&amp;date_fin=","2.03")</f>
        <v>2.03</v>
      </c>
      <c r="M516" s="1" t="s">
        <v>869</v>
      </c>
      <c r="N516" s="16">
        <v>888888.0</v>
      </c>
      <c r="P516" s="1">
        <v>0.2</v>
      </c>
    </row>
    <row r="517" ht="14.25" customHeight="1">
      <c r="A517" s="1" t="s">
        <v>753</v>
      </c>
      <c r="B517" s="7" t="str">
        <f>HYPERLINK("https://lafourche.fr/products/la-fourche-vinaigre-blanc-12-1l","1.68")</f>
        <v>1.68</v>
      </c>
      <c r="C517" s="26" t="s">
        <v>286</v>
      </c>
      <c r="D517" s="9" t="str">
        <f t="shared" si="390"/>
        <v>2.15</v>
      </c>
      <c r="E517" s="1" t="s">
        <v>869</v>
      </c>
      <c r="F517" s="9" t="str">
        <f t="shared" si="391"/>
        <v>2.2</v>
      </c>
      <c r="G517" s="25" t="s">
        <v>1287</v>
      </c>
      <c r="H517" s="9" t="str">
        <f>HYPERLINK("https://satoriz-comboire.bio/products/cb3405","1.8")</f>
        <v>1.8</v>
      </c>
      <c r="I517" s="25" t="s">
        <v>1693</v>
      </c>
      <c r="J517" s="9" t="str">
        <f>HYPERLINK("https://www.greenweez.com/produit/vinaigre-menager-blanc-12-1l/1ECOD0089","2.45")</f>
        <v>2.45</v>
      </c>
      <c r="K517" s="25" t="s">
        <v>1694</v>
      </c>
      <c r="L517" s="9" t="str">
        <f t="shared" si="392"/>
        <v>2.03</v>
      </c>
      <c r="M517" s="1" t="s">
        <v>869</v>
      </c>
      <c r="N517" s="16">
        <v>888888.0</v>
      </c>
      <c r="P517" s="1">
        <v>0.2</v>
      </c>
    </row>
    <row r="518" ht="14.25" customHeight="1">
      <c r="A518" s="1" t="s">
        <v>754</v>
      </c>
      <c r="B518" s="9" t="str">
        <f>HYPERLINK("https://lafourche.fr/products/bicarbonate-la-fourche-2kg","3.38")</f>
        <v>3.38</v>
      </c>
      <c r="C518" s="1" t="s">
        <v>869</v>
      </c>
      <c r="D518" s="9" t="str">
        <f t="shared" ref="D518:D519" si="393">HYPERLINK("https://www.biocoop.fr/magasin-biocoop_champollion/bicarbonate-de-soude-se4001-000.html","4.9")</f>
        <v>4.9</v>
      </c>
      <c r="E518" s="1" t="s">
        <v>869</v>
      </c>
      <c r="F518" s="9" t="str">
        <f t="shared" ref="F518:F519" si="394">HYPERLINK("https://www.biocoop.fr/magasin-biocoop_fontaine/bicarbonate-soude-se4066-000.html","3.1")</f>
        <v>3.1</v>
      </c>
      <c r="G518" s="1" t="s">
        <v>869</v>
      </c>
      <c r="H518" s="9" t="str">
        <f>HYPERLINK("https://satoriz-comboire.bio/products/eco001","3.18")</f>
        <v>3.18</v>
      </c>
      <c r="I518" s="1" t="s">
        <v>869</v>
      </c>
      <c r="J518" s="9" t="str">
        <f t="shared" ref="J518:J519" si="395">HYPERLINK("https://www.greenweez.com/produit/bicarbonate-de-soude-technique-1kg-3/2ECOD0202","888888")</f>
        <v>888888</v>
      </c>
      <c r="K518" s="16" t="s">
        <v>869</v>
      </c>
      <c r="L518" s="9" t="str">
        <f t="shared" ref="L518:L519" si="396">HYPERLINK("https://metabase.lelefan.org/public/dashboard/53c41f3f-5644-466e-935e-897e7725f6bc?rayon=&amp;d%25C3%25A9signation=BICARBONATE TECHNIQUE VRAC&amp;fournisseur=&amp;date_d%25C3%25A9but=&amp;date_fin=","888888")</f>
        <v>888888</v>
      </c>
      <c r="M518" s="18" t="s">
        <v>56</v>
      </c>
      <c r="N518" s="7" t="str">
        <f>HYPERLINK("https://fd11-courses.leclercdrive.fr/magasin-063801-063801-Echirolles---Comboire/fiche-produits-71599-Bicarbonate-de-soude-Clair.aspx","3.0")</f>
        <v>3.0</v>
      </c>
    </row>
    <row r="519" ht="14.25" customHeight="1">
      <c r="A519" s="1" t="s">
        <v>755</v>
      </c>
      <c r="B519" s="9" t="str">
        <f>HYPERLINK("https://lafourche.fr/products/bicarbonate-la-fourche-1kg","3.55")</f>
        <v>3.55</v>
      </c>
      <c r="C519" s="25" t="s">
        <v>1695</v>
      </c>
      <c r="D519" s="9" t="str">
        <f t="shared" si="393"/>
        <v>4.9</v>
      </c>
      <c r="E519" s="1" t="s">
        <v>869</v>
      </c>
      <c r="F519" s="7" t="str">
        <f t="shared" si="394"/>
        <v>3.1</v>
      </c>
      <c r="G519" s="1" t="s">
        <v>869</v>
      </c>
      <c r="H519" s="16">
        <v>888888.0</v>
      </c>
      <c r="I519" s="18" t="s">
        <v>56</v>
      </c>
      <c r="J519" s="9" t="str">
        <f t="shared" si="395"/>
        <v>888888</v>
      </c>
      <c r="K519" s="16" t="s">
        <v>869</v>
      </c>
      <c r="L519" s="9" t="str">
        <f t="shared" si="396"/>
        <v>888888</v>
      </c>
      <c r="M519" s="18" t="s">
        <v>56</v>
      </c>
      <c r="N519" s="16">
        <v>888888.0</v>
      </c>
    </row>
    <row r="520" ht="14.25" customHeight="1">
      <c r="A520" s="1" t="s">
        <v>756</v>
      </c>
      <c r="B520" s="9" t="str">
        <f>HYPERLINK("https://lafourche.fr/products/cristaux-de-soude-la-fourche-1kg","3.99")</f>
        <v>3.99</v>
      </c>
      <c r="C520" s="1" t="s">
        <v>869</v>
      </c>
      <c r="D520" s="9" t="str">
        <f t="shared" ref="D520:D521" si="397">HYPERLINK("https://www.biocoop.fr/magasin-biocoop_champollion/soude-en-cristaux-concentree-500g-se4005-000.html","5.8")</f>
        <v>5.8</v>
      </c>
      <c r="E520" s="1" t="s">
        <v>869</v>
      </c>
      <c r="F520" s="9" t="str">
        <f t="shared" ref="F520:F521" si="398">HYPERLINK("https://www.biocoop.fr/magasin-biocoop_fontaine/soude-en-cristaux-concentree-500g-se4005-000.html","6.2")</f>
        <v>6.2</v>
      </c>
      <c r="G520" s="1" t="s">
        <v>869</v>
      </c>
      <c r="H520" s="9" t="str">
        <f t="shared" ref="H520:H521" si="399">HYPERLINK("https://satoriz-comboire.bio/collections/maison/products/eu7667","888888")</f>
        <v>888888</v>
      </c>
      <c r="I520" s="18" t="s">
        <v>56</v>
      </c>
      <c r="J520" s="9" t="str">
        <f>HYPERLINK("https://www.greenweez.com/produit/lot-de-2-soude-en-cristaux-1kg/1PACK1039","2.92")</f>
        <v>2.92</v>
      </c>
      <c r="K520" s="26" t="s">
        <v>1696</v>
      </c>
      <c r="L520" s="7" t="str">
        <f t="shared" ref="L520:L521" si="400">HYPERLINK("https://metabase.lelefan.org/public/dashboard/53c41f3f-5644-466e-935e-897e7725f6bc?rayon=&amp;d%25C3%25A9signation=CRISTAUX DE SOUDE VRAC&amp;fournisseur=&amp;date_d%25C3%25A9but=&amp;date_fin=","2.85")</f>
        <v>2.85</v>
      </c>
      <c r="M520" s="1" t="s">
        <v>869</v>
      </c>
      <c r="N520" s="9" t="str">
        <f t="shared" ref="N520:N521" si="401">HYPERLINK("https://fd11-courses.leclercdrive.fr/magasin-063801-063801-Echirolles---Comboire/fiche-produits-120224-Cristaux-de-soude-Clair.aspx","3.9")</f>
        <v>3.9</v>
      </c>
    </row>
    <row r="521" ht="14.25" customHeight="1">
      <c r="A521" s="1" t="s">
        <v>757</v>
      </c>
      <c r="B521" s="9" t="str">
        <f>HYPERLINK("https://lafourche.fr/products/maison-pinson-soude-en-cristaux-500g","3.58")</f>
        <v>3.58</v>
      </c>
      <c r="C521" s="26" t="s">
        <v>1697</v>
      </c>
      <c r="D521" s="9" t="str">
        <f t="shared" si="397"/>
        <v>5.8</v>
      </c>
      <c r="E521" s="1" t="s">
        <v>869</v>
      </c>
      <c r="F521" s="9" t="str">
        <f t="shared" si="398"/>
        <v>6.2</v>
      </c>
      <c r="G521" s="1" t="s">
        <v>869</v>
      </c>
      <c r="H521" s="9" t="str">
        <f t="shared" si="399"/>
        <v>888888</v>
      </c>
      <c r="I521" s="18" t="s">
        <v>56</v>
      </c>
      <c r="J521" s="9" t="str">
        <f>HYPERLINK("https://www.greenweez.com/produit/soude-en-cristaux-500g-2/2ECOD0217","5.8")</f>
        <v>5.8</v>
      </c>
      <c r="K521" s="25" t="s">
        <v>1698</v>
      </c>
      <c r="L521" s="7" t="str">
        <f t="shared" si="400"/>
        <v>2.85</v>
      </c>
      <c r="M521" s="1" t="s">
        <v>869</v>
      </c>
      <c r="N521" s="9" t="str">
        <f t="shared" si="401"/>
        <v>3.9</v>
      </c>
    </row>
    <row r="522" ht="14.25" customHeight="1">
      <c r="A522" s="1" t="s">
        <v>758</v>
      </c>
      <c r="B522" s="7" t="str">
        <f>HYPERLINK("https://lafourche.fr/products/percarbonate-2kg-la-fourche","4.64")</f>
        <v>4.64</v>
      </c>
      <c r="C522" s="1" t="s">
        <v>869</v>
      </c>
      <c r="D522" s="9" t="str">
        <f t="shared" ref="D522:D523" si="402">HYPERLINK("https://www.biocoop.fr/magasin-biocoop_champollion/percarbonate-de-soude-1kg-se4004-000.html","6.15")</f>
        <v>6.15</v>
      </c>
      <c r="E522" s="1" t="s">
        <v>869</v>
      </c>
      <c r="F522" s="9" t="str">
        <f t="shared" ref="F522:F523" si="403">HYPERLINK("https://www.biocoop.fr/magasin-biocoop_fontaine/percarbonate-de-soude-1kg-se4004-000.html","6.05")</f>
        <v>6.05</v>
      </c>
      <c r="G522" s="25" t="s">
        <v>1699</v>
      </c>
      <c r="H522" s="9" t="str">
        <f t="shared" ref="H522:H523" si="404">HYPERLINK("https://satoriz-comboire.bio/collections/maison/products/eco014","5.6")</f>
        <v>5.6</v>
      </c>
      <c r="I522" s="25" t="s">
        <v>1042</v>
      </c>
      <c r="J522" s="9" t="str">
        <f t="shared" ref="J522:J523" si="405">HYPERLINK("https://www.greenweez.com/produit/percarbonate-de-soude-1kg-2/2WEEZ0347","888888")</f>
        <v>888888</v>
      </c>
      <c r="K522" s="18" t="s">
        <v>56</v>
      </c>
      <c r="L522" s="9" t="str">
        <f>HYPERLINK("https://metabase.lelefan.org/public/dashboard/53c41f3f-5644-466e-935e-897e7725f6bc?rayon=&amp;d%25C3%25A9signation=PERCARBONATE DE SOUDE&amp;fournisseur=&amp;date_d%25C3%25A9but=&amp;date_fin=","5.25")</f>
        <v>5.25</v>
      </c>
      <c r="M522" s="16" t="s">
        <v>896</v>
      </c>
      <c r="N522" s="9" t="str">
        <f>HYPERLINK("https://fd11-courses.leclercdrive.fr/magasin-063801-063801-Echirolles---Comboire/fiche-produits-120225-Percarbonate-de-sodium-Clair.aspx","5.98")</f>
        <v>5.98</v>
      </c>
    </row>
    <row r="523" ht="14.25" customHeight="1">
      <c r="A523" s="1" t="s">
        <v>759</v>
      </c>
      <c r="B523" s="7" t="str">
        <f>HYPERLINK("https://lafourche.fr/products/percarbonate-1kg-la-fourche","4.89")</f>
        <v>4.89</v>
      </c>
      <c r="C523" s="25" t="s">
        <v>1700</v>
      </c>
      <c r="D523" s="9" t="str">
        <f t="shared" si="402"/>
        <v>6.15</v>
      </c>
      <c r="E523" s="1" t="s">
        <v>869</v>
      </c>
      <c r="F523" s="9" t="str">
        <f t="shared" si="403"/>
        <v>6.05</v>
      </c>
      <c r="G523" s="25" t="s">
        <v>1699</v>
      </c>
      <c r="H523" s="9" t="str">
        <f t="shared" si="404"/>
        <v>5.6</v>
      </c>
      <c r="I523" s="25" t="s">
        <v>1042</v>
      </c>
      <c r="J523" s="9" t="str">
        <f t="shared" si="405"/>
        <v>888888</v>
      </c>
      <c r="K523" s="18" t="s">
        <v>56</v>
      </c>
      <c r="L523" s="16">
        <v>888888.0</v>
      </c>
      <c r="M523" s="16" t="s">
        <v>869</v>
      </c>
      <c r="N523" s="16">
        <v>888888.0</v>
      </c>
    </row>
    <row r="524" ht="14.25" customHeight="1">
      <c r="A524" s="1" t="s">
        <v>760</v>
      </c>
      <c r="B524" s="7" t="str">
        <f>HYPERLINK("https://lafourche.fr/products/artisan-savonnier-blanc-de-meudon-500g","5.7")</f>
        <v>5.7</v>
      </c>
      <c r="C524" s="1" t="s">
        <v>869</v>
      </c>
      <c r="D524" s="9" t="str">
        <f>HYPERLINK("https://www.biocoop.fr/magasin-biocoop_champollion/blanc-de-meudon-500g-se4075-000.html","7.4")</f>
        <v>7.4</v>
      </c>
      <c r="E524" s="1" t="s">
        <v>869</v>
      </c>
      <c r="F524" s="9" t="str">
        <f>HYPERLINK("https://www.biocoop.fr/magasin-biocoop_fontaine/blanc-de-meudon-500g-se4075-000.html","7.7")</f>
        <v>7.7</v>
      </c>
      <c r="G524" s="1" t="s">
        <v>869</v>
      </c>
      <c r="H524" s="9" t="str">
        <f>HYPERLINK("https://satoriz-comboire.bio/collections/maison/products/ecod008","7.6")</f>
        <v>7.6</v>
      </c>
      <c r="I524" s="25" t="s">
        <v>1423</v>
      </c>
      <c r="J524" s="9" t="str">
        <f>HYPERLINK("https://www.greenweez.com/produit/blanc-de-meudon-diy-500g/1ARTI0062","14.4")</f>
        <v>14.4</v>
      </c>
      <c r="K524" s="16" t="s">
        <v>896</v>
      </c>
      <c r="L524" s="16">
        <v>888888.0</v>
      </c>
      <c r="N524" s="16">
        <v>888888.0</v>
      </c>
    </row>
    <row r="525" ht="14.25" customHeight="1">
      <c r="A525" s="1" t="s">
        <v>761</v>
      </c>
      <c r="B525" s="7" t="str">
        <f>HYPERLINK("https://lafourche.fr/products/la-fourche-mon-savon-noir-liquide-5l","4.19")</f>
        <v>4.19</v>
      </c>
      <c r="C525" s="1" t="s">
        <v>869</v>
      </c>
      <c r="D525" s="9" t="str">
        <f t="shared" ref="D525:D526" si="406">HYPERLINK("https://www.biocoop.fr/magasin-biocoop_champollion/savon-noir-concentre-a-l-huile-d-olive-1l-se4041-000.html","9.15")</f>
        <v>9.15</v>
      </c>
      <c r="E525" s="25" t="s">
        <v>1538</v>
      </c>
      <c r="F525" s="9" t="str">
        <f t="shared" ref="F525:F526" si="407">HYPERLINK("https://www.biocoop.fr/magasin-biocoop_fontaine/savon-noir-concentre-a-l-huile-d-olive-1l-se4041-000.html","7.99")</f>
        <v>7.99</v>
      </c>
      <c r="G525" s="26" t="s">
        <v>1701</v>
      </c>
      <c r="H525" s="9" t="str">
        <f t="shared" ref="H525:H526" si="408">HYPERLINK("https://satoriz-comboire.bio/collections/maison/products/eu9721","888888")</f>
        <v>888888</v>
      </c>
      <c r="I525" s="18" t="s">
        <v>56</v>
      </c>
      <c r="J525" s="7" t="str">
        <f>HYPERLINK("https://www.greenweez.com/produit/savon-noir-maison-5l-1/2WEEZ0042","4.19")</f>
        <v>4.19</v>
      </c>
      <c r="K525" s="26" t="s">
        <v>1702</v>
      </c>
      <c r="L525" s="9" t="str">
        <f t="shared" ref="L525:L526" si="409">HYPERLINK("https://metabase.lelefan.org/public/dashboard/53c41f3f-5644-466e-935e-897e7725f6bc?rayon=&amp;d%25C3%25A9signation=SAVON NOIR TRADITION VRAC&amp;fournisseur=&amp;date_d%25C3%25A9but=&amp;date_fin=","5.0")</f>
        <v>5.0</v>
      </c>
      <c r="M525" s="1" t="s">
        <v>869</v>
      </c>
      <c r="N525" s="16">
        <v>888888.0</v>
      </c>
    </row>
    <row r="526" ht="14.25" customHeight="1">
      <c r="A526" s="1" t="s">
        <v>762</v>
      </c>
      <c r="B526" s="7" t="str">
        <f>HYPERLINK("https://lafourche.fr/products/la-fourche-mon-savon-noir-liquide-1l","4.95")</f>
        <v>4.95</v>
      </c>
      <c r="C526" s="25" t="s">
        <v>1703</v>
      </c>
      <c r="D526" s="9" t="str">
        <f t="shared" si="406"/>
        <v>9.15</v>
      </c>
      <c r="E526" s="25" t="s">
        <v>1538</v>
      </c>
      <c r="F526" s="9" t="str">
        <f t="shared" si="407"/>
        <v>7.99</v>
      </c>
      <c r="G526" s="26" t="s">
        <v>1701</v>
      </c>
      <c r="H526" s="9" t="str">
        <f t="shared" si="408"/>
        <v>888888</v>
      </c>
      <c r="I526" s="18" t="s">
        <v>56</v>
      </c>
      <c r="J526" s="9" t="str">
        <f>HYPERLINK("https://www.greenweez.com/produit/savon-noir-liquide-authentique-1l/1ARTI0072","5.66")</f>
        <v>5.66</v>
      </c>
      <c r="K526" s="25" t="s">
        <v>1704</v>
      </c>
      <c r="L526" s="9" t="str">
        <f t="shared" si="409"/>
        <v>5.0</v>
      </c>
      <c r="M526" s="1" t="s">
        <v>869</v>
      </c>
      <c r="N526" s="16">
        <v>888888.0</v>
      </c>
    </row>
    <row r="527" ht="14.25" customHeight="1">
      <c r="A527" s="1" t="s">
        <v>763</v>
      </c>
      <c r="B527" s="7" t="str">
        <f t="shared" ref="B527:B528" si="410">HYPERLINK("https://lafourche.fr/products/acide-citrique-la-fourche-1kg","7.45")</f>
        <v>7.45</v>
      </c>
      <c r="C527" s="1" t="s">
        <v>869</v>
      </c>
      <c r="D527" s="9" t="str">
        <f t="shared" ref="D527:D528" si="411">HYPERLINK("https://www.biocoop.fr/magasin-biocoop_champollion/acide-citrique-1kg-se4000-000.html","10.55")</f>
        <v>10.55</v>
      </c>
      <c r="E527" s="1" t="s">
        <v>869</v>
      </c>
      <c r="F527" s="9" t="str">
        <f t="shared" ref="F527:F528" si="412">HYPERLINK("https://www.biocoop.fr/magasin-biocoop_fontaine/acide-citrique-1kg-se4000-000.html","8.09")</f>
        <v>8.09</v>
      </c>
      <c r="G527" s="26" t="s">
        <v>1705</v>
      </c>
      <c r="H527" s="9" t="str">
        <f t="shared" ref="H527:H528" si="413">HYPERLINK("https://satoriz-comboire.bio/collections/maison/products/eco012","7.6")</f>
        <v>7.6</v>
      </c>
      <c r="I527" s="25" t="s">
        <v>1305</v>
      </c>
      <c r="J527" s="9" t="str">
        <f>HYPERLINK("https://www.greenweez.com/produit/lot-de-2-acide-citrique-1kg/1PACK0470","7.87")</f>
        <v>7.87</v>
      </c>
      <c r="K527" s="26" t="s">
        <v>1706</v>
      </c>
      <c r="L527" s="9" t="str">
        <f t="shared" ref="L527:L528" si="414">HYPERLINK("https://metabase.lelefan.org/public/dashboard/53c41f3f-5644-466e-935e-897e7725f6bc?rayon=&amp;d%25C3%25A9signation=ACIDE CITRIQUE VRAC&amp;fournisseur=&amp;date_d%25C3%25A9but=&amp;date_fin=","8.51")</f>
        <v>8.51</v>
      </c>
      <c r="M527" s="1" t="s">
        <v>869</v>
      </c>
      <c r="N527" s="16">
        <v>888888.0</v>
      </c>
    </row>
    <row r="528" ht="14.25" customHeight="1">
      <c r="A528" s="1" t="s">
        <v>764</v>
      </c>
      <c r="B528" s="7" t="str">
        <f t="shared" si="410"/>
        <v>7.45</v>
      </c>
      <c r="C528" s="1" t="s">
        <v>869</v>
      </c>
      <c r="D528" s="9" t="str">
        <f t="shared" si="411"/>
        <v>10.55</v>
      </c>
      <c r="E528" s="1" t="s">
        <v>869</v>
      </c>
      <c r="F528" s="9" t="str">
        <f t="shared" si="412"/>
        <v>8.09</v>
      </c>
      <c r="G528" s="26" t="s">
        <v>1705</v>
      </c>
      <c r="H528" s="9" t="str">
        <f t="shared" si="413"/>
        <v>7.6</v>
      </c>
      <c r="I528" s="25" t="s">
        <v>1305</v>
      </c>
      <c r="J528" s="9" t="str">
        <f>HYPERLINK("https://www.greenweez.com/produit/acide-citrique-1kg-2/2ECOD0277","7.96")</f>
        <v>7.96</v>
      </c>
      <c r="K528" s="26" t="s">
        <v>1707</v>
      </c>
      <c r="L528" s="9" t="str">
        <f t="shared" si="414"/>
        <v>8.51</v>
      </c>
      <c r="M528" s="1" t="s">
        <v>869</v>
      </c>
      <c r="N528" s="16">
        <v>888888.0</v>
      </c>
    </row>
    <row r="529" ht="14.25" customHeight="1">
      <c r="A529" s="1" t="s">
        <v>765</v>
      </c>
      <c r="B529" s="9" t="str">
        <f t="shared" ref="B529:B530" si="415">HYPERLINK("https://lafourche.fr/products/la-fourche-mon-savon-de-marseille-en-copeaux-1kg","9.95")</f>
        <v>9.95</v>
      </c>
      <c r="C529" s="1" t="s">
        <v>869</v>
      </c>
      <c r="D529" s="9" t="str">
        <f t="shared" ref="D529:D530" si="416">HYPERLINK("https://www.biocoop.fr/magasin-biocoop_champollion/paillettes-de-savon-1kg-se4009-000.html","12.25")</f>
        <v>12.25</v>
      </c>
      <c r="E529" s="1" t="s">
        <v>869</v>
      </c>
      <c r="F529" s="9" t="str">
        <f t="shared" ref="F529:F530" si="417">HYPERLINK("https://www.biocoop.fr/magasin-biocoop_fontaine/paillettes-de-savon-1kg-se4009-000.html","10.6")</f>
        <v>10.6</v>
      </c>
      <c r="G529" s="1" t="s">
        <v>869</v>
      </c>
      <c r="H529" s="9" t="str">
        <f t="shared" ref="H529:H530" si="418">HYPERLINK("https://satoriz-comboire.bio/collections/maison/products/sle8163","888888")</f>
        <v>888888</v>
      </c>
      <c r="I529" s="18" t="s">
        <v>56</v>
      </c>
      <c r="J529" s="9" t="str">
        <f>HYPERLINK("https://www.greenweez.com/produit/lot-de-2-paillettes-de-savon-bio-1kg/1PACK1072","11.46")</f>
        <v>11.46</v>
      </c>
      <c r="K529" s="26" t="s">
        <v>1002</v>
      </c>
      <c r="L529" s="7" t="str">
        <f t="shared" ref="L529:L530" si="419">HYPERLINK("https://metabase.lelefan.org/public/dashboard/53c41f3f-5644-466e-935e-897e7725f6bc?rayon=&amp;d%25C3%25A9signation=PAILLETTE DE SAVON VRAC&amp;fournisseur=&amp;date_d%25C3%25A9but=&amp;date_fin=","9.75")</f>
        <v>9.75</v>
      </c>
      <c r="M529" s="1" t="s">
        <v>869</v>
      </c>
      <c r="N529" s="16">
        <v>888888.0</v>
      </c>
    </row>
    <row r="530" ht="14.25" customHeight="1">
      <c r="A530" s="1" t="s">
        <v>766</v>
      </c>
      <c r="B530" s="9" t="str">
        <f t="shared" si="415"/>
        <v>9.95</v>
      </c>
      <c r="C530" s="1" t="s">
        <v>869</v>
      </c>
      <c r="D530" s="9" t="str">
        <f t="shared" si="416"/>
        <v>12.25</v>
      </c>
      <c r="E530" s="1" t="s">
        <v>869</v>
      </c>
      <c r="F530" s="9" t="str">
        <f t="shared" si="417"/>
        <v>10.6</v>
      </c>
      <c r="G530" s="1" t="s">
        <v>869</v>
      </c>
      <c r="H530" s="9" t="str">
        <f t="shared" si="418"/>
        <v>888888</v>
      </c>
      <c r="I530" s="18" t="s">
        <v>56</v>
      </c>
      <c r="J530" s="9" t="str">
        <f>HYPERLINK("https://www.greenweez.com/produit/copeaux-de-savon-de-marseille-olive-750g-3/2WEEZ0459","12.64")</f>
        <v>12.64</v>
      </c>
      <c r="K530" s="25" t="s">
        <v>1708</v>
      </c>
      <c r="L530" s="7" t="str">
        <f t="shared" si="419"/>
        <v>9.75</v>
      </c>
      <c r="M530" s="1" t="s">
        <v>869</v>
      </c>
      <c r="N530" s="16">
        <v>888888.0</v>
      </c>
    </row>
    <row r="531" ht="14.25" customHeight="1">
      <c r="A531" s="5" t="s">
        <v>767</v>
      </c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 ht="14.25" customHeight="1">
      <c r="A532" s="1" t="s">
        <v>768</v>
      </c>
      <c r="B532" s="7" t="str">
        <f>HYPERLINK("https://lafourche.fr/products/la-fourche-lessive-liquide-5l","2.6")</f>
        <v>2.6</v>
      </c>
      <c r="C532" s="1" t="s">
        <v>869</v>
      </c>
      <c r="D532" s="9" t="str">
        <f>HYPERLINK("https://www.biocoop.fr/magasin-biocoop_champollion/lessive-liquide-lavande-lg1104-000.html","3.58")</f>
        <v>3.58</v>
      </c>
      <c r="E532" s="26" t="s">
        <v>1207</v>
      </c>
      <c r="F532" s="9" t="str">
        <f t="shared" ref="F532:F533" si="420">HYPERLINK("https://www.biocoop.fr/magasin-biocoop_fontaine/lessive-liquide-lavande-lg1103-000.html","3.99")</f>
        <v>3.99</v>
      </c>
      <c r="G532" s="26" t="s">
        <v>1709</v>
      </c>
      <c r="H532" s="9" t="str">
        <f>HYPERLINK("https://satoriz-comboire.bio/collections/maison/products/lgase3606","3.9")</f>
        <v>3.9</v>
      </c>
      <c r="I532" s="25" t="s">
        <v>1710</v>
      </c>
      <c r="J532" s="9" t="str">
        <f>HYPERLINK("https://www.greenweez.com/produit/lessive-liquide-lavande-ecologique-5l/2WEEZ0510","2.99")</f>
        <v>2.99</v>
      </c>
      <c r="K532" s="26" t="s">
        <v>1167</v>
      </c>
      <c r="L532" s="9" t="str">
        <f t="shared" ref="L532:L533" si="421">HYPERLINK("https://metabase.lelefan.org/public/dashboard/53c41f3f-5644-466e-935e-897e7725f6bc?rayon=&amp;d%25C3%25A9signation=LESSIVE HYPOALLERGENIQUE VRAC&amp;fournisseur=&amp;date_d%25C3%25A9but=&amp;date_fin=","4.46")</f>
        <v>4.46</v>
      </c>
      <c r="M532" s="25" t="s">
        <v>1711</v>
      </c>
      <c r="N532" s="9" t="str">
        <f t="shared" ref="N532:N533" si="422">HYPERLINK("https://fd11-courses.leclercdrive.fr/magasin-063801-063801-Echirolles---Comboire/fiche-produits-166404-Lessive-eco-recharge-Uni-Vert-.aspx","3.93")</f>
        <v>3.93</v>
      </c>
      <c r="P532" s="1">
        <v>0.2</v>
      </c>
    </row>
    <row r="533" ht="14.25" customHeight="1">
      <c r="A533" s="1" t="s">
        <v>769</v>
      </c>
      <c r="B533" s="7" t="str">
        <f>HYPERLINK("https://lafourche.fr/products/la-fourche-lessive-liquide-1-5l","2.66")</f>
        <v>2.66</v>
      </c>
      <c r="C533" s="25" t="s">
        <v>1712</v>
      </c>
      <c r="D533" s="9" t="str">
        <f>HYPERLINK("https://www.biocoop.fr/magasin-biocoop_champollion/lessive-liquide-lavande-lg1103-000.html","3.99")</f>
        <v>3.99</v>
      </c>
      <c r="E533" s="25" t="s">
        <v>111</v>
      </c>
      <c r="F533" s="9" t="str">
        <f t="shared" si="420"/>
        <v>3.99</v>
      </c>
      <c r="G533" s="26" t="s">
        <v>1709</v>
      </c>
      <c r="H533" s="9" t="str">
        <f>HYPERLINK("https://satoriz-comboire.bio/products/lgase3601?_pos=3&amp;_sid=4faeebba0&amp;_ss=r","4.1")</f>
        <v>4.1</v>
      </c>
      <c r="I533" s="25" t="s">
        <v>1375</v>
      </c>
      <c r="J533" s="9" t="str">
        <f>HYPERLINK("https://www.greenweez.com/produit/lessive-ecologique-savon-de-marseille-250g/1WRAP0007","9.97")</f>
        <v>9.97</v>
      </c>
      <c r="K533" s="25" t="s">
        <v>1713</v>
      </c>
      <c r="L533" s="9" t="str">
        <f t="shared" si="421"/>
        <v>4.46</v>
      </c>
      <c r="M533" s="25" t="s">
        <v>1711</v>
      </c>
      <c r="N533" s="9" t="str">
        <f t="shared" si="422"/>
        <v>3.93</v>
      </c>
      <c r="P533" s="1">
        <v>0.2</v>
      </c>
    </row>
    <row r="534" ht="14.25" customHeight="1">
      <c r="A534" s="1" t="s">
        <v>770</v>
      </c>
      <c r="B534" s="9" t="str">
        <f>HYPERLINK("https://lafourche.fr/products/la-fourche-lessive-en-poudre-blanc-et-couleurs-certifiee-ecodetergent-1kg","7.25")</f>
        <v>7.25</v>
      </c>
      <c r="C534" s="1" t="s">
        <v>869</v>
      </c>
      <c r="D534" s="9" t="str">
        <f>HYPERLINK("https://www.biocoop.fr/magasin-biocoop_champollion/lessive-poudre-ultra-concentree-800g-se4057-000.html","12.69")</f>
        <v>12.69</v>
      </c>
      <c r="E534" s="25" t="s">
        <v>1714</v>
      </c>
      <c r="F534" s="9" t="str">
        <f>HYPERLINK("https://www.biocoop.fr/magasin-biocoop_fontaine/lessive-poudre-ultra-concentree-800g-se4057-000.html","12.69")</f>
        <v>12.69</v>
      </c>
      <c r="G534" s="1" t="s">
        <v>869</v>
      </c>
      <c r="H534" s="9" t="str">
        <f>HYPERLINK("https://satoriz-comboire.bio/products/ecdo430","11.19")</f>
        <v>11.19</v>
      </c>
      <c r="I534" s="25" t="s">
        <v>1715</v>
      </c>
      <c r="J534" s="9" t="str">
        <f>HYPERLINK("https://www.greenweez.com/produit/4-mois-de-lessive-en-poudre-ecologique-1kg/2WEEZ0229","888888")</f>
        <v>888888</v>
      </c>
      <c r="K534" s="18" t="s">
        <v>56</v>
      </c>
      <c r="L534" s="7" t="str">
        <f>HYPERLINK("https://metabase.lelefan.org/public/dashboard/53c41f3f-5644-466e-935e-897e7725f6bc?rayon=&amp;d%25C3%25A9signation=LESSIVE POUDRE ACTIVE VRAC&amp;fournisseur=&amp;date_d%25C3%25A9but=&amp;date_fin=","5.69")</f>
        <v>5.69</v>
      </c>
      <c r="M534" s="1" t="s">
        <v>869</v>
      </c>
      <c r="N534" s="16">
        <v>888888.0</v>
      </c>
    </row>
    <row r="535" ht="14.25" customHeight="1">
      <c r="A535" s="1" t="s">
        <v>771</v>
      </c>
      <c r="B535" s="7" t="str">
        <f>HYPERLINK("https://lafourche.fr/products/la-fourche-adoucissant-a-la-lavande-5l","2.59")</f>
        <v>2.59</v>
      </c>
      <c r="C535" s="1" t="s">
        <v>869</v>
      </c>
      <c r="D535" s="9" t="str">
        <f t="shared" ref="D535:D536" si="423">HYPERLINK("https://www.biocoop.fr/magasin-biocoop_champollion/assouplissant-lavande-lg1030-000.html","3.7")</f>
        <v>3.7</v>
      </c>
      <c r="E535" s="1" t="s">
        <v>869</v>
      </c>
      <c r="F535" s="9" t="str">
        <f t="shared" ref="F535:F536" si="424">HYPERLINK("https://www.biocoop.fr/magasin-biocoop_fontaine/assouplissant-lavande-lg1030-000.html","3.7")</f>
        <v>3.7</v>
      </c>
      <c r="G535" s="1" t="s">
        <v>869</v>
      </c>
      <c r="H535" s="9" t="str">
        <f t="shared" ref="H535:H536" si="425">HYPERLINK("https://satoriz-comboire.bio/collections/maison/products/lgase3619","3.6")</f>
        <v>3.6</v>
      </c>
      <c r="I535" s="25" t="s">
        <v>1716</v>
      </c>
      <c r="J535" s="9" t="str">
        <f t="shared" ref="J535:J536" si="426">HYPERLINK("https://www.greenweez.com/produit/assouplissant-concentre-lavande-1-5l/1LERU0042","3.71")</f>
        <v>3.71</v>
      </c>
      <c r="K535" s="25" t="s">
        <v>1717</v>
      </c>
      <c r="L535" s="9" t="str">
        <f t="shared" ref="L535:L536" si="427">HYPERLINK("https://metabase.lelefan.org/public/dashboard/53c41f3f-5644-466e-935e-897e7725f6bc?rayon=&amp;d%25C3%25A9signation=ASSOUPLISSANT CONCENTRE&amp;fournisseur=&amp;date_d%25C3%25A9but=&amp;date_fin=","3.5")</f>
        <v>3.5</v>
      </c>
      <c r="M535" s="1" t="s">
        <v>869</v>
      </c>
      <c r="N535" s="9" t="str">
        <f t="shared" ref="N535:N536" si="428">HYPERLINK("https://fd11-courses.leclercdrive.fr/magasin-063801-063801-Echirolles---Comboire/fiche-produits-243970-Adoucissant-Eco-pack-Winnis.aspx","3.12")</f>
        <v>3.12</v>
      </c>
      <c r="P535" s="1">
        <v>0.05</v>
      </c>
    </row>
    <row r="536" ht="14.25" customHeight="1">
      <c r="A536" s="1" t="s">
        <v>772</v>
      </c>
      <c r="B536" s="7" t="str">
        <f>HYPERLINK("https://lafourche.fr/products/la-fourche-adoucissant-a-la-lavande-1-5l","2.83")</f>
        <v>2.83</v>
      </c>
      <c r="C536" s="25" t="s">
        <v>1718</v>
      </c>
      <c r="D536" s="9" t="str">
        <f t="shared" si="423"/>
        <v>3.7</v>
      </c>
      <c r="E536" s="1" t="s">
        <v>869</v>
      </c>
      <c r="F536" s="9" t="str">
        <f t="shared" si="424"/>
        <v>3.7</v>
      </c>
      <c r="G536" s="1" t="s">
        <v>869</v>
      </c>
      <c r="H536" s="9" t="str">
        <f t="shared" si="425"/>
        <v>3.6</v>
      </c>
      <c r="I536" s="25" t="s">
        <v>1716</v>
      </c>
      <c r="J536" s="9" t="str">
        <f t="shared" si="426"/>
        <v>3.71</v>
      </c>
      <c r="K536" s="25" t="s">
        <v>1717</v>
      </c>
      <c r="L536" s="9" t="str">
        <f t="shared" si="427"/>
        <v>3.5</v>
      </c>
      <c r="M536" s="1" t="s">
        <v>869</v>
      </c>
      <c r="N536" s="9" t="str">
        <f t="shared" si="428"/>
        <v>3.12</v>
      </c>
    </row>
    <row r="537" ht="14.25" customHeight="1">
      <c r="A537" s="5" t="s">
        <v>773</v>
      </c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 ht="14.25" customHeight="1">
      <c r="A538" s="1" t="s">
        <v>774</v>
      </c>
      <c r="B538" s="7" t="str">
        <f>HYPERLINK("https://lafourche.fr/products/la-fourche-liquide-vaisselle-certifie-ecodetergent-5l","1.98")</f>
        <v>1.98</v>
      </c>
      <c r="C538" s="1" t="s">
        <v>869</v>
      </c>
      <c r="D538" s="9" t="str">
        <f t="shared" ref="D538:D539" si="429">HYPERLINK("https://www.biocoop.fr/magasin-biocoop_champollion/liquide-vaisselle-citron-lg1002-000.html","2.75")</f>
        <v>2.75</v>
      </c>
      <c r="E538" s="1" t="s">
        <v>869</v>
      </c>
      <c r="F538" s="9" t="str">
        <f t="shared" ref="F538:F539" si="430">HYPERLINK("https://www.biocoop.fr/magasin-biocoop_fontaine/vaisselle-liquide-sans-parfum-1l-lg1122-000.html","2.99")</f>
        <v>2.99</v>
      </c>
      <c r="G538" s="26" t="s">
        <v>1719</v>
      </c>
      <c r="H538" s="9" t="str">
        <f>HYPERLINK("https://satoriz-comboire.bio/collections/maison/products/lgase3608","2.94")</f>
        <v>2.94</v>
      </c>
      <c r="I538" s="25" t="s">
        <v>1720</v>
      </c>
      <c r="J538" s="9" t="str">
        <f t="shared" ref="J538:J539" si="431">HYPERLINK("https://www.greenweez.com/produit/liquide-vaisselle-verveine-1l/2WEEZ0589","2.78")</f>
        <v>2.78</v>
      </c>
      <c r="K538" s="25" t="s">
        <v>1721</v>
      </c>
      <c r="L538" s="9" t="str">
        <f t="shared" ref="L538:L539" si="432">HYPERLINK("https://metabase.lelefan.org/public/dashboard/53c41f3f-5644-466e-935e-897e7725f6bc?rayon=&amp;d%25C3%25A9signation=LIQUIDE VAISSELLE VRAC&amp;fournisseur=&amp;date_d%25C3%25A9but=&amp;date_fin=","3.05")</f>
        <v>3.05</v>
      </c>
      <c r="M538" s="1" t="s">
        <v>869</v>
      </c>
      <c r="N538" s="9" t="str">
        <f>HYPERLINK("https://fd11-courses.leclercdrive.fr/magasin-063801-063801-Echirolles---Comboire/fiche-produits-115013-Liquide-vaisselle-Uni-Vert.aspx","2.13")</f>
        <v>2.13</v>
      </c>
      <c r="P538" s="1">
        <v>0.05</v>
      </c>
    </row>
    <row r="539" ht="14.25" customHeight="1">
      <c r="A539" s="1" t="s">
        <v>1722</v>
      </c>
      <c r="B539" s="7" t="str">
        <f>HYPERLINK("https://lafourche.fr/products/la-fourche-liquide-vaisselle-certifie-ecodetergent-1l","2.1")</f>
        <v>2.1</v>
      </c>
      <c r="C539" s="25" t="s">
        <v>1723</v>
      </c>
      <c r="D539" s="9" t="str">
        <f t="shared" si="429"/>
        <v>2.75</v>
      </c>
      <c r="E539" s="1" t="s">
        <v>869</v>
      </c>
      <c r="F539" s="9" t="str">
        <f t="shared" si="430"/>
        <v>2.99</v>
      </c>
      <c r="G539" s="26" t="s">
        <v>1719</v>
      </c>
      <c r="H539" s="9" t="str">
        <f>HYPERLINK("https://satoriz-comboire.bio/products/lgase3600?_pos=1&amp;_sid=622e2e5cf&amp;_ss=r","3.3")</f>
        <v>3.3</v>
      </c>
      <c r="I539" s="25" t="s">
        <v>970</v>
      </c>
      <c r="J539" s="9" t="str">
        <f t="shared" si="431"/>
        <v>2.78</v>
      </c>
      <c r="K539" s="25" t="s">
        <v>1721</v>
      </c>
      <c r="L539" s="9" t="str">
        <f t="shared" si="432"/>
        <v>3.05</v>
      </c>
      <c r="M539" s="1" t="s">
        <v>869</v>
      </c>
      <c r="N539" s="16">
        <v>888888.0</v>
      </c>
      <c r="P539" s="1">
        <v>0.05</v>
      </c>
    </row>
    <row r="540" ht="14.25" customHeight="1">
      <c r="A540" s="1" t="s">
        <v>775</v>
      </c>
      <c r="B540" s="7" t="str">
        <f>HYPERLINK("https://lafourche.fr/products/la-fourche-savon-vaisselle-200g","11.25")</f>
        <v>11.25</v>
      </c>
      <c r="C540" s="1" t="s">
        <v>869</v>
      </c>
      <c r="D540" s="9" t="str">
        <f>HYPERLINK("https://www.biocoop.fr/magasin-biocoop_champollion/savon-solide-vaisselle-aloe-vera-200g-cm0103-000.html","888888")</f>
        <v>888888</v>
      </c>
      <c r="E540" s="16" t="s">
        <v>869</v>
      </c>
      <c r="F540" s="9" t="str">
        <f>HYPERLINK("https://www.biocoop.fr/magasin-biocoop_fontaine/savon-solide-vaisselle-aloe-vera-200g-cm0103-000.html","19.95")</f>
        <v>19.95</v>
      </c>
      <c r="G540" s="26" t="s">
        <v>875</v>
      </c>
      <c r="H540" s="9" t="str">
        <f>HYPERLINK("https://satoriz-comboire.bio/collections/maison/products/lc6","18.75")</f>
        <v>18.75</v>
      </c>
      <c r="I540" s="1" t="s">
        <v>869</v>
      </c>
      <c r="J540" s="9" t="str">
        <f>HYPERLINK("https://www.greenweez.com/produit/savon-vaisselle-ecologique-solide-romarin-200g/1WRAP0009","29.5")</f>
        <v>29.5</v>
      </c>
      <c r="K540" s="16" t="s">
        <v>896</v>
      </c>
      <c r="L540" s="16">
        <v>888888.0</v>
      </c>
      <c r="N540" s="16">
        <v>888888.0</v>
      </c>
    </row>
    <row r="541" ht="14.25" customHeight="1"/>
    <row r="542" ht="14.25" customHeight="1">
      <c r="A542" s="3" t="s">
        <v>776</v>
      </c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</row>
    <row r="543" ht="14.25" customHeight="1">
      <c r="A543" s="5" t="s">
        <v>777</v>
      </c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 ht="14.25" customHeight="1">
      <c r="A544" s="1" t="s">
        <v>778</v>
      </c>
      <c r="B544" s="9" t="str">
        <f>HYPERLINK("https://lafourche.fr/products/la-fourche-huile-essentielle-de-tea-tree-0-03l","233")</f>
        <v>233</v>
      </c>
      <c r="C544" s="26" t="s">
        <v>1724</v>
      </c>
      <c r="D544" s="9" t="str">
        <f>HYPERLINK("https://www.biocoop.fr/magasin-biocoop_champollion/he-tea-tree-50ml-he1055-000.html","307.0")</f>
        <v>307.0</v>
      </c>
      <c r="E544" s="26" t="s">
        <v>1725</v>
      </c>
      <c r="F544" s="9" t="str">
        <f>HYPERLINK("https://www.biocoop.fr/magasin-biocoop_fontaine/he-tea-tree-50ml-he1055-000.html","307.0")</f>
        <v>307.0</v>
      </c>
      <c r="G544" s="26" t="s">
        <v>1726</v>
      </c>
      <c r="H544" s="9" t="str">
        <f t="shared" ref="H544:H545" si="433">HYPERLINK("https://satoriz-comboire.bio/products/c7339635","675.0")</f>
        <v>675.0</v>
      </c>
      <c r="I544" s="26" t="s">
        <v>1727</v>
      </c>
      <c r="J544" s="7" t="str">
        <f>HYPERLINK("https://www.greenweez.com/produit/huile-essentielle-de-tea-tree-bio-30ml/2WEEZ0447","216.33")</f>
        <v>216.33</v>
      </c>
      <c r="K544" s="26" t="s">
        <v>1728</v>
      </c>
      <c r="L544" s="16">
        <v>888888.0</v>
      </c>
      <c r="N544" s="9" t="str">
        <f t="shared" ref="N544:N545" si="434">HYPERLINK("https://fd11-courses.leclercdrive.fr/magasin-063801-063801-Echirolles---Comboire/fiche-produits-141678-Huile-essentielle-Puressentiel.aspx","490.0")</f>
        <v>490.0</v>
      </c>
    </row>
    <row r="545" ht="14.25" customHeight="1">
      <c r="A545" s="1" t="s">
        <v>779</v>
      </c>
      <c r="B545" s="16">
        <v>888888.0</v>
      </c>
      <c r="C545" s="18" t="s">
        <v>56</v>
      </c>
      <c r="D545" s="9" t="str">
        <f>HYPERLINK("https://www.biocoop.fr/magasin-biocoop_champollion/he-tea-tree-10ml-he1144-000.html","630.0")</f>
        <v>630.0</v>
      </c>
      <c r="E545" s="25" t="s">
        <v>1729</v>
      </c>
      <c r="F545" s="9" t="str">
        <f>HYPERLINK("https://www.biocoop.fr/magasin-biocoop_fontaine/magasin-biocoop_fontaine/he-tea-tree-10ml-he1144-000.html","888888")</f>
        <v>888888</v>
      </c>
      <c r="G545" s="18" t="s">
        <v>56</v>
      </c>
      <c r="H545" s="9" t="str">
        <f t="shared" si="433"/>
        <v>675.0</v>
      </c>
      <c r="I545" s="26" t="s">
        <v>1727</v>
      </c>
      <c r="J545" s="7" t="str">
        <f>HYPERLINK("https://www.greenweez.com/produit/huile-essentielle-tea-tree-bio-10ml-3/2WEEZ0319","388.0")</f>
        <v>388.0</v>
      </c>
      <c r="K545" s="25" t="s">
        <v>1730</v>
      </c>
      <c r="L545" s="16">
        <v>888888.0</v>
      </c>
      <c r="N545" s="9" t="str">
        <f t="shared" si="434"/>
        <v>490.0</v>
      </c>
    </row>
    <row r="546" ht="14.25" customHeight="1">
      <c r="A546" s="1" t="s">
        <v>780</v>
      </c>
      <c r="B546" s="9" t="str">
        <f t="shared" ref="B546:B547" si="435">HYPERLINK("https://lafourche.fr/products/la-fourche-huile-essentielle-de-citron-0-01l","354")</f>
        <v>354</v>
      </c>
      <c r="C546" s="26" t="s">
        <v>986</v>
      </c>
      <c r="D546" s="9" t="str">
        <f t="shared" ref="D546:D547" si="436">HYPERLINK("https://www.biocoop.fr/magasin-biocoop_champollion/he-citron-zeste-10ml-he1139-000.html","517.0")</f>
        <v>517.0</v>
      </c>
      <c r="E546" s="1" t="s">
        <v>869</v>
      </c>
      <c r="F546" s="7" t="str">
        <f>HYPERLINK("https://www.biocoop.fr/magasin-biocoop_fontaine/he-citron-zeste-50ml-he1036-000.html","299.8")</f>
        <v>299.8</v>
      </c>
      <c r="G546" s="26" t="s">
        <v>1731</v>
      </c>
      <c r="H546" s="9" t="str">
        <f t="shared" ref="H546:H547" si="437">HYPERLINK("https://satoriz-comboire.bio/collections/bien-etre-sante/products/c7339641","765.0")</f>
        <v>765.0</v>
      </c>
      <c r="I546" s="26" t="s">
        <v>1482</v>
      </c>
      <c r="J546" s="9" t="str">
        <f t="shared" ref="J546:J547" si="438">HYPERLINK("https://www.greenweez.com/produit/huile-essentielle-citron-bio-10ml-2/2WEEZ0315","359.0")</f>
        <v>359.0</v>
      </c>
      <c r="K546" s="26" t="s">
        <v>1333</v>
      </c>
      <c r="L546" s="16">
        <v>888888.0</v>
      </c>
      <c r="N546" s="9" t="str">
        <f t="shared" ref="N546:N547" si="439">HYPERLINK("https://fd11-courses.leclercdrive.fr/magasin-063801-063801-Echirolles---Comboire/fiche-produits-141684-Huile-essentielle-Puressentiel.aspx","399.0")</f>
        <v>399.0</v>
      </c>
    </row>
    <row r="547" ht="14.25" customHeight="1">
      <c r="A547" s="1" t="s">
        <v>781</v>
      </c>
      <c r="B547" s="7" t="str">
        <f t="shared" si="435"/>
        <v>354</v>
      </c>
      <c r="C547" s="26" t="s">
        <v>986</v>
      </c>
      <c r="D547" s="9" t="str">
        <f t="shared" si="436"/>
        <v>517.0</v>
      </c>
      <c r="E547" s="1" t="s">
        <v>869</v>
      </c>
      <c r="F547" s="9" t="str">
        <f>HYPERLINK("https://www.biocoop.fr/magasin-biocoop_fontaine/he-citron-zeste-10ml-he1139-000.html","465.0")</f>
        <v>465.0</v>
      </c>
      <c r="G547" s="25" t="s">
        <v>1732</v>
      </c>
      <c r="H547" s="9" t="str">
        <f t="shared" si="437"/>
        <v>765.0</v>
      </c>
      <c r="I547" s="26" t="s">
        <v>1482</v>
      </c>
      <c r="J547" s="9" t="str">
        <f t="shared" si="438"/>
        <v>359.0</v>
      </c>
      <c r="K547" s="26" t="s">
        <v>1333</v>
      </c>
      <c r="L547" s="16">
        <v>888888.0</v>
      </c>
      <c r="N547" s="9" t="str">
        <f t="shared" si="439"/>
        <v>399.0</v>
      </c>
    </row>
    <row r="548" ht="14.25" customHeight="1">
      <c r="A548" s="1" t="s">
        <v>782</v>
      </c>
      <c r="B548" s="9" t="str">
        <f t="shared" ref="B548:B549" si="440">HYPERLINK("https://lafourche.fr/products/la-fourche-huile-essentielle-de-lavandin-super-0-01l","296")</f>
        <v>296</v>
      </c>
      <c r="C548" s="1" t="s">
        <v>869</v>
      </c>
      <c r="D548" s="7" t="str">
        <f>HYPERLINK("https://www.biocoop.fr/magasin-biocoop_champollion/he-lavandin-super-50ml-he1051-000.html","281.0")</f>
        <v>281.0</v>
      </c>
      <c r="E548" s="1" t="s">
        <v>869</v>
      </c>
      <c r="F548" s="9" t="str">
        <f>HYPERLINK("https://www.biocoop.fr/magasin-biocoop_fontaine/he-lavandin-super-50ml-he1051-000.html","302.0")</f>
        <v>302.0</v>
      </c>
      <c r="G548" s="1" t="s">
        <v>869</v>
      </c>
      <c r="H548" s="9" t="str">
        <f t="shared" ref="H548:H549" si="441">HYPERLINK("https://satoriz-comboire.bio/products/c7339718","475.0")</f>
        <v>475.0</v>
      </c>
      <c r="I548" s="26" t="s">
        <v>1733</v>
      </c>
      <c r="J548" s="9" t="str">
        <f t="shared" ref="J548:J549" si="442">HYPERLINK("https://www.greenweez.com/produit/huile-essentielle-de-lavandin-diy-10ml/1ADIY0017","888888")</f>
        <v>888888</v>
      </c>
      <c r="K548" s="16" t="s">
        <v>869</v>
      </c>
      <c r="L548" s="16">
        <v>888888.0</v>
      </c>
      <c r="N548" s="16">
        <v>888888.0</v>
      </c>
    </row>
    <row r="549" ht="14.25" customHeight="1">
      <c r="A549" s="1" t="s">
        <v>783</v>
      </c>
      <c r="B549" s="7" t="str">
        <f t="shared" si="440"/>
        <v>296</v>
      </c>
      <c r="C549" s="1" t="s">
        <v>869</v>
      </c>
      <c r="D549" s="9" t="str">
        <f>HYPERLINK("https://www.biocoop.fr/magasin-biocoop_champollion/he-lavandin-super-10ml-he1142-000.html","456.0")</f>
        <v>456.0</v>
      </c>
      <c r="E549" s="25" t="s">
        <v>1734</v>
      </c>
      <c r="F549" s="9" t="str">
        <f>HYPERLINK("https://www.biocoop.fr/magasin-biocoop_fontaine/he-lavandin-super-10ml-he1142-000.html","420.0")</f>
        <v>420.0</v>
      </c>
      <c r="G549" s="25" t="s">
        <v>1735</v>
      </c>
      <c r="H549" s="9" t="str">
        <f t="shared" si="441"/>
        <v>475.0</v>
      </c>
      <c r="I549" s="26" t="s">
        <v>1733</v>
      </c>
      <c r="J549" s="9" t="str">
        <f t="shared" si="442"/>
        <v>888888</v>
      </c>
      <c r="K549" s="16" t="s">
        <v>869</v>
      </c>
      <c r="L549" s="16">
        <v>888888.0</v>
      </c>
      <c r="N549" s="16">
        <v>888888.0</v>
      </c>
    </row>
    <row r="550" ht="14.25" customHeight="1">
      <c r="A550" s="1" t="s">
        <v>784</v>
      </c>
      <c r="B550" s="7" t="str">
        <f>HYPERLINK("https://lafourche.fr/products/la-fourche-huile-essentielle-de-menthe-poivree-0-01l","399")</f>
        <v>399</v>
      </c>
      <c r="C550" s="26" t="s">
        <v>894</v>
      </c>
      <c r="D550" s="9" t="str">
        <f>HYPERLINK("https://www.biocoop.fr/magasin-biocoop_champollion/he-menthe-poivree-10ml-he1015-000.html","885.0")</f>
        <v>885.0</v>
      </c>
      <c r="E550" s="25" t="s">
        <v>1736</v>
      </c>
      <c r="F550" s="9" t="str">
        <f>HYPERLINK("https://www.biocoop.fr/magasin-biocoop_fontaine/he-menthe-poivree-10ml-he1015-000.html","915.0")</f>
        <v>915.0</v>
      </c>
      <c r="G550" s="25" t="s">
        <v>1737</v>
      </c>
      <c r="H550" s="9" t="str">
        <f>HYPERLINK("https://satoriz-comboire.bio/products/c7339724","785.0")</f>
        <v>785.0</v>
      </c>
      <c r="I550" s="26" t="s">
        <v>1738</v>
      </c>
      <c r="J550" s="9" t="str">
        <f>HYPERLINK("https://www.greenweez.com/produit/huile-essentielle-menthe-poivree-france-bio-10ml/2WEEZ0317","479.0")</f>
        <v>479.0</v>
      </c>
      <c r="K550" s="26" t="s">
        <v>1739</v>
      </c>
      <c r="L550" s="16">
        <v>888888.0</v>
      </c>
      <c r="N550" s="9" t="str">
        <f>HYPERLINK("https://fd11-courses.leclercdrive.fr/magasin-063801-063801-Echirolles---Comboire/fiche-produits-141674-Menthe-poivree-bio-Puressentiel.aspx","499.0")</f>
        <v>499.0</v>
      </c>
    </row>
    <row r="551" ht="14.25" customHeight="1"/>
    <row r="552" ht="14.25" customHeight="1">
      <c r="A552" s="3" t="s">
        <v>785</v>
      </c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</row>
    <row r="553" ht="14.25" customHeight="1">
      <c r="A553" s="5" t="s">
        <v>786</v>
      </c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 ht="14.25" customHeight="1">
      <c r="A554" s="1" t="s">
        <v>787</v>
      </c>
      <c r="B554" s="7" t="str">
        <f>HYPERLINK("https://lafourche.fr/products/emma-noel-beurre-de-karite-certifie-bio-equitable-0-14kg","57.07")</f>
        <v>57.07</v>
      </c>
      <c r="C554" s="26" t="s">
        <v>1740</v>
      </c>
      <c r="D554" s="9" t="str">
        <f>HYPERLINK("https://www.biocoop.fr/magasin-biocoop_champollion/karite-extra-pur-sn3012-000.html","131.5")</f>
        <v>131.5</v>
      </c>
      <c r="E554" s="1" t="s">
        <v>869</v>
      </c>
      <c r="F554" s="9" t="str">
        <f>HYPERLINK("https://www.biocoop.fr/magasin-biocoop_fontaine/karite-extra-pur-sn3012-000.html","128.5")</f>
        <v>128.5</v>
      </c>
      <c r="G554" s="26" t="s">
        <v>1031</v>
      </c>
      <c r="H554" s="9" t="str">
        <f>HYPERLINK("https://satoriz-comboire.bio/products/pr1175","59.64")</f>
        <v>59.64</v>
      </c>
      <c r="I554" s="26" t="s">
        <v>1741</v>
      </c>
      <c r="J554" s="9" t="str">
        <f>HYPERLINK("https://www.greenweez.com/produit/beurre-de-karite-100g-1/1NAJE0043","61.0")</f>
        <v>61.0</v>
      </c>
      <c r="K554" s="1" t="s">
        <v>869</v>
      </c>
      <c r="L554" s="16">
        <v>888888.0</v>
      </c>
      <c r="N554" s="16">
        <v>888888.0</v>
      </c>
    </row>
    <row r="555" ht="14.25" customHeight="1">
      <c r="A555" s="1" t="s">
        <v>788</v>
      </c>
      <c r="B555" s="9" t="str">
        <f>HYPERLINK("https://lafourche.fr/products/avril-lait-corporel-beurre-de-karite-aloe-vera-bio-200ml","31.45")</f>
        <v>31.45</v>
      </c>
      <c r="C555" s="1" t="s">
        <v>869</v>
      </c>
      <c r="D555" s="16">
        <v>888888.0</v>
      </c>
      <c r="F555" s="16">
        <v>888888.0</v>
      </c>
      <c r="H555" s="9" t="str">
        <f>HYPERLINK("https://satoriz-comboire.bio/products/av177","40.0")</f>
        <v>40.0</v>
      </c>
      <c r="I555" s="1" t="s">
        <v>869</v>
      </c>
      <c r="J555" s="9" t="str">
        <f>HYPERLINK("https://www.greenweez.com/produit/lait-corporel-200ml-2/1AVRI0424","40.0")</f>
        <v>40.0</v>
      </c>
      <c r="K555" s="1" t="s">
        <v>869</v>
      </c>
      <c r="L555" s="7" t="str">
        <f>HYPERLINK("https://metabase.lelefan.org/public/dashboard/53c41f3f-5644-466e-935e-897e7725f6bc?rayon=&amp;d%25C3%25A9signation=LAIT CORPOREL&amp;fournisseur=&amp;date_d%25C3%25A9but=&amp;date_fin=","30.0")</f>
        <v>30.0</v>
      </c>
      <c r="M555" s="1" t="s">
        <v>869</v>
      </c>
      <c r="N555" s="16">
        <v>888888.0</v>
      </c>
    </row>
    <row r="556" ht="14.25" customHeight="1">
      <c r="A556" s="1" t="s">
        <v>789</v>
      </c>
      <c r="B556" s="9" t="str">
        <f>HYPERLINK("https://lafourche.fr/products/avril-dissolvant-doux-sans-acetone-200ml-1","36.1")</f>
        <v>36.1</v>
      </c>
      <c r="C556" s="1" t="s">
        <v>869</v>
      </c>
      <c r="D556" s="16">
        <v>888888.0</v>
      </c>
      <c r="F556" s="16">
        <v>888888.0</v>
      </c>
      <c r="H556" s="16">
        <v>888888.0</v>
      </c>
      <c r="J556" s="9" t="str">
        <f>HYPERLINK("https://www.greenweez.com/produit/dissolvant-doux-200ml/1AVRI0297","42.8")</f>
        <v>42.8</v>
      </c>
      <c r="K556" s="25" t="s">
        <v>1742</v>
      </c>
      <c r="L556" s="7" t="str">
        <f>HYPERLINK("https://metabase.lelefan.org/public/dashboard/53c41f3f-5644-466e-935e-897e7725f6bc?rayon=&amp;d%25C3%25A9signation=DISSOLVANT DOUX&amp;fournisseur=&amp;date_d%25C3%25A9but=&amp;date_fin=","33.75")</f>
        <v>33.75</v>
      </c>
      <c r="M556" s="1" t="s">
        <v>869</v>
      </c>
      <c r="N556" s="16">
        <v>888888.0</v>
      </c>
    </row>
    <row r="557" ht="14.25" customHeight="1">
      <c r="A557" s="1" t="s">
        <v>790</v>
      </c>
      <c r="B557" s="9" t="str">
        <f>HYPERLINK("https://lafourche.fr/products/avril-lait-demaquillant-bio-250ml","25")</f>
        <v>25</v>
      </c>
      <c r="C557" s="1" t="s">
        <v>869</v>
      </c>
      <c r="D557" s="9" t="str">
        <f>HYPERLINK("https://www.biocoop.fr/magasin-biocoop_champollion/lait-douceur-demaquillant-75ml-ac2006-000.html","65.33")</f>
        <v>65.33</v>
      </c>
      <c r="E557" s="1" t="s">
        <v>869</v>
      </c>
      <c r="F557" s="9" t="str">
        <f>HYPERLINK("https://www.biocoop.fr/magasin-biocoop_fontaine/lait-demaquillant-aloe-vera-200ml-lg5185-000.html","37.0")</f>
        <v>37.0</v>
      </c>
      <c r="G557" s="1" t="s">
        <v>869</v>
      </c>
      <c r="H557" s="9" t="str">
        <f>HYPERLINK("https://satoriz-comboire.bio/products/av425","32.0")</f>
        <v>32.0</v>
      </c>
      <c r="I557" s="1" t="s">
        <v>869</v>
      </c>
      <c r="J557" s="9" t="str">
        <f>HYPERLINK("https://www.greenweez.com/produit/lait-demaquillant-250ml/1AVRI0423","28.8")</f>
        <v>28.8</v>
      </c>
      <c r="K557" s="1" t="s">
        <v>869</v>
      </c>
      <c r="L557" s="9" t="str">
        <f>HYPERLINK("https://metabase.lelefan.org/public/dashboard/53c41f3f-5644-466e-935e-897e7725f6bc?rayon=&amp;d%25C3%25A9signation=LAIT DEMAQUILLANT&amp;fournisseur=&amp;date_d%25C3%25A9but=&amp;date_fin=","24.0")</f>
        <v>24.0</v>
      </c>
      <c r="M557" s="1" t="s">
        <v>869</v>
      </c>
      <c r="N557" s="7" t="str">
        <f>HYPERLINK("https://fd11-courses.leclercdrive.fr/magasin-063801-063801-Echirolles---Comboire/fiche-produits-33802-Lait-Demaquillant-bio-Bio-Naia.aspx","9.84")</f>
        <v>9.84</v>
      </c>
    </row>
    <row r="558" ht="14.25" customHeight="1">
      <c r="A558" s="1" t="s">
        <v>791</v>
      </c>
      <c r="B558" s="9" t="str">
        <f>HYPERLINK("https://lafourche.fr/products/la-fourche-eau-micellaire-certifiee-cosmos-organic-0-5l","9.98")</f>
        <v>9.98</v>
      </c>
      <c r="C558" s="1" t="s">
        <v>869</v>
      </c>
      <c r="D558" s="9" t="str">
        <f>HYPERLINK("https://www.biocoop.fr/magasin-biocoop_champollion/eau-micellaire-pour-toute-la-famille-500ml-ce3128-000.html","11.9")</f>
        <v>11.9</v>
      </c>
      <c r="E558" s="1" t="s">
        <v>869</v>
      </c>
      <c r="F558" s="9" t="str">
        <f>HYPERLINK("https://www.biocoop.fr/magasin-biocoop_fontaine/eau-micellaire-pour-toute-la-famille-500ml-ce3128-000.html","11.9")</f>
        <v>11.9</v>
      </c>
      <c r="G558" s="1" t="s">
        <v>869</v>
      </c>
      <c r="H558" s="9" t="str">
        <f>HYPERLINK("https://satoriz-comboire.bio/products/av228","14.0")</f>
        <v>14.0</v>
      </c>
      <c r="I558" s="1" t="s">
        <v>869</v>
      </c>
      <c r="J558" s="9" t="str">
        <f>HYPERLINK("https://www.greenweez.com/produit/lotion-micellaire-bio-500-ml/1AVRI0065","12.58")</f>
        <v>12.58</v>
      </c>
      <c r="K558" s="1" t="s">
        <v>869</v>
      </c>
      <c r="L558" s="9" t="str">
        <f>HYPERLINK("https://metabase.lelefan.org/public/dashboard/53c41f3f-5644-466e-935e-897e7725f6bc?rayon=&amp;d%25C3%25A9signation=LOTION MICELLAIRE&amp;fournisseur=&amp;date_d%25C3%25A9but=&amp;date_fin=","10.5")</f>
        <v>10.5</v>
      </c>
      <c r="M558" s="1" t="s">
        <v>869</v>
      </c>
      <c r="N558" s="7" t="str">
        <f>HYPERLINK("https://fd11-courses.leclercdrive.fr/magasin-063801-063801-Echirolles---Comboire/fiche-produits-119767-Eau-micellaire-bio-Bionaia.aspx","9.25")</f>
        <v>9.25</v>
      </c>
    </row>
    <row r="559" ht="14.25" customHeight="1">
      <c r="A559" s="1" t="s">
        <v>792</v>
      </c>
      <c r="B559" s="9" t="str">
        <f>HYPERLINK("https://lafourche.fr/products/najel-huile-vegetale-de-noyaux-d-abricot-certifiee-cosmos-organic-0-05l","888888")</f>
        <v>888888</v>
      </c>
      <c r="C559" s="18" t="s">
        <v>56</v>
      </c>
      <c r="D559" s="9" t="str">
        <f>HYPERLINK("https://www.biocoop.fr/magasin-biocoop_champollion/huile-vegetale-noyau-d-abricot-50ml-he1085-000.html","147.0")</f>
        <v>147.0</v>
      </c>
      <c r="E559" s="1" t="s">
        <v>869</v>
      </c>
      <c r="F559" s="7" t="str">
        <f>HYPERLINK("https://www.biocoop.fr/magasin-biocoop_fontaine/huile-vegetale-noyau-d-abricot-50ml-he1085-000.html","143.0")</f>
        <v>143.0</v>
      </c>
      <c r="G559" s="1" t="s">
        <v>869</v>
      </c>
      <c r="H559" s="9" t="str">
        <f>HYPERLINK("https://satoriz-comboire.bio/products/pr734","888888")</f>
        <v>888888</v>
      </c>
      <c r="I559" s="18" t="s">
        <v>56</v>
      </c>
      <c r="J559" s="9" t="str">
        <f>HYPERLINK("https://www.greenweez.com/produit/huile-vegetale-de-noyaux-dabricots-bio-50ml/1DESA0093","888888")</f>
        <v>888888</v>
      </c>
      <c r="K559" s="18" t="s">
        <v>56</v>
      </c>
      <c r="L559" s="9" t="str">
        <f>HYPERLINK("https://metabase.lelefan.org/public/dashboard/53c41f3f-5644-466e-935e-897e7725f6bc?rayon=&amp;d%25C3%25A9signation=HUILE VEGETALE DE NOYAUX ABRICOT&amp;fournisseur=&amp;date_d%25C3%25A9but=&amp;date_fin=","250.0")</f>
        <v>250.0</v>
      </c>
      <c r="M559" s="1" t="s">
        <v>869</v>
      </c>
      <c r="N559" s="16">
        <v>888888.0</v>
      </c>
    </row>
    <row r="560" ht="14.25" customHeight="1">
      <c r="A560" s="1" t="s">
        <v>793</v>
      </c>
      <c r="B560" s="9" t="str">
        <f t="shared" ref="B560:B561" si="443">HYPERLINK("https://lafourche.fr/products/la-fourche-huile-vegetale-de-ricin-0-05l","79.6")</f>
        <v>79.6</v>
      </c>
      <c r="C560" s="26" t="s">
        <v>1743</v>
      </c>
      <c r="D560" s="9" t="str">
        <f>HYPERLINK("https://www.biocoop.fr/magasin-biocoop_champollion/magasin-biocoop_champollion/huile-vegetale-ricin-50ml-he1116-000.html","888888")</f>
        <v>888888</v>
      </c>
      <c r="E560" s="16" t="s">
        <v>869</v>
      </c>
      <c r="F560" s="9" t="str">
        <f>HYPERLINK("https://www.biocoop.fr/magasin-biocoop_fontaine/huile-vegetale-de-ricin-200ml-he1217-000.html","54.75")</f>
        <v>54.75</v>
      </c>
      <c r="G560" s="26" t="s">
        <v>1636</v>
      </c>
      <c r="H560" s="7" t="str">
        <f>HYPERLINK("https://satoriz-comboire.bio/products/g3210","21.2")</f>
        <v>21.2</v>
      </c>
      <c r="I560" s="1" t="s">
        <v>869</v>
      </c>
      <c r="J560" s="9" t="str">
        <f>HYPERLINK("https://www.greenweez.com/produit/huile-vierge-bio-de-ricin-100ml-1/1CENT0188","71.6")</f>
        <v>71.6</v>
      </c>
      <c r="K560" s="26" t="s">
        <v>1207</v>
      </c>
      <c r="L560" s="9" t="str">
        <f>HYPERLINK("https://metabase.lelefan.org/public/dashboard/53c41f3f-5644-466e-935e-897e7725f6bc?rayon=&amp;d%25C3%25A9signation=HUILE DE RICIN&amp;fournisseur=&amp;date_d%25C3%25A9but=&amp;date_fin=","60.0")</f>
        <v>60.0</v>
      </c>
      <c r="M560" s="1" t="s">
        <v>869</v>
      </c>
      <c r="N560" s="16">
        <v>888888.0</v>
      </c>
    </row>
    <row r="561" ht="14.25" customHeight="1">
      <c r="A561" s="1" t="s">
        <v>794</v>
      </c>
      <c r="B561" s="7" t="str">
        <f t="shared" si="443"/>
        <v>79.6</v>
      </c>
      <c r="C561" s="26" t="s">
        <v>1743</v>
      </c>
      <c r="D561" s="9" t="str">
        <f>HYPERLINK("https://www.biocoop.fr/magasin-biocoop_champollion/huile-vegetale-ricin-50ml-he1116-000.html","130.0")</f>
        <v>130.0</v>
      </c>
      <c r="E561" s="16" t="s">
        <v>275</v>
      </c>
      <c r="F561" s="9" t="str">
        <f>HYPERLINK("https://www.biocoop.fr/magasin-biocoop_fontaine/huile-vegetale-ricin-50ml-he1116-000.html","125.0")</f>
        <v>125.0</v>
      </c>
      <c r="G561" s="25" t="s">
        <v>1744</v>
      </c>
      <c r="H561" s="9" t="str">
        <f>HYPERLINK("https://satoriz-comboire.bio/products/bm91","888888")</f>
        <v>888888</v>
      </c>
      <c r="I561" s="18" t="s">
        <v>56</v>
      </c>
      <c r="J561" s="7" t="str">
        <f>HYPERLINK("https://www.greenweez.com/produit/huile-vegetale-de-ricin-bio-50ml-1/2WEEZ0557","79.6")</f>
        <v>79.6</v>
      </c>
      <c r="K561" s="1" t="s">
        <v>869</v>
      </c>
      <c r="L561" s="16">
        <v>888888.0</v>
      </c>
      <c r="M561" s="18" t="s">
        <v>56</v>
      </c>
      <c r="N561" s="16">
        <v>888888.0</v>
      </c>
    </row>
    <row r="562" ht="14.25" customHeight="1">
      <c r="A562" s="1" t="s">
        <v>795</v>
      </c>
      <c r="B562" s="9" t="str">
        <f>HYPERLINK("https://lafourche.fr/products/la-fourche-huile-vegetale-d-amande-douce-0-1l","88.2")</f>
        <v>88.2</v>
      </c>
      <c r="C562" s="25" t="s">
        <v>1745</v>
      </c>
      <c r="D562" s="7" t="str">
        <f>HYPERLINK("https://www.biocoop.fr/magasin-biocoop_champollion/huile-vegetale-amande-douce-200ml-he1122-000.html","59.75")</f>
        <v>59.75</v>
      </c>
      <c r="E562" s="1" t="s">
        <v>869</v>
      </c>
      <c r="F562" s="7" t="str">
        <f>HYPERLINK("https://www.biocoop.fr/magasin-biocoop_fontaine/huile-vegetale-amande-douce-200ml-he1122-000.html","59.75")</f>
        <v>59.75</v>
      </c>
      <c r="G562" s="1" t="s">
        <v>869</v>
      </c>
      <c r="H562" s="9" t="str">
        <f>HYPERLINK("https://satoriz-comboire.bio/products/pr541","72.0")</f>
        <v>72.0</v>
      </c>
      <c r="I562" s="26" t="s">
        <v>1746</v>
      </c>
      <c r="J562" s="9" t="str">
        <f>HYPERLINK("https://www.greenweez.com/produit/huile-vegetale-amande-douce-bio-200ml/1DESA0095","69.3")</f>
        <v>69.3</v>
      </c>
      <c r="K562" s="25" t="s">
        <v>1747</v>
      </c>
      <c r="L562" s="9" t="str">
        <f>HYPERLINK("https://metabase.lelefan.org/public/dashboard/53c41f3f-5644-466e-935e-897e7725f6bc?rayon=&amp;d%25C3%25A9signation=HUILE D AMANDE DOUCE&amp;fournisseur=&amp;date_d%25C3%25A9but=&amp;date_fin=","888888")</f>
        <v>888888</v>
      </c>
      <c r="M562" s="16" t="s">
        <v>869</v>
      </c>
      <c r="N562" s="16">
        <v>888888.0</v>
      </c>
    </row>
    <row r="563" ht="14.25" customHeight="1">
      <c r="A563" s="1" t="s">
        <v>1748</v>
      </c>
      <c r="B563" s="9" t="str">
        <f>HYPERLINK("https://lafourche.fr/products/joayo-creme-mains","65.3")</f>
        <v>65.3</v>
      </c>
      <c r="D563" s="9" t="str">
        <f>HYPERLINK("https://www.biocoop.fr/magasin-biocoop_champollion/creme-mains-nourrissante-75ml-ac2011-000.html","68.67")</f>
        <v>68.67</v>
      </c>
      <c r="F563" s="9" t="str">
        <f>HYPERLINK("https://www.biocoop.fr/magasin-biocoop_fontaine/creme-mains-nourrissante-75ml-ac2011-000.html","76.0")</f>
        <v>76.0</v>
      </c>
      <c r="H563" s="9" t="str">
        <f>HYPERLINK("https://satoriz-comboire.bio/products/av230","60.0")</f>
        <v>60.0</v>
      </c>
      <c r="J563" s="9" t="str">
        <f>HYPERLINK("https://www.greenweez.com/produit/creme-pour-les-mains-100ml/1AVRI0428","54.8")</f>
        <v>54.8</v>
      </c>
      <c r="L563" s="9" t="str">
        <f>HYPERLINK("https://metabase.lelefan.org/public/dashboard/53c41f3f-5644-466e-935e-897e7725f6bc?rayon=&amp;d%25C3%25A9signation=CREME POUR LES MAINS&amp;fournisseur=&amp;date_d%25C3%25A9but=&amp;date_fin=","45.0")</f>
        <v>45.0</v>
      </c>
      <c r="N563" s="7" t="str">
        <f>HYPERLINK("https://fd11-courses.leclercdrive.fr/magasin-063801-063801-Echirolles---Comboire/fiche-produits-33792-Creme-mains-bio-Bio-NaIa.aspx","19.9")</f>
        <v>19.9</v>
      </c>
    </row>
    <row r="564" ht="14.25" customHeight="1">
      <c r="A564" s="1" t="s">
        <v>797</v>
      </c>
      <c r="B564" s="16">
        <v>888888.0</v>
      </c>
      <c r="D564" s="16">
        <v>888888.0</v>
      </c>
      <c r="F564" s="16">
        <v>888888.0</v>
      </c>
      <c r="H564" s="9" t="str">
        <f>HYPERLINK("https://satoriz-comboire.bio/products/av711","50.0")</f>
        <v>50.0</v>
      </c>
      <c r="I564" s="1" t="s">
        <v>869</v>
      </c>
      <c r="J564" s="9" t="str">
        <f>HYPERLINK("https://www.greenweez.com/produit/gel-nettoyant-visage-homme-100ml-1/1AVRI0394","81.3")</f>
        <v>81.3</v>
      </c>
      <c r="K564" s="25" t="s">
        <v>1409</v>
      </c>
      <c r="L564" s="7" t="str">
        <f>HYPERLINK("https://metabase.lelefan.org/public/dashboard/53c41f3f-5644-466e-935e-897e7725f6bc?rayon=&amp;d%25C3%25A9signation=GEL NETTOYANT VISAGE HOMME&amp;fournisseur=&amp;date_d%25C3%25A9but=&amp;date_fin=","37.5")</f>
        <v>37.5</v>
      </c>
      <c r="M564" s="1" t="s">
        <v>869</v>
      </c>
      <c r="N564" s="16">
        <v>888888.0</v>
      </c>
    </row>
    <row r="565" ht="14.25" customHeight="1">
      <c r="A565" s="1" t="s">
        <v>798</v>
      </c>
      <c r="B565" s="7" t="str">
        <f>HYPERLINK("https://lafourche.fr/products/la-fourche-gel-nettoyant-visage-certifie-cosmos-organic-0-1l","35.6")</f>
        <v>35.6</v>
      </c>
      <c r="C565" s="26" t="s">
        <v>1749</v>
      </c>
      <c r="D565" s="16">
        <v>888888.0</v>
      </c>
      <c r="F565" s="16">
        <v>888888.0</v>
      </c>
      <c r="H565" s="9" t="str">
        <f>HYPERLINK("https://satoriz-comboire.bio/products/av625","50.0")</f>
        <v>50.0</v>
      </c>
      <c r="I565" s="1" t="s">
        <v>869</v>
      </c>
      <c r="J565" s="9" t="str">
        <f>HYPERLINK("https://www.greenweez.com/produit/gel-nettoyant-doux-visage-100ml/1AVRI0222","46.0")</f>
        <v>46.0</v>
      </c>
      <c r="K565" s="1" t="s">
        <v>869</v>
      </c>
      <c r="L565" s="9" t="str">
        <f>HYPERLINK("https://metabase.lelefan.org/public/dashboard/53c41f3f-5644-466e-935e-897e7725f6bc?rayon=&amp;d%25C3%25A9signation=GEL NETTOYANT VISAGE&amp;fournisseur=&amp;date_d%25C3%25A9but=&amp;date_fin=","37.5")</f>
        <v>37.5</v>
      </c>
      <c r="M565" s="1" t="s">
        <v>869</v>
      </c>
      <c r="N565" s="16">
        <v>888888.0</v>
      </c>
    </row>
    <row r="566" ht="14.25" customHeight="1">
      <c r="A566" s="1" t="s">
        <v>799</v>
      </c>
      <c r="B566" s="16">
        <v>888888.0</v>
      </c>
      <c r="D566" s="16">
        <v>888888.0</v>
      </c>
      <c r="F566" s="16">
        <v>888888.0</v>
      </c>
      <c r="H566" s="16">
        <v>888888.0</v>
      </c>
      <c r="J566" s="9" t="str">
        <f>HYPERLINK("https://www.greenweez.com/produit/serum-lissant-30ml/1AVRI0444","888888")</f>
        <v>888888</v>
      </c>
      <c r="K566" s="18" t="s">
        <v>56</v>
      </c>
      <c r="L566" s="7" t="str">
        <f>HYPERLINK("https://metabase.lelefan.org/public/dashboard/53c41f3f-5644-466e-935e-897e7725f6bc?rayon=&amp;d%25C3%25A9signation=SERUM VISAGE LISSANT&amp;fournisseur=&amp;date_d%25C3%25A9but=&amp;date_fin=","225.0")</f>
        <v>225.0</v>
      </c>
      <c r="M566" s="1" t="s">
        <v>869</v>
      </c>
      <c r="N566" s="16">
        <v>888888.0</v>
      </c>
    </row>
    <row r="567" ht="14.25" customHeight="1">
      <c r="A567" s="1" t="s">
        <v>800</v>
      </c>
      <c r="B567" s="16">
        <v>888888.0</v>
      </c>
      <c r="D567" s="16">
        <v>888888.0</v>
      </c>
      <c r="F567" s="16">
        <v>888888.0</v>
      </c>
      <c r="H567" s="9" t="str">
        <f>HYPERLINK("https://satoriz-comboire.bio/products/av1125","300.0")</f>
        <v>300.0</v>
      </c>
      <c r="I567" s="1" t="s">
        <v>869</v>
      </c>
      <c r="J567" s="9" t="str">
        <f>HYPERLINK("https://www.greenweez.com/produit/serum-desalterant-a-lacide-hyaluronique-30ml/1AVRI0448","300.0")</f>
        <v>300.0</v>
      </c>
      <c r="K567" s="1" t="s">
        <v>869</v>
      </c>
      <c r="L567" s="7" t="str">
        <f>HYPERLINK("https://metabase.lelefan.org/public/dashboard/53c41f3f-5644-466e-935e-897e7725f6bc?rayon=&amp;d%25C3%25A9signation=SERUM VISAGE DESALTERANT&amp;fournisseur=&amp;date_d%25C3%25A9but=&amp;date_fin=","225.0")</f>
        <v>225.0</v>
      </c>
      <c r="M567" s="1" t="s">
        <v>869</v>
      </c>
      <c r="N567" s="16">
        <v>888888.0</v>
      </c>
    </row>
    <row r="568" ht="14.25" customHeight="1">
      <c r="A568" s="1" t="s">
        <v>801</v>
      </c>
      <c r="B568" s="7" t="str">
        <f>HYPERLINK("https://lafourche.fr/products/avril-masque-visage-purifiant-certifie-bio-0-05l","84")</f>
        <v>84</v>
      </c>
      <c r="D568" s="16">
        <v>888888.0</v>
      </c>
      <c r="F568" s="16">
        <v>888888.0</v>
      </c>
      <c r="H568" s="9" t="str">
        <f>HYPERLINK("https://satoriz-comboire.bio/products/av618","100.0")</f>
        <v>100.0</v>
      </c>
      <c r="I568" s="1" t="s">
        <v>869</v>
      </c>
      <c r="J568" s="16">
        <v>888888.0</v>
      </c>
      <c r="L568" s="9" t="str">
        <f>HYPERLINK("https://metabase.lelefan.org/public/dashboard/53c41f3f-5644-466e-935e-897e7725f6bc?rayon=&amp;d%25C3%25A9signation=MASQUE VISAGE PURIFIANT&amp;fournisseur=&amp;date_d%25C3%25A9but=&amp;date_fin=","888888")</f>
        <v>888888</v>
      </c>
      <c r="M568" s="18" t="s">
        <v>56</v>
      </c>
      <c r="N568" s="16">
        <v>888888.0</v>
      </c>
    </row>
    <row r="569" ht="14.25" customHeight="1">
      <c r="A569" s="1" t="s">
        <v>802</v>
      </c>
      <c r="B569" s="9" t="str">
        <f>HYPERLINK("https://lafourche.fr/products/avril-masque-visage-energisant-et-coup-declat-0-05l","84")</f>
        <v>84</v>
      </c>
      <c r="C569" s="1" t="s">
        <v>869</v>
      </c>
      <c r="D569" s="16">
        <v>888888.0</v>
      </c>
      <c r="F569" s="16">
        <v>888888.0</v>
      </c>
      <c r="H569" s="9" t="str">
        <f>HYPERLINK("https://satoriz-comboire.bio/products/av1710","100.0")</f>
        <v>100.0</v>
      </c>
      <c r="I569" s="1" t="s">
        <v>869</v>
      </c>
      <c r="J569" s="9" t="str">
        <f>HYPERLINK("https://www.greenweez.com/produit/masque-visage-energisant-et-coup-declat-50ml-1/1AVRI0577","99.8")</f>
        <v>99.8</v>
      </c>
      <c r="K569" s="1" t="s">
        <v>869</v>
      </c>
      <c r="L569" s="7" t="str">
        <f>HYPERLINK("https://metabase.lelefan.org/public/dashboard/53c41f3f-5644-466e-935e-897e7725f6bc?rayon=&amp;d%25C3%25A9signation=MASQUE VISAGE ENERGISANT&amp;fournisseur=&amp;date_d%25C3%25A9but=&amp;date_fin=","75.0")</f>
        <v>75.0</v>
      </c>
      <c r="M569" s="1" t="s">
        <v>869</v>
      </c>
      <c r="N569" s="16">
        <v>888888.0</v>
      </c>
    </row>
    <row r="570" ht="14.25" customHeight="1">
      <c r="A570" s="1" t="s">
        <v>803</v>
      </c>
      <c r="B570" s="16">
        <v>888888.0</v>
      </c>
      <c r="D570" s="16">
        <v>888888.0</v>
      </c>
      <c r="F570" s="16">
        <v>888888.0</v>
      </c>
      <c r="H570" s="9" t="str">
        <f>HYPERLINK("https://satoriz-comboire.bio/products/av1133","100.0")</f>
        <v>100.0</v>
      </c>
      <c r="I570" s="1" t="s">
        <v>869</v>
      </c>
      <c r="J570" s="16">
        <v>888888.0</v>
      </c>
      <c r="L570" s="7" t="str">
        <f>HYPERLINK("https://metabase.lelefan.org/public/dashboard/53c41f3f-5644-466e-935e-897e7725f6bc?rayon=&amp;d%25C3%25A9signation=MASQUE VISAGE NOURRISSANT&amp;fournisseur=&amp;date_d%25C3%25A9but=&amp;date_fin=","75.0")</f>
        <v>75.0</v>
      </c>
      <c r="M570" s="1" t="s">
        <v>869</v>
      </c>
      <c r="N570" s="16">
        <v>888888.0</v>
      </c>
    </row>
    <row r="571" ht="14.25" customHeight="1">
      <c r="A571" s="1" t="s">
        <v>804</v>
      </c>
      <c r="B571" s="9" t="str">
        <f>HYPERLINK("https://lafourche.fr/products/avril-gommage-visage-50ml-certifie-bio","127")</f>
        <v>127</v>
      </c>
      <c r="C571" s="1" t="s">
        <v>869</v>
      </c>
      <c r="D571" s="16">
        <v>888888.0</v>
      </c>
      <c r="F571" s="16">
        <v>888888.0</v>
      </c>
      <c r="H571" s="9" t="str">
        <f>HYPERLINK("https://satoriz-comboire.bio/products/av1562","160.0")</f>
        <v>160.0</v>
      </c>
      <c r="I571" s="1" t="s">
        <v>869</v>
      </c>
      <c r="J571" s="9" t="str">
        <f>HYPERLINK("https://www.greenweez.com/produit/gommage-visage-50ml-1/1AVRI0579","888888")</f>
        <v>888888</v>
      </c>
      <c r="K571" s="18" t="s">
        <v>56</v>
      </c>
      <c r="L571" s="7" t="str">
        <f>HYPERLINK("https://metabase.lelefan.org/public/dashboard/53c41f3f-5644-466e-935e-897e7725f6bc?rayon=&amp;d%25C3%25A9signation=GOMMAGE VISAGE&amp;fournisseur=&amp;date_d%25C3%25A9but=&amp;date_fin=","120.0")</f>
        <v>120.0</v>
      </c>
      <c r="M571" s="1" t="s">
        <v>869</v>
      </c>
      <c r="N571" s="16">
        <v>888888.0</v>
      </c>
    </row>
    <row r="572" ht="14.25" customHeight="1">
      <c r="A572" s="1" t="s">
        <v>805</v>
      </c>
      <c r="B572" s="9" t="str">
        <f>HYPERLINK("https://lafourche.fr/products/avril-creme-visage-corps-beurre-de-karite-aloe-vera-bio-200ml","36.7")</f>
        <v>36.7</v>
      </c>
      <c r="C572" s="25" t="s">
        <v>1638</v>
      </c>
      <c r="D572" s="16">
        <v>888888.0</v>
      </c>
      <c r="F572" s="16">
        <v>888888.0</v>
      </c>
      <c r="H572" s="9" t="str">
        <f>HYPERLINK("https://satoriz-comboire.bio/products/av486","40.0")</f>
        <v>40.0</v>
      </c>
      <c r="I572" s="1" t="s">
        <v>869</v>
      </c>
      <c r="J572" s="9" t="str">
        <f>HYPERLINK("https://www.greenweez.com/produit/creme-visage-et-corps-200ml/1AVRI0363","39.95")</f>
        <v>39.95</v>
      </c>
      <c r="K572" s="25" t="s">
        <v>1750</v>
      </c>
      <c r="L572" s="7" t="str">
        <f>HYPERLINK("https://metabase.lelefan.org/public/dashboard/53c41f3f-5644-466e-935e-897e7725f6bc?rayon=&amp;d%25C3%25A9signation=CREME VISAGE ET CORPS&amp;fournisseur=&amp;date_d%25C3%25A9but=&amp;date_fin=","30.0")</f>
        <v>30.0</v>
      </c>
      <c r="M572" s="1" t="s">
        <v>869</v>
      </c>
      <c r="N572" s="16">
        <v>888888.0</v>
      </c>
    </row>
    <row r="573" ht="14.25" customHeight="1">
      <c r="A573" s="1" t="s">
        <v>806</v>
      </c>
      <c r="B573" s="7" t="str">
        <f>HYPERLINK("https://lafourche.fr/products/avril-creme-jour-et-nuit-0-05l","134")</f>
        <v>134</v>
      </c>
      <c r="C573" s="1" t="s">
        <v>869</v>
      </c>
      <c r="D573" s="16">
        <v>888888.0</v>
      </c>
      <c r="F573" s="16">
        <v>888888.0</v>
      </c>
      <c r="H573" s="9" t="str">
        <f>HYPERLINK("https://satoriz-comboire.bio/products/av1561","160.0")</f>
        <v>160.0</v>
      </c>
      <c r="I573" s="1" t="s">
        <v>869</v>
      </c>
      <c r="J573" s="9" t="str">
        <f>HYPERLINK("https://www.greenweez.com/produit/creme-jour-et-nuit-50ml-1/1AVRI0580","888888")</f>
        <v>888888</v>
      </c>
      <c r="K573" s="18" t="s">
        <v>56</v>
      </c>
      <c r="L573" s="9" t="str">
        <f>HYPERLINK("https://metabase.lelefan.org/public/dashboard/53c41f3f-5644-466e-935e-897e7725f6bc?rayon=&amp;d%25C3%25A9signation=CEME JOUR ET NUIT&amp;fournisseur=&amp;date_d%25C3%25A9but=&amp;date_fin=","888888")</f>
        <v>888888</v>
      </c>
      <c r="M573" s="16" t="s">
        <v>869</v>
      </c>
      <c r="N573" s="16">
        <v>888888.0</v>
      </c>
    </row>
    <row r="574" ht="14.25" customHeight="1">
      <c r="A574" s="1" t="s">
        <v>807</v>
      </c>
      <c r="B574" s="16">
        <v>888888.0</v>
      </c>
      <c r="D574" s="16">
        <v>888888.0</v>
      </c>
      <c r="F574" s="16">
        <v>888888.0</v>
      </c>
      <c r="H574" s="9" t="str">
        <f>HYPERLINK("https://satoriz-comboire.bio/products/av1444","225.0")</f>
        <v>225.0</v>
      </c>
      <c r="I574" s="1" t="s">
        <v>869</v>
      </c>
      <c r="J574" s="9" t="str">
        <f>HYPERLINK("https://www.greenweez.com/produit/soin-contour-des-yeux-et-levres-40-ml/1AVRI0670","225.0")</f>
        <v>225.0</v>
      </c>
      <c r="K574" s="1" t="s">
        <v>869</v>
      </c>
      <c r="L574" s="7" t="str">
        <f>HYPERLINK("https://metabase.lelefan.org/public/dashboard/53c41f3f-5644-466e-935e-897e7725f6bc?rayon=&amp;d%25C3%25A9signation=CREME SOIN CONTOUR YEUX ET LEVRES&amp;fournisseur=&amp;date_d%25C3%25A9but=&amp;date_fin=","168.75")</f>
        <v>168.75</v>
      </c>
      <c r="M574" s="1" t="s">
        <v>869</v>
      </c>
      <c r="N574" s="16">
        <v>888888.0</v>
      </c>
    </row>
    <row r="575" ht="14.25" customHeight="1">
      <c r="A575" s="1" t="s">
        <v>808</v>
      </c>
      <c r="B575" s="16">
        <v>888888.0</v>
      </c>
      <c r="D575" s="16">
        <v>888888.0</v>
      </c>
      <c r="F575" s="16">
        <v>888888.0</v>
      </c>
      <c r="H575" s="9" t="str">
        <f>HYPERLINK("https://satoriz-comboire.bio/products/av1594","160.0")</f>
        <v>160.0</v>
      </c>
      <c r="I575" s="1" t="s">
        <v>869</v>
      </c>
      <c r="J575" s="9" t="str">
        <f>HYPERLINK("https://www.greenweez.com/produit/creme-desalterante-50ml-1/1AVRI0674","159.8")</f>
        <v>159.8</v>
      </c>
      <c r="K575" s="1" t="s">
        <v>869</v>
      </c>
      <c r="L575" s="7" t="str">
        <f>HYPERLINK("https://metabase.lelefan.org/public/dashboard/53c41f3f-5644-466e-935e-897e7725f6bc?rayon=&amp;d%25C3%25A9signation=CREME DESALTERANTE&amp;fournisseur=&amp;date_d%25C3%25A9but=&amp;date_fin=","120.0")</f>
        <v>120.0</v>
      </c>
      <c r="M575" s="1" t="s">
        <v>869</v>
      </c>
      <c r="N575" s="16">
        <v>888888.0</v>
      </c>
    </row>
    <row r="576" ht="14.25" customHeight="1">
      <c r="A576" s="1" t="s">
        <v>809</v>
      </c>
      <c r="B576" s="16">
        <v>888888.0</v>
      </c>
      <c r="D576" s="16">
        <v>888888.0</v>
      </c>
      <c r="F576" s="16">
        <v>888888.0</v>
      </c>
      <c r="H576" s="9" t="str">
        <f>HYPERLINK("https://satoriz-comboire.bio/products/av816","160.0")</f>
        <v>160.0</v>
      </c>
      <c r="I576" s="1" t="s">
        <v>869</v>
      </c>
      <c r="J576" s="16">
        <v>888888.0</v>
      </c>
      <c r="L576" s="7" t="str">
        <f>HYPERLINK("https://metabase.lelefan.org/public/dashboard/53c41f3f-5644-466e-935e-897e7725f6bc?rayon=&amp;d%25C3%25A9signation=CREME SOIN HYDRATANT HOMME&amp;fournisseur=&amp;date_d%25C3%25A9but=&amp;date_fin=","120.0")</f>
        <v>120.0</v>
      </c>
      <c r="M576" s="1" t="s">
        <v>869</v>
      </c>
      <c r="N576" s="16">
        <v>888888.0</v>
      </c>
    </row>
    <row r="577" ht="14.25" customHeight="1">
      <c r="A577" s="1" t="s">
        <v>810</v>
      </c>
      <c r="B577" s="7" t="str">
        <f>HYPERLINK("https://lafourche.fr/products/joayo-creme-de-jour-peaux-normales-et-mixtes","109.4")</f>
        <v>109.4</v>
      </c>
      <c r="C577" s="1" t="s">
        <v>869</v>
      </c>
      <c r="D577" s="16">
        <v>888888.0</v>
      </c>
      <c r="F577" s="16">
        <v>888888.0</v>
      </c>
      <c r="H577" s="9" t="str">
        <f>HYPERLINK("https://satoriz-comboire.bio/products/av172","160.0")</f>
        <v>160.0</v>
      </c>
      <c r="I577" s="1" t="s">
        <v>869</v>
      </c>
      <c r="J577" s="9" t="str">
        <f>HYPERLINK("https://www.greenweez.com/produit/creme-de-jour-bio-peaux-normales-mixtes-50-ml/1AVRI0069","148.4")</f>
        <v>148.4</v>
      </c>
      <c r="K577" s="1" t="s">
        <v>869</v>
      </c>
      <c r="L577" s="9" t="str">
        <f>HYPERLINK("https://metabase.lelefan.org/public/dashboard/53c41f3f-5644-466e-935e-897e7725f6bc?rayon=&amp;d%25C3%25A9signation=CREME DE JOUR PEAUX NORMALES A MIXTES&amp;fournisseur=&amp;date_d%25C3%25A9but=&amp;date_fin=","120.0")</f>
        <v>120.0</v>
      </c>
      <c r="M577" s="1" t="s">
        <v>869</v>
      </c>
      <c r="N577" s="16">
        <v>888888.0</v>
      </c>
    </row>
    <row r="578" ht="14.25" customHeight="1">
      <c r="A578" s="1" t="s">
        <v>811</v>
      </c>
      <c r="B578" s="7" t="str">
        <f>HYPERLINK("https://lafourche.fr/products/joayo-creme-de-jour-peaux-seches-et-sensibles","112.8")</f>
        <v>112.8</v>
      </c>
      <c r="C578" s="25" t="s">
        <v>904</v>
      </c>
      <c r="D578" s="16">
        <v>888888.0</v>
      </c>
      <c r="F578" s="16">
        <v>888888.0</v>
      </c>
      <c r="H578" s="9" t="str">
        <f>HYPERLINK("https://satoriz-comboire.bio/products/av1812","160.0")</f>
        <v>160.0</v>
      </c>
      <c r="I578" s="1" t="s">
        <v>869</v>
      </c>
      <c r="J578" s="9" t="str">
        <f>HYPERLINK("https://www.greenweez.com/produit/creme-de-jour-peaux-seches-et-sensibles-50ml/1AVRI0671","888888")</f>
        <v>888888</v>
      </c>
      <c r="K578" s="18" t="s">
        <v>56</v>
      </c>
      <c r="L578" s="9" t="str">
        <f>HYPERLINK("https://metabase.lelefan.org/public/dashboard/53c41f3f-5644-466e-935e-897e7725f6bc?rayon=&amp;d%25C3%25A9signation=CREME DE JOUR PEAUX SECHES ET SENSIBLES&amp;fournisseur=&amp;date_d%25C3%25A9but=&amp;date_fin=","120.0")</f>
        <v>120.0</v>
      </c>
      <c r="M578" s="1" t="s">
        <v>869</v>
      </c>
      <c r="N578" s="16">
        <v>888888.0</v>
      </c>
    </row>
    <row r="579" ht="14.25" customHeight="1">
      <c r="A579" s="5" t="s">
        <v>812</v>
      </c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 ht="14.25" customHeight="1">
      <c r="A580" s="1" t="s">
        <v>813</v>
      </c>
      <c r="B580" s="9" t="str">
        <f>HYPERLINK("https://lafourche.fr/products/benecos-baume-visage-et-apres-rasage-50-ml-0-05l","139.8")</f>
        <v>139.8</v>
      </c>
      <c r="C580" s="25" t="s">
        <v>1751</v>
      </c>
      <c r="D580" s="9" t="str">
        <f>HYPERLINK("https://www.biocoop.fr/magasin-biocoop_champollion/baume-apres-rasage-apaisant-la5076-000.html","155.0")</f>
        <v>155.0</v>
      </c>
      <c r="E580" s="1" t="s">
        <v>869</v>
      </c>
      <c r="F580" s="9" t="str">
        <f>HYPERLINK("https://www.biocoop.fr/magasin-biocoop_fontaine/baume-apres-rasage-we0152-000.html","149.9")</f>
        <v>149.9</v>
      </c>
      <c r="G580" s="26" t="s">
        <v>1752</v>
      </c>
      <c r="H580" s="9" t="str">
        <f>HYPERLINK("https://satoriz-comboire.bio/products/av684","80.0")</f>
        <v>80.0</v>
      </c>
      <c r="I580" s="1" t="s">
        <v>869</v>
      </c>
      <c r="J580" s="9" t="str">
        <f>HYPERLINK("https://www.greenweez.com/produit/baume-apres-rasage-homme-100ml/1AVRI0409","130.0")</f>
        <v>130.0</v>
      </c>
      <c r="K580" s="25" t="s">
        <v>1753</v>
      </c>
      <c r="L580" s="7" t="str">
        <f>HYPERLINK("https://metabase.lelefan.org/public/dashboard/53c41f3f-5644-466e-935e-897e7725f6bc?rayon=&amp;d%25C3%25A9signation=BAUME APRES RASAGE&amp;fournisseur=&amp;date_d%25C3%25A9but=&amp;date_fin=","60.0")</f>
        <v>60.0</v>
      </c>
      <c r="M580" s="1" t="s">
        <v>869</v>
      </c>
      <c r="N580" s="16">
        <v>888888.0</v>
      </c>
    </row>
    <row r="581" ht="14.25" customHeight="1">
      <c r="A581" s="1" t="s">
        <v>814</v>
      </c>
      <c r="B581" s="9" t="str">
        <f>HYPERLINK("https://lafourche.fr/products/lamazuna-pain-rasage-solide","184.18")</f>
        <v>184.18</v>
      </c>
      <c r="C581" s="1" t="s">
        <v>869</v>
      </c>
      <c r="D581" s="16">
        <v>888888.0</v>
      </c>
      <c r="F581" s="16">
        <v>888888.0</v>
      </c>
      <c r="H581" s="9" t="str">
        <f>HYPERLINK("https://satoriz-comboire.bio/collections/soins-beaute/products/re43978","132.5")</f>
        <v>132.5</v>
      </c>
      <c r="I581" s="26" t="s">
        <v>996</v>
      </c>
      <c r="J581" s="9" t="str">
        <f>HYPERLINK("https://www.greenweez.com/produit/pain-de-rasage-homme-90g-1/1SECP0062","888888")</f>
        <v>888888</v>
      </c>
      <c r="K581" s="18" t="s">
        <v>56</v>
      </c>
      <c r="L581" s="7" t="str">
        <f>HYPERLINK("https://metabase.lelefan.org/public/dashboard/53c41f3f-5644-466e-935e-897e7725f6bc?rayon=&amp;d%25C3%25A9signation=CREME DE RASAGE - SAVON SOLIDE&amp;fournisseur=&amp;date_d%25C3%25A9but=&amp;date_fin=","60.0")</f>
        <v>60.0</v>
      </c>
      <c r="M581" s="1" t="s">
        <v>869</v>
      </c>
      <c r="N581" s="16">
        <v>888888.0</v>
      </c>
    </row>
    <row r="582" ht="14.25" customHeight="1">
      <c r="A582" s="5" t="s">
        <v>815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 ht="14.25" customHeight="1">
      <c r="A583" s="1" t="s">
        <v>816</v>
      </c>
      <c r="B583" s="7" t="str">
        <f>HYPERLINK("https://lafourche.fr/products/la-fourche-shampoing-a-l-aloe-vera-certifie-cosmos-organic-5l","6.2")</f>
        <v>6.2</v>
      </c>
      <c r="C583" s="1" t="s">
        <v>869</v>
      </c>
      <c r="D583" s="9" t="str">
        <f t="shared" ref="D583:D584" si="444">HYPERLINK("https://www.biocoop.fr/magasin-biocoop_champollion/shampooing-cheveux-normaux-ultra-doux-1l-el1005-000.html","8.5")</f>
        <v>8.5</v>
      </c>
      <c r="E583" s="26" t="s">
        <v>1754</v>
      </c>
      <c r="F583" s="9" t="str">
        <f t="shared" ref="F583:F584" si="445">HYPERLINK("https://www.biocoop.fr/magasin-biocoop_fontaine/shampooing-cheveux-normaux-ultra-doux-1l-el1005-000.html","8.5")</f>
        <v>8.5</v>
      </c>
      <c r="G583" s="26" t="s">
        <v>1754</v>
      </c>
      <c r="H583" s="9" t="str">
        <f t="shared" ref="H583:H584" si="446">HYPERLINK("https://satoriz-comboire.bio/collections/soins-beaute/products/lgcb00007050","8.35")</f>
        <v>8.35</v>
      </c>
      <c r="I583" s="1" t="s">
        <v>869</v>
      </c>
      <c r="J583" s="9" t="str">
        <f>HYPERLINK("https://www.greenweez.com/produit/shampoing-liquide-miel-avoine-calendula-5l/2WEEZ0583","6.79")</f>
        <v>6.79</v>
      </c>
      <c r="K583" s="1" t="s">
        <v>869</v>
      </c>
      <c r="L583" s="9" t="str">
        <f t="shared" ref="L583:L584" si="447">HYPERLINK("https://metabase.lelefan.org/public/dashboard/53c41f3f-5644-466e-935e-897e7725f6bc?rayon=&amp;d%25C3%25A9signation=SHAMPOING-CHEVEUX NORMAUX VRAC&amp;fournisseur=&amp;date_d%25C3%25A9but=&amp;date_fin=","9.86")</f>
        <v>9.86</v>
      </c>
      <c r="M583" s="1" t="s">
        <v>869</v>
      </c>
      <c r="N583" s="9" t="str">
        <f>HYPERLINK("https://fd11-courses.leclercdrive.fr/magasin-063801-063801-Echirolles---Comboire/fiche-produits-33849-Shampooing-bio-Bio-naia.aspx","7.0")</f>
        <v>7.0</v>
      </c>
      <c r="P583" s="1">
        <v>0.1</v>
      </c>
    </row>
    <row r="584" ht="14.25" customHeight="1">
      <c r="A584" s="1" t="s">
        <v>817</v>
      </c>
      <c r="B584" s="7" t="str">
        <f>HYPERLINK("https://lafourche.fr/products/la-fourche-shampoing-a-l-aloe-vera-certifie-cosmos-organic-1l","7.8")</f>
        <v>7.8</v>
      </c>
      <c r="C584" s="25" t="s">
        <v>1755</v>
      </c>
      <c r="D584" s="9" t="str">
        <f t="shared" si="444"/>
        <v>8.5</v>
      </c>
      <c r="E584" s="26" t="s">
        <v>1754</v>
      </c>
      <c r="F584" s="9" t="str">
        <f t="shared" si="445"/>
        <v>8.5</v>
      </c>
      <c r="G584" s="26" t="s">
        <v>1754</v>
      </c>
      <c r="H584" s="9" t="str">
        <f t="shared" si="446"/>
        <v>8.35</v>
      </c>
      <c r="I584" s="1" t="s">
        <v>869</v>
      </c>
      <c r="J584" s="9" t="str">
        <f>HYPERLINK("https://www.greenweez.com/produit/shampoing-liquide-miel-avoine-calendula-1l/2WEEZ0588","7.94")</f>
        <v>7.94</v>
      </c>
      <c r="K584" s="25" t="s">
        <v>1756</v>
      </c>
      <c r="L584" s="9" t="str">
        <f t="shared" si="447"/>
        <v>9.86</v>
      </c>
      <c r="M584" s="1" t="s">
        <v>869</v>
      </c>
      <c r="N584" s="16">
        <v>888888.0</v>
      </c>
      <c r="P584" s="1">
        <v>0.1</v>
      </c>
    </row>
    <row r="585" ht="14.25" customHeight="1">
      <c r="A585" s="1" t="s">
        <v>818</v>
      </c>
      <c r="B585" s="9" t="str">
        <f>HYPERLINK("https://lafourche.fr/products/cosmo-naturel-shampoing-solide-cuir-chevelu-sensible-amande-douce-bio-0-085kg","75.53")</f>
        <v>75.53</v>
      </c>
      <c r="C585" s="25" t="s">
        <v>1757</v>
      </c>
      <c r="D585" s="9" t="str">
        <f>HYPERLINK("https://www.biocoop.fr/magasin-biocoop_champollion/shampoing-solide-cheveux-normaux-85g-aa0634-000.html","67.65")</f>
        <v>67.65</v>
      </c>
      <c r="E585" s="1" t="s">
        <v>869</v>
      </c>
      <c r="F585" s="9" t="str">
        <f>HYPERLINK("https://www.biocoop.fr/magasin-biocoop_fontaine/shampooing-solide-cheveux-secs-jojoba-aloe-vera-85g-lg5129-000.html","74.71")</f>
        <v>74.71</v>
      </c>
      <c r="G585" s="1" t="s">
        <v>869</v>
      </c>
      <c r="H585" s="9" t="str">
        <f>HYPERLINK("https://satoriz-comboire.bio/collections/soins-beaute/products/lgco6317","94.71")</f>
        <v>94.71</v>
      </c>
      <c r="I585" s="25" t="s">
        <v>1758</v>
      </c>
      <c r="J585" s="9" t="str">
        <f>HYPERLINK("https://www.greenweez.com/produit/shampoing-solide-cuir-chevelu-sensible-85g/1COSM0217","73.29")</f>
        <v>73.29</v>
      </c>
      <c r="K585" s="26" t="s">
        <v>1456</v>
      </c>
      <c r="L585" s="7" t="str">
        <f>HYPERLINK("https://metabase.lelefan.org/public/dashboard/53c41f3f-5644-466e-935e-897e7725f6bc?rayon=&amp;d%25C3%25A9signation=SHAMPOING SOLIDE&amp;fournisseur=&amp;date_d%25C3%25A9but=&amp;date_fin=","56.9")</f>
        <v>56.9</v>
      </c>
      <c r="M585" s="25" t="s">
        <v>1759</v>
      </c>
      <c r="N585" s="16">
        <v>888888.0</v>
      </c>
    </row>
    <row r="586" ht="14.25" customHeight="1">
      <c r="A586" s="1" t="s">
        <v>819</v>
      </c>
      <c r="B586" s="9" t="str">
        <f>HYPERLINK("https://lafourche.fr/products/najel-savon-d-alep-40prct-huile-de-baies-de-laurier-185g-ecologique","30.54")</f>
        <v>30.54</v>
      </c>
      <c r="C586" s="1" t="s">
        <v>869</v>
      </c>
      <c r="D586" s="9" t="str">
        <f>HYPERLINK("https://www.biocoop.fr/magasin-biocoop_champollion/savon-d-alep-40-nj1017-000.html","41.08")</f>
        <v>41.08</v>
      </c>
      <c r="E586" s="1" t="s">
        <v>869</v>
      </c>
      <c r="F586" s="9" t="str">
        <f>HYPERLINK("https://www.biocoop.fr/magasin-biocoop_fontaine/savon-d-alep-40-nj1017-000.html","37.78")</f>
        <v>37.78</v>
      </c>
      <c r="G586" s="26" t="s">
        <v>977</v>
      </c>
      <c r="H586" s="9" t="str">
        <f>HYPERLINK("https://satoriz-comboire.bio/collections/soins-beaute/products/l30035","50.67")</f>
        <v>50.67</v>
      </c>
      <c r="I586" s="25" t="s">
        <v>1423</v>
      </c>
      <c r="J586" s="7" t="str">
        <f>HYPERLINK("https://www.greenweez.com/produit/savon-dalep-traditionnel-40-200g/1LAUR0009","23.45")</f>
        <v>23.45</v>
      </c>
      <c r="K586" s="26" t="s">
        <v>1136</v>
      </c>
      <c r="L586" s="9" t="str">
        <f>HYPERLINK("https://metabase.lelefan.org/public/dashboard/53c41f3f-5644-466e-935e-897e7725f6bc?rayon=&amp;d%25C3%25A9signation=SAVON D ALEP 100G&amp;fournisseur=&amp;date_d%25C3%25A9but=&amp;date_fin=","888888")</f>
        <v>888888</v>
      </c>
      <c r="M586" s="16" t="s">
        <v>869</v>
      </c>
      <c r="N586" s="16">
        <v>888888.0</v>
      </c>
    </row>
    <row r="587" ht="14.25" customHeight="1">
      <c r="A587" s="1" t="s">
        <v>820</v>
      </c>
      <c r="B587" s="7" t="str">
        <f>HYPERLINK("https://lafourche.fr/products/la-fourche-cube-de-marseille-600g","7.17")</f>
        <v>7.17</v>
      </c>
      <c r="C587" s="1" t="s">
        <v>869</v>
      </c>
      <c r="D587" s="16">
        <v>888888.0</v>
      </c>
      <c r="F587" s="16">
        <v>888888.0</v>
      </c>
      <c r="H587" s="9" t="str">
        <f>HYPERLINK("https://satoriz-comboire.bio/products/lc20","12.5")</f>
        <v>12.5</v>
      </c>
      <c r="I587" s="25" t="s">
        <v>1004</v>
      </c>
      <c r="J587" s="9" t="str">
        <f>HYPERLINK("https://www.greenweez.com/produit/savon-de-marseille-cube-vegetal-600g/1FERA0006","14.08")</f>
        <v>14.08</v>
      </c>
      <c r="K587" s="25" t="s">
        <v>1760</v>
      </c>
      <c r="L587" s="16">
        <v>888888.0</v>
      </c>
      <c r="N587" s="16">
        <v>888888.0</v>
      </c>
    </row>
    <row r="588" ht="14.25" customHeight="1">
      <c r="A588" s="1" t="s">
        <v>821</v>
      </c>
      <c r="B588" s="9" t="str">
        <f>HYPERLINK("https://lafourche.fr/products/la-fourche-mon-gel-douche-peche-passion-5l","6.37")</f>
        <v>6.37</v>
      </c>
      <c r="C588" s="1" t="s">
        <v>869</v>
      </c>
      <c r="D588" s="9" t="str">
        <f t="shared" ref="D588:D589" si="448">HYPERLINK("https://www.biocoop.fr/magasin-biocoop_champollion/gel-douche-orange-verte-1l-ra1040-000.html","8.65")</f>
        <v>8.65</v>
      </c>
      <c r="E588" s="26" t="s">
        <v>1761</v>
      </c>
      <c r="F588" s="9" t="str">
        <f>HYPERLINK("https://www.biocoop.fr/magasin-biocoop_fontaine/gel-douche-aloe-vera-ecopack-650ml-ne1278-000.html","7.92")</f>
        <v>7.92</v>
      </c>
      <c r="G588" s="1" t="s">
        <v>869</v>
      </c>
      <c r="H588" s="9" t="str">
        <f t="shared" ref="H588:H589" si="449">HYPERLINK("https://satoriz-comboire.bio/collections/soins-beaute/products/jsb02gdcedxl","888888")</f>
        <v>888888</v>
      </c>
      <c r="I588" s="18" t="s">
        <v>56</v>
      </c>
      <c r="J588" s="9" t="str">
        <f>HYPERLINK("https://www.greenweez.com/produit/gel-douche-neutre-3-ingredients-5l/1SOLI0016","6.73")</f>
        <v>6.73</v>
      </c>
      <c r="K588" s="25" t="s">
        <v>1762</v>
      </c>
      <c r="L588" s="9" t="str">
        <f t="shared" ref="L588:L589" si="450">HYPERLINK("https://metabase.lelefan.org/public/dashboard/53c41f3f-5644-466e-935e-897e7725f6bc?rayon=&amp;d%25C3%25A9signation=GEL DOUCHE AGRUMES VRAC&amp;fournisseur=&amp;date_d%25C3%25A9but=&amp;date_fin=","8.0")</f>
        <v>8.0</v>
      </c>
      <c r="M588" s="1" t="s">
        <v>869</v>
      </c>
      <c r="N588" s="7" t="str">
        <f>HYPERLINK("https://fd11-courses.leclercdrive.fr/magasin-063801-063801-Echirolles---Comboire/fiche-produits-106690-Gel-douche-Bionaia.aspx","5.6")</f>
        <v>5.6</v>
      </c>
    </row>
    <row r="589" ht="14.25" customHeight="1">
      <c r="A589" s="1" t="s">
        <v>822</v>
      </c>
      <c r="B589" s="7" t="str">
        <f>HYPERLINK("https://lafourche.fr/products/la-fourche-mon-gel-douche-peche-passion-1l","7.57")</f>
        <v>7.57</v>
      </c>
      <c r="C589" s="25" t="s">
        <v>1763</v>
      </c>
      <c r="D589" s="9" t="str">
        <f t="shared" si="448"/>
        <v>8.65</v>
      </c>
      <c r="E589" s="26" t="s">
        <v>1761</v>
      </c>
      <c r="F589" s="9" t="str">
        <f>HYPERLINK("https://www.biocoop.fr/magasin-biocoop_fontaine/gel-douche-orange-verte-1l-ra1040-000.html","8.65")</f>
        <v>8.65</v>
      </c>
      <c r="G589" s="25" t="s">
        <v>1764</v>
      </c>
      <c r="H589" s="9" t="str">
        <f t="shared" si="449"/>
        <v>888888</v>
      </c>
      <c r="I589" s="18" t="s">
        <v>56</v>
      </c>
      <c r="J589" s="9" t="str">
        <f>HYPERLINK("https://www.greenweez.com/produit/gel-douche-aloe-vera-1l/2WEEZ0584","888888")</f>
        <v>888888</v>
      </c>
      <c r="K589" s="18" t="s">
        <v>56</v>
      </c>
      <c r="L589" s="9" t="str">
        <f t="shared" si="450"/>
        <v>8.0</v>
      </c>
      <c r="M589" s="1" t="s">
        <v>869</v>
      </c>
      <c r="N589" s="16">
        <v>888888.0</v>
      </c>
    </row>
    <row r="590" ht="14.25" customHeight="1">
      <c r="A590" s="1" t="s">
        <v>823</v>
      </c>
      <c r="B590" s="9" t="str">
        <f>HYPERLINK("https://lafourche.fr/products/avril-gel-douche-coeur-d-abricot-500-ml-certifie-bio-0-5l","11.76")</f>
        <v>11.76</v>
      </c>
      <c r="C590" s="25" t="s">
        <v>1765</v>
      </c>
      <c r="D590" s="16">
        <v>888888.0</v>
      </c>
      <c r="F590" s="16">
        <v>888888.0</v>
      </c>
      <c r="H590" s="16">
        <v>888888.0</v>
      </c>
      <c r="J590" s="9" t="str">
        <f>HYPERLINK("https://www.greenweez.com/produit/gel-douche-coeur-dabricot-500-ml/1AVRI0156","14.0")</f>
        <v>14.0</v>
      </c>
      <c r="K590" s="1" t="s">
        <v>869</v>
      </c>
      <c r="L590" s="7" t="str">
        <f>HYPERLINK("https://metabase.lelefan.org/public/dashboard/53c41f3f-5644-466e-935e-897e7725f6bc?rayon=&amp;d%25C3%25A9signation=GEL DOUCHE DOUCEUR D ABRICOT&amp;fournisseur=&amp;date_d%25C3%25A9but=&amp;date_fin=","10.5")</f>
        <v>10.5</v>
      </c>
      <c r="M590" s="1" t="s">
        <v>869</v>
      </c>
      <c r="N590" s="16">
        <v>888888.0</v>
      </c>
    </row>
    <row r="591" ht="14.25" customHeight="1">
      <c r="A591" s="1" t="s">
        <v>824</v>
      </c>
      <c r="B591" s="7" t="str">
        <f>HYPERLINK("https://lafourche.fr/products/la-fourche-shampoing-douche-peche-blanche-certifie-cosmos-organic-5l","6.2")</f>
        <v>6.2</v>
      </c>
      <c r="C591" s="1" t="s">
        <v>869</v>
      </c>
      <c r="D591" s="9" t="str">
        <f t="shared" ref="D591:D592" si="451">HYPERLINK("https://www.biocoop.fr/magasin-biocoop_champollion/shampooing-douche-miel-propolis-lg5024-000.html","8.95")</f>
        <v>8.95</v>
      </c>
      <c r="E591" s="26" t="s">
        <v>1766</v>
      </c>
      <c r="F591" s="9" t="str">
        <f t="shared" ref="F591:F592" si="452">HYPERLINK("https://www.biocoop.fr/magasin-biocoop_fontaine/shampooing-douche-miel-propolis-lg5024-000.html","8.95")</f>
        <v>8.95</v>
      </c>
      <c r="G591" s="26" t="s">
        <v>1766</v>
      </c>
      <c r="H591" s="9" t="str">
        <f t="shared" ref="H591:H592" si="453">HYPERLINK("https://satoriz-comboire.bio/collections/soins-beaute/products/jsb2025","888888")</f>
        <v>888888</v>
      </c>
      <c r="I591" s="18" t="s">
        <v>56</v>
      </c>
      <c r="J591" s="9" t="str">
        <f>HYPERLINK("https://www.greenweez.com/produit/shampooing-et-douche-fruits-dete-5l/1GRAV0089","8.41")</f>
        <v>8.41</v>
      </c>
      <c r="K591" s="25" t="s">
        <v>1767</v>
      </c>
      <c r="L591" s="9" t="str">
        <f t="shared" ref="L591:L592" si="454">HYPERLINK("https://metabase.lelefan.org/public/dashboard/53c41f3f-5644-466e-935e-897e7725f6bc?rayon=&amp;d%25C3%25A9signation=GEL CORPS ET CHEVEUX TONIC VRAC&amp;fournisseur=&amp;date_d%25C3%25A9but=&amp;date_fin=","8.0")</f>
        <v>8.0</v>
      </c>
      <c r="M591" s="1" t="s">
        <v>869</v>
      </c>
      <c r="N591" s="16">
        <v>888888.0</v>
      </c>
    </row>
    <row r="592" ht="14.25" customHeight="1">
      <c r="A592" s="1" t="s">
        <v>825</v>
      </c>
      <c r="B592" s="7" t="str">
        <f>HYPERLINK("https://lafourche.fr/products/la-fourche-shampoing-douche-peche-blanche-certifie-cosmos-organic-1l","7.8")</f>
        <v>7.8</v>
      </c>
      <c r="C592" s="25" t="s">
        <v>1755</v>
      </c>
      <c r="D592" s="9" t="str">
        <f t="shared" si="451"/>
        <v>8.95</v>
      </c>
      <c r="E592" s="26" t="s">
        <v>1766</v>
      </c>
      <c r="F592" s="9" t="str">
        <f t="shared" si="452"/>
        <v>8.95</v>
      </c>
      <c r="G592" s="26" t="s">
        <v>1766</v>
      </c>
      <c r="H592" s="9" t="str">
        <f t="shared" si="453"/>
        <v>888888</v>
      </c>
      <c r="I592" s="18" t="s">
        <v>56</v>
      </c>
      <c r="J592" s="9" t="str">
        <f>HYPERLINK("https://www.greenweez.com/produit/shampooing-et-douche-rose-dantan-1l/1CBIO0031","8.77")</f>
        <v>8.77</v>
      </c>
      <c r="K592" s="25" t="s">
        <v>1768</v>
      </c>
      <c r="L592" s="9" t="str">
        <f t="shared" si="454"/>
        <v>8.0</v>
      </c>
      <c r="M592" s="1" t="s">
        <v>869</v>
      </c>
      <c r="N592" s="16">
        <v>888888.0</v>
      </c>
    </row>
    <row r="593" ht="14.25" customHeight="1">
      <c r="A593" s="1" t="s">
        <v>826</v>
      </c>
      <c r="B593" s="7" t="str">
        <f>HYPERLINK("https://lafourche.fr/products/avril-dentifrice-a-la-menthe-bio-100ml","30")</f>
        <v>30</v>
      </c>
      <c r="C593" s="1" t="s">
        <v>869</v>
      </c>
      <c r="D593" s="16">
        <v>888888.0</v>
      </c>
      <c r="F593" s="16">
        <v>888888.0</v>
      </c>
      <c r="H593" s="9" t="str">
        <f>HYPERLINK("https://satoriz-comboire.bio/products/av705","40.0")</f>
        <v>40.0</v>
      </c>
      <c r="I593" s="1" t="s">
        <v>869</v>
      </c>
      <c r="J593" s="9" t="str">
        <f>HYPERLINK("https://www.greenweez.com/produit/dentifrice-sans-fluor-a-la-menthe-100ml/1AVRI0296","36.0")</f>
        <v>36.0</v>
      </c>
      <c r="K593" s="1" t="s">
        <v>869</v>
      </c>
      <c r="L593" s="7" t="str">
        <f>HYPERLINK("https://metabase.lelefan.org/public/dashboard/53c41f3f-5644-466e-935e-897e7725f6bc?rayon=&amp;d%25C3%25A9signation=DENTIFRICE&amp;fournisseur=&amp;date_d%25C3%25A9but=&amp;date_fin=","30.0")</f>
        <v>30.0</v>
      </c>
      <c r="M593" s="1" t="s">
        <v>869</v>
      </c>
      <c r="N593" s="16">
        <v>888888.0</v>
      </c>
    </row>
    <row r="594" ht="14.25" customHeight="1">
      <c r="A594" s="5" t="s">
        <v>827</v>
      </c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 ht="14.25" customHeight="1">
      <c r="A595" s="1" t="s">
        <v>828</v>
      </c>
      <c r="B595" s="9" t="str">
        <f>HYPERLINK("https://lafourche.fr/products/avril-gel-intime-certifie-bio-0-2l","20.25")</f>
        <v>20.25</v>
      </c>
      <c r="C595" s="1" t="s">
        <v>869</v>
      </c>
      <c r="D595" s="9" t="str">
        <f>HYPERLINK("https://www.biocoop.fr/magasin-biocoop_champollion/toilette-intime-gel-fraicheur-usage-quotidien-500ml-el1277-000.html","23.7")</f>
        <v>23.7</v>
      </c>
      <c r="E595" s="1" t="s">
        <v>869</v>
      </c>
      <c r="F595" s="9" t="str">
        <f>HYPERLINK("https://www.biocoop.fr/magasin-biocoop_fontaine/toilette-intime-gel-fraicheur-usage-quotidien-500ml-el1277-000.html","888888")</f>
        <v>888888</v>
      </c>
      <c r="G595" s="16" t="s">
        <v>869</v>
      </c>
      <c r="H595" s="9" t="str">
        <f>HYPERLINK("https://satoriz-comboire.bio/products/pr1080","20.7")</f>
        <v>20.7</v>
      </c>
      <c r="I595" s="26" t="s">
        <v>1626</v>
      </c>
      <c r="J595" s="9" t="str">
        <f>HYPERLINK("https://www.greenweez.com/produit/gel-intime-200ml/1AVRI0350","23.4")</f>
        <v>23.4</v>
      </c>
      <c r="K595" s="1" t="s">
        <v>869</v>
      </c>
      <c r="L595" s="9" t="str">
        <f>HYPERLINK("https://metabase.lelefan.org/public/dashboard/53c41f3f-5644-466e-935e-897e7725f6bc?rayon=&amp;d%25C3%25A9signation=GEL INTIME&amp;fournisseur=&amp;date_d%25C3%25A9but=&amp;date_fin=","18.75")</f>
        <v>18.75</v>
      </c>
      <c r="M595" s="1" t="s">
        <v>869</v>
      </c>
      <c r="N595" s="7" t="str">
        <f>HYPERLINK("https://fd11-courses.leclercdrive.fr/magasin-063801-063801-Echirolles---Comboire/fiche-produits-115527-Gel-de-toilette-intime-Bionaia.aspx","12.95")</f>
        <v>12.95</v>
      </c>
    </row>
    <row r="596" ht="14.25" customHeight="1">
      <c r="A596" s="1" t="s">
        <v>829</v>
      </c>
      <c r="B596" s="7" t="str">
        <f>HYPERLINK("https://lafourche.fr/products/la-fourche-serviettes-hygieniques-normal-14unite","0.12")</f>
        <v>0.12</v>
      </c>
      <c r="C596" s="26" t="s">
        <v>1769</v>
      </c>
      <c r="D596" s="9" t="str">
        <f>HYPERLINK("https://www.biocoop.fr/magasin-biocoop_champollion/serviettes-ultra-regular-14-bo2111-000.html","0.19")</f>
        <v>0.19</v>
      </c>
      <c r="E596" s="26" t="s">
        <v>1770</v>
      </c>
      <c r="F596" s="9" t="str">
        <f>HYPERLINK("https://www.biocoop.fr/magasin-biocoop_fontaine/serviettes-ultra-regular-14-bo2111-000.html","0.19")</f>
        <v>0.19</v>
      </c>
      <c r="G596" s="26" t="s">
        <v>1770</v>
      </c>
      <c r="H596" s="9" t="str">
        <f>HYPERLINK("https://satoriz-comboire.bio/collections/soins-beaute/products/pu627","0.24")</f>
        <v>0.24</v>
      </c>
      <c r="I596" s="1" t="s">
        <v>869</v>
      </c>
      <c r="J596" s="9" t="str">
        <f>HYPERLINK("https://www.greenweez.com/produit/14-serviettes-normales-hypoallergeniques-0-ultra-avec-ailette/2LOVE0028","0.2")</f>
        <v>0.2</v>
      </c>
      <c r="K596" s="1" t="s">
        <v>869</v>
      </c>
      <c r="L596" s="9" t="str">
        <f>HYPERLINK("https://metabase.lelefan.org/public/dashboard/53c41f3f-5644-466e-935e-897e7725f6bc?rayon=&amp;d%25C3%25A9signation=SERVIETTE ULTRA NORMALE&amp;fournisseur=&amp;date_d%25C3%25A9but=&amp;date_fin=","0.28")</f>
        <v>0.28</v>
      </c>
      <c r="M596" s="1" t="s">
        <v>869</v>
      </c>
      <c r="N596" s="9" t="str">
        <f>HYPERLINK("https://fd11-courses.leclercdrive.fr/magasin-063801-063801-Echirolles---Comboire/fiche-produits-120428-Serviette-ecolo-Uni-Vert.aspx","0.13")</f>
        <v>0.13</v>
      </c>
      <c r="P596" s="1">
        <v>8.0</v>
      </c>
    </row>
    <row r="597" ht="14.25" customHeight="1">
      <c r="A597" s="1" t="s">
        <v>830</v>
      </c>
      <c r="B597" s="7" t="str">
        <f>HYPERLINK("https://lafourche.fr/products/la-fourche-serviettes-hygieniques-nuit-10unite","0.17")</f>
        <v>0.17</v>
      </c>
      <c r="C597" s="26" t="s">
        <v>1771</v>
      </c>
      <c r="D597" s="16">
        <v>888888.0</v>
      </c>
      <c r="F597" s="16">
        <v>888888.0</v>
      </c>
      <c r="H597" s="9" t="str">
        <f>HYPERLINK("https://satoriz-comboire.bio/collections/soins-beaute/products/pu6210","0.42")</f>
        <v>0.42</v>
      </c>
      <c r="I597" s="26" t="s">
        <v>1772</v>
      </c>
      <c r="J597" s="9" t="str">
        <f>HYPERLINK("https://www.greenweez.com/produit/serviettes-maxi-nuit-hypoallergeniques-pliees-x12/2LOVE0059","0.24")</f>
        <v>0.24</v>
      </c>
      <c r="K597" s="1" t="s">
        <v>869</v>
      </c>
      <c r="L597" s="9" t="str">
        <f>HYPERLINK("https://metabase.lelefan.org/public/dashboard/53c41f3f-5644-466e-935e-897e7725f6bc?rayon=&amp;d%25C3%25A9signation=SERVIETTE MAXI PADS NIGHT TIME&amp;fournisseur=&amp;date_d%25C3%25A9but=&amp;date_fin=","888888")</f>
        <v>888888</v>
      </c>
      <c r="M597" s="16" t="s">
        <v>869</v>
      </c>
      <c r="N597" s="16">
        <v>888888.0</v>
      </c>
    </row>
    <row r="598" ht="14.25" customHeight="1">
      <c r="A598" s="1" t="s">
        <v>831</v>
      </c>
      <c r="B598" s="7" t="str">
        <f>HYPERLINK("https://lafourche.fr/products/la-fourche-protege-lingeries-normal-30unite","0.06")</f>
        <v>0.06</v>
      </c>
      <c r="C598" s="26" t="s">
        <v>1773</v>
      </c>
      <c r="D598" s="16">
        <v>888888.0</v>
      </c>
      <c r="F598" s="16">
        <v>888888.0</v>
      </c>
      <c r="H598" s="9" t="str">
        <f>HYPERLINK("https://satoriz-comboire.bio/collections/soins-beaute/products/eu5844","0.17")</f>
        <v>0.17</v>
      </c>
      <c r="I598" s="25" t="s">
        <v>1491</v>
      </c>
      <c r="J598" s="9" t="str">
        <f>HYPERLINK("https://www.greenweez.com/produit/30-protege-slips-hypoallergeniques-0/2LOVE0027","0.1")</f>
        <v>0.1</v>
      </c>
      <c r="K598" s="1" t="s">
        <v>869</v>
      </c>
      <c r="L598" s="9" t="str">
        <f>HYPERLINK("https://metabase.lelefan.org/public/dashboard/53c41f3f-5644-466e-935e-897e7725f6bc?rayon=&amp;d%25C3%25A9signation=PROTEGE-SLIP NORMAL X18&amp;fournisseur=&amp;date_d%25C3%25A9but=&amp;date_fin=","0.14")</f>
        <v>0.14</v>
      </c>
      <c r="M598" s="1" t="s">
        <v>869</v>
      </c>
      <c r="N598" s="9" t="str">
        <f>HYPERLINK("https://fd11-courses.leclercdrive.fr/magasin-063801-063801-Echirolles---Comboire/fiche-produits-120426-Protege-slip-ecolo-Uni-vert.aspx","0.07")</f>
        <v>0.07</v>
      </c>
    </row>
    <row r="599" ht="14.25" customHeight="1">
      <c r="A599" s="1" t="s">
        <v>832</v>
      </c>
      <c r="B599" s="9" t="str">
        <f>HYPERLINK("https://lafourche.fr/products/la-fourche-serviettes-hygieniques-super-12unite","0.18")</f>
        <v>0.18</v>
      </c>
      <c r="C599" s="26" t="s">
        <v>1769</v>
      </c>
      <c r="D599" s="9" t="str">
        <f>HYPERLINK("https://www.biocoop.fr/magasin-biocoop_champollion/serviettes-ultra-super-12-bo2116-000.html","0.29")</f>
        <v>0.29</v>
      </c>
      <c r="E599" s="1" t="s">
        <v>869</v>
      </c>
      <c r="F599" s="9" t="str">
        <f>HYPERLINK("https://www.biocoop.fr/magasin-biocoop_fontaine/serviettes-ultra-super-12-bo2116-000.html","0.3")</f>
        <v>0.3</v>
      </c>
      <c r="G599" s="1" t="s">
        <v>869</v>
      </c>
      <c r="H599" s="9" t="str">
        <f>HYPERLINK("https://satoriz-comboire.bio/collections/soins-beaute/products/pu628","0.27")</f>
        <v>0.27</v>
      </c>
      <c r="I599" s="26" t="s">
        <v>1774</v>
      </c>
      <c r="J599" s="9" t="str">
        <f>HYPERLINK("https://www.greenweez.com/produit/serviettes-hypoallergeniques-maxi-super-x14-sans-ailettes/2LOVE0070","0.19")</f>
        <v>0.19</v>
      </c>
      <c r="K599" s="26" t="s">
        <v>1229</v>
      </c>
      <c r="L599" s="9" t="str">
        <f>HYPERLINK("https://metabase.lelefan.org/public/dashboard/53c41f3f-5644-466e-935e-897e7725f6bc?rayon=&amp;d%25C3%25A9signation=SERVIETTE ULTRA SUPER&amp;fournisseur=&amp;date_d%25C3%25A9but=&amp;date_fin=","0.32")</f>
        <v>0.32</v>
      </c>
      <c r="M599" s="1" t="s">
        <v>869</v>
      </c>
      <c r="N599" s="7" t="str">
        <f>HYPERLINK("https://fd11-courses.leclercdrive.fr/magasin-063801-063801-Echirolles---Comboire/fiche-produits-120429-Serviette-ecolo-Uni-vert.aspx","0.11")</f>
        <v>0.11</v>
      </c>
    </row>
    <row r="600" ht="14.25" customHeight="1">
      <c r="A600" s="1" t="s">
        <v>833</v>
      </c>
      <c r="B600" s="7" t="str">
        <f>HYPERLINK("https://lafourche.fr/products/tampon-normal-avec-applicateur-x16","0.26")</f>
        <v>0.26</v>
      </c>
      <c r="C600" s="25" t="s">
        <v>1349</v>
      </c>
      <c r="D600" s="9" t="str">
        <f>HYPERLINK("https://www.biocoop.fr/magasin-biocoop_champollion/tampons-regular-avec-applicateur-16-bo2103-000.html","0.3")</f>
        <v>0.3</v>
      </c>
      <c r="E600" s="1" t="s">
        <v>869</v>
      </c>
      <c r="F600" s="9" t="str">
        <f>HYPERLINK("https://www.biocoop.fr/magasin-biocoop_fontaine/tampons-regular-avec-applicateur-16-bo2103-000.html","0.33")</f>
        <v>0.33</v>
      </c>
      <c r="G600" s="1" t="s">
        <v>869</v>
      </c>
      <c r="H600" s="9" t="str">
        <f>HYPERLINK("https://satoriz-comboire.bio/collections/soins-beaute/products/pu624","0.31")</f>
        <v>0.31</v>
      </c>
      <c r="I600" s="1" t="s">
        <v>869</v>
      </c>
      <c r="J600" s="9" t="str">
        <f>HYPERLINK("https://www.greenweez.com/produit/tampons-normal-avec-applicateur-x16/1NATR0018","0.27")</f>
        <v>0.27</v>
      </c>
      <c r="K600" s="16" t="s">
        <v>896</v>
      </c>
      <c r="L600" s="9" t="str">
        <f>HYPERLINK("https://metabase.lelefan.org/public/dashboard/53c41f3f-5644-466e-935e-897e7725f6bc?rayon=&amp;d%25C3%25A9signation=TAMPON NORMAL AVEC APPLICATEUR&amp;fournisseur=&amp;date_d%25C3%25A9but=&amp;date_fin=","0.29")</f>
        <v>0.29</v>
      </c>
      <c r="M600" s="1" t="s">
        <v>869</v>
      </c>
      <c r="N600" s="16">
        <v>888888.0</v>
      </c>
      <c r="P600" s="1">
        <v>8.0</v>
      </c>
    </row>
    <row r="601" ht="14.25" customHeight="1">
      <c r="A601" s="1" t="s">
        <v>834</v>
      </c>
      <c r="B601" s="7" t="str">
        <f>HYPERLINK("https://lafourche.fr/products/natracare-tampon-normal-en-coton-bio-sans-applicateur-x20","0.17")</f>
        <v>0.17</v>
      </c>
      <c r="C601" s="1" t="s">
        <v>869</v>
      </c>
      <c r="D601" s="9" t="str">
        <f>HYPERLINK("https://www.biocoop.fr/magasin-biocoop_champollion/tampons-regular-sans-applicateur-20-bo2100-000.html","0.19")</f>
        <v>0.19</v>
      </c>
      <c r="E601" s="1" t="s">
        <v>869</v>
      </c>
      <c r="F601" s="9" t="str">
        <f>HYPERLINK("https://www.biocoop.fr/magasin-biocoop_fontaine/tampons-regular-sans-applicateur-20-bo2100-000.html","0.19")</f>
        <v>0.19</v>
      </c>
      <c r="G601" s="1" t="s">
        <v>869</v>
      </c>
      <c r="H601" s="9" t="str">
        <f>HYPERLINK("https://satoriz-comboire.bio/collections/soins-beaute/products/pu6213","0.2")</f>
        <v>0.2</v>
      </c>
      <c r="I601" s="1" t="s">
        <v>869</v>
      </c>
      <c r="J601" s="9" t="str">
        <f>HYPERLINK("https://www.greenweez.com/produit/tampons-normal-sans-applicateur-x20/1NATR0016","0.18")</f>
        <v>0.18</v>
      </c>
      <c r="K601" s="1" t="s">
        <v>869</v>
      </c>
      <c r="L601" s="9" t="str">
        <f>HYPERLINK("https://metabase.lelefan.org/public/dashboard/53c41f3f-5644-466e-935e-897e7725f6bc?rayon=&amp;d%25C3%25A9signation=TAMPON NORMAL SANS APPLICATEUR&amp;fournisseur=&amp;date_d%25C3%25A9but=&amp;date_fin=","0.19")</f>
        <v>0.19</v>
      </c>
      <c r="M601" s="1" t="s">
        <v>869</v>
      </c>
      <c r="N601" s="16">
        <v>888888.0</v>
      </c>
    </row>
    <row r="602" ht="14.25" customHeight="1">
      <c r="A602" s="1" t="s">
        <v>835</v>
      </c>
      <c r="B602" s="7" t="str">
        <f>HYPERLINK("https://lafourche.fr/products/tampon-super-avec-applicateur-x16","0.27")</f>
        <v>0.27</v>
      </c>
      <c r="C602" s="1" t="s">
        <v>869</v>
      </c>
      <c r="D602" s="16">
        <v>888888.0</v>
      </c>
      <c r="F602" s="16">
        <v>888888.0</v>
      </c>
      <c r="H602" s="9" t="str">
        <f>HYPERLINK("https://satoriz-comboire.bio/collections/soins-beaute/products/eu5847","0.41")</f>
        <v>0.41</v>
      </c>
      <c r="I602" s="1" t="s">
        <v>869</v>
      </c>
      <c r="J602" s="7" t="str">
        <f>HYPERLINK("https://www.greenweez.com/produit/tampons-super-avec-applicateur-x16/1NATR0020","0.27")</f>
        <v>0.27</v>
      </c>
      <c r="K602" s="26" t="s">
        <v>1774</v>
      </c>
      <c r="L602" s="9" t="str">
        <f>HYPERLINK("https://metabase.lelefan.org/public/dashboard/53c41f3f-5644-466e-935e-897e7725f6bc?rayon=&amp;d%25C3%25A9signation=TAMPON SUPER AVEC APPLICATEUR&amp;fournisseur=&amp;date_d%25C3%25A9but=&amp;date_fin=","0.31")</f>
        <v>0.31</v>
      </c>
      <c r="M602" s="1" t="s">
        <v>869</v>
      </c>
      <c r="N602" s="16">
        <v>888888.0</v>
      </c>
    </row>
    <row r="603" ht="14.25" customHeight="1">
      <c r="A603" s="1" t="s">
        <v>836</v>
      </c>
      <c r="B603" s="7" t="str">
        <f>HYPERLINK("https://lafourche.fr/products/natracare-tampon-super-en-coton-bio-sans-applicateur-x20","0.18")</f>
        <v>0.18</v>
      </c>
      <c r="C603" s="1" t="s">
        <v>869</v>
      </c>
      <c r="D603" s="9" t="str">
        <f>HYPERLINK("https://www.biocoop.fr/magasin-biocoop_champollion/tampon-super-20-bo2101-000.html","888888")</f>
        <v>888888</v>
      </c>
      <c r="E603" s="16" t="s">
        <v>869</v>
      </c>
      <c r="F603" s="9" t="str">
        <f>HYPERLINK("https://www.biocoop.fr/magasin-biocoop_fontaine/tampon-super-20-bo2101-000.html","0.24")</f>
        <v>0.24</v>
      </c>
      <c r="G603" s="1" t="s">
        <v>869</v>
      </c>
      <c r="H603" s="9" t="str">
        <f>HYPERLINK("https://satoriz-comboire.bio/collections/soins-beaute/products/eu5850","0.28")</f>
        <v>0.28</v>
      </c>
      <c r="I603" s="1" t="s">
        <v>869</v>
      </c>
      <c r="J603" s="9" t="str">
        <f>HYPERLINK("https://www.greenweez.com/produit/tampons-super-sans-applicateur-x20/1NATR0019","0.2")</f>
        <v>0.2</v>
      </c>
      <c r="K603" s="1" t="s">
        <v>869</v>
      </c>
      <c r="L603" s="9" t="str">
        <f>HYPERLINK("https://metabase.lelefan.org/public/dashboard/53c41f3f-5644-466e-935e-897e7725f6bc?rayon=&amp;d%25C3%25A9signation=TAMPON SUPER SANS APPLICATEUR&amp;fournisseur=&amp;date_d%25C3%25A9but=&amp;date_fin=","0.21")</f>
        <v>0.21</v>
      </c>
      <c r="M603" s="1" t="s">
        <v>869</v>
      </c>
      <c r="N603" s="16">
        <v>888888.0</v>
      </c>
    </row>
    <row r="604" ht="14.25" customHeight="1">
      <c r="A604" s="5" t="s">
        <v>837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 ht="14.25" customHeight="1">
      <c r="A605" s="1" t="s">
        <v>838</v>
      </c>
      <c r="B605" s="9" t="str">
        <f>HYPERLINK("https://lafourche.fr/products/acorelle-creme-solaire-visage-spf50-0-05l","339.8")</f>
        <v>339.8</v>
      </c>
      <c r="C605" s="1" t="s">
        <v>869</v>
      </c>
      <c r="D605" s="7" t="str">
        <f>HYPERLINK("https://www.biocoop.fr/magasin-biocoop_champollion/spray-solaire-spf50-visage-corps-125ml-as5020-000.html","152.8")</f>
        <v>152.8</v>
      </c>
      <c r="E605" s="1" t="s">
        <v>869</v>
      </c>
      <c r="F605" s="9" t="str">
        <f>HYPERLINK("https://www.biocoop.fr/magasin-biocoop_fontaine/creme-solaire-visage-spf50-50g-as5021-000.html","272.0")</f>
        <v>272.0</v>
      </c>
      <c r="G605" s="1" t="s">
        <v>869</v>
      </c>
      <c r="H605" s="9" t="str">
        <f>HYPERLINK("https://satoriz-comboire.bio/products/aco4611","359.0")</f>
        <v>359.0</v>
      </c>
      <c r="I605" s="26" t="s">
        <v>1775</v>
      </c>
      <c r="J605" s="9" t="str">
        <f>HYPERLINK("https://www.greenweez.com/produit/creme-solaire-visage-spf50-50ml-2/2APLH0110","291.8")</f>
        <v>291.8</v>
      </c>
      <c r="K605" s="1" t="s">
        <v>869</v>
      </c>
      <c r="L605" s="9" t="str">
        <f>HYPERLINK("https://metabase.lelefan.org/public/dashboard/53c41f3f-5644-466e-935e-897e7725f6bc?rayon=&amp;d%25C3%25A9signation=CREME SOLAIRE VISAGE SPF 50&amp;fournisseur=&amp;date_d%25C3%25A9but=&amp;date_fin=","888888")</f>
        <v>888888</v>
      </c>
      <c r="M605" s="18" t="s">
        <v>56</v>
      </c>
      <c r="N605" s="16">
        <v>888888.0</v>
      </c>
    </row>
    <row r="606" ht="14.25" customHeight="1"/>
    <row r="607" ht="14.25" customHeight="1"/>
    <row r="608" ht="14.25" customHeight="1">
      <c r="A608" s="1" t="s">
        <v>839</v>
      </c>
      <c r="B608" s="1" t="str">
        <f>SUMPRODUCT($P5:$P607*B5:B607)</f>
        <v>#VALUE!</v>
      </c>
      <c r="D608" s="1" t="str">
        <f>SUMPRODUCT($P5:$P607*D5:D607)</f>
        <v>#VALUE!</v>
      </c>
      <c r="F608" s="1" t="str">
        <f>SUMPRODUCT($P5:$P607*F5:F607)</f>
        <v>#VALUE!</v>
      </c>
      <c r="H608" s="1" t="str">
        <f>SUMPRODUCT($P5:$P607*H5:H607)</f>
        <v>#VALUE!</v>
      </c>
      <c r="J608" s="1" t="str">
        <f>SUMPRODUCT($P5:$P607*J5:J607)</f>
        <v>#VALUE!</v>
      </c>
      <c r="L608" s="1" t="str">
        <f>SUMPRODUCT($P5:$P607*L5:L607)</f>
        <v>#VALUE!</v>
      </c>
      <c r="N608" s="1" t="str">
        <f>SUMPRODUCT($P5:$P607*N5:N607)</f>
        <v>#VALUE!</v>
      </c>
    </row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3.0"/>
    <col customWidth="1" min="3" max="26" width="10.71"/>
  </cols>
  <sheetData>
    <row r="1" ht="14.25" customHeight="1">
      <c r="B1" s="1" t="s">
        <v>11</v>
      </c>
      <c r="C1" s="1" t="s">
        <v>1776</v>
      </c>
    </row>
    <row r="2" ht="14.25" customHeight="1">
      <c r="B2" s="2" t="s">
        <v>71</v>
      </c>
      <c r="C2" s="7" t="str">
        <f>HYPERLINK("https://metabase.lelefan.org/public/dashboard/53c41f3f-5644-466e-935e-897e7725f6bc?rayon=&amp;d%25C3%25A9signation=SIROP DE PECHE&amp;fournisseur=&amp;date_d%25C3%25A9but=&amp;date_fin=","6.3")</f>
        <v>6.3</v>
      </c>
    </row>
    <row r="3" ht="14.25" customHeight="1">
      <c r="B3" s="2" t="s">
        <v>129</v>
      </c>
      <c r="C3" s="7" t="str">
        <f>HYPERLINK("https://metabase.lelefan.org/public/dashboard/53c41f3f-5644-466e-935e-897e7725f6bc?rayon=&amp;d%25C3%25A9signation=ATMA CHAI 5 EPICES (SANS THE) VRAC&amp;fournisseur=&amp;date_d%25C3%25A9but=&amp;date_fin=","32.5")</f>
        <v>32.5</v>
      </c>
    </row>
    <row r="4" ht="14.25" customHeight="1">
      <c r="B4" s="2" t="s">
        <v>139</v>
      </c>
      <c r="C4" s="7" t="str">
        <f>HYPERLINK("https://metabase.lelefan.org/public/dashboard/53c41f3f-5644-466e-935e-897e7725f6bc?rayon=&amp;d%25C3%25A9signation=COUCHE BIBOU DRY TAILLE 3 | 4-9KG&amp;fournisseur=&amp;date_d%25C3%25A9but=&amp;date_fin=","0.25")</f>
        <v>0.25</v>
      </c>
    </row>
    <row r="5" ht="14.25" customHeight="1">
      <c r="B5" s="2" t="s">
        <v>140</v>
      </c>
      <c r="C5" s="7" t="str">
        <f>HYPERLINK("https://metabase.lelefan.org/public/dashboard/53c41f3f-5644-466e-935e-897e7725f6bc?rayon=&amp;d%25C3%25A9signation=COUCHE BIBOU DRY TAILLE 4 MAX | 7-18KG&amp;fournisseur=&amp;date_d%25C3%25A9but=&amp;date_fin=","0.25")</f>
        <v>0.25</v>
      </c>
    </row>
    <row r="6" ht="14.25" customHeight="1">
      <c r="B6" s="2" t="s">
        <v>141</v>
      </c>
      <c r="C6" s="7" t="str">
        <f>HYPERLINK("https://metabase.lelefan.org/public/dashboard/53c41f3f-5644-466e-935e-897e7725f6bc?rayon=&amp;d%25C3%25A9signation=COUCHE BIBOU DRY TAILLE 5 | 11-25KG&amp;fournisseur=&amp;date_d%25C3%25A9but=&amp;date_fin=","0.25")</f>
        <v>0.25</v>
      </c>
    </row>
    <row r="7" ht="14.25" customHeight="1">
      <c r="B7" s="2" t="s">
        <v>167</v>
      </c>
      <c r="C7" s="7" t="str">
        <f>HYPERLINK("https://metabase.lelefan.org/public/dashboard/53c41f3f-5644-466e-935e-897e7725f6bc?rayon=&amp;d%25C3%25A9signation=PISTACHE COQUE GRILLEE-SALEE VRAC&amp;fournisseur=&amp;date_d%25C3%25A9but=&amp;date_fin=","23.28")</f>
        <v>23.28</v>
      </c>
    </row>
    <row r="8" ht="14.25" customHeight="1">
      <c r="B8" s="2" t="s">
        <v>171</v>
      </c>
      <c r="C8" s="7" t="str">
        <f>HYPERLINK("https://metabase.lelefan.org/public/dashboard/53c41f3f-5644-466e-935e-897e7725f6bc?rayon=&amp;d%25C3%25A9signation=ARACHIDE DECORTIQUEE GRILLEE VRAC&amp;fournisseur=&amp;date_d%25C3%25A9but=&amp;date_fin=","7.72")</f>
        <v>7.72</v>
      </c>
    </row>
    <row r="9" ht="14.25" customHeight="1">
      <c r="B9" s="2" t="s">
        <v>272</v>
      </c>
      <c r="C9" s="7" t="str">
        <f>HYPERLINK("https://metabase.lelefan.org/public/dashboard/53c41f3f-5644-466e-935e-897e7725f6bc?rayon=&amp;d%25C3%25A9signation=CURRY DE MADRAS VRAC&amp;fournisseur=&amp;date_d%25C3%25A9but=&amp;date_fin=","31.76")</f>
        <v>31.76</v>
      </c>
    </row>
    <row r="10" ht="14.25" customHeight="1">
      <c r="B10" s="2" t="s">
        <v>285</v>
      </c>
      <c r="C10" s="7" t="str">
        <f>HYPERLINK("https://metabase.lelefan.org/public/dashboard/53c41f3f-5644-466e-935e-897e7725f6bc?rayon=&amp;d%25C3%25A9signation=LEVURE MALTEE PAILLETTE VRAC&amp;fournisseur=&amp;date_d%25C3%25A9but=&amp;date_fin=","16.88")</f>
        <v>16.88</v>
      </c>
    </row>
    <row r="11" ht="14.25" customHeight="1">
      <c r="B11" s="2" t="s">
        <v>307</v>
      </c>
      <c r="C11" s="7" t="str">
        <f>HYPERLINK("https://metabase.lelefan.org/public/dashboard/53c41f3f-5644-466e-935e-897e7725f6bc?rayon=&amp;d%25C3%25A9signation=OLIVES VERTES DENOYAUTEES - ESPAGNE&amp;fournisseur=&amp;date_d%25C3%25A9but=&amp;date_fin=","6.03")</f>
        <v>6.03</v>
      </c>
    </row>
    <row r="12" ht="14.25" customHeight="1">
      <c r="B12" s="2" t="s">
        <v>319</v>
      </c>
      <c r="C12" s="7" t="str">
        <f>HYPERLINK("https://metabase.lelefan.org/public/dashboard/53c41f3f-5644-466e-935e-897e7725f6bc?rayon=&amp;d%25C3%25A9signation=CORNICHONS MI FINS AIGRE DOUX&amp;fournisseur=&amp;date_d%25C3%25A9but=&amp;date_fin=","11.33")</f>
        <v>11.33</v>
      </c>
    </row>
    <row r="13" ht="14.25" customHeight="1">
      <c r="B13" s="2" t="s">
        <v>357</v>
      </c>
      <c r="C13" s="7" t="str">
        <f>HYPERLINK("https://metabase.lelefan.org/public/dashboard/53c41f3f-5644-466e-935e-897e7725f6bc?rayon=&amp;d%25C3%25A9signation=PETITS POIS 400G - FRANCE&amp;fournisseur=&amp;date_d%25C3%25A9but=&amp;date_fin=","3.82")</f>
        <v>3.82</v>
      </c>
    </row>
    <row r="14" ht="14.25" customHeight="1">
      <c r="B14" s="2" t="s">
        <v>379</v>
      </c>
      <c r="C14" s="7" t="str">
        <f>HYPERLINK("https://metabase.lelefan.org/public/dashboard/53c41f3f-5644-466e-935e-897e7725f6bc?rayon=&amp;d%25C3%25A9signation=POIS CHICHES - ITALIE&amp;fournisseur=&amp;date_d%25C3%25A9but=&amp;date_fin=","4.74")</f>
        <v>4.74</v>
      </c>
    </row>
    <row r="15" ht="14.25" customHeight="1">
      <c r="B15" s="2" t="s">
        <v>419</v>
      </c>
      <c r="C15" s="7" t="str">
        <f>HYPERLINK("https://metabase.lelefan.org/public/dashboard/53c41f3f-5644-466e-935e-897e7725f6bc?rayon=&amp;d%25C3%25A9signation=HUILE NOIX TRUCS A LA NOIX 1L&amp;fournisseur=&amp;date_d%25C3%25A9but=&amp;date_fin=","19.79")</f>
        <v>19.79</v>
      </c>
    </row>
    <row r="16" ht="14.25" customHeight="1">
      <c r="B16" s="2" t="s">
        <v>420</v>
      </c>
      <c r="C16" s="7" t="str">
        <f>HYPERLINK("https://metabase.lelefan.org/public/dashboard/53c41f3f-5644-466e-935e-897e7725f6bc?rayon=&amp;d%25C3%25A9signation=VINAIGRE DE CIDRE 5% POMME - FRANCE&amp;fournisseur=&amp;date_d%25C3%25A9but=&amp;date_fin=","2.36")</f>
        <v>2.36</v>
      </c>
    </row>
    <row r="17" ht="14.25" customHeight="1">
      <c r="B17" s="2" t="s">
        <v>440</v>
      </c>
      <c r="C17" s="7" t="str">
        <f>HYPERLINK("https://metabase.lelefan.org/public/dashboard/53c41f3f-5644-466e-935e-897e7725f6bc?rayon=&amp;d%25C3%25A9signation=GRAINE DE COURGE VRAC&amp;fournisseur=&amp;date_d%25C3%25A9but=&amp;date_fin=","10.29")</f>
        <v>10.29</v>
      </c>
    </row>
    <row r="18" ht="14.25" customHeight="1">
      <c r="B18" s="2" t="s">
        <v>448</v>
      </c>
      <c r="C18" s="7" t="str">
        <f>HYPERLINK("https://metabase.lelefan.org/public/dashboard/53c41f3f-5644-466e-935e-897e7725f6bc?rayon=&amp;d%25C3%25A9signation=POIS VERT CASSE VRAC&amp;fournisseur=&amp;date_d%25C3%25A9but=&amp;date_fin=","3.5")</f>
        <v>3.5</v>
      </c>
    </row>
    <row r="19" ht="14.25" customHeight="1">
      <c r="B19" s="2" t="s">
        <v>477</v>
      </c>
      <c r="C19" s="7" t="str">
        <f>HYPERLINK("https://metabase.lelefan.org/public/dashboard/53c41f3f-5644-466e-935e-897e7725f6bc?rayon=&amp;d%25C3%25A9signation=RIZ BASMATI DEMI COMPLET - PAKISTAN&amp;fournisseur=&amp;date_d%25C3%25A9but=&amp;date_fin=","3.24")</f>
        <v>3.24</v>
      </c>
    </row>
    <row r="20" ht="14.25" customHeight="1">
      <c r="B20" s="2" t="s">
        <v>487</v>
      </c>
      <c r="C20" s="7" t="str">
        <f>HYPERLINK("https://metabase.lelefan.org/public/dashboard/53c41f3f-5644-466e-935e-897e7725f6bc?rayon=&amp;d%25C3%25A9signation=RIZ ROND BLANC VRAC&amp;fournisseur=&amp;date_d%25C3%25A9but=&amp;date_fin=","3.75")</f>
        <v>3.75</v>
      </c>
    </row>
    <row r="21" ht="14.25" customHeight="1">
      <c r="B21" s="2" t="s">
        <v>493</v>
      </c>
      <c r="C21" s="7" t="str">
        <f>HYPERLINK("https://metabase.lelefan.org/public/dashboard/53c41f3f-5644-466e-935e-897e7725f6bc?rayon=&amp;d%25C3%25A9signation=RIZ THAI BLANC - THAILANDE&amp;fournisseur=&amp;date_d%25C3%25A9but=&amp;date_fin=","3.59")</f>
        <v>3.59</v>
      </c>
    </row>
    <row r="22" ht="14.25" customHeight="1">
      <c r="B22" s="2" t="s">
        <v>522</v>
      </c>
      <c r="C22" s="7" t="str">
        <f>HYPERLINK("https://metabase.lelefan.org/public/dashboard/53c41f3f-5644-466e-935e-897e7725f6bc?rayon=&amp;d%25C3%25A9signation=SHOYU GRAND CRU VRAC&amp;fournisseur=&amp;date_d%25C3%25A9but=&amp;date_fin=","7.1")</f>
        <v>7.1</v>
      </c>
    </row>
    <row r="23" ht="14.25" customHeight="1">
      <c r="B23" s="2" t="s">
        <v>542</v>
      </c>
      <c r="C23" s="7" t="str">
        <f>HYPERLINK("https://metabase.lelefan.org/public/dashboard/53c41f3f-5644-466e-935e-897e7725f6bc?rayon=&amp;d%25C3%25A9signation=LEVURE SECHE ACTIVE&amp;fournisseur=&amp;date_d%25C3%25A9but=&amp;date_fin=","24.8")</f>
        <v>24.8</v>
      </c>
    </row>
    <row r="24" ht="14.25" customHeight="1">
      <c r="B24" s="2" t="s">
        <v>554</v>
      </c>
      <c r="C24" s="7" t="str">
        <f>HYPERLINK("https://metabase.lelefan.org/public/dashboard/53c41f3f-5644-466e-935e-897e7725f6bc?rayon=&amp;d%25C3%25A9signation=FINES GAUFRETTES AU CHOCOLAT - VEGAN&amp;fournisseur=&amp;date_d%25C3%25A9but=&amp;date_fin=","15.5")</f>
        <v>15.5</v>
      </c>
    </row>
    <row r="25" ht="14.25" customHeight="1">
      <c r="B25" s="2" t="s">
        <v>594</v>
      </c>
      <c r="C25" s="7" t="str">
        <f>HYPERLINK("https://metabase.lelefan.org/public/dashboard/53c41f3f-5644-466e-935e-897e7725f6bc?rayon=&amp;d%25C3%25A9signation=NOIX DE CAJOU VRAC&amp;fournisseur=&amp;date_d%25C3%25A9but=&amp;date_fin=","14.84")</f>
        <v>14.84</v>
      </c>
    </row>
    <row r="26" ht="14.25" customHeight="1">
      <c r="B26" s="2" t="s">
        <v>607</v>
      </c>
      <c r="C26" s="7" t="str">
        <f>HYPERLINK("https://metabase.lelefan.org/public/dashboard/53c41f3f-5644-466e-935e-897e7725f6bc?rayon=&amp;d%25C3%25A9signation=BANANE CHIPS VRAC&amp;fournisseur=&amp;date_d%25C3%25A9but=&amp;date_fin=","6.27")</f>
        <v>6.27</v>
      </c>
    </row>
    <row r="27" ht="14.25" customHeight="1">
      <c r="B27" s="2" t="s">
        <v>622</v>
      </c>
      <c r="C27" s="7" t="str">
        <f>HYPERLINK("https://metabase.lelefan.org/public/dashboard/53c41f3f-5644-466e-935e-897e7725f6bc?rayon=&amp;d%25C3%25A9signation=FARINE MULTICEREALES VRAC&amp;fournisseur=&amp;date_d%25C3%25A9but=&amp;date_fin=","1.85")</f>
        <v>1.85</v>
      </c>
    </row>
    <row r="28" ht="14.25" customHeight="1">
      <c r="B28" s="2" t="s">
        <v>626</v>
      </c>
      <c r="C28" s="7" t="str">
        <f>HYPERLINK("https://metabase.lelefan.org/public/dashboard/53c41f3f-5644-466e-935e-897e7725f6bc?rayon=&amp;d%25C3%25A9signation=FARINE DE MAIS INTEGRALE VRAC&amp;fournisseur=&amp;date_d%25C3%25A9but=&amp;date_fin=","2.64")</f>
        <v>2.64</v>
      </c>
    </row>
    <row r="29" ht="14.25" customHeight="1">
      <c r="B29" s="2" t="s">
        <v>636</v>
      </c>
      <c r="C29" s="7" t="str">
        <f>HYPERLINK("https://metabase.lelefan.org/public/dashboard/53c41f3f-5644-466e-935e-897e7725f6bc?rayon=&amp;d%25C3%25A9signation=FARINE DE POIS CHICHES VRAC&amp;fournisseur=&amp;date_d%25C3%25A9but=&amp;date_fin=","3.77")</f>
        <v>3.77</v>
      </c>
    </row>
    <row r="30" ht="14.25" customHeight="1">
      <c r="B30" s="2" t="s">
        <v>644</v>
      </c>
      <c r="C30" s="7" t="str">
        <f>HYPERLINK("https://metabase.lelefan.org/public/dashboard/53c41f3f-5644-466e-935e-897e7725f6bc?rayon=&amp;d%25C3%25A9signation=CREME DE MARRON 750G&amp;fournisseur=&amp;date_d%25C3%25A9but=&amp;date_fin=","9.77")</f>
        <v>9.77</v>
      </c>
    </row>
    <row r="31" ht="14.25" customHeight="1">
      <c r="B31" s="2" t="s">
        <v>654</v>
      </c>
      <c r="C31" s="7" t="str">
        <f>HYPERLINK("https://metabase.lelefan.org/public/dashboard/53c41f3f-5644-466e-935e-897e7725f6bc?rayon=&amp;d%25C3%25A9signation=CONFITURE FRAMBOISE GRD FORMAT&amp;fournisseur=&amp;date_d%25C3%25A9but=&amp;date_fin=","8.79")</f>
        <v>8.79</v>
      </c>
    </row>
    <row r="32" ht="14.25" customHeight="1">
      <c r="B32" s="2" t="s">
        <v>655</v>
      </c>
      <c r="C32" s="7" t="str">
        <f>HYPERLINK("https://metabase.lelefan.org/public/dashboard/53c41f3f-5644-466e-935e-897e7725f6bc?rayon=&amp;d%25C3%25A9signation=CONFITURE FRAMBOISE BIO T. LE PRINCE&amp;fournisseur=&amp;date_d%25C3%25A9but=&amp;date_fin=","11.06")</f>
        <v>11.06</v>
      </c>
    </row>
    <row r="33" ht="14.25" customHeight="1">
      <c r="B33" s="2" t="s">
        <v>664</v>
      </c>
      <c r="C33" s="7" t="str">
        <f>HYPERLINK("https://metabase.lelefan.org/public/dashboard/53c41f3f-5644-466e-935e-897e7725f6bc?rayon=&amp;d%25C3%25A9signation=PUREE DE CAJOU&amp;fournisseur=&amp;date_d%25C3%25A9but=&amp;date_fin=","4.79")</f>
        <v>4.79</v>
      </c>
    </row>
    <row r="34" ht="14.25" customHeight="1">
      <c r="B34" s="2" t="s">
        <v>677</v>
      </c>
      <c r="C34" s="7" t="str">
        <f>HYPERLINK("https://metabase.lelefan.org/public/dashboard/53c41f3f-5644-466e-935e-897e7725f6bc?rayon=&amp;d%25C3%25A9signation=BEURRE 1/2 SEL&amp;fournisseur=&amp;date_d%25C3%25A9but=&amp;date_fin=","12.12")</f>
        <v>12.12</v>
      </c>
    </row>
    <row r="35" ht="14.25" customHeight="1">
      <c r="B35" s="2" t="s">
        <v>687</v>
      </c>
      <c r="C35" s="7" t="str">
        <f>HYPERLINK("https://metabase.lelefan.org/public/dashboard/53c41f3f-5644-466e-935e-897e7725f6bc?rayon=&amp;d%25C3%25A9signation=EMMENTAL RAPE SACHET 1 KG LAIT CRU&amp;fournisseur=&amp;date_d%25C3%25A9but=&amp;date_fin=","10.38")</f>
        <v>10.38</v>
      </c>
    </row>
    <row r="36" ht="14.25" customHeight="1">
      <c r="B36" s="2" t="s">
        <v>698</v>
      </c>
      <c r="C36" s="7" t="str">
        <f>HYPERLINK("https://metabase.lelefan.org/public/dashboard/53c41f3f-5644-466e-935e-897e7725f6bc?rayon=&amp;d%25C3%25A9signation=CLEMENTINE/MANDARINE BIO AGRINEDIS&amp;fournisseur=&amp;date_d%25C3%25A9but=&amp;date_fin=","3.03")</f>
        <v>3.03</v>
      </c>
    </row>
    <row r="37" ht="14.25" customHeight="1">
      <c r="B37" s="2" t="s">
        <v>699</v>
      </c>
      <c r="C37" s="7" t="str">
        <f>HYPERLINK("https://metabase.lelefan.org/public/dashboard/53c41f3f-5644-466e-935e-897e7725f6bc?rayon=&amp;d%25C3%25A9signation=KIWI BIO&amp;fournisseur=&amp;date_d%25C3%25A9but=&amp;date_fin=","5.37")</f>
        <v>5.37</v>
      </c>
    </row>
    <row r="38" ht="14.25" customHeight="1">
      <c r="B38" s="2" t="s">
        <v>709</v>
      </c>
      <c r="C38" s="7" t="str">
        <f>HYPERLINK("https://metabase.lelefan.org/public/dashboard/53c41f3f-5644-466e-935e-897e7725f6bc?rayon=&amp;d%25C3%25A9signation=BLETTE BIO&amp;fournisseur=&amp;date_d%25C3%25A9but=&amp;date_fin=","3.76")</f>
        <v>3.76</v>
      </c>
    </row>
    <row r="39" ht="14.25" customHeight="1">
      <c r="B39" s="2" t="s">
        <v>723</v>
      </c>
      <c r="C39" s="7" t="str">
        <f>HYPERLINK("https://metabase.lelefan.org/public/dashboard/53c41f3f-5644-466e-935e-897e7725f6bc?rayon=&amp;d%25C3%25A9signation=FENOUIL BIO&amp;fournisseur=&amp;date_d%25C3%25A9but=&amp;date_fin=","4.48")</f>
        <v>4.48</v>
      </c>
    </row>
    <row r="40" ht="14.25" customHeight="1">
      <c r="B40" s="2" t="s">
        <v>728</v>
      </c>
      <c r="C40" s="7" t="str">
        <f>HYPERLINK("https://metabase.lelefan.org/public/dashboard/53c41f3f-5644-466e-935e-897e7725f6bc?rayon=&amp;d%25C3%25A9signation=POMME DE TERRE GROSSE BIO MANGEZ BIO&amp;fournisseur=&amp;date_d%25C3%25A9but=&amp;date_fin=","1.97")</f>
        <v>1.97</v>
      </c>
    </row>
    <row r="41" ht="14.25" customHeight="1">
      <c r="B41" s="2" t="s">
        <v>739</v>
      </c>
      <c r="C41" s="7" t="str">
        <f>HYPERLINK("https://metabase.lelefan.org/public/dashboard/53c41f3f-5644-466e-935e-897e7725f6bc?rayon=&amp;d%25C3%25A9signation=GNOCCHI BIO A POELER&amp;fournisseur=&amp;date_d%25C3%25A9but=&amp;date_fin=","8.4")</f>
        <v>8.4</v>
      </c>
    </row>
    <row r="42" ht="14.25" customHeight="1">
      <c r="B42" s="2" t="s">
        <v>756</v>
      </c>
      <c r="C42" s="7" t="str">
        <f>HYPERLINK("https://metabase.lelefan.org/public/dashboard/53c41f3f-5644-466e-935e-897e7725f6bc?rayon=&amp;d%25C3%25A9signation=CRISTAUX DE SOUDE VRAC&amp;fournisseur=&amp;date_d%25C3%25A9but=&amp;date_fin=","2.85")</f>
        <v>2.85</v>
      </c>
    </row>
    <row r="43" ht="14.25" customHeight="1">
      <c r="B43" s="2" t="s">
        <v>765</v>
      </c>
      <c r="C43" s="7" t="str">
        <f>HYPERLINK("https://metabase.lelefan.org/public/dashboard/53c41f3f-5644-466e-935e-897e7725f6bc?rayon=&amp;d%25C3%25A9signation=PAILLETTE DE SAVON VRAC&amp;fournisseur=&amp;date_d%25C3%25A9but=&amp;date_fin=","9.75")</f>
        <v>9.75</v>
      </c>
    </row>
    <row r="44" ht="14.25" customHeight="1">
      <c r="B44" s="2" t="s">
        <v>770</v>
      </c>
      <c r="C44" s="7" t="str">
        <f>HYPERLINK("https://metabase.lelefan.org/public/dashboard/53c41f3f-5644-466e-935e-897e7725f6bc?rayon=&amp;d%25C3%25A9signation=LESSIVE POUDRE ACTIVE VRAC&amp;fournisseur=&amp;date_d%25C3%25A9but=&amp;date_fin=","5.69")</f>
        <v>5.69</v>
      </c>
    </row>
    <row r="45" ht="14.25" customHeight="1">
      <c r="B45" s="2" t="s">
        <v>818</v>
      </c>
      <c r="C45" s="7" t="str">
        <f>HYPERLINK("https://metabase.lelefan.org/public/dashboard/53c41f3f-5644-466e-935e-897e7725f6bc?rayon=&amp;d%25C3%25A9signation=SHAMPOING SOLIDE&amp;fournisseur=&amp;date_d%25C3%25A9but=&amp;date_fin=","56.9")</f>
        <v>56.9</v>
      </c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2023-07-24T20:17:57Z</dcterms:created>
  <dc:creator>openpyxl</dc:creator>
</cp:coreProperties>
</file>