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94A30575-D654-4B02-81B5-C217504C38C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Reference 2024" sheetId="1" r:id="rId1"/>
    <sheet name="Fruits&amp;légumes" sheetId="2" r:id="rId2"/>
    <sheet name="February 2024" sheetId="3" r:id="rId3"/>
    <sheet name="March 2024" sheetId="4" r:id="rId4"/>
    <sheet name="April 2024" sheetId="5" r:id="rId5"/>
    <sheet name="September 202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7" i="6" l="1"/>
  <c r="B327" i="6"/>
  <c r="J324" i="6"/>
  <c r="H324" i="6"/>
  <c r="F324" i="6"/>
  <c r="D324" i="6"/>
  <c r="B324" i="6"/>
  <c r="J323" i="6"/>
  <c r="H323" i="6"/>
  <c r="F323" i="6"/>
  <c r="D323" i="6"/>
  <c r="B323" i="6"/>
  <c r="J322" i="6"/>
  <c r="H322" i="6"/>
  <c r="F322" i="6"/>
  <c r="D322" i="6"/>
  <c r="B322" i="6"/>
  <c r="J321" i="6"/>
  <c r="H321" i="6"/>
  <c r="F321" i="6"/>
  <c r="D321" i="6"/>
  <c r="B321" i="6"/>
  <c r="J317" i="6"/>
  <c r="H317" i="6"/>
  <c r="F317" i="6"/>
  <c r="D317" i="6"/>
  <c r="B317" i="6"/>
  <c r="J316" i="6"/>
  <c r="H316" i="6"/>
  <c r="F316" i="6"/>
  <c r="D316" i="6"/>
  <c r="B316" i="6"/>
  <c r="J314" i="6"/>
  <c r="H314" i="6"/>
  <c r="F314" i="6"/>
  <c r="D314" i="6"/>
  <c r="B314" i="6"/>
  <c r="J313" i="6"/>
  <c r="H313" i="6"/>
  <c r="F313" i="6"/>
  <c r="D313" i="6"/>
  <c r="B313" i="6"/>
  <c r="J312" i="6"/>
  <c r="H312" i="6"/>
  <c r="F312" i="6"/>
  <c r="D312" i="6"/>
  <c r="B312" i="6"/>
  <c r="J310" i="6"/>
  <c r="H310" i="6"/>
  <c r="F310" i="6"/>
  <c r="D310" i="6"/>
  <c r="B310" i="6"/>
  <c r="J309" i="6"/>
  <c r="H309" i="6"/>
  <c r="F309" i="6"/>
  <c r="D309" i="6"/>
  <c r="B309" i="6"/>
  <c r="J308" i="6"/>
  <c r="H308" i="6"/>
  <c r="F308" i="6"/>
  <c r="D308" i="6"/>
  <c r="B308" i="6"/>
  <c r="J307" i="6"/>
  <c r="H307" i="6"/>
  <c r="F307" i="6"/>
  <c r="D307" i="6"/>
  <c r="B307" i="6"/>
  <c r="J306" i="6"/>
  <c r="H306" i="6"/>
  <c r="F306" i="6"/>
  <c r="D306" i="6"/>
  <c r="B306" i="6"/>
  <c r="J305" i="6"/>
  <c r="H305" i="6"/>
  <c r="F305" i="6"/>
  <c r="D305" i="6"/>
  <c r="B305" i="6"/>
  <c r="J304" i="6"/>
  <c r="H304" i="6"/>
  <c r="F304" i="6"/>
  <c r="D304" i="6"/>
  <c r="B304" i="6"/>
  <c r="J303" i="6"/>
  <c r="H303" i="6"/>
  <c r="F303" i="6"/>
  <c r="D303" i="6"/>
  <c r="B303" i="6"/>
  <c r="J299" i="6"/>
  <c r="H299" i="6"/>
  <c r="F299" i="6"/>
  <c r="D299" i="6"/>
  <c r="B299" i="6"/>
  <c r="J298" i="6"/>
  <c r="H298" i="6"/>
  <c r="B298" i="6"/>
  <c r="J297" i="6"/>
  <c r="H297" i="6"/>
  <c r="F297" i="6"/>
  <c r="D297" i="6"/>
  <c r="B297" i="6"/>
  <c r="J296" i="6"/>
  <c r="H296" i="6"/>
  <c r="F296" i="6"/>
  <c r="D296" i="6"/>
  <c r="B296" i="6"/>
  <c r="J295" i="6"/>
  <c r="H295" i="6"/>
  <c r="F295" i="6"/>
  <c r="D295" i="6"/>
  <c r="B295" i="6"/>
  <c r="J294" i="6"/>
  <c r="H294" i="6"/>
  <c r="B294" i="6"/>
  <c r="J293" i="6"/>
  <c r="H293" i="6"/>
  <c r="B293" i="6"/>
  <c r="J292" i="6"/>
  <c r="H292" i="6"/>
  <c r="F292" i="6"/>
  <c r="D292" i="6"/>
  <c r="B292" i="6"/>
  <c r="J290" i="6"/>
  <c r="H290" i="6"/>
  <c r="B290" i="6"/>
  <c r="J289" i="6"/>
  <c r="H289" i="6"/>
  <c r="F289" i="6"/>
  <c r="D289" i="6"/>
  <c r="B289" i="6"/>
  <c r="J287" i="6"/>
  <c r="H287" i="6"/>
  <c r="F287" i="6"/>
  <c r="D287" i="6"/>
  <c r="B287" i="6"/>
  <c r="J283" i="6"/>
  <c r="H283" i="6"/>
  <c r="B283" i="6"/>
  <c r="J282" i="6"/>
  <c r="H282" i="6"/>
  <c r="F282" i="6"/>
  <c r="B282" i="6"/>
  <c r="J281" i="6"/>
  <c r="H281" i="6"/>
  <c r="F281" i="6"/>
  <c r="D281" i="6"/>
  <c r="J280" i="6"/>
  <c r="H280" i="6"/>
  <c r="B280" i="6"/>
  <c r="H279" i="6"/>
  <c r="F279" i="6"/>
  <c r="D279" i="6"/>
  <c r="J278" i="6"/>
  <c r="H278" i="6"/>
  <c r="J277" i="6"/>
  <c r="H277" i="6"/>
  <c r="B277" i="6"/>
  <c r="J276" i="6"/>
  <c r="H276" i="6"/>
  <c r="F276" i="6"/>
  <c r="D276" i="6"/>
  <c r="B276" i="6"/>
  <c r="J275" i="6"/>
  <c r="H275" i="6"/>
  <c r="F275" i="6"/>
  <c r="D275" i="6"/>
  <c r="H274" i="6"/>
  <c r="D274" i="6"/>
  <c r="H273" i="6"/>
  <c r="B273" i="6"/>
  <c r="J272" i="6"/>
  <c r="H272" i="6"/>
  <c r="B272" i="6"/>
  <c r="J271" i="6"/>
  <c r="H271" i="6"/>
  <c r="F271" i="6"/>
  <c r="B271" i="6"/>
  <c r="J270" i="6"/>
  <c r="H270" i="6"/>
  <c r="F270" i="6"/>
  <c r="D270" i="6"/>
  <c r="B270" i="6"/>
  <c r="J269" i="6"/>
  <c r="H269" i="6"/>
  <c r="J268" i="6"/>
  <c r="H268" i="6"/>
  <c r="F268" i="6"/>
  <c r="D268" i="6"/>
  <c r="B268" i="6"/>
  <c r="J267" i="6"/>
  <c r="H267" i="6"/>
  <c r="F267" i="6"/>
  <c r="H266" i="6"/>
  <c r="D266" i="6"/>
  <c r="J265" i="6"/>
  <c r="H265" i="6"/>
  <c r="F265" i="6"/>
  <c r="H264" i="6"/>
  <c r="F264" i="6"/>
  <c r="D264" i="6"/>
  <c r="B264" i="6"/>
  <c r="J263" i="6"/>
  <c r="H263" i="6"/>
  <c r="F263" i="6"/>
  <c r="B263" i="6"/>
  <c r="J262" i="6"/>
  <c r="H262" i="6"/>
  <c r="F262" i="6"/>
  <c r="B262" i="6"/>
  <c r="J260" i="6"/>
  <c r="H260" i="6"/>
  <c r="F260" i="6"/>
  <c r="D260" i="6"/>
  <c r="B260" i="6"/>
  <c r="J259" i="6"/>
  <c r="H259" i="6"/>
  <c r="F259" i="6"/>
  <c r="B259" i="6"/>
  <c r="J258" i="6"/>
  <c r="H258" i="6"/>
  <c r="B258" i="6"/>
  <c r="J257" i="6"/>
  <c r="H257" i="6"/>
  <c r="F257" i="6"/>
  <c r="B257" i="6"/>
  <c r="J256" i="6"/>
  <c r="H256" i="6"/>
  <c r="B256" i="6"/>
  <c r="J255" i="6"/>
  <c r="H255" i="6"/>
  <c r="D255" i="6"/>
  <c r="J254" i="6"/>
  <c r="H254" i="6"/>
  <c r="F254" i="6"/>
  <c r="B254" i="6"/>
  <c r="J250" i="6"/>
  <c r="H250" i="6"/>
  <c r="F250" i="6"/>
  <c r="D250" i="6"/>
  <c r="B250" i="6"/>
  <c r="J249" i="6"/>
  <c r="H249" i="6"/>
  <c r="D249" i="6"/>
  <c r="B249" i="6"/>
  <c r="J248" i="6"/>
  <c r="H248" i="6"/>
  <c r="F248" i="6"/>
  <c r="D248" i="6"/>
  <c r="B248" i="6"/>
  <c r="J247" i="6"/>
  <c r="H247" i="6"/>
  <c r="F247" i="6"/>
  <c r="D247" i="6"/>
  <c r="B247" i="6"/>
  <c r="J246" i="6"/>
  <c r="H246" i="6"/>
  <c r="F246" i="6"/>
  <c r="D246" i="6"/>
  <c r="B246" i="6"/>
  <c r="J244" i="6"/>
  <c r="H244" i="6"/>
  <c r="F244" i="6"/>
  <c r="D244" i="6"/>
  <c r="B244" i="6"/>
  <c r="J243" i="6"/>
  <c r="H243" i="6"/>
  <c r="F243" i="6"/>
  <c r="D243" i="6"/>
  <c r="B243" i="6"/>
  <c r="J242" i="6"/>
  <c r="H242" i="6"/>
  <c r="F242" i="6"/>
  <c r="D242" i="6"/>
  <c r="B242" i="6"/>
  <c r="J241" i="6"/>
  <c r="H241" i="6"/>
  <c r="F241" i="6"/>
  <c r="D241" i="6"/>
  <c r="B241" i="6"/>
  <c r="J240" i="6"/>
  <c r="H240" i="6"/>
  <c r="F240" i="6"/>
  <c r="D240" i="6"/>
  <c r="B240" i="6"/>
  <c r="J239" i="6"/>
  <c r="H239" i="6"/>
  <c r="B239" i="6"/>
  <c r="J238" i="6"/>
  <c r="H238" i="6"/>
  <c r="F238" i="6"/>
  <c r="D238" i="6"/>
  <c r="B238" i="6"/>
  <c r="J237" i="6"/>
  <c r="H237" i="6"/>
  <c r="F237" i="6"/>
  <c r="D237" i="6"/>
  <c r="B237" i="6"/>
  <c r="J236" i="6"/>
  <c r="H236" i="6"/>
  <c r="F236" i="6"/>
  <c r="D236" i="6"/>
  <c r="B236" i="6"/>
  <c r="J235" i="6"/>
  <c r="H235" i="6"/>
  <c r="F235" i="6"/>
  <c r="D235" i="6"/>
  <c r="B235" i="6"/>
  <c r="J233" i="6"/>
  <c r="H233" i="6"/>
  <c r="F233" i="6"/>
  <c r="D233" i="6"/>
  <c r="B233" i="6"/>
  <c r="J232" i="6"/>
  <c r="H232" i="6"/>
  <c r="F232" i="6"/>
  <c r="D232" i="6"/>
  <c r="B232" i="6"/>
  <c r="J231" i="6"/>
  <c r="H231" i="6"/>
  <c r="F231" i="6"/>
  <c r="D231" i="6"/>
  <c r="B231" i="6"/>
  <c r="J230" i="6"/>
  <c r="H230" i="6"/>
  <c r="F230" i="6"/>
  <c r="D230" i="6"/>
  <c r="B230" i="6"/>
  <c r="J229" i="6"/>
  <c r="H229" i="6"/>
  <c r="F229" i="6"/>
  <c r="D229" i="6"/>
  <c r="B229" i="6"/>
  <c r="J228" i="6"/>
  <c r="H228" i="6"/>
  <c r="F228" i="6"/>
  <c r="D228" i="6"/>
  <c r="B228" i="6"/>
  <c r="J226" i="6"/>
  <c r="H226" i="6"/>
  <c r="F226" i="6"/>
  <c r="D226" i="6"/>
  <c r="B226" i="6"/>
  <c r="J224" i="6"/>
  <c r="H224" i="6"/>
  <c r="F224" i="6"/>
  <c r="D224" i="6"/>
  <c r="B224" i="6"/>
  <c r="J223" i="6"/>
  <c r="H223" i="6"/>
  <c r="F223" i="6"/>
  <c r="D223" i="6"/>
  <c r="B223" i="6"/>
  <c r="J222" i="6"/>
  <c r="H222" i="6"/>
  <c r="F222" i="6"/>
  <c r="D222" i="6"/>
  <c r="B222" i="6"/>
  <c r="J221" i="6"/>
  <c r="H221" i="6"/>
  <c r="F221" i="6"/>
  <c r="D221" i="6"/>
  <c r="B221" i="6"/>
  <c r="J220" i="6"/>
  <c r="H220" i="6"/>
  <c r="F220" i="6"/>
  <c r="D220" i="6"/>
  <c r="B220" i="6"/>
  <c r="J218" i="6"/>
  <c r="H218" i="6"/>
  <c r="F218" i="6"/>
  <c r="D218" i="6"/>
  <c r="B218" i="6"/>
  <c r="J217" i="6"/>
  <c r="H217" i="6"/>
  <c r="F217" i="6"/>
  <c r="D217" i="6"/>
  <c r="B217" i="6"/>
  <c r="J216" i="6"/>
  <c r="H216" i="6"/>
  <c r="F216" i="6"/>
  <c r="D216" i="6"/>
  <c r="B216" i="6"/>
  <c r="J215" i="6"/>
  <c r="H215" i="6"/>
  <c r="F215" i="6"/>
  <c r="D215" i="6"/>
  <c r="B215" i="6"/>
  <c r="J214" i="6"/>
  <c r="H214" i="6"/>
  <c r="F214" i="6"/>
  <c r="D214" i="6"/>
  <c r="B214" i="6"/>
  <c r="J213" i="6"/>
  <c r="H213" i="6"/>
  <c r="F213" i="6"/>
  <c r="D213" i="6"/>
  <c r="B213" i="6"/>
  <c r="J212" i="6"/>
  <c r="H212" i="6"/>
  <c r="F212" i="6"/>
  <c r="D212" i="6"/>
  <c r="B212" i="6"/>
  <c r="J211" i="6"/>
  <c r="H211" i="6"/>
  <c r="F211" i="6"/>
  <c r="D211" i="6"/>
  <c r="B211" i="6"/>
  <c r="J210" i="6"/>
  <c r="H210" i="6"/>
  <c r="F210" i="6"/>
  <c r="D210" i="6"/>
  <c r="B210" i="6"/>
  <c r="J209" i="6"/>
  <c r="H209" i="6"/>
  <c r="F209" i="6"/>
  <c r="D209" i="6"/>
  <c r="B209" i="6"/>
  <c r="J207" i="6"/>
  <c r="H207" i="6"/>
  <c r="F207" i="6"/>
  <c r="D207" i="6"/>
  <c r="B207" i="6"/>
  <c r="J206" i="6"/>
  <c r="H206" i="6"/>
  <c r="F206" i="6"/>
  <c r="D206" i="6"/>
  <c r="B206" i="6"/>
  <c r="J205" i="6"/>
  <c r="H205" i="6"/>
  <c r="F205" i="6"/>
  <c r="D205" i="6"/>
  <c r="B205" i="6"/>
  <c r="J204" i="6"/>
  <c r="H204" i="6"/>
  <c r="F204" i="6"/>
  <c r="D204" i="6"/>
  <c r="B204" i="6"/>
  <c r="J202" i="6"/>
  <c r="H202" i="6"/>
  <c r="F202" i="6"/>
  <c r="D202" i="6"/>
  <c r="B202" i="6"/>
  <c r="J200" i="6"/>
  <c r="H200" i="6"/>
  <c r="F200" i="6"/>
  <c r="D200" i="6"/>
  <c r="B200" i="6"/>
  <c r="J199" i="6"/>
  <c r="H199" i="6"/>
  <c r="F199" i="6"/>
  <c r="D199" i="6"/>
  <c r="B199" i="6"/>
  <c r="J198" i="6"/>
  <c r="H198" i="6"/>
  <c r="F198" i="6"/>
  <c r="D198" i="6"/>
  <c r="B198" i="6"/>
  <c r="J197" i="6"/>
  <c r="H197" i="6"/>
  <c r="F197" i="6"/>
  <c r="D197" i="6"/>
  <c r="B197" i="6"/>
  <c r="J196" i="6"/>
  <c r="H196" i="6"/>
  <c r="F196" i="6"/>
  <c r="D196" i="6"/>
  <c r="B196" i="6"/>
  <c r="J195" i="6"/>
  <c r="H195" i="6"/>
  <c r="F195" i="6"/>
  <c r="D195" i="6"/>
  <c r="B195" i="6"/>
  <c r="J193" i="6"/>
  <c r="H193" i="6"/>
  <c r="F193" i="6"/>
  <c r="D193" i="6"/>
  <c r="B193" i="6"/>
  <c r="J192" i="6"/>
  <c r="H192" i="6"/>
  <c r="B192" i="6"/>
  <c r="J191" i="6"/>
  <c r="H191" i="6"/>
  <c r="F191" i="6"/>
  <c r="D191" i="6"/>
  <c r="B191" i="6"/>
  <c r="J190" i="6"/>
  <c r="H190" i="6"/>
  <c r="F190" i="6"/>
  <c r="D190" i="6"/>
  <c r="B190" i="6"/>
  <c r="J189" i="6"/>
  <c r="H189" i="6"/>
  <c r="F189" i="6"/>
  <c r="D189" i="6"/>
  <c r="B189" i="6"/>
  <c r="J188" i="6"/>
  <c r="H188" i="6"/>
  <c r="F188" i="6"/>
  <c r="D188" i="6"/>
  <c r="B188" i="6"/>
  <c r="J187" i="6"/>
  <c r="H187" i="6"/>
  <c r="F187" i="6"/>
  <c r="D187" i="6"/>
  <c r="B187" i="6"/>
  <c r="J186" i="6"/>
  <c r="H186" i="6"/>
  <c r="F186" i="6"/>
  <c r="D186" i="6"/>
  <c r="B186" i="6"/>
  <c r="J184" i="6"/>
  <c r="H184" i="6"/>
  <c r="F184" i="6"/>
  <c r="D184" i="6"/>
  <c r="B184" i="6"/>
  <c r="J183" i="6"/>
  <c r="H183" i="6"/>
  <c r="F183" i="6"/>
  <c r="D183" i="6"/>
  <c r="B183" i="6"/>
  <c r="J182" i="6"/>
  <c r="H182" i="6"/>
  <c r="F182" i="6"/>
  <c r="D182" i="6"/>
  <c r="B182" i="6"/>
  <c r="J181" i="6"/>
  <c r="H181" i="6"/>
  <c r="F181" i="6"/>
  <c r="D181" i="6"/>
  <c r="B181" i="6"/>
  <c r="J180" i="6"/>
  <c r="H180" i="6"/>
  <c r="B180" i="6"/>
  <c r="J179" i="6"/>
  <c r="H179" i="6"/>
  <c r="F179" i="6"/>
  <c r="D179" i="6"/>
  <c r="B179" i="6"/>
  <c r="J178" i="6"/>
  <c r="F178" i="6"/>
  <c r="D178" i="6"/>
  <c r="B178" i="6"/>
  <c r="J177" i="6"/>
  <c r="H177" i="6"/>
  <c r="F177" i="6"/>
  <c r="D177" i="6"/>
  <c r="B177" i="6"/>
  <c r="J173" i="6"/>
  <c r="H173" i="6"/>
  <c r="F173" i="6"/>
  <c r="D173" i="6"/>
  <c r="B173" i="6"/>
  <c r="J172" i="6"/>
  <c r="H172" i="6"/>
  <c r="F172" i="6"/>
  <c r="D172" i="6"/>
  <c r="B172" i="6"/>
  <c r="J171" i="6"/>
  <c r="H171" i="6"/>
  <c r="F171" i="6"/>
  <c r="D171" i="6"/>
  <c r="B171" i="6"/>
  <c r="J170" i="6"/>
  <c r="H170" i="6"/>
  <c r="F170" i="6"/>
  <c r="D170" i="6"/>
  <c r="B170" i="6"/>
  <c r="J169" i="6"/>
  <c r="H169" i="6"/>
  <c r="F169" i="6"/>
  <c r="D169" i="6"/>
  <c r="B169" i="6"/>
  <c r="J168" i="6"/>
  <c r="H168" i="6"/>
  <c r="F168" i="6"/>
  <c r="D168" i="6"/>
  <c r="B168" i="6"/>
  <c r="J167" i="6"/>
  <c r="H167" i="6"/>
  <c r="F167" i="6"/>
  <c r="D167" i="6"/>
  <c r="B167" i="6"/>
  <c r="J166" i="6"/>
  <c r="H166" i="6"/>
  <c r="F166" i="6"/>
  <c r="D166" i="6"/>
  <c r="B166" i="6"/>
  <c r="J165" i="6"/>
  <c r="H165" i="6"/>
  <c r="F165" i="6"/>
  <c r="D165" i="6"/>
  <c r="B165" i="6"/>
  <c r="J164" i="6"/>
  <c r="H164" i="6"/>
  <c r="F164" i="6"/>
  <c r="D164" i="6"/>
  <c r="B164" i="6"/>
  <c r="J163" i="6"/>
  <c r="H163" i="6"/>
  <c r="F163" i="6"/>
  <c r="D163" i="6"/>
  <c r="B163" i="6"/>
  <c r="J162" i="6"/>
  <c r="H162" i="6"/>
  <c r="F162" i="6"/>
  <c r="D162" i="6"/>
  <c r="B162" i="6"/>
  <c r="J161" i="6"/>
  <c r="H161" i="6"/>
  <c r="F161" i="6"/>
  <c r="D161" i="6"/>
  <c r="B161" i="6"/>
  <c r="J160" i="6"/>
  <c r="H160" i="6"/>
  <c r="F160" i="6"/>
  <c r="D160" i="6"/>
  <c r="B160" i="6"/>
  <c r="J159" i="6"/>
  <c r="H159" i="6"/>
  <c r="F159" i="6"/>
  <c r="D159" i="6"/>
  <c r="B159" i="6"/>
  <c r="J157" i="6"/>
  <c r="H157" i="6"/>
  <c r="F157" i="6"/>
  <c r="D157" i="6"/>
  <c r="B157" i="6"/>
  <c r="J156" i="6"/>
  <c r="H156" i="6"/>
  <c r="F156" i="6"/>
  <c r="D156" i="6"/>
  <c r="B156" i="6"/>
  <c r="J155" i="6"/>
  <c r="H155" i="6"/>
  <c r="F155" i="6"/>
  <c r="D155" i="6"/>
  <c r="B155" i="6"/>
  <c r="J154" i="6"/>
  <c r="H154" i="6"/>
  <c r="F154" i="6"/>
  <c r="D154" i="6"/>
  <c r="B154" i="6"/>
  <c r="J153" i="6"/>
  <c r="H153" i="6"/>
  <c r="F153" i="6"/>
  <c r="D153" i="6"/>
  <c r="B153" i="6"/>
  <c r="J152" i="6"/>
  <c r="H152" i="6"/>
  <c r="F152" i="6"/>
  <c r="D152" i="6"/>
  <c r="B152" i="6"/>
  <c r="J151" i="6"/>
  <c r="H151" i="6"/>
  <c r="F151" i="6"/>
  <c r="D151" i="6"/>
  <c r="B151" i="6"/>
  <c r="H150" i="6"/>
  <c r="F150" i="6"/>
  <c r="D150" i="6"/>
  <c r="B150" i="6"/>
  <c r="J149" i="6"/>
  <c r="H149" i="6"/>
  <c r="F149" i="6"/>
  <c r="D149" i="6"/>
  <c r="B149" i="6"/>
  <c r="J148" i="6"/>
  <c r="H148" i="6"/>
  <c r="F148" i="6"/>
  <c r="D148" i="6"/>
  <c r="B148" i="6"/>
  <c r="J147" i="6"/>
  <c r="H147" i="6"/>
  <c r="F147" i="6"/>
  <c r="D147" i="6"/>
  <c r="B147" i="6"/>
  <c r="J146" i="6"/>
  <c r="H146" i="6"/>
  <c r="F146" i="6"/>
  <c r="D146" i="6"/>
  <c r="B146" i="6"/>
  <c r="J145" i="6"/>
  <c r="H145" i="6"/>
  <c r="B145" i="6"/>
  <c r="J144" i="6"/>
  <c r="H144" i="6"/>
  <c r="B144" i="6"/>
  <c r="J143" i="6"/>
  <c r="H143" i="6"/>
  <c r="F143" i="6"/>
  <c r="D143" i="6"/>
  <c r="B143" i="6"/>
  <c r="J142" i="6"/>
  <c r="H142" i="6"/>
  <c r="F142" i="6"/>
  <c r="D142" i="6"/>
  <c r="B142" i="6"/>
  <c r="J141" i="6"/>
  <c r="H141" i="6"/>
  <c r="B141" i="6"/>
  <c r="J140" i="6"/>
  <c r="H140" i="6"/>
  <c r="F140" i="6"/>
  <c r="D140" i="6"/>
  <c r="B140" i="6"/>
  <c r="J139" i="6"/>
  <c r="H139" i="6"/>
  <c r="F139" i="6"/>
  <c r="D139" i="6"/>
  <c r="B139" i="6"/>
  <c r="J138" i="6"/>
  <c r="H138" i="6"/>
  <c r="F138" i="6"/>
  <c r="D138" i="6"/>
  <c r="B138" i="6"/>
  <c r="J137" i="6"/>
  <c r="H137" i="6"/>
  <c r="B137" i="6"/>
  <c r="J136" i="6"/>
  <c r="H136" i="6"/>
  <c r="F136" i="6"/>
  <c r="D136" i="6"/>
  <c r="B136" i="6"/>
  <c r="J135" i="6"/>
  <c r="H135" i="6"/>
  <c r="F135" i="6"/>
  <c r="D135" i="6"/>
  <c r="B135" i="6"/>
  <c r="J134" i="6"/>
  <c r="H134" i="6"/>
  <c r="F134" i="6"/>
  <c r="D134" i="6"/>
  <c r="B134" i="6"/>
  <c r="J133" i="6"/>
  <c r="H133" i="6"/>
  <c r="F133" i="6"/>
  <c r="D133" i="6"/>
  <c r="B133" i="6"/>
  <c r="J132" i="6"/>
  <c r="H132" i="6"/>
  <c r="F132" i="6"/>
  <c r="D132" i="6"/>
  <c r="B132" i="6"/>
  <c r="J131" i="6"/>
  <c r="H131" i="6"/>
  <c r="F131" i="6"/>
  <c r="D131" i="6"/>
  <c r="B131" i="6"/>
  <c r="J130" i="6"/>
  <c r="H130" i="6"/>
  <c r="F130" i="6"/>
  <c r="D130" i="6"/>
  <c r="B130" i="6"/>
  <c r="J128" i="6"/>
  <c r="H128" i="6"/>
  <c r="B128" i="6"/>
  <c r="J127" i="6"/>
  <c r="H127" i="6"/>
  <c r="F127" i="6"/>
  <c r="D127" i="6"/>
  <c r="B127" i="6"/>
  <c r="J126" i="6"/>
  <c r="H126" i="6"/>
  <c r="F126" i="6"/>
  <c r="D126" i="6"/>
  <c r="B126" i="6"/>
  <c r="J125" i="6"/>
  <c r="H125" i="6"/>
  <c r="F125" i="6"/>
  <c r="D125" i="6"/>
  <c r="J124" i="6"/>
  <c r="H124" i="6"/>
  <c r="F124" i="6"/>
  <c r="D124" i="6"/>
  <c r="B124" i="6"/>
  <c r="J123" i="6"/>
  <c r="H123" i="6"/>
  <c r="F123" i="6"/>
  <c r="D123" i="6"/>
  <c r="B123" i="6"/>
  <c r="J122" i="6"/>
  <c r="H122" i="6"/>
  <c r="F122" i="6"/>
  <c r="D122" i="6"/>
  <c r="B122" i="6"/>
  <c r="J121" i="6"/>
  <c r="H121" i="6"/>
  <c r="F121" i="6"/>
  <c r="D121" i="6"/>
  <c r="B121" i="6"/>
  <c r="J119" i="6"/>
  <c r="H119" i="6"/>
  <c r="F119" i="6"/>
  <c r="D119" i="6"/>
  <c r="B119" i="6"/>
  <c r="J118" i="6"/>
  <c r="H118" i="6"/>
  <c r="F118" i="6"/>
  <c r="D118" i="6"/>
  <c r="B118" i="6"/>
  <c r="J117" i="6"/>
  <c r="H117" i="6"/>
  <c r="F117" i="6"/>
  <c r="D117" i="6"/>
  <c r="B117" i="6"/>
  <c r="J116" i="6"/>
  <c r="H116" i="6"/>
  <c r="F116" i="6"/>
  <c r="D116" i="6"/>
  <c r="B116" i="6"/>
  <c r="J115" i="6"/>
  <c r="H115" i="6"/>
  <c r="F115" i="6"/>
  <c r="D115" i="6"/>
  <c r="B115" i="6"/>
  <c r="J113" i="6"/>
  <c r="H113" i="6"/>
  <c r="F113" i="6"/>
  <c r="D113" i="6"/>
  <c r="B113" i="6"/>
  <c r="J112" i="6"/>
  <c r="H112" i="6"/>
  <c r="F112" i="6"/>
  <c r="D112" i="6"/>
  <c r="B112" i="6"/>
  <c r="J111" i="6"/>
  <c r="H111" i="6"/>
  <c r="F111" i="6"/>
  <c r="D111" i="6"/>
  <c r="B111" i="6"/>
  <c r="J110" i="6"/>
  <c r="H110" i="6"/>
  <c r="F110" i="6"/>
  <c r="D110" i="6"/>
  <c r="B110" i="6"/>
  <c r="J109" i="6"/>
  <c r="H109" i="6"/>
  <c r="F109" i="6"/>
  <c r="D109" i="6"/>
  <c r="B109" i="6"/>
  <c r="J108" i="6"/>
  <c r="H108" i="6"/>
  <c r="F108" i="6"/>
  <c r="D108" i="6"/>
  <c r="B108" i="6"/>
  <c r="J107" i="6"/>
  <c r="H107" i="6"/>
  <c r="F107" i="6"/>
  <c r="D107" i="6"/>
  <c r="B107" i="6"/>
  <c r="J106" i="6"/>
  <c r="H106" i="6"/>
  <c r="F106" i="6"/>
  <c r="D106" i="6"/>
  <c r="B106" i="6"/>
  <c r="J105" i="6"/>
  <c r="H105" i="6"/>
  <c r="F105" i="6"/>
  <c r="D105" i="6"/>
  <c r="B105" i="6"/>
  <c r="J104" i="6"/>
  <c r="H104" i="6"/>
  <c r="F104" i="6"/>
  <c r="D104" i="6"/>
  <c r="B104" i="6"/>
  <c r="J103" i="6"/>
  <c r="H103" i="6"/>
  <c r="F103" i="6"/>
  <c r="D103" i="6"/>
  <c r="B103" i="6"/>
  <c r="J102" i="6"/>
  <c r="H102" i="6"/>
  <c r="F102" i="6"/>
  <c r="D102" i="6"/>
  <c r="B102" i="6"/>
  <c r="J101" i="6"/>
  <c r="H101" i="6"/>
  <c r="F101" i="6"/>
  <c r="D101" i="6"/>
  <c r="B101" i="6"/>
  <c r="J100" i="6"/>
  <c r="H100" i="6"/>
  <c r="F100" i="6"/>
  <c r="D100" i="6"/>
  <c r="B100" i="6"/>
  <c r="J99" i="6"/>
  <c r="H99" i="6"/>
  <c r="F99" i="6"/>
  <c r="D99" i="6"/>
  <c r="B99" i="6"/>
  <c r="J98" i="6"/>
  <c r="H98" i="6"/>
  <c r="F98" i="6"/>
  <c r="D98" i="6"/>
  <c r="B98" i="6"/>
  <c r="J97" i="6"/>
  <c r="H97" i="6"/>
  <c r="F97" i="6"/>
  <c r="D97" i="6"/>
  <c r="B97" i="6"/>
  <c r="J96" i="6"/>
  <c r="H96" i="6"/>
  <c r="B96" i="6"/>
  <c r="J95" i="6"/>
  <c r="H95" i="6"/>
  <c r="F95" i="6"/>
  <c r="D95" i="6"/>
  <c r="B95" i="6"/>
  <c r="J94" i="6"/>
  <c r="H94" i="6"/>
  <c r="F94" i="6"/>
  <c r="D94" i="6"/>
  <c r="B94" i="6"/>
  <c r="J93" i="6"/>
  <c r="H93" i="6"/>
  <c r="F93" i="6"/>
  <c r="D93" i="6"/>
  <c r="B93" i="6"/>
  <c r="J92" i="6"/>
  <c r="H92" i="6"/>
  <c r="F92" i="6"/>
  <c r="D92" i="6"/>
  <c r="B92" i="6"/>
  <c r="J91" i="6"/>
  <c r="H91" i="6"/>
  <c r="F91" i="6"/>
  <c r="D91" i="6"/>
  <c r="B91" i="6"/>
  <c r="J90" i="6"/>
  <c r="H90" i="6"/>
  <c r="F90" i="6"/>
  <c r="D90" i="6"/>
  <c r="B90" i="6"/>
  <c r="J89" i="6"/>
  <c r="H89" i="6"/>
  <c r="F89" i="6"/>
  <c r="D89" i="6"/>
  <c r="B89" i="6"/>
  <c r="J88" i="6"/>
  <c r="H88" i="6"/>
  <c r="F88" i="6"/>
  <c r="D88" i="6"/>
  <c r="B88" i="6"/>
  <c r="J87" i="6"/>
  <c r="H87" i="6"/>
  <c r="F87" i="6"/>
  <c r="D87" i="6"/>
  <c r="B87" i="6"/>
  <c r="J86" i="6"/>
  <c r="H86" i="6"/>
  <c r="F86" i="6"/>
  <c r="D86" i="6"/>
  <c r="B86" i="6"/>
  <c r="J85" i="6"/>
  <c r="H85" i="6"/>
  <c r="F85" i="6"/>
  <c r="D85" i="6"/>
  <c r="B85" i="6"/>
  <c r="J84" i="6"/>
  <c r="H84" i="6"/>
  <c r="F84" i="6"/>
  <c r="D84" i="6"/>
  <c r="B84" i="6"/>
  <c r="J83" i="6"/>
  <c r="H83" i="6"/>
  <c r="F83" i="6"/>
  <c r="D83" i="6"/>
  <c r="B83" i="6"/>
  <c r="J82" i="6"/>
  <c r="H82" i="6"/>
  <c r="F82" i="6"/>
  <c r="D82" i="6"/>
  <c r="B82" i="6"/>
  <c r="J81" i="6"/>
  <c r="H81" i="6"/>
  <c r="F81" i="6"/>
  <c r="D81" i="6"/>
  <c r="B81" i="6"/>
  <c r="J80" i="6"/>
  <c r="H80" i="6"/>
  <c r="F80" i="6"/>
  <c r="D80" i="6"/>
  <c r="B80" i="6"/>
  <c r="J79" i="6"/>
  <c r="H79" i="6"/>
  <c r="F79" i="6"/>
  <c r="D79" i="6"/>
  <c r="B79" i="6"/>
  <c r="J78" i="6"/>
  <c r="H78" i="6"/>
  <c r="F78" i="6"/>
  <c r="D78" i="6"/>
  <c r="B78" i="6"/>
  <c r="J77" i="6"/>
  <c r="H77" i="6"/>
  <c r="F77" i="6"/>
  <c r="D77" i="6"/>
  <c r="B77" i="6"/>
  <c r="J76" i="6"/>
  <c r="H76" i="6"/>
  <c r="F76" i="6"/>
  <c r="D76" i="6"/>
  <c r="B76" i="6"/>
  <c r="J75" i="6"/>
  <c r="H75" i="6"/>
  <c r="F75" i="6"/>
  <c r="D75" i="6"/>
  <c r="B75" i="6"/>
  <c r="J74" i="6"/>
  <c r="H74" i="6"/>
  <c r="F74" i="6"/>
  <c r="D74" i="6"/>
  <c r="B74" i="6"/>
  <c r="J73" i="6"/>
  <c r="H73" i="6"/>
  <c r="F73" i="6"/>
  <c r="D73" i="6"/>
  <c r="B73" i="6"/>
  <c r="J72" i="6"/>
  <c r="H72" i="6"/>
  <c r="F72" i="6"/>
  <c r="D72" i="6"/>
  <c r="B72" i="6"/>
  <c r="J71" i="6"/>
  <c r="H71" i="6"/>
  <c r="F71" i="6"/>
  <c r="D71" i="6"/>
  <c r="B71" i="6"/>
  <c r="J70" i="6"/>
  <c r="H70" i="6"/>
  <c r="F70" i="6"/>
  <c r="D70" i="6"/>
  <c r="B70" i="6"/>
  <c r="J69" i="6"/>
  <c r="H69" i="6"/>
  <c r="F69" i="6"/>
  <c r="D69" i="6"/>
  <c r="B69" i="6"/>
  <c r="J68" i="6"/>
  <c r="H68" i="6"/>
  <c r="F68" i="6"/>
  <c r="D68" i="6"/>
  <c r="B68" i="6"/>
  <c r="J67" i="6"/>
  <c r="H67" i="6"/>
  <c r="F67" i="6"/>
  <c r="D67" i="6"/>
  <c r="B67" i="6"/>
  <c r="J66" i="6"/>
  <c r="H66" i="6"/>
  <c r="F66" i="6"/>
  <c r="D66" i="6"/>
  <c r="B66" i="6"/>
  <c r="J65" i="6"/>
  <c r="H65" i="6"/>
  <c r="F65" i="6"/>
  <c r="D65" i="6"/>
  <c r="B65" i="6"/>
  <c r="J64" i="6"/>
  <c r="H64" i="6"/>
  <c r="F64" i="6"/>
  <c r="D64" i="6"/>
  <c r="B64" i="6"/>
  <c r="J63" i="6"/>
  <c r="H63" i="6"/>
  <c r="F63" i="6"/>
  <c r="D63" i="6"/>
  <c r="B63" i="6"/>
  <c r="J61" i="6"/>
  <c r="H61" i="6"/>
  <c r="F61" i="6"/>
  <c r="D61" i="6"/>
  <c r="B61" i="6"/>
  <c r="J60" i="6"/>
  <c r="H60" i="6"/>
  <c r="F60" i="6"/>
  <c r="D60" i="6"/>
  <c r="B60" i="6"/>
  <c r="J59" i="6"/>
  <c r="H59" i="6"/>
  <c r="F59" i="6"/>
  <c r="D59" i="6"/>
  <c r="B59" i="6"/>
  <c r="J58" i="6"/>
  <c r="H58" i="6"/>
  <c r="F58" i="6"/>
  <c r="D58" i="6"/>
  <c r="B58" i="6"/>
  <c r="J57" i="6"/>
  <c r="H57" i="6"/>
  <c r="F57" i="6"/>
  <c r="D57" i="6"/>
  <c r="B57" i="6"/>
  <c r="J56" i="6"/>
  <c r="F56" i="6"/>
  <c r="D56" i="6"/>
  <c r="B56" i="6"/>
  <c r="J55" i="6"/>
  <c r="H55" i="6"/>
  <c r="F55" i="6"/>
  <c r="D55" i="6"/>
  <c r="B55" i="6"/>
  <c r="J51" i="6"/>
  <c r="H51" i="6"/>
  <c r="F51" i="6"/>
  <c r="D51" i="6"/>
  <c r="B51" i="6"/>
  <c r="J50" i="6"/>
  <c r="H50" i="6"/>
  <c r="F50" i="6"/>
  <c r="D50" i="6"/>
  <c r="B50" i="6"/>
  <c r="J49" i="6"/>
  <c r="H49" i="6"/>
  <c r="F49" i="6"/>
  <c r="D49" i="6"/>
  <c r="B49" i="6"/>
  <c r="J48" i="6"/>
  <c r="H48" i="6"/>
  <c r="F48" i="6"/>
  <c r="D48" i="6"/>
  <c r="B48" i="6"/>
  <c r="J44" i="6"/>
  <c r="H44" i="6"/>
  <c r="F44" i="6"/>
  <c r="D44" i="6"/>
  <c r="B44" i="6"/>
  <c r="J43" i="6"/>
  <c r="H43" i="6"/>
  <c r="F43" i="6"/>
  <c r="D43" i="6"/>
  <c r="B43" i="6"/>
  <c r="J42" i="6"/>
  <c r="H42" i="6"/>
  <c r="F42" i="6"/>
  <c r="D42" i="6"/>
  <c r="B42" i="6"/>
  <c r="J41" i="6"/>
  <c r="H41" i="6"/>
  <c r="F41" i="6"/>
  <c r="D41" i="6"/>
  <c r="B41" i="6"/>
  <c r="J40" i="6"/>
  <c r="H40" i="6"/>
  <c r="F40" i="6"/>
  <c r="D40" i="6"/>
  <c r="B40" i="6"/>
  <c r="J39" i="6"/>
  <c r="H39" i="6"/>
  <c r="F39" i="6"/>
  <c r="D39" i="6"/>
  <c r="B39" i="6"/>
  <c r="J38" i="6"/>
  <c r="H38" i="6"/>
  <c r="F38" i="6"/>
  <c r="D38" i="6"/>
  <c r="B38" i="6"/>
  <c r="J37" i="6"/>
  <c r="H37" i="6"/>
  <c r="F37" i="6"/>
  <c r="D37" i="6"/>
  <c r="B37" i="6"/>
  <c r="J36" i="6"/>
  <c r="H36" i="6"/>
  <c r="F36" i="6"/>
  <c r="D36" i="6"/>
  <c r="B36" i="6"/>
  <c r="J35" i="6"/>
  <c r="H35" i="6"/>
  <c r="F35" i="6"/>
  <c r="D35" i="6"/>
  <c r="B35" i="6"/>
  <c r="J34" i="6"/>
  <c r="H34" i="6"/>
  <c r="F34" i="6"/>
  <c r="D34" i="6"/>
  <c r="B34" i="6"/>
  <c r="J33" i="6"/>
  <c r="H33" i="6"/>
  <c r="F33" i="6"/>
  <c r="D33" i="6"/>
  <c r="B33" i="6"/>
  <c r="J32" i="6"/>
  <c r="H32" i="6"/>
  <c r="F32" i="6"/>
  <c r="D32" i="6"/>
  <c r="B32" i="6"/>
  <c r="J31" i="6"/>
  <c r="H31" i="6"/>
  <c r="F31" i="6"/>
  <c r="D31" i="6"/>
  <c r="B31" i="6"/>
  <c r="J30" i="6"/>
  <c r="H30" i="6"/>
  <c r="F30" i="6"/>
  <c r="D30" i="6"/>
  <c r="B30" i="6"/>
  <c r="J29" i="6"/>
  <c r="H29" i="6"/>
  <c r="F29" i="6"/>
  <c r="D29" i="6"/>
  <c r="B29" i="6"/>
  <c r="J27" i="6"/>
  <c r="H27" i="6"/>
  <c r="B27" i="6"/>
  <c r="J26" i="6"/>
  <c r="H26" i="6"/>
  <c r="F26" i="6"/>
  <c r="D26" i="6"/>
  <c r="B26" i="6"/>
  <c r="J25" i="6"/>
  <c r="H25" i="6"/>
  <c r="F25" i="6"/>
  <c r="D25" i="6"/>
  <c r="B25" i="6"/>
  <c r="J24" i="6"/>
  <c r="H24" i="6"/>
  <c r="F24" i="6"/>
  <c r="D24" i="6"/>
  <c r="B24" i="6"/>
  <c r="J23" i="6"/>
  <c r="H23" i="6"/>
  <c r="F23" i="6"/>
  <c r="D23" i="6"/>
  <c r="B23" i="6"/>
  <c r="J21" i="6"/>
  <c r="H21" i="6"/>
  <c r="B21" i="6"/>
  <c r="J20" i="6"/>
  <c r="H20" i="6"/>
  <c r="F20" i="6"/>
  <c r="D20" i="6"/>
  <c r="B20" i="6"/>
  <c r="J19" i="6"/>
  <c r="H19" i="6"/>
  <c r="F19" i="6"/>
  <c r="D19" i="6"/>
  <c r="B19" i="6"/>
  <c r="J18" i="6"/>
  <c r="H18" i="6"/>
  <c r="F18" i="6"/>
  <c r="D18" i="6"/>
  <c r="B18" i="6"/>
  <c r="J17" i="6"/>
  <c r="H17" i="6"/>
  <c r="F17" i="6"/>
  <c r="D17" i="6"/>
  <c r="B17" i="6"/>
  <c r="J15" i="6"/>
  <c r="H15" i="6"/>
  <c r="F15" i="6"/>
  <c r="D15" i="6"/>
  <c r="B15" i="6"/>
  <c r="J13" i="6"/>
  <c r="H13" i="6"/>
  <c r="F13" i="6"/>
  <c r="D13" i="6"/>
  <c r="B13" i="6"/>
  <c r="J12" i="6"/>
  <c r="H12" i="6"/>
  <c r="F12" i="6"/>
  <c r="D12" i="6"/>
  <c r="B12" i="6"/>
  <c r="J11" i="6"/>
  <c r="H11" i="6"/>
  <c r="F11" i="6"/>
  <c r="D11" i="6"/>
  <c r="B11" i="6"/>
  <c r="J10" i="6"/>
  <c r="H10" i="6"/>
  <c r="F10" i="6"/>
  <c r="D10" i="6"/>
  <c r="B10" i="6"/>
  <c r="J8" i="6"/>
  <c r="H8" i="6"/>
  <c r="F8" i="6"/>
  <c r="D8" i="6"/>
  <c r="B8" i="6"/>
  <c r="J7" i="6"/>
  <c r="H7" i="6"/>
  <c r="F7" i="6"/>
  <c r="D7" i="6"/>
  <c r="B7" i="6"/>
  <c r="J6" i="6"/>
  <c r="J327" i="6" s="1"/>
  <c r="H6" i="6"/>
  <c r="F6" i="6"/>
  <c r="D6" i="6"/>
  <c r="B6" i="6"/>
  <c r="J5" i="6"/>
  <c r="H5" i="6"/>
  <c r="F5" i="6"/>
  <c r="F327" i="6" s="1"/>
  <c r="D5" i="6"/>
  <c r="D327" i="6" s="1"/>
  <c r="B5" i="6"/>
  <c r="H327" i="5"/>
  <c r="F327" i="5"/>
  <c r="D327" i="5"/>
  <c r="B327" i="5"/>
  <c r="J324" i="5"/>
  <c r="H324" i="5"/>
  <c r="F324" i="5"/>
  <c r="D324" i="5"/>
  <c r="B324" i="5"/>
  <c r="J323" i="5"/>
  <c r="H323" i="5"/>
  <c r="F323" i="5"/>
  <c r="D323" i="5"/>
  <c r="B323" i="5"/>
  <c r="J322" i="5"/>
  <c r="H322" i="5"/>
  <c r="F322" i="5"/>
  <c r="D322" i="5"/>
  <c r="B322" i="5"/>
  <c r="J321" i="5"/>
  <c r="H321" i="5"/>
  <c r="F321" i="5"/>
  <c r="D321" i="5"/>
  <c r="B321" i="5"/>
  <c r="J317" i="5"/>
  <c r="H317" i="5"/>
  <c r="F317" i="5"/>
  <c r="D317" i="5"/>
  <c r="B317" i="5"/>
  <c r="J316" i="5"/>
  <c r="H316" i="5"/>
  <c r="F316" i="5"/>
  <c r="D316" i="5"/>
  <c r="B316" i="5"/>
  <c r="J314" i="5"/>
  <c r="H314" i="5"/>
  <c r="F314" i="5"/>
  <c r="D314" i="5"/>
  <c r="B314" i="5"/>
  <c r="J313" i="5"/>
  <c r="H313" i="5"/>
  <c r="F313" i="5"/>
  <c r="D313" i="5"/>
  <c r="B313" i="5"/>
  <c r="J312" i="5"/>
  <c r="H312" i="5"/>
  <c r="F312" i="5"/>
  <c r="D312" i="5"/>
  <c r="B312" i="5"/>
  <c r="J310" i="5"/>
  <c r="H310" i="5"/>
  <c r="F310" i="5"/>
  <c r="D310" i="5"/>
  <c r="B310" i="5"/>
  <c r="J309" i="5"/>
  <c r="H309" i="5"/>
  <c r="F309" i="5"/>
  <c r="D309" i="5"/>
  <c r="B309" i="5"/>
  <c r="J308" i="5"/>
  <c r="H308" i="5"/>
  <c r="F308" i="5"/>
  <c r="D308" i="5"/>
  <c r="B308" i="5"/>
  <c r="J307" i="5"/>
  <c r="H307" i="5"/>
  <c r="F307" i="5"/>
  <c r="D307" i="5"/>
  <c r="B307" i="5"/>
  <c r="J306" i="5"/>
  <c r="H306" i="5"/>
  <c r="F306" i="5"/>
  <c r="D306" i="5"/>
  <c r="B306" i="5"/>
  <c r="J305" i="5"/>
  <c r="H305" i="5"/>
  <c r="F305" i="5"/>
  <c r="D305" i="5"/>
  <c r="B305" i="5"/>
  <c r="J304" i="5"/>
  <c r="H304" i="5"/>
  <c r="F304" i="5"/>
  <c r="D304" i="5"/>
  <c r="B304" i="5"/>
  <c r="J303" i="5"/>
  <c r="H303" i="5"/>
  <c r="F303" i="5"/>
  <c r="D303" i="5"/>
  <c r="B303" i="5"/>
  <c r="J299" i="5"/>
  <c r="H299" i="5"/>
  <c r="F299" i="5"/>
  <c r="D299" i="5"/>
  <c r="B299" i="5"/>
  <c r="J298" i="5"/>
  <c r="H298" i="5"/>
  <c r="B298" i="5"/>
  <c r="J297" i="5"/>
  <c r="H297" i="5"/>
  <c r="F297" i="5"/>
  <c r="D297" i="5"/>
  <c r="B297" i="5"/>
  <c r="J296" i="5"/>
  <c r="H296" i="5"/>
  <c r="F296" i="5"/>
  <c r="D296" i="5"/>
  <c r="B296" i="5"/>
  <c r="J295" i="5"/>
  <c r="H295" i="5"/>
  <c r="F295" i="5"/>
  <c r="D295" i="5"/>
  <c r="B295" i="5"/>
  <c r="J294" i="5"/>
  <c r="H294" i="5"/>
  <c r="B294" i="5"/>
  <c r="J293" i="5"/>
  <c r="H293" i="5"/>
  <c r="B293" i="5"/>
  <c r="J292" i="5"/>
  <c r="H292" i="5"/>
  <c r="F292" i="5"/>
  <c r="D292" i="5"/>
  <c r="B292" i="5"/>
  <c r="J290" i="5"/>
  <c r="H290" i="5"/>
  <c r="B290" i="5"/>
  <c r="J289" i="5"/>
  <c r="H289" i="5"/>
  <c r="F289" i="5"/>
  <c r="D289" i="5"/>
  <c r="B289" i="5"/>
  <c r="J287" i="5"/>
  <c r="H287" i="5"/>
  <c r="F287" i="5"/>
  <c r="D287" i="5"/>
  <c r="B287" i="5"/>
  <c r="J283" i="5"/>
  <c r="H283" i="5"/>
  <c r="B283" i="5"/>
  <c r="J282" i="5"/>
  <c r="H282" i="5"/>
  <c r="F282" i="5"/>
  <c r="B282" i="5"/>
  <c r="J281" i="5"/>
  <c r="H281" i="5"/>
  <c r="F281" i="5"/>
  <c r="D281" i="5"/>
  <c r="J280" i="5"/>
  <c r="H280" i="5"/>
  <c r="B280" i="5"/>
  <c r="H279" i="5"/>
  <c r="F279" i="5"/>
  <c r="D279" i="5"/>
  <c r="J278" i="5"/>
  <c r="H278" i="5"/>
  <c r="J277" i="5"/>
  <c r="H277" i="5"/>
  <c r="B277" i="5"/>
  <c r="J276" i="5"/>
  <c r="H276" i="5"/>
  <c r="F276" i="5"/>
  <c r="D276" i="5"/>
  <c r="B276" i="5"/>
  <c r="J275" i="5"/>
  <c r="H275" i="5"/>
  <c r="F275" i="5"/>
  <c r="D275" i="5"/>
  <c r="H274" i="5"/>
  <c r="D274" i="5"/>
  <c r="H273" i="5"/>
  <c r="B273" i="5"/>
  <c r="J272" i="5"/>
  <c r="H272" i="5"/>
  <c r="B272" i="5"/>
  <c r="J271" i="5"/>
  <c r="H271" i="5"/>
  <c r="F271" i="5"/>
  <c r="B271" i="5"/>
  <c r="J270" i="5"/>
  <c r="H270" i="5"/>
  <c r="F270" i="5"/>
  <c r="D270" i="5"/>
  <c r="B270" i="5"/>
  <c r="J269" i="5"/>
  <c r="H269" i="5"/>
  <c r="J268" i="5"/>
  <c r="H268" i="5"/>
  <c r="F268" i="5"/>
  <c r="D268" i="5"/>
  <c r="B268" i="5"/>
  <c r="J267" i="5"/>
  <c r="H267" i="5"/>
  <c r="F267" i="5"/>
  <c r="H266" i="5"/>
  <c r="D266" i="5"/>
  <c r="J265" i="5"/>
  <c r="H265" i="5"/>
  <c r="F265" i="5"/>
  <c r="H264" i="5"/>
  <c r="F264" i="5"/>
  <c r="D264" i="5"/>
  <c r="B264" i="5"/>
  <c r="J263" i="5"/>
  <c r="H263" i="5"/>
  <c r="F263" i="5"/>
  <c r="B263" i="5"/>
  <c r="J262" i="5"/>
  <c r="H262" i="5"/>
  <c r="F262" i="5"/>
  <c r="B262" i="5"/>
  <c r="J260" i="5"/>
  <c r="H260" i="5"/>
  <c r="F260" i="5"/>
  <c r="D260" i="5"/>
  <c r="B260" i="5"/>
  <c r="J259" i="5"/>
  <c r="H259" i="5"/>
  <c r="F259" i="5"/>
  <c r="B259" i="5"/>
  <c r="J258" i="5"/>
  <c r="H258" i="5"/>
  <c r="B258" i="5"/>
  <c r="J257" i="5"/>
  <c r="H257" i="5"/>
  <c r="F257" i="5"/>
  <c r="B257" i="5"/>
  <c r="J256" i="5"/>
  <c r="H256" i="5"/>
  <c r="B256" i="5"/>
  <c r="J255" i="5"/>
  <c r="H255" i="5"/>
  <c r="D255" i="5"/>
  <c r="J254" i="5"/>
  <c r="H254" i="5"/>
  <c r="F254" i="5"/>
  <c r="B254" i="5"/>
  <c r="J250" i="5"/>
  <c r="H250" i="5"/>
  <c r="F250" i="5"/>
  <c r="D250" i="5"/>
  <c r="B250" i="5"/>
  <c r="J249" i="5"/>
  <c r="H249" i="5"/>
  <c r="D249" i="5"/>
  <c r="B249" i="5"/>
  <c r="J248" i="5"/>
  <c r="H248" i="5"/>
  <c r="F248" i="5"/>
  <c r="D248" i="5"/>
  <c r="B248" i="5"/>
  <c r="J247" i="5"/>
  <c r="H247" i="5"/>
  <c r="F247" i="5"/>
  <c r="D247" i="5"/>
  <c r="B247" i="5"/>
  <c r="J246" i="5"/>
  <c r="H246" i="5"/>
  <c r="F246" i="5"/>
  <c r="D246" i="5"/>
  <c r="B246" i="5"/>
  <c r="J244" i="5"/>
  <c r="H244" i="5"/>
  <c r="F244" i="5"/>
  <c r="D244" i="5"/>
  <c r="B244" i="5"/>
  <c r="J243" i="5"/>
  <c r="H243" i="5"/>
  <c r="F243" i="5"/>
  <c r="D243" i="5"/>
  <c r="B243" i="5"/>
  <c r="J242" i="5"/>
  <c r="H242" i="5"/>
  <c r="F242" i="5"/>
  <c r="D242" i="5"/>
  <c r="B242" i="5"/>
  <c r="J241" i="5"/>
  <c r="H241" i="5"/>
  <c r="F241" i="5"/>
  <c r="D241" i="5"/>
  <c r="B241" i="5"/>
  <c r="J240" i="5"/>
  <c r="H240" i="5"/>
  <c r="F240" i="5"/>
  <c r="D240" i="5"/>
  <c r="B240" i="5"/>
  <c r="J239" i="5"/>
  <c r="H239" i="5"/>
  <c r="B239" i="5"/>
  <c r="J238" i="5"/>
  <c r="H238" i="5"/>
  <c r="F238" i="5"/>
  <c r="D238" i="5"/>
  <c r="B238" i="5"/>
  <c r="J237" i="5"/>
  <c r="H237" i="5"/>
  <c r="F237" i="5"/>
  <c r="D237" i="5"/>
  <c r="B237" i="5"/>
  <c r="J236" i="5"/>
  <c r="H236" i="5"/>
  <c r="F236" i="5"/>
  <c r="D236" i="5"/>
  <c r="B236" i="5"/>
  <c r="J235" i="5"/>
  <c r="H235" i="5"/>
  <c r="F235" i="5"/>
  <c r="D235" i="5"/>
  <c r="B235" i="5"/>
  <c r="J233" i="5"/>
  <c r="H233" i="5"/>
  <c r="F233" i="5"/>
  <c r="D233" i="5"/>
  <c r="B233" i="5"/>
  <c r="J232" i="5"/>
  <c r="H232" i="5"/>
  <c r="F232" i="5"/>
  <c r="D232" i="5"/>
  <c r="B232" i="5"/>
  <c r="J231" i="5"/>
  <c r="H231" i="5"/>
  <c r="F231" i="5"/>
  <c r="D231" i="5"/>
  <c r="B231" i="5"/>
  <c r="J230" i="5"/>
  <c r="H230" i="5"/>
  <c r="F230" i="5"/>
  <c r="D230" i="5"/>
  <c r="B230" i="5"/>
  <c r="J229" i="5"/>
  <c r="H229" i="5"/>
  <c r="F229" i="5"/>
  <c r="D229" i="5"/>
  <c r="B229" i="5"/>
  <c r="J228" i="5"/>
  <c r="H228" i="5"/>
  <c r="F228" i="5"/>
  <c r="D228" i="5"/>
  <c r="B228" i="5"/>
  <c r="J226" i="5"/>
  <c r="H226" i="5"/>
  <c r="F226" i="5"/>
  <c r="D226" i="5"/>
  <c r="B226" i="5"/>
  <c r="J224" i="5"/>
  <c r="H224" i="5"/>
  <c r="F224" i="5"/>
  <c r="D224" i="5"/>
  <c r="B224" i="5"/>
  <c r="J223" i="5"/>
  <c r="H223" i="5"/>
  <c r="F223" i="5"/>
  <c r="D223" i="5"/>
  <c r="B223" i="5"/>
  <c r="J222" i="5"/>
  <c r="H222" i="5"/>
  <c r="F222" i="5"/>
  <c r="D222" i="5"/>
  <c r="B222" i="5"/>
  <c r="J221" i="5"/>
  <c r="H221" i="5"/>
  <c r="F221" i="5"/>
  <c r="D221" i="5"/>
  <c r="B221" i="5"/>
  <c r="J220" i="5"/>
  <c r="H220" i="5"/>
  <c r="F220" i="5"/>
  <c r="D220" i="5"/>
  <c r="B220" i="5"/>
  <c r="J218" i="5"/>
  <c r="H218" i="5"/>
  <c r="F218" i="5"/>
  <c r="D218" i="5"/>
  <c r="B218" i="5"/>
  <c r="J217" i="5"/>
  <c r="H217" i="5"/>
  <c r="F217" i="5"/>
  <c r="D217" i="5"/>
  <c r="B217" i="5"/>
  <c r="J216" i="5"/>
  <c r="H216" i="5"/>
  <c r="F216" i="5"/>
  <c r="D216" i="5"/>
  <c r="B216" i="5"/>
  <c r="J215" i="5"/>
  <c r="H215" i="5"/>
  <c r="F215" i="5"/>
  <c r="D215" i="5"/>
  <c r="B215" i="5"/>
  <c r="J214" i="5"/>
  <c r="H214" i="5"/>
  <c r="F214" i="5"/>
  <c r="D214" i="5"/>
  <c r="B214" i="5"/>
  <c r="J213" i="5"/>
  <c r="H213" i="5"/>
  <c r="F213" i="5"/>
  <c r="D213" i="5"/>
  <c r="B213" i="5"/>
  <c r="J212" i="5"/>
  <c r="H212" i="5"/>
  <c r="F212" i="5"/>
  <c r="D212" i="5"/>
  <c r="B212" i="5"/>
  <c r="J211" i="5"/>
  <c r="H211" i="5"/>
  <c r="F211" i="5"/>
  <c r="D211" i="5"/>
  <c r="B211" i="5"/>
  <c r="J210" i="5"/>
  <c r="H210" i="5"/>
  <c r="F210" i="5"/>
  <c r="D210" i="5"/>
  <c r="B210" i="5"/>
  <c r="J209" i="5"/>
  <c r="H209" i="5"/>
  <c r="F209" i="5"/>
  <c r="D209" i="5"/>
  <c r="B209" i="5"/>
  <c r="J207" i="5"/>
  <c r="H207" i="5"/>
  <c r="F207" i="5"/>
  <c r="D207" i="5"/>
  <c r="B207" i="5"/>
  <c r="J206" i="5"/>
  <c r="H206" i="5"/>
  <c r="F206" i="5"/>
  <c r="D206" i="5"/>
  <c r="B206" i="5"/>
  <c r="J205" i="5"/>
  <c r="H205" i="5"/>
  <c r="F205" i="5"/>
  <c r="D205" i="5"/>
  <c r="B205" i="5"/>
  <c r="J204" i="5"/>
  <c r="H204" i="5"/>
  <c r="F204" i="5"/>
  <c r="D204" i="5"/>
  <c r="B204" i="5"/>
  <c r="J202" i="5"/>
  <c r="H202" i="5"/>
  <c r="F202" i="5"/>
  <c r="D202" i="5"/>
  <c r="B202" i="5"/>
  <c r="J200" i="5"/>
  <c r="H200" i="5"/>
  <c r="F200" i="5"/>
  <c r="D200" i="5"/>
  <c r="B200" i="5"/>
  <c r="J199" i="5"/>
  <c r="H199" i="5"/>
  <c r="F199" i="5"/>
  <c r="D199" i="5"/>
  <c r="B199" i="5"/>
  <c r="J198" i="5"/>
  <c r="H198" i="5"/>
  <c r="F198" i="5"/>
  <c r="D198" i="5"/>
  <c r="B198" i="5"/>
  <c r="J197" i="5"/>
  <c r="H197" i="5"/>
  <c r="F197" i="5"/>
  <c r="D197" i="5"/>
  <c r="B197" i="5"/>
  <c r="J196" i="5"/>
  <c r="H196" i="5"/>
  <c r="F196" i="5"/>
  <c r="D196" i="5"/>
  <c r="B196" i="5"/>
  <c r="J195" i="5"/>
  <c r="H195" i="5"/>
  <c r="F195" i="5"/>
  <c r="D195" i="5"/>
  <c r="B195" i="5"/>
  <c r="J193" i="5"/>
  <c r="H193" i="5"/>
  <c r="F193" i="5"/>
  <c r="D193" i="5"/>
  <c r="B193" i="5"/>
  <c r="J192" i="5"/>
  <c r="H192" i="5"/>
  <c r="B192" i="5"/>
  <c r="J191" i="5"/>
  <c r="H191" i="5"/>
  <c r="F191" i="5"/>
  <c r="D191" i="5"/>
  <c r="B191" i="5"/>
  <c r="J190" i="5"/>
  <c r="H190" i="5"/>
  <c r="F190" i="5"/>
  <c r="D190" i="5"/>
  <c r="B190" i="5"/>
  <c r="J189" i="5"/>
  <c r="H189" i="5"/>
  <c r="F189" i="5"/>
  <c r="D189" i="5"/>
  <c r="B189" i="5"/>
  <c r="J188" i="5"/>
  <c r="H188" i="5"/>
  <c r="F188" i="5"/>
  <c r="D188" i="5"/>
  <c r="B188" i="5"/>
  <c r="J187" i="5"/>
  <c r="H187" i="5"/>
  <c r="F187" i="5"/>
  <c r="D187" i="5"/>
  <c r="B187" i="5"/>
  <c r="J186" i="5"/>
  <c r="H186" i="5"/>
  <c r="F186" i="5"/>
  <c r="D186" i="5"/>
  <c r="B186" i="5"/>
  <c r="J184" i="5"/>
  <c r="H184" i="5"/>
  <c r="F184" i="5"/>
  <c r="D184" i="5"/>
  <c r="B184" i="5"/>
  <c r="J183" i="5"/>
  <c r="H183" i="5"/>
  <c r="F183" i="5"/>
  <c r="D183" i="5"/>
  <c r="B183" i="5"/>
  <c r="J182" i="5"/>
  <c r="H182" i="5"/>
  <c r="F182" i="5"/>
  <c r="D182" i="5"/>
  <c r="B182" i="5"/>
  <c r="J181" i="5"/>
  <c r="H181" i="5"/>
  <c r="F181" i="5"/>
  <c r="D181" i="5"/>
  <c r="B181" i="5"/>
  <c r="J180" i="5"/>
  <c r="H180" i="5"/>
  <c r="B180" i="5"/>
  <c r="J179" i="5"/>
  <c r="H179" i="5"/>
  <c r="F179" i="5"/>
  <c r="D179" i="5"/>
  <c r="B179" i="5"/>
  <c r="J178" i="5"/>
  <c r="F178" i="5"/>
  <c r="D178" i="5"/>
  <c r="B178" i="5"/>
  <c r="J177" i="5"/>
  <c r="H177" i="5"/>
  <c r="F177" i="5"/>
  <c r="D177" i="5"/>
  <c r="B177" i="5"/>
  <c r="J173" i="5"/>
  <c r="H173" i="5"/>
  <c r="F173" i="5"/>
  <c r="D173" i="5"/>
  <c r="B173" i="5"/>
  <c r="J172" i="5"/>
  <c r="H172" i="5"/>
  <c r="F172" i="5"/>
  <c r="D172" i="5"/>
  <c r="B172" i="5"/>
  <c r="J171" i="5"/>
  <c r="H171" i="5"/>
  <c r="F171" i="5"/>
  <c r="D171" i="5"/>
  <c r="B171" i="5"/>
  <c r="J170" i="5"/>
  <c r="H170" i="5"/>
  <c r="F170" i="5"/>
  <c r="D170" i="5"/>
  <c r="B170" i="5"/>
  <c r="J169" i="5"/>
  <c r="H169" i="5"/>
  <c r="F169" i="5"/>
  <c r="D169" i="5"/>
  <c r="B169" i="5"/>
  <c r="J168" i="5"/>
  <c r="H168" i="5"/>
  <c r="F168" i="5"/>
  <c r="D168" i="5"/>
  <c r="B168" i="5"/>
  <c r="J167" i="5"/>
  <c r="H167" i="5"/>
  <c r="F167" i="5"/>
  <c r="D167" i="5"/>
  <c r="B167" i="5"/>
  <c r="J166" i="5"/>
  <c r="H166" i="5"/>
  <c r="F166" i="5"/>
  <c r="D166" i="5"/>
  <c r="B166" i="5"/>
  <c r="J165" i="5"/>
  <c r="H165" i="5"/>
  <c r="F165" i="5"/>
  <c r="D165" i="5"/>
  <c r="B165" i="5"/>
  <c r="J164" i="5"/>
  <c r="H164" i="5"/>
  <c r="F164" i="5"/>
  <c r="D164" i="5"/>
  <c r="B164" i="5"/>
  <c r="J163" i="5"/>
  <c r="H163" i="5"/>
  <c r="F163" i="5"/>
  <c r="D163" i="5"/>
  <c r="B163" i="5"/>
  <c r="J162" i="5"/>
  <c r="H162" i="5"/>
  <c r="F162" i="5"/>
  <c r="D162" i="5"/>
  <c r="B162" i="5"/>
  <c r="J161" i="5"/>
  <c r="H161" i="5"/>
  <c r="F161" i="5"/>
  <c r="D161" i="5"/>
  <c r="B161" i="5"/>
  <c r="J160" i="5"/>
  <c r="H160" i="5"/>
  <c r="F160" i="5"/>
  <c r="D160" i="5"/>
  <c r="B160" i="5"/>
  <c r="J159" i="5"/>
  <c r="H159" i="5"/>
  <c r="F159" i="5"/>
  <c r="D159" i="5"/>
  <c r="B159" i="5"/>
  <c r="J157" i="5"/>
  <c r="H157" i="5"/>
  <c r="F157" i="5"/>
  <c r="D157" i="5"/>
  <c r="B157" i="5"/>
  <c r="J156" i="5"/>
  <c r="H156" i="5"/>
  <c r="F156" i="5"/>
  <c r="D156" i="5"/>
  <c r="B156" i="5"/>
  <c r="J155" i="5"/>
  <c r="H155" i="5"/>
  <c r="F155" i="5"/>
  <c r="D155" i="5"/>
  <c r="B155" i="5"/>
  <c r="J154" i="5"/>
  <c r="H154" i="5"/>
  <c r="F154" i="5"/>
  <c r="D154" i="5"/>
  <c r="B154" i="5"/>
  <c r="J153" i="5"/>
  <c r="H153" i="5"/>
  <c r="F153" i="5"/>
  <c r="D153" i="5"/>
  <c r="B153" i="5"/>
  <c r="J152" i="5"/>
  <c r="H152" i="5"/>
  <c r="F152" i="5"/>
  <c r="D152" i="5"/>
  <c r="B152" i="5"/>
  <c r="J151" i="5"/>
  <c r="H151" i="5"/>
  <c r="F151" i="5"/>
  <c r="D151" i="5"/>
  <c r="B151" i="5"/>
  <c r="H150" i="5"/>
  <c r="F150" i="5"/>
  <c r="D150" i="5"/>
  <c r="B150" i="5"/>
  <c r="J149" i="5"/>
  <c r="H149" i="5"/>
  <c r="F149" i="5"/>
  <c r="D149" i="5"/>
  <c r="B149" i="5"/>
  <c r="J148" i="5"/>
  <c r="H148" i="5"/>
  <c r="F148" i="5"/>
  <c r="D148" i="5"/>
  <c r="B148" i="5"/>
  <c r="J147" i="5"/>
  <c r="H147" i="5"/>
  <c r="F147" i="5"/>
  <c r="D147" i="5"/>
  <c r="B147" i="5"/>
  <c r="J146" i="5"/>
  <c r="H146" i="5"/>
  <c r="F146" i="5"/>
  <c r="D146" i="5"/>
  <c r="B146" i="5"/>
  <c r="J145" i="5"/>
  <c r="H145" i="5"/>
  <c r="B145" i="5"/>
  <c r="J144" i="5"/>
  <c r="H144" i="5"/>
  <c r="B144" i="5"/>
  <c r="J143" i="5"/>
  <c r="H143" i="5"/>
  <c r="F143" i="5"/>
  <c r="D143" i="5"/>
  <c r="B143" i="5"/>
  <c r="J142" i="5"/>
  <c r="H142" i="5"/>
  <c r="F142" i="5"/>
  <c r="D142" i="5"/>
  <c r="B142" i="5"/>
  <c r="J141" i="5"/>
  <c r="H141" i="5"/>
  <c r="B141" i="5"/>
  <c r="J140" i="5"/>
  <c r="H140" i="5"/>
  <c r="F140" i="5"/>
  <c r="D140" i="5"/>
  <c r="B140" i="5"/>
  <c r="J139" i="5"/>
  <c r="H139" i="5"/>
  <c r="F139" i="5"/>
  <c r="D139" i="5"/>
  <c r="B139" i="5"/>
  <c r="J138" i="5"/>
  <c r="H138" i="5"/>
  <c r="F138" i="5"/>
  <c r="D138" i="5"/>
  <c r="B138" i="5"/>
  <c r="J137" i="5"/>
  <c r="H137" i="5"/>
  <c r="B137" i="5"/>
  <c r="J136" i="5"/>
  <c r="H136" i="5"/>
  <c r="F136" i="5"/>
  <c r="D136" i="5"/>
  <c r="B136" i="5"/>
  <c r="J135" i="5"/>
  <c r="H135" i="5"/>
  <c r="F135" i="5"/>
  <c r="D135" i="5"/>
  <c r="B135" i="5"/>
  <c r="J134" i="5"/>
  <c r="H134" i="5"/>
  <c r="F134" i="5"/>
  <c r="D134" i="5"/>
  <c r="B134" i="5"/>
  <c r="J133" i="5"/>
  <c r="H133" i="5"/>
  <c r="F133" i="5"/>
  <c r="D133" i="5"/>
  <c r="B133" i="5"/>
  <c r="J132" i="5"/>
  <c r="H132" i="5"/>
  <c r="F132" i="5"/>
  <c r="D132" i="5"/>
  <c r="B132" i="5"/>
  <c r="J131" i="5"/>
  <c r="H131" i="5"/>
  <c r="F131" i="5"/>
  <c r="D131" i="5"/>
  <c r="B131" i="5"/>
  <c r="J130" i="5"/>
  <c r="H130" i="5"/>
  <c r="F130" i="5"/>
  <c r="D130" i="5"/>
  <c r="B130" i="5"/>
  <c r="J128" i="5"/>
  <c r="H128" i="5"/>
  <c r="B128" i="5"/>
  <c r="J127" i="5"/>
  <c r="H127" i="5"/>
  <c r="F127" i="5"/>
  <c r="D127" i="5"/>
  <c r="B127" i="5"/>
  <c r="J126" i="5"/>
  <c r="H126" i="5"/>
  <c r="F126" i="5"/>
  <c r="D126" i="5"/>
  <c r="B126" i="5"/>
  <c r="J125" i="5"/>
  <c r="H125" i="5"/>
  <c r="F125" i="5"/>
  <c r="D125" i="5"/>
  <c r="J124" i="5"/>
  <c r="H124" i="5"/>
  <c r="F124" i="5"/>
  <c r="D124" i="5"/>
  <c r="B124" i="5"/>
  <c r="J123" i="5"/>
  <c r="H123" i="5"/>
  <c r="F123" i="5"/>
  <c r="D123" i="5"/>
  <c r="B123" i="5"/>
  <c r="J122" i="5"/>
  <c r="H122" i="5"/>
  <c r="F122" i="5"/>
  <c r="D122" i="5"/>
  <c r="B122" i="5"/>
  <c r="J121" i="5"/>
  <c r="H121" i="5"/>
  <c r="F121" i="5"/>
  <c r="D121" i="5"/>
  <c r="B121" i="5"/>
  <c r="J119" i="5"/>
  <c r="H119" i="5"/>
  <c r="F119" i="5"/>
  <c r="D119" i="5"/>
  <c r="B119" i="5"/>
  <c r="J118" i="5"/>
  <c r="H118" i="5"/>
  <c r="F118" i="5"/>
  <c r="D118" i="5"/>
  <c r="B118" i="5"/>
  <c r="J117" i="5"/>
  <c r="H117" i="5"/>
  <c r="F117" i="5"/>
  <c r="D117" i="5"/>
  <c r="B117" i="5"/>
  <c r="J116" i="5"/>
  <c r="H116" i="5"/>
  <c r="F116" i="5"/>
  <c r="D116" i="5"/>
  <c r="B116" i="5"/>
  <c r="J115" i="5"/>
  <c r="H115" i="5"/>
  <c r="F115" i="5"/>
  <c r="D115" i="5"/>
  <c r="B115" i="5"/>
  <c r="J113" i="5"/>
  <c r="H113" i="5"/>
  <c r="F113" i="5"/>
  <c r="D113" i="5"/>
  <c r="B113" i="5"/>
  <c r="J112" i="5"/>
  <c r="H112" i="5"/>
  <c r="F112" i="5"/>
  <c r="D112" i="5"/>
  <c r="B112" i="5"/>
  <c r="J111" i="5"/>
  <c r="H111" i="5"/>
  <c r="F111" i="5"/>
  <c r="D111" i="5"/>
  <c r="B111" i="5"/>
  <c r="J110" i="5"/>
  <c r="H110" i="5"/>
  <c r="F110" i="5"/>
  <c r="D110" i="5"/>
  <c r="B110" i="5"/>
  <c r="J109" i="5"/>
  <c r="H109" i="5"/>
  <c r="F109" i="5"/>
  <c r="D109" i="5"/>
  <c r="B109" i="5"/>
  <c r="J108" i="5"/>
  <c r="H108" i="5"/>
  <c r="F108" i="5"/>
  <c r="D108" i="5"/>
  <c r="B108" i="5"/>
  <c r="J107" i="5"/>
  <c r="H107" i="5"/>
  <c r="F107" i="5"/>
  <c r="D107" i="5"/>
  <c r="B107" i="5"/>
  <c r="J106" i="5"/>
  <c r="H106" i="5"/>
  <c r="F106" i="5"/>
  <c r="D106" i="5"/>
  <c r="B106" i="5"/>
  <c r="J105" i="5"/>
  <c r="H105" i="5"/>
  <c r="F105" i="5"/>
  <c r="D105" i="5"/>
  <c r="B105" i="5"/>
  <c r="J104" i="5"/>
  <c r="H104" i="5"/>
  <c r="F104" i="5"/>
  <c r="D104" i="5"/>
  <c r="B104" i="5"/>
  <c r="J103" i="5"/>
  <c r="H103" i="5"/>
  <c r="F103" i="5"/>
  <c r="D103" i="5"/>
  <c r="B103" i="5"/>
  <c r="J102" i="5"/>
  <c r="H102" i="5"/>
  <c r="F102" i="5"/>
  <c r="D102" i="5"/>
  <c r="B102" i="5"/>
  <c r="J101" i="5"/>
  <c r="H101" i="5"/>
  <c r="F101" i="5"/>
  <c r="D101" i="5"/>
  <c r="B101" i="5"/>
  <c r="J100" i="5"/>
  <c r="H100" i="5"/>
  <c r="F100" i="5"/>
  <c r="D100" i="5"/>
  <c r="B100" i="5"/>
  <c r="J99" i="5"/>
  <c r="H99" i="5"/>
  <c r="F99" i="5"/>
  <c r="D99" i="5"/>
  <c r="B99" i="5"/>
  <c r="J98" i="5"/>
  <c r="H98" i="5"/>
  <c r="F98" i="5"/>
  <c r="D98" i="5"/>
  <c r="B98" i="5"/>
  <c r="J97" i="5"/>
  <c r="H97" i="5"/>
  <c r="F97" i="5"/>
  <c r="D97" i="5"/>
  <c r="B97" i="5"/>
  <c r="J96" i="5"/>
  <c r="H96" i="5"/>
  <c r="B96" i="5"/>
  <c r="J95" i="5"/>
  <c r="H95" i="5"/>
  <c r="F95" i="5"/>
  <c r="D95" i="5"/>
  <c r="B95" i="5"/>
  <c r="J94" i="5"/>
  <c r="H94" i="5"/>
  <c r="F94" i="5"/>
  <c r="D94" i="5"/>
  <c r="B94" i="5"/>
  <c r="J93" i="5"/>
  <c r="H93" i="5"/>
  <c r="F93" i="5"/>
  <c r="D93" i="5"/>
  <c r="B93" i="5"/>
  <c r="J92" i="5"/>
  <c r="H92" i="5"/>
  <c r="F92" i="5"/>
  <c r="D92" i="5"/>
  <c r="B92" i="5"/>
  <c r="J91" i="5"/>
  <c r="H91" i="5"/>
  <c r="F91" i="5"/>
  <c r="D91" i="5"/>
  <c r="B91" i="5"/>
  <c r="J90" i="5"/>
  <c r="H90" i="5"/>
  <c r="F90" i="5"/>
  <c r="D90" i="5"/>
  <c r="B90" i="5"/>
  <c r="J89" i="5"/>
  <c r="H89" i="5"/>
  <c r="F89" i="5"/>
  <c r="D89" i="5"/>
  <c r="B89" i="5"/>
  <c r="J88" i="5"/>
  <c r="H88" i="5"/>
  <c r="F88" i="5"/>
  <c r="D88" i="5"/>
  <c r="B88" i="5"/>
  <c r="J87" i="5"/>
  <c r="H87" i="5"/>
  <c r="F87" i="5"/>
  <c r="D87" i="5"/>
  <c r="B87" i="5"/>
  <c r="J86" i="5"/>
  <c r="H86" i="5"/>
  <c r="F86" i="5"/>
  <c r="D86" i="5"/>
  <c r="B86" i="5"/>
  <c r="J85" i="5"/>
  <c r="H85" i="5"/>
  <c r="F85" i="5"/>
  <c r="D85" i="5"/>
  <c r="B85" i="5"/>
  <c r="J84" i="5"/>
  <c r="H84" i="5"/>
  <c r="F84" i="5"/>
  <c r="D84" i="5"/>
  <c r="B84" i="5"/>
  <c r="J83" i="5"/>
  <c r="H83" i="5"/>
  <c r="F83" i="5"/>
  <c r="D83" i="5"/>
  <c r="B83" i="5"/>
  <c r="J82" i="5"/>
  <c r="H82" i="5"/>
  <c r="F82" i="5"/>
  <c r="D82" i="5"/>
  <c r="B82" i="5"/>
  <c r="J81" i="5"/>
  <c r="H81" i="5"/>
  <c r="F81" i="5"/>
  <c r="D81" i="5"/>
  <c r="B81" i="5"/>
  <c r="J80" i="5"/>
  <c r="H80" i="5"/>
  <c r="F80" i="5"/>
  <c r="D80" i="5"/>
  <c r="B80" i="5"/>
  <c r="J79" i="5"/>
  <c r="H79" i="5"/>
  <c r="F79" i="5"/>
  <c r="D79" i="5"/>
  <c r="B79" i="5"/>
  <c r="J78" i="5"/>
  <c r="H78" i="5"/>
  <c r="F78" i="5"/>
  <c r="D78" i="5"/>
  <c r="B78" i="5"/>
  <c r="J77" i="5"/>
  <c r="H77" i="5"/>
  <c r="F77" i="5"/>
  <c r="D77" i="5"/>
  <c r="B77" i="5"/>
  <c r="J76" i="5"/>
  <c r="H76" i="5"/>
  <c r="F76" i="5"/>
  <c r="D76" i="5"/>
  <c r="B76" i="5"/>
  <c r="J75" i="5"/>
  <c r="H75" i="5"/>
  <c r="F75" i="5"/>
  <c r="D75" i="5"/>
  <c r="B75" i="5"/>
  <c r="J74" i="5"/>
  <c r="H74" i="5"/>
  <c r="F74" i="5"/>
  <c r="D74" i="5"/>
  <c r="B74" i="5"/>
  <c r="J73" i="5"/>
  <c r="H73" i="5"/>
  <c r="F73" i="5"/>
  <c r="D73" i="5"/>
  <c r="B73" i="5"/>
  <c r="J72" i="5"/>
  <c r="H72" i="5"/>
  <c r="F72" i="5"/>
  <c r="D72" i="5"/>
  <c r="B72" i="5"/>
  <c r="J71" i="5"/>
  <c r="H71" i="5"/>
  <c r="F71" i="5"/>
  <c r="D71" i="5"/>
  <c r="B71" i="5"/>
  <c r="J70" i="5"/>
  <c r="H70" i="5"/>
  <c r="F70" i="5"/>
  <c r="D70" i="5"/>
  <c r="B70" i="5"/>
  <c r="J69" i="5"/>
  <c r="H69" i="5"/>
  <c r="F69" i="5"/>
  <c r="D69" i="5"/>
  <c r="B69" i="5"/>
  <c r="J68" i="5"/>
  <c r="H68" i="5"/>
  <c r="F68" i="5"/>
  <c r="D68" i="5"/>
  <c r="B68" i="5"/>
  <c r="J67" i="5"/>
  <c r="H67" i="5"/>
  <c r="F67" i="5"/>
  <c r="D67" i="5"/>
  <c r="B67" i="5"/>
  <c r="J66" i="5"/>
  <c r="H66" i="5"/>
  <c r="F66" i="5"/>
  <c r="D66" i="5"/>
  <c r="B66" i="5"/>
  <c r="J65" i="5"/>
  <c r="H65" i="5"/>
  <c r="F65" i="5"/>
  <c r="D65" i="5"/>
  <c r="B65" i="5"/>
  <c r="J64" i="5"/>
  <c r="H64" i="5"/>
  <c r="F64" i="5"/>
  <c r="D64" i="5"/>
  <c r="B64" i="5"/>
  <c r="J63" i="5"/>
  <c r="H63" i="5"/>
  <c r="F63" i="5"/>
  <c r="D63" i="5"/>
  <c r="B63" i="5"/>
  <c r="J61" i="5"/>
  <c r="H61" i="5"/>
  <c r="F61" i="5"/>
  <c r="D61" i="5"/>
  <c r="B61" i="5"/>
  <c r="J60" i="5"/>
  <c r="H60" i="5"/>
  <c r="F60" i="5"/>
  <c r="D60" i="5"/>
  <c r="B60" i="5"/>
  <c r="J59" i="5"/>
  <c r="H59" i="5"/>
  <c r="F59" i="5"/>
  <c r="D59" i="5"/>
  <c r="B59" i="5"/>
  <c r="J58" i="5"/>
  <c r="H58" i="5"/>
  <c r="F58" i="5"/>
  <c r="D58" i="5"/>
  <c r="B58" i="5"/>
  <c r="J57" i="5"/>
  <c r="H57" i="5"/>
  <c r="F57" i="5"/>
  <c r="D57" i="5"/>
  <c r="B57" i="5"/>
  <c r="J56" i="5"/>
  <c r="F56" i="5"/>
  <c r="D56" i="5"/>
  <c r="B56" i="5"/>
  <c r="J55" i="5"/>
  <c r="H55" i="5"/>
  <c r="F55" i="5"/>
  <c r="D55" i="5"/>
  <c r="B55" i="5"/>
  <c r="J51" i="5"/>
  <c r="H51" i="5"/>
  <c r="F51" i="5"/>
  <c r="D51" i="5"/>
  <c r="B51" i="5"/>
  <c r="J50" i="5"/>
  <c r="H50" i="5"/>
  <c r="F50" i="5"/>
  <c r="D50" i="5"/>
  <c r="B50" i="5"/>
  <c r="J49" i="5"/>
  <c r="H49" i="5"/>
  <c r="F49" i="5"/>
  <c r="D49" i="5"/>
  <c r="B49" i="5"/>
  <c r="J48" i="5"/>
  <c r="H48" i="5"/>
  <c r="F48" i="5"/>
  <c r="D48" i="5"/>
  <c r="B48" i="5"/>
  <c r="J44" i="5"/>
  <c r="H44" i="5"/>
  <c r="F44" i="5"/>
  <c r="D44" i="5"/>
  <c r="B44" i="5"/>
  <c r="J43" i="5"/>
  <c r="H43" i="5"/>
  <c r="F43" i="5"/>
  <c r="D43" i="5"/>
  <c r="B43" i="5"/>
  <c r="J42" i="5"/>
  <c r="H42" i="5"/>
  <c r="F42" i="5"/>
  <c r="D42" i="5"/>
  <c r="B42" i="5"/>
  <c r="J41" i="5"/>
  <c r="H41" i="5"/>
  <c r="F41" i="5"/>
  <c r="D41" i="5"/>
  <c r="B41" i="5"/>
  <c r="J40" i="5"/>
  <c r="H40" i="5"/>
  <c r="F40" i="5"/>
  <c r="D40" i="5"/>
  <c r="B40" i="5"/>
  <c r="J39" i="5"/>
  <c r="H39" i="5"/>
  <c r="F39" i="5"/>
  <c r="D39" i="5"/>
  <c r="B39" i="5"/>
  <c r="J38" i="5"/>
  <c r="H38" i="5"/>
  <c r="F38" i="5"/>
  <c r="D38" i="5"/>
  <c r="B38" i="5"/>
  <c r="J37" i="5"/>
  <c r="H37" i="5"/>
  <c r="F37" i="5"/>
  <c r="D37" i="5"/>
  <c r="B37" i="5"/>
  <c r="J36" i="5"/>
  <c r="H36" i="5"/>
  <c r="F36" i="5"/>
  <c r="D36" i="5"/>
  <c r="B36" i="5"/>
  <c r="J35" i="5"/>
  <c r="H35" i="5"/>
  <c r="F35" i="5"/>
  <c r="D35" i="5"/>
  <c r="B35" i="5"/>
  <c r="J34" i="5"/>
  <c r="H34" i="5"/>
  <c r="F34" i="5"/>
  <c r="D34" i="5"/>
  <c r="B34" i="5"/>
  <c r="J33" i="5"/>
  <c r="H33" i="5"/>
  <c r="F33" i="5"/>
  <c r="D33" i="5"/>
  <c r="B33" i="5"/>
  <c r="J32" i="5"/>
  <c r="H32" i="5"/>
  <c r="F32" i="5"/>
  <c r="D32" i="5"/>
  <c r="B32" i="5"/>
  <c r="J31" i="5"/>
  <c r="H31" i="5"/>
  <c r="F31" i="5"/>
  <c r="D31" i="5"/>
  <c r="B31" i="5"/>
  <c r="J30" i="5"/>
  <c r="H30" i="5"/>
  <c r="F30" i="5"/>
  <c r="D30" i="5"/>
  <c r="B30" i="5"/>
  <c r="J29" i="5"/>
  <c r="H29" i="5"/>
  <c r="F29" i="5"/>
  <c r="D29" i="5"/>
  <c r="B29" i="5"/>
  <c r="J27" i="5"/>
  <c r="H27" i="5"/>
  <c r="B27" i="5"/>
  <c r="J26" i="5"/>
  <c r="H26" i="5"/>
  <c r="F26" i="5"/>
  <c r="D26" i="5"/>
  <c r="B26" i="5"/>
  <c r="J25" i="5"/>
  <c r="H25" i="5"/>
  <c r="F25" i="5"/>
  <c r="D25" i="5"/>
  <c r="B25" i="5"/>
  <c r="J24" i="5"/>
  <c r="H24" i="5"/>
  <c r="F24" i="5"/>
  <c r="D24" i="5"/>
  <c r="B24" i="5"/>
  <c r="J23" i="5"/>
  <c r="H23" i="5"/>
  <c r="F23" i="5"/>
  <c r="D23" i="5"/>
  <c r="B23" i="5"/>
  <c r="J21" i="5"/>
  <c r="H21" i="5"/>
  <c r="B21" i="5"/>
  <c r="J20" i="5"/>
  <c r="H20" i="5"/>
  <c r="F20" i="5"/>
  <c r="D20" i="5"/>
  <c r="B20" i="5"/>
  <c r="J19" i="5"/>
  <c r="H19" i="5"/>
  <c r="F19" i="5"/>
  <c r="D19" i="5"/>
  <c r="B19" i="5"/>
  <c r="J18" i="5"/>
  <c r="H18" i="5"/>
  <c r="F18" i="5"/>
  <c r="D18" i="5"/>
  <c r="B18" i="5"/>
  <c r="J17" i="5"/>
  <c r="H17" i="5"/>
  <c r="F17" i="5"/>
  <c r="D17" i="5"/>
  <c r="B17" i="5"/>
  <c r="J15" i="5"/>
  <c r="H15" i="5"/>
  <c r="F15" i="5"/>
  <c r="D15" i="5"/>
  <c r="B15" i="5"/>
  <c r="J13" i="5"/>
  <c r="H13" i="5"/>
  <c r="F13" i="5"/>
  <c r="D13" i="5"/>
  <c r="B13" i="5"/>
  <c r="J12" i="5"/>
  <c r="H12" i="5"/>
  <c r="F12" i="5"/>
  <c r="D12" i="5"/>
  <c r="B12" i="5"/>
  <c r="J11" i="5"/>
  <c r="H11" i="5"/>
  <c r="F11" i="5"/>
  <c r="D11" i="5"/>
  <c r="B11" i="5"/>
  <c r="J10" i="5"/>
  <c r="H10" i="5"/>
  <c r="F10" i="5"/>
  <c r="D10" i="5"/>
  <c r="B10" i="5"/>
  <c r="J8" i="5"/>
  <c r="H8" i="5"/>
  <c r="F8" i="5"/>
  <c r="D8" i="5"/>
  <c r="B8" i="5"/>
  <c r="J7" i="5"/>
  <c r="H7" i="5"/>
  <c r="F7" i="5"/>
  <c r="D7" i="5"/>
  <c r="B7" i="5"/>
  <c r="J6" i="5"/>
  <c r="H6" i="5"/>
  <c r="F6" i="5"/>
  <c r="D6" i="5"/>
  <c r="B6" i="5"/>
  <c r="J5" i="5"/>
  <c r="J327" i="5" s="1"/>
  <c r="H5" i="5"/>
  <c r="F5" i="5"/>
  <c r="D5" i="5"/>
  <c r="B5" i="5"/>
  <c r="D311" i="4"/>
  <c r="B311" i="4"/>
  <c r="J308" i="4"/>
  <c r="H308" i="4"/>
  <c r="F308" i="4"/>
  <c r="D308" i="4"/>
  <c r="B308" i="4"/>
  <c r="J307" i="4"/>
  <c r="H307" i="4"/>
  <c r="F307" i="4"/>
  <c r="D307" i="4"/>
  <c r="B307" i="4"/>
  <c r="J305" i="4"/>
  <c r="H305" i="4"/>
  <c r="F305" i="4"/>
  <c r="D305" i="4"/>
  <c r="B305" i="4"/>
  <c r="J304" i="4"/>
  <c r="H304" i="4"/>
  <c r="F304" i="4"/>
  <c r="D304" i="4"/>
  <c r="B304" i="4"/>
  <c r="J303" i="4"/>
  <c r="H303" i="4"/>
  <c r="F303" i="4"/>
  <c r="D303" i="4"/>
  <c r="B303" i="4"/>
  <c r="J301" i="4"/>
  <c r="H301" i="4"/>
  <c r="F301" i="4"/>
  <c r="D301" i="4"/>
  <c r="B301" i="4"/>
  <c r="J300" i="4"/>
  <c r="H300" i="4"/>
  <c r="F300" i="4"/>
  <c r="D300" i="4"/>
  <c r="B300" i="4"/>
  <c r="J299" i="4"/>
  <c r="H299" i="4"/>
  <c r="F299" i="4"/>
  <c r="D299" i="4"/>
  <c r="B299" i="4"/>
  <c r="J298" i="4"/>
  <c r="H298" i="4"/>
  <c r="F298" i="4"/>
  <c r="D298" i="4"/>
  <c r="B298" i="4"/>
  <c r="J297" i="4"/>
  <c r="H297" i="4"/>
  <c r="F297" i="4"/>
  <c r="D297" i="4"/>
  <c r="B297" i="4"/>
  <c r="J296" i="4"/>
  <c r="H296" i="4"/>
  <c r="F296" i="4"/>
  <c r="D296" i="4"/>
  <c r="B296" i="4"/>
  <c r="J295" i="4"/>
  <c r="H295" i="4"/>
  <c r="F295" i="4"/>
  <c r="D295" i="4"/>
  <c r="B295" i="4"/>
  <c r="J294" i="4"/>
  <c r="H294" i="4"/>
  <c r="F294" i="4"/>
  <c r="D294" i="4"/>
  <c r="B294" i="4"/>
  <c r="J290" i="4"/>
  <c r="H290" i="4"/>
  <c r="B290" i="4"/>
  <c r="J289" i="4"/>
  <c r="H289" i="4"/>
  <c r="F289" i="4"/>
  <c r="D289" i="4"/>
  <c r="B289" i="4"/>
  <c r="J287" i="4"/>
  <c r="H287" i="4"/>
  <c r="F287" i="4"/>
  <c r="D287" i="4"/>
  <c r="B287" i="4"/>
  <c r="J283" i="4"/>
  <c r="H283" i="4"/>
  <c r="B283" i="4"/>
  <c r="J282" i="4"/>
  <c r="H282" i="4"/>
  <c r="F282" i="4"/>
  <c r="B282" i="4"/>
  <c r="J281" i="4"/>
  <c r="H281" i="4"/>
  <c r="F281" i="4"/>
  <c r="D281" i="4"/>
  <c r="J280" i="4"/>
  <c r="H280" i="4"/>
  <c r="B280" i="4"/>
  <c r="H279" i="4"/>
  <c r="F279" i="4"/>
  <c r="D279" i="4"/>
  <c r="J278" i="4"/>
  <c r="H278" i="4"/>
  <c r="J277" i="4"/>
  <c r="H277" i="4"/>
  <c r="B277" i="4"/>
  <c r="J276" i="4"/>
  <c r="H276" i="4"/>
  <c r="F276" i="4"/>
  <c r="D276" i="4"/>
  <c r="B276" i="4"/>
  <c r="J275" i="4"/>
  <c r="H275" i="4"/>
  <c r="F275" i="4"/>
  <c r="D275" i="4"/>
  <c r="H274" i="4"/>
  <c r="D274" i="4"/>
  <c r="H273" i="4"/>
  <c r="B273" i="4"/>
  <c r="J272" i="4"/>
  <c r="H272" i="4"/>
  <c r="B272" i="4"/>
  <c r="J271" i="4"/>
  <c r="H271" i="4"/>
  <c r="F271" i="4"/>
  <c r="B271" i="4"/>
  <c r="J270" i="4"/>
  <c r="H270" i="4"/>
  <c r="F270" i="4"/>
  <c r="D270" i="4"/>
  <c r="B270" i="4"/>
  <c r="J269" i="4"/>
  <c r="H269" i="4"/>
  <c r="J268" i="4"/>
  <c r="H268" i="4"/>
  <c r="F268" i="4"/>
  <c r="D268" i="4"/>
  <c r="B268" i="4"/>
  <c r="J267" i="4"/>
  <c r="H267" i="4"/>
  <c r="F267" i="4"/>
  <c r="H266" i="4"/>
  <c r="D266" i="4"/>
  <c r="J265" i="4"/>
  <c r="H265" i="4"/>
  <c r="F265" i="4"/>
  <c r="H264" i="4"/>
  <c r="F264" i="4"/>
  <c r="D264" i="4"/>
  <c r="B264" i="4"/>
  <c r="J263" i="4"/>
  <c r="H263" i="4"/>
  <c r="F263" i="4"/>
  <c r="B263" i="4"/>
  <c r="J262" i="4"/>
  <c r="H262" i="4"/>
  <c r="F262" i="4"/>
  <c r="B262" i="4"/>
  <c r="J260" i="4"/>
  <c r="H260" i="4"/>
  <c r="F260" i="4"/>
  <c r="D260" i="4"/>
  <c r="B260" i="4"/>
  <c r="J259" i="4"/>
  <c r="H259" i="4"/>
  <c r="F259" i="4"/>
  <c r="B259" i="4"/>
  <c r="J258" i="4"/>
  <c r="H258" i="4"/>
  <c r="B258" i="4"/>
  <c r="J257" i="4"/>
  <c r="H257" i="4"/>
  <c r="F257" i="4"/>
  <c r="B257" i="4"/>
  <c r="J256" i="4"/>
  <c r="H256" i="4"/>
  <c r="B256" i="4"/>
  <c r="J255" i="4"/>
  <c r="H255" i="4"/>
  <c r="D255" i="4"/>
  <c r="J254" i="4"/>
  <c r="H254" i="4"/>
  <c r="F254" i="4"/>
  <c r="B254" i="4"/>
  <c r="J250" i="4"/>
  <c r="H250" i="4"/>
  <c r="F250" i="4"/>
  <c r="D250" i="4"/>
  <c r="B250" i="4"/>
  <c r="J249" i="4"/>
  <c r="H249" i="4"/>
  <c r="D249" i="4"/>
  <c r="B249" i="4"/>
  <c r="J248" i="4"/>
  <c r="H248" i="4"/>
  <c r="F248" i="4"/>
  <c r="D248" i="4"/>
  <c r="B248" i="4"/>
  <c r="J247" i="4"/>
  <c r="H247" i="4"/>
  <c r="F247" i="4"/>
  <c r="D247" i="4"/>
  <c r="B247" i="4"/>
  <c r="J246" i="4"/>
  <c r="H246" i="4"/>
  <c r="F246" i="4"/>
  <c r="D246" i="4"/>
  <c r="B246" i="4"/>
  <c r="J244" i="4"/>
  <c r="H244" i="4"/>
  <c r="F244" i="4"/>
  <c r="D244" i="4"/>
  <c r="B244" i="4"/>
  <c r="J243" i="4"/>
  <c r="H243" i="4"/>
  <c r="F243" i="4"/>
  <c r="D243" i="4"/>
  <c r="B243" i="4"/>
  <c r="J242" i="4"/>
  <c r="H242" i="4"/>
  <c r="F242" i="4"/>
  <c r="D242" i="4"/>
  <c r="B242" i="4"/>
  <c r="J241" i="4"/>
  <c r="H241" i="4"/>
  <c r="F241" i="4"/>
  <c r="D241" i="4"/>
  <c r="B241" i="4"/>
  <c r="J240" i="4"/>
  <c r="H240" i="4"/>
  <c r="F240" i="4"/>
  <c r="D240" i="4"/>
  <c r="B240" i="4"/>
  <c r="J239" i="4"/>
  <c r="H239" i="4"/>
  <c r="B239" i="4"/>
  <c r="J238" i="4"/>
  <c r="H238" i="4"/>
  <c r="F238" i="4"/>
  <c r="D238" i="4"/>
  <c r="B238" i="4"/>
  <c r="J237" i="4"/>
  <c r="H237" i="4"/>
  <c r="F237" i="4"/>
  <c r="D237" i="4"/>
  <c r="B237" i="4"/>
  <c r="J236" i="4"/>
  <c r="H236" i="4"/>
  <c r="F236" i="4"/>
  <c r="D236" i="4"/>
  <c r="B236" i="4"/>
  <c r="J235" i="4"/>
  <c r="H235" i="4"/>
  <c r="F235" i="4"/>
  <c r="D235" i="4"/>
  <c r="B235" i="4"/>
  <c r="J233" i="4"/>
  <c r="H233" i="4"/>
  <c r="F233" i="4"/>
  <c r="D233" i="4"/>
  <c r="B233" i="4"/>
  <c r="J232" i="4"/>
  <c r="H232" i="4"/>
  <c r="F232" i="4"/>
  <c r="D232" i="4"/>
  <c r="B232" i="4"/>
  <c r="J231" i="4"/>
  <c r="H231" i="4"/>
  <c r="F231" i="4"/>
  <c r="D231" i="4"/>
  <c r="B231" i="4"/>
  <c r="J230" i="4"/>
  <c r="H230" i="4"/>
  <c r="F230" i="4"/>
  <c r="D230" i="4"/>
  <c r="B230" i="4"/>
  <c r="J229" i="4"/>
  <c r="H229" i="4"/>
  <c r="F229" i="4"/>
  <c r="D229" i="4"/>
  <c r="B229" i="4"/>
  <c r="J228" i="4"/>
  <c r="H228" i="4"/>
  <c r="F228" i="4"/>
  <c r="D228" i="4"/>
  <c r="B228" i="4"/>
  <c r="J226" i="4"/>
  <c r="H226" i="4"/>
  <c r="F226" i="4"/>
  <c r="D226" i="4"/>
  <c r="B226" i="4"/>
  <c r="J224" i="4"/>
  <c r="H224" i="4"/>
  <c r="F224" i="4"/>
  <c r="D224" i="4"/>
  <c r="B224" i="4"/>
  <c r="J223" i="4"/>
  <c r="H223" i="4"/>
  <c r="F223" i="4"/>
  <c r="D223" i="4"/>
  <c r="B223" i="4"/>
  <c r="J222" i="4"/>
  <c r="H222" i="4"/>
  <c r="F222" i="4"/>
  <c r="D222" i="4"/>
  <c r="B222" i="4"/>
  <c r="J221" i="4"/>
  <c r="H221" i="4"/>
  <c r="F221" i="4"/>
  <c r="D221" i="4"/>
  <c r="B221" i="4"/>
  <c r="J220" i="4"/>
  <c r="H220" i="4"/>
  <c r="F220" i="4"/>
  <c r="D220" i="4"/>
  <c r="B220" i="4"/>
  <c r="J218" i="4"/>
  <c r="H218" i="4"/>
  <c r="F218" i="4"/>
  <c r="D218" i="4"/>
  <c r="B218" i="4"/>
  <c r="J217" i="4"/>
  <c r="H217" i="4"/>
  <c r="F217" i="4"/>
  <c r="D217" i="4"/>
  <c r="B217" i="4"/>
  <c r="J216" i="4"/>
  <c r="H216" i="4"/>
  <c r="F216" i="4"/>
  <c r="D216" i="4"/>
  <c r="B216" i="4"/>
  <c r="J215" i="4"/>
  <c r="H215" i="4"/>
  <c r="F215" i="4"/>
  <c r="D215" i="4"/>
  <c r="B215" i="4"/>
  <c r="J214" i="4"/>
  <c r="H214" i="4"/>
  <c r="F214" i="4"/>
  <c r="D214" i="4"/>
  <c r="B214" i="4"/>
  <c r="J213" i="4"/>
  <c r="H213" i="4"/>
  <c r="F213" i="4"/>
  <c r="D213" i="4"/>
  <c r="B213" i="4"/>
  <c r="J212" i="4"/>
  <c r="H212" i="4"/>
  <c r="F212" i="4"/>
  <c r="D212" i="4"/>
  <c r="B212" i="4"/>
  <c r="J211" i="4"/>
  <c r="H211" i="4"/>
  <c r="F211" i="4"/>
  <c r="D211" i="4"/>
  <c r="B211" i="4"/>
  <c r="J210" i="4"/>
  <c r="H210" i="4"/>
  <c r="F210" i="4"/>
  <c r="D210" i="4"/>
  <c r="B210" i="4"/>
  <c r="J209" i="4"/>
  <c r="H209" i="4"/>
  <c r="F209" i="4"/>
  <c r="D209" i="4"/>
  <c r="B209" i="4"/>
  <c r="J207" i="4"/>
  <c r="H207" i="4"/>
  <c r="F207" i="4"/>
  <c r="D207" i="4"/>
  <c r="B207" i="4"/>
  <c r="J206" i="4"/>
  <c r="H206" i="4"/>
  <c r="F206" i="4"/>
  <c r="D206" i="4"/>
  <c r="B206" i="4"/>
  <c r="J205" i="4"/>
  <c r="H205" i="4"/>
  <c r="F205" i="4"/>
  <c r="D205" i="4"/>
  <c r="B205" i="4"/>
  <c r="J204" i="4"/>
  <c r="H204" i="4"/>
  <c r="F204" i="4"/>
  <c r="D204" i="4"/>
  <c r="B204" i="4"/>
  <c r="J202" i="4"/>
  <c r="H202" i="4"/>
  <c r="F202" i="4"/>
  <c r="D202" i="4"/>
  <c r="B202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3" i="4"/>
  <c r="H193" i="4"/>
  <c r="F193" i="4"/>
  <c r="D193" i="4"/>
  <c r="B193" i="4"/>
  <c r="J192" i="4"/>
  <c r="H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B180" i="4"/>
  <c r="J179" i="4"/>
  <c r="H179" i="4"/>
  <c r="F179" i="4"/>
  <c r="D179" i="4"/>
  <c r="B179" i="4"/>
  <c r="J178" i="4"/>
  <c r="F178" i="4"/>
  <c r="D178" i="4"/>
  <c r="B178" i="4"/>
  <c r="J177" i="4"/>
  <c r="H177" i="4"/>
  <c r="F177" i="4"/>
  <c r="D177" i="4"/>
  <c r="B177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B145" i="4"/>
  <c r="J144" i="4"/>
  <c r="H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8" i="4"/>
  <c r="H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F56" i="4"/>
  <c r="D56" i="4"/>
  <c r="B56" i="4"/>
  <c r="J55" i="4"/>
  <c r="H55" i="4"/>
  <c r="F55" i="4"/>
  <c r="D55" i="4"/>
  <c r="B55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7" i="4"/>
  <c r="H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1" i="4"/>
  <c r="H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5" i="4"/>
  <c r="H15" i="4"/>
  <c r="F15" i="4"/>
  <c r="D15" i="4"/>
  <c r="B15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J311" i="4" s="1"/>
  <c r="H5" i="4"/>
  <c r="H311" i="4" s="1"/>
  <c r="F5" i="4"/>
  <c r="F311" i="4" s="1"/>
  <c r="D5" i="4"/>
  <c r="B5" i="4"/>
  <c r="H266" i="3"/>
  <c r="F266" i="3"/>
  <c r="J263" i="3"/>
  <c r="H263" i="3"/>
  <c r="F263" i="3"/>
  <c r="D263" i="3"/>
  <c r="B263" i="3"/>
  <c r="J262" i="3"/>
  <c r="H262" i="3"/>
  <c r="F262" i="3"/>
  <c r="D262" i="3"/>
  <c r="B262" i="3"/>
  <c r="J260" i="3"/>
  <c r="H260" i="3"/>
  <c r="F260" i="3"/>
  <c r="D260" i="3"/>
  <c r="B260" i="3"/>
  <c r="J259" i="3"/>
  <c r="H259" i="3"/>
  <c r="F259" i="3"/>
  <c r="D259" i="3"/>
  <c r="B259" i="3"/>
  <c r="J258" i="3"/>
  <c r="H258" i="3"/>
  <c r="F258" i="3"/>
  <c r="D258" i="3"/>
  <c r="B258" i="3"/>
  <c r="J256" i="3"/>
  <c r="H256" i="3"/>
  <c r="F256" i="3"/>
  <c r="D256" i="3"/>
  <c r="B256" i="3"/>
  <c r="J255" i="3"/>
  <c r="H255" i="3"/>
  <c r="F255" i="3"/>
  <c r="D255" i="3"/>
  <c r="B255" i="3"/>
  <c r="J254" i="3"/>
  <c r="H254" i="3"/>
  <c r="F254" i="3"/>
  <c r="D254" i="3"/>
  <c r="B254" i="3"/>
  <c r="J253" i="3"/>
  <c r="H253" i="3"/>
  <c r="F253" i="3"/>
  <c r="D253" i="3"/>
  <c r="B253" i="3"/>
  <c r="J252" i="3"/>
  <c r="H252" i="3"/>
  <c r="F252" i="3"/>
  <c r="D252" i="3"/>
  <c r="B252" i="3"/>
  <c r="J251" i="3"/>
  <c r="H251" i="3"/>
  <c r="F251" i="3"/>
  <c r="D251" i="3"/>
  <c r="B251" i="3"/>
  <c r="J250" i="3"/>
  <c r="H250" i="3"/>
  <c r="F250" i="3"/>
  <c r="D250" i="3"/>
  <c r="B250" i="3"/>
  <c r="J249" i="3"/>
  <c r="H249" i="3"/>
  <c r="F249" i="3"/>
  <c r="D249" i="3"/>
  <c r="B249" i="3"/>
  <c r="J245" i="3"/>
  <c r="H245" i="3"/>
  <c r="F245" i="3"/>
  <c r="D245" i="3"/>
  <c r="B245" i="3"/>
  <c r="J243" i="3"/>
  <c r="H243" i="3"/>
  <c r="F243" i="3"/>
  <c r="D243" i="3"/>
  <c r="B243" i="3"/>
  <c r="J239" i="3"/>
  <c r="H239" i="3"/>
  <c r="B239" i="3"/>
  <c r="J238" i="3"/>
  <c r="H238" i="3"/>
  <c r="F238" i="3"/>
  <c r="B238" i="3"/>
  <c r="J237" i="3"/>
  <c r="H237" i="3"/>
  <c r="F237" i="3"/>
  <c r="D237" i="3"/>
  <c r="J236" i="3"/>
  <c r="H236" i="3"/>
  <c r="B236" i="3"/>
  <c r="H235" i="3"/>
  <c r="F235" i="3"/>
  <c r="D235" i="3"/>
  <c r="J234" i="3"/>
  <c r="H234" i="3"/>
  <c r="J233" i="3"/>
  <c r="H233" i="3"/>
  <c r="B233" i="3"/>
  <c r="J232" i="3"/>
  <c r="H232" i="3"/>
  <c r="F232" i="3"/>
  <c r="D232" i="3"/>
  <c r="B232" i="3"/>
  <c r="J231" i="3"/>
  <c r="H231" i="3"/>
  <c r="F231" i="3"/>
  <c r="D231" i="3"/>
  <c r="H230" i="3"/>
  <c r="D230" i="3"/>
  <c r="H229" i="3"/>
  <c r="B229" i="3"/>
  <c r="J228" i="3"/>
  <c r="H228" i="3"/>
  <c r="B228" i="3"/>
  <c r="J227" i="3"/>
  <c r="H227" i="3"/>
  <c r="F227" i="3"/>
  <c r="B227" i="3"/>
  <c r="J226" i="3"/>
  <c r="H226" i="3"/>
  <c r="F226" i="3"/>
  <c r="D226" i="3"/>
  <c r="B226" i="3"/>
  <c r="J225" i="3"/>
  <c r="H225" i="3"/>
  <c r="J224" i="3"/>
  <c r="H224" i="3"/>
  <c r="F224" i="3"/>
  <c r="D224" i="3"/>
  <c r="B224" i="3"/>
  <c r="J223" i="3"/>
  <c r="H223" i="3"/>
  <c r="F223" i="3"/>
  <c r="H222" i="3"/>
  <c r="D222" i="3"/>
  <c r="J221" i="3"/>
  <c r="H221" i="3"/>
  <c r="F221" i="3"/>
  <c r="H220" i="3"/>
  <c r="F220" i="3"/>
  <c r="D220" i="3"/>
  <c r="B220" i="3"/>
  <c r="J219" i="3"/>
  <c r="H219" i="3"/>
  <c r="F219" i="3"/>
  <c r="B219" i="3"/>
  <c r="J218" i="3"/>
  <c r="H218" i="3"/>
  <c r="F218" i="3"/>
  <c r="B218" i="3"/>
  <c r="J216" i="3"/>
  <c r="H216" i="3"/>
  <c r="F216" i="3"/>
  <c r="D216" i="3"/>
  <c r="B216" i="3"/>
  <c r="J215" i="3"/>
  <c r="H215" i="3"/>
  <c r="F215" i="3"/>
  <c r="B215" i="3"/>
  <c r="J214" i="3"/>
  <c r="H214" i="3"/>
  <c r="F214" i="3"/>
  <c r="B214" i="3"/>
  <c r="J213" i="3"/>
  <c r="H213" i="3"/>
  <c r="B213" i="3"/>
  <c r="J212" i="3"/>
  <c r="H212" i="3"/>
  <c r="D212" i="3"/>
  <c r="J211" i="3"/>
  <c r="H211" i="3"/>
  <c r="F211" i="3"/>
  <c r="B211" i="3"/>
  <c r="J207" i="3"/>
  <c r="H207" i="3"/>
  <c r="F207" i="3"/>
  <c r="D207" i="3"/>
  <c r="B207" i="3"/>
  <c r="J206" i="3"/>
  <c r="H206" i="3"/>
  <c r="D206" i="3"/>
  <c r="B206" i="3"/>
  <c r="J205" i="3"/>
  <c r="H205" i="3"/>
  <c r="F205" i="3"/>
  <c r="D205" i="3"/>
  <c r="B205" i="3"/>
  <c r="J204" i="3"/>
  <c r="H204" i="3"/>
  <c r="F204" i="3"/>
  <c r="D204" i="3"/>
  <c r="B204" i="3"/>
  <c r="J203" i="3"/>
  <c r="H203" i="3"/>
  <c r="F203" i="3"/>
  <c r="D203" i="3"/>
  <c r="B203" i="3"/>
  <c r="J201" i="3"/>
  <c r="H201" i="3"/>
  <c r="F201" i="3"/>
  <c r="D201" i="3"/>
  <c r="B201" i="3"/>
  <c r="J200" i="3"/>
  <c r="H200" i="3"/>
  <c r="F200" i="3"/>
  <c r="D200" i="3"/>
  <c r="B200" i="3"/>
  <c r="J199" i="3"/>
  <c r="H199" i="3"/>
  <c r="F199" i="3"/>
  <c r="D199" i="3"/>
  <c r="B199" i="3"/>
  <c r="J198" i="3"/>
  <c r="H198" i="3"/>
  <c r="F198" i="3"/>
  <c r="D198" i="3"/>
  <c r="B198" i="3"/>
  <c r="J197" i="3"/>
  <c r="H197" i="3"/>
  <c r="F197" i="3"/>
  <c r="D197" i="3"/>
  <c r="B197" i="3"/>
  <c r="J196" i="3"/>
  <c r="H196" i="3"/>
  <c r="B196" i="3"/>
  <c r="J195" i="3"/>
  <c r="H195" i="3"/>
  <c r="F195" i="3"/>
  <c r="D195" i="3"/>
  <c r="B195" i="3"/>
  <c r="J194" i="3"/>
  <c r="H194" i="3"/>
  <c r="F194" i="3"/>
  <c r="D194" i="3"/>
  <c r="B194" i="3"/>
  <c r="J193" i="3"/>
  <c r="H193" i="3"/>
  <c r="F193" i="3"/>
  <c r="D193" i="3"/>
  <c r="B193" i="3"/>
  <c r="J192" i="3"/>
  <c r="H192" i="3"/>
  <c r="F192" i="3"/>
  <c r="D192" i="3"/>
  <c r="B192" i="3"/>
  <c r="J190" i="3"/>
  <c r="H190" i="3"/>
  <c r="F190" i="3"/>
  <c r="D190" i="3"/>
  <c r="B190" i="3"/>
  <c r="J189" i="3"/>
  <c r="H189" i="3"/>
  <c r="F189" i="3"/>
  <c r="D189" i="3"/>
  <c r="B189" i="3"/>
  <c r="J188" i="3"/>
  <c r="H188" i="3"/>
  <c r="F188" i="3"/>
  <c r="D188" i="3"/>
  <c r="B188" i="3"/>
  <c r="J187" i="3"/>
  <c r="H187" i="3"/>
  <c r="F187" i="3"/>
  <c r="D187" i="3"/>
  <c r="B187" i="3"/>
  <c r="J186" i="3"/>
  <c r="H186" i="3"/>
  <c r="F186" i="3"/>
  <c r="D186" i="3"/>
  <c r="B186" i="3"/>
  <c r="J185" i="3"/>
  <c r="H185" i="3"/>
  <c r="F185" i="3"/>
  <c r="D185" i="3"/>
  <c r="B185" i="3"/>
  <c r="J183" i="3"/>
  <c r="H183" i="3"/>
  <c r="F183" i="3"/>
  <c r="D183" i="3"/>
  <c r="B183" i="3"/>
  <c r="J181" i="3"/>
  <c r="H181" i="3"/>
  <c r="F181" i="3"/>
  <c r="D181" i="3"/>
  <c r="B181" i="3"/>
  <c r="J180" i="3"/>
  <c r="H180" i="3"/>
  <c r="F180" i="3"/>
  <c r="D180" i="3"/>
  <c r="B180" i="3"/>
  <c r="J179" i="3"/>
  <c r="H179" i="3"/>
  <c r="F179" i="3"/>
  <c r="D179" i="3"/>
  <c r="B179" i="3"/>
  <c r="J178" i="3"/>
  <c r="H178" i="3"/>
  <c r="F178" i="3"/>
  <c r="D178" i="3"/>
  <c r="B178" i="3"/>
  <c r="J177" i="3"/>
  <c r="H177" i="3"/>
  <c r="F177" i="3"/>
  <c r="D177" i="3"/>
  <c r="B177" i="3"/>
  <c r="J175" i="3"/>
  <c r="H175" i="3"/>
  <c r="F175" i="3"/>
  <c r="D175" i="3"/>
  <c r="B175" i="3"/>
  <c r="J174" i="3"/>
  <c r="H174" i="3"/>
  <c r="F174" i="3"/>
  <c r="D174" i="3"/>
  <c r="B174" i="3"/>
  <c r="J173" i="3"/>
  <c r="H173" i="3"/>
  <c r="F173" i="3"/>
  <c r="D173" i="3"/>
  <c r="B173" i="3"/>
  <c r="J172" i="3"/>
  <c r="H172" i="3"/>
  <c r="F172" i="3"/>
  <c r="D172" i="3"/>
  <c r="B172" i="3"/>
  <c r="J171" i="3"/>
  <c r="H171" i="3"/>
  <c r="F171" i="3"/>
  <c r="D171" i="3"/>
  <c r="B171" i="3"/>
  <c r="J169" i="3"/>
  <c r="H169" i="3"/>
  <c r="F169" i="3"/>
  <c r="D169" i="3"/>
  <c r="B169" i="3"/>
  <c r="J168" i="3"/>
  <c r="H168" i="3"/>
  <c r="F168" i="3"/>
  <c r="D168" i="3"/>
  <c r="B168" i="3"/>
  <c r="J167" i="3"/>
  <c r="H167" i="3"/>
  <c r="F167" i="3"/>
  <c r="D167" i="3"/>
  <c r="B167" i="3"/>
  <c r="J166" i="3"/>
  <c r="H166" i="3"/>
  <c r="F166" i="3"/>
  <c r="D166" i="3"/>
  <c r="B166" i="3"/>
  <c r="J164" i="3"/>
  <c r="H164" i="3"/>
  <c r="F164" i="3"/>
  <c r="D164" i="3"/>
  <c r="B164" i="3"/>
  <c r="J162" i="3"/>
  <c r="H162" i="3"/>
  <c r="F162" i="3"/>
  <c r="D162" i="3"/>
  <c r="B162" i="3"/>
  <c r="J161" i="3"/>
  <c r="H161" i="3"/>
  <c r="F161" i="3"/>
  <c r="D161" i="3"/>
  <c r="B161" i="3"/>
  <c r="J160" i="3"/>
  <c r="H160" i="3"/>
  <c r="F160" i="3"/>
  <c r="D160" i="3"/>
  <c r="B160" i="3"/>
  <c r="J159" i="3"/>
  <c r="H159" i="3"/>
  <c r="F159" i="3"/>
  <c r="D159" i="3"/>
  <c r="B159" i="3"/>
  <c r="J158" i="3"/>
  <c r="H158" i="3"/>
  <c r="F158" i="3"/>
  <c r="D158" i="3"/>
  <c r="B158" i="3"/>
  <c r="J157" i="3"/>
  <c r="H157" i="3"/>
  <c r="F157" i="3"/>
  <c r="D157" i="3"/>
  <c r="B157" i="3"/>
  <c r="J155" i="3"/>
  <c r="H155" i="3"/>
  <c r="F155" i="3"/>
  <c r="D155" i="3"/>
  <c r="B155" i="3"/>
  <c r="J154" i="3"/>
  <c r="H154" i="3"/>
  <c r="B154" i="3"/>
  <c r="J153" i="3"/>
  <c r="H153" i="3"/>
  <c r="F153" i="3"/>
  <c r="D153" i="3"/>
  <c r="B153" i="3"/>
  <c r="J152" i="3"/>
  <c r="H152" i="3"/>
  <c r="F152" i="3"/>
  <c r="D152" i="3"/>
  <c r="B152" i="3"/>
  <c r="J151" i="3"/>
  <c r="H151" i="3"/>
  <c r="F151" i="3"/>
  <c r="D151" i="3"/>
  <c r="B151" i="3"/>
  <c r="J150" i="3"/>
  <c r="H150" i="3"/>
  <c r="F150" i="3"/>
  <c r="D150" i="3"/>
  <c r="B150" i="3"/>
  <c r="J149" i="3"/>
  <c r="H149" i="3"/>
  <c r="F149" i="3"/>
  <c r="D149" i="3"/>
  <c r="B149" i="3"/>
  <c r="J148" i="3"/>
  <c r="H148" i="3"/>
  <c r="F148" i="3"/>
  <c r="D148" i="3"/>
  <c r="B148" i="3"/>
  <c r="J144" i="3"/>
  <c r="H144" i="3"/>
  <c r="F144" i="3"/>
  <c r="D144" i="3"/>
  <c r="B144" i="3"/>
  <c r="J143" i="3"/>
  <c r="H143" i="3"/>
  <c r="F143" i="3"/>
  <c r="D143" i="3"/>
  <c r="B143" i="3"/>
  <c r="J142" i="3"/>
  <c r="H142" i="3"/>
  <c r="F142" i="3"/>
  <c r="D142" i="3"/>
  <c r="B142" i="3"/>
  <c r="J141" i="3"/>
  <c r="H141" i="3"/>
  <c r="F141" i="3"/>
  <c r="D141" i="3"/>
  <c r="B141" i="3"/>
  <c r="J140" i="3"/>
  <c r="H140" i="3"/>
  <c r="F140" i="3"/>
  <c r="D140" i="3"/>
  <c r="B140" i="3"/>
  <c r="J139" i="3"/>
  <c r="H139" i="3"/>
  <c r="F139" i="3"/>
  <c r="D139" i="3"/>
  <c r="B139" i="3"/>
  <c r="J138" i="3"/>
  <c r="H138" i="3"/>
  <c r="F138" i="3"/>
  <c r="D138" i="3"/>
  <c r="B138" i="3"/>
  <c r="J137" i="3"/>
  <c r="H137" i="3"/>
  <c r="F137" i="3"/>
  <c r="D137" i="3"/>
  <c r="B137" i="3"/>
  <c r="J136" i="3"/>
  <c r="H136" i="3"/>
  <c r="F136" i="3"/>
  <c r="D136" i="3"/>
  <c r="B136" i="3"/>
  <c r="J135" i="3"/>
  <c r="H135" i="3"/>
  <c r="F135" i="3"/>
  <c r="D135" i="3"/>
  <c r="B135" i="3"/>
  <c r="J134" i="3"/>
  <c r="H134" i="3"/>
  <c r="F134" i="3"/>
  <c r="D134" i="3"/>
  <c r="B134" i="3"/>
  <c r="J133" i="3"/>
  <c r="H133" i="3"/>
  <c r="F133" i="3"/>
  <c r="D133" i="3"/>
  <c r="B133" i="3"/>
  <c r="J132" i="3"/>
  <c r="H132" i="3"/>
  <c r="F132" i="3"/>
  <c r="D132" i="3"/>
  <c r="B132" i="3"/>
  <c r="J131" i="3"/>
  <c r="H131" i="3"/>
  <c r="F131" i="3"/>
  <c r="D131" i="3"/>
  <c r="B131" i="3"/>
  <c r="J129" i="3"/>
  <c r="H129" i="3"/>
  <c r="F129" i="3"/>
  <c r="D129" i="3"/>
  <c r="B129" i="3"/>
  <c r="J128" i="3"/>
  <c r="H128" i="3"/>
  <c r="F128" i="3"/>
  <c r="D128" i="3"/>
  <c r="B128" i="3"/>
  <c r="J127" i="3"/>
  <c r="H127" i="3"/>
  <c r="F127" i="3"/>
  <c r="D127" i="3"/>
  <c r="B127" i="3"/>
  <c r="J126" i="3"/>
  <c r="H126" i="3"/>
  <c r="F126" i="3"/>
  <c r="D126" i="3"/>
  <c r="B126" i="3"/>
  <c r="J125" i="3"/>
  <c r="H125" i="3"/>
  <c r="F125" i="3"/>
  <c r="D125" i="3"/>
  <c r="B125" i="3"/>
  <c r="J124" i="3"/>
  <c r="H124" i="3"/>
  <c r="F124" i="3"/>
  <c r="D124" i="3"/>
  <c r="B124" i="3"/>
  <c r="J123" i="3"/>
  <c r="H123" i="3"/>
  <c r="F123" i="3"/>
  <c r="D123" i="3"/>
  <c r="B123" i="3"/>
  <c r="H122" i="3"/>
  <c r="F122" i="3"/>
  <c r="D122" i="3"/>
  <c r="B122" i="3"/>
  <c r="J121" i="3"/>
  <c r="H121" i="3"/>
  <c r="F121" i="3"/>
  <c r="D121" i="3"/>
  <c r="B121" i="3"/>
  <c r="J120" i="3"/>
  <c r="H120" i="3"/>
  <c r="F120" i="3"/>
  <c r="D120" i="3"/>
  <c r="B120" i="3"/>
  <c r="J119" i="3"/>
  <c r="H119" i="3"/>
  <c r="F119" i="3"/>
  <c r="D119" i="3"/>
  <c r="B119" i="3"/>
  <c r="J118" i="3"/>
  <c r="H118" i="3"/>
  <c r="F118" i="3"/>
  <c r="D118" i="3"/>
  <c r="B118" i="3"/>
  <c r="J117" i="3"/>
  <c r="H117" i="3"/>
  <c r="B117" i="3"/>
  <c r="J116" i="3"/>
  <c r="H116" i="3"/>
  <c r="B116" i="3"/>
  <c r="J115" i="3"/>
  <c r="H115" i="3"/>
  <c r="F115" i="3"/>
  <c r="B115" i="3"/>
  <c r="J114" i="3"/>
  <c r="H114" i="3"/>
  <c r="F114" i="3"/>
  <c r="D114" i="3"/>
  <c r="B114" i="3"/>
  <c r="J113" i="3"/>
  <c r="H113" i="3"/>
  <c r="B113" i="3"/>
  <c r="J112" i="3"/>
  <c r="H112" i="3"/>
  <c r="F112" i="3"/>
  <c r="D112" i="3"/>
  <c r="B112" i="3"/>
  <c r="J111" i="3"/>
  <c r="H111" i="3"/>
  <c r="F111" i="3"/>
  <c r="D111" i="3"/>
  <c r="B111" i="3"/>
  <c r="J110" i="3"/>
  <c r="H110" i="3"/>
  <c r="F110" i="3"/>
  <c r="D110" i="3"/>
  <c r="B110" i="3"/>
  <c r="J109" i="3"/>
  <c r="H109" i="3"/>
  <c r="B109" i="3"/>
  <c r="J108" i="3"/>
  <c r="H108" i="3"/>
  <c r="F108" i="3"/>
  <c r="D108" i="3"/>
  <c r="B108" i="3"/>
  <c r="J107" i="3"/>
  <c r="H107" i="3"/>
  <c r="F107" i="3"/>
  <c r="D107" i="3"/>
  <c r="B107" i="3"/>
  <c r="J106" i="3"/>
  <c r="H106" i="3"/>
  <c r="F106" i="3"/>
  <c r="D106" i="3"/>
  <c r="B106" i="3"/>
  <c r="J105" i="3"/>
  <c r="H105" i="3"/>
  <c r="F105" i="3"/>
  <c r="D105" i="3"/>
  <c r="B105" i="3"/>
  <c r="J104" i="3"/>
  <c r="H104" i="3"/>
  <c r="F104" i="3"/>
  <c r="D104" i="3"/>
  <c r="B104" i="3"/>
  <c r="J103" i="3"/>
  <c r="H103" i="3"/>
  <c r="F103" i="3"/>
  <c r="D103" i="3"/>
  <c r="B103" i="3"/>
  <c r="J102" i="3"/>
  <c r="H102" i="3"/>
  <c r="F102" i="3"/>
  <c r="D102" i="3"/>
  <c r="B102" i="3"/>
  <c r="J100" i="3"/>
  <c r="H100" i="3"/>
  <c r="B100" i="3"/>
  <c r="J99" i="3"/>
  <c r="H99" i="3"/>
  <c r="F99" i="3"/>
  <c r="D99" i="3"/>
  <c r="B99" i="3"/>
  <c r="J98" i="3"/>
  <c r="H98" i="3"/>
  <c r="F98" i="3"/>
  <c r="D98" i="3"/>
  <c r="B98" i="3"/>
  <c r="J97" i="3"/>
  <c r="H97" i="3"/>
  <c r="F97" i="3"/>
  <c r="D97" i="3"/>
  <c r="B97" i="3"/>
  <c r="J96" i="3"/>
  <c r="H96" i="3"/>
  <c r="F96" i="3"/>
  <c r="D96" i="3"/>
  <c r="B96" i="3"/>
  <c r="J95" i="3"/>
  <c r="H95" i="3"/>
  <c r="F95" i="3"/>
  <c r="D95" i="3"/>
  <c r="B95" i="3"/>
  <c r="J94" i="3"/>
  <c r="H94" i="3"/>
  <c r="F94" i="3"/>
  <c r="D94" i="3"/>
  <c r="B94" i="3"/>
  <c r="J92" i="3"/>
  <c r="H92" i="3"/>
  <c r="F92" i="3"/>
  <c r="D92" i="3"/>
  <c r="B92" i="3"/>
  <c r="J91" i="3"/>
  <c r="H91" i="3"/>
  <c r="F91" i="3"/>
  <c r="D91" i="3"/>
  <c r="B91" i="3"/>
  <c r="J90" i="3"/>
  <c r="H90" i="3"/>
  <c r="F90" i="3"/>
  <c r="D90" i="3"/>
  <c r="B90" i="3"/>
  <c r="J89" i="3"/>
  <c r="H89" i="3"/>
  <c r="F89" i="3"/>
  <c r="D89" i="3"/>
  <c r="B89" i="3"/>
  <c r="J88" i="3"/>
  <c r="H88" i="3"/>
  <c r="F88" i="3"/>
  <c r="D88" i="3"/>
  <c r="B88" i="3"/>
  <c r="J86" i="3"/>
  <c r="H86" i="3"/>
  <c r="F86" i="3"/>
  <c r="D86" i="3"/>
  <c r="B86" i="3"/>
  <c r="J85" i="3"/>
  <c r="H85" i="3"/>
  <c r="F85" i="3"/>
  <c r="D85" i="3"/>
  <c r="B85" i="3"/>
  <c r="J84" i="3"/>
  <c r="H84" i="3"/>
  <c r="F84" i="3"/>
  <c r="D84" i="3"/>
  <c r="B84" i="3"/>
  <c r="J83" i="3"/>
  <c r="H83" i="3"/>
  <c r="F83" i="3"/>
  <c r="D83" i="3"/>
  <c r="B83" i="3"/>
  <c r="J82" i="3"/>
  <c r="H82" i="3"/>
  <c r="F82" i="3"/>
  <c r="D82" i="3"/>
  <c r="B82" i="3"/>
  <c r="J81" i="3"/>
  <c r="H81" i="3"/>
  <c r="F81" i="3"/>
  <c r="D81" i="3"/>
  <c r="B81" i="3"/>
  <c r="J80" i="3"/>
  <c r="H80" i="3"/>
  <c r="F80" i="3"/>
  <c r="D80" i="3"/>
  <c r="B80" i="3"/>
  <c r="J79" i="3"/>
  <c r="H79" i="3"/>
  <c r="F79" i="3"/>
  <c r="D79" i="3"/>
  <c r="B79" i="3"/>
  <c r="J78" i="3"/>
  <c r="H78" i="3"/>
  <c r="F78" i="3"/>
  <c r="D78" i="3"/>
  <c r="B78" i="3"/>
  <c r="J77" i="3"/>
  <c r="H77" i="3"/>
  <c r="F77" i="3"/>
  <c r="D77" i="3"/>
  <c r="B77" i="3"/>
  <c r="J76" i="3"/>
  <c r="H76" i="3"/>
  <c r="F76" i="3"/>
  <c r="D76" i="3"/>
  <c r="B76" i="3"/>
  <c r="J75" i="3"/>
  <c r="H75" i="3"/>
  <c r="F75" i="3"/>
  <c r="D75" i="3"/>
  <c r="B75" i="3"/>
  <c r="J74" i="3"/>
  <c r="H74" i="3"/>
  <c r="F74" i="3"/>
  <c r="D74" i="3"/>
  <c r="B74" i="3"/>
  <c r="J73" i="3"/>
  <c r="H73" i="3"/>
  <c r="F73" i="3"/>
  <c r="D73" i="3"/>
  <c r="B73" i="3"/>
  <c r="J72" i="3"/>
  <c r="H72" i="3"/>
  <c r="F72" i="3"/>
  <c r="D72" i="3"/>
  <c r="B72" i="3"/>
  <c r="J71" i="3"/>
  <c r="H71" i="3"/>
  <c r="F71" i="3"/>
  <c r="D71" i="3"/>
  <c r="B71" i="3"/>
  <c r="J70" i="3"/>
  <c r="H70" i="3"/>
  <c r="F70" i="3"/>
  <c r="D70" i="3"/>
  <c r="B70" i="3"/>
  <c r="J69" i="3"/>
  <c r="H69" i="3"/>
  <c r="B69" i="3"/>
  <c r="J68" i="3"/>
  <c r="H68" i="3"/>
  <c r="F68" i="3"/>
  <c r="D68" i="3"/>
  <c r="B68" i="3"/>
  <c r="J67" i="3"/>
  <c r="H67" i="3"/>
  <c r="F67" i="3"/>
  <c r="D67" i="3"/>
  <c r="B67" i="3"/>
  <c r="J66" i="3"/>
  <c r="H66" i="3"/>
  <c r="F66" i="3"/>
  <c r="D66" i="3"/>
  <c r="B66" i="3"/>
  <c r="J65" i="3"/>
  <c r="H65" i="3"/>
  <c r="F65" i="3"/>
  <c r="D65" i="3"/>
  <c r="B65" i="3"/>
  <c r="J64" i="3"/>
  <c r="H64" i="3"/>
  <c r="F64" i="3"/>
  <c r="D64" i="3"/>
  <c r="B64" i="3"/>
  <c r="J63" i="3"/>
  <c r="H63" i="3"/>
  <c r="F63" i="3"/>
  <c r="D63" i="3"/>
  <c r="B63" i="3"/>
  <c r="J62" i="3"/>
  <c r="H62" i="3"/>
  <c r="F62" i="3"/>
  <c r="D62" i="3"/>
  <c r="B62" i="3"/>
  <c r="J61" i="3"/>
  <c r="H61" i="3"/>
  <c r="F61" i="3"/>
  <c r="D61" i="3"/>
  <c r="B61" i="3"/>
  <c r="J60" i="3"/>
  <c r="H60" i="3"/>
  <c r="F60" i="3"/>
  <c r="D60" i="3"/>
  <c r="B60" i="3"/>
  <c r="J59" i="3"/>
  <c r="H59" i="3"/>
  <c r="F59" i="3"/>
  <c r="D59" i="3"/>
  <c r="B59" i="3"/>
  <c r="J58" i="3"/>
  <c r="H58" i="3"/>
  <c r="F58" i="3"/>
  <c r="D58" i="3"/>
  <c r="B58" i="3"/>
  <c r="J57" i="3"/>
  <c r="H57" i="3"/>
  <c r="F57" i="3"/>
  <c r="D57" i="3"/>
  <c r="B57" i="3"/>
  <c r="J56" i="3"/>
  <c r="H56" i="3"/>
  <c r="F56" i="3"/>
  <c r="D56" i="3"/>
  <c r="B56" i="3"/>
  <c r="J55" i="3"/>
  <c r="H55" i="3"/>
  <c r="F55" i="3"/>
  <c r="D55" i="3"/>
  <c r="B55" i="3"/>
  <c r="J54" i="3"/>
  <c r="H54" i="3"/>
  <c r="F54" i="3"/>
  <c r="D54" i="3"/>
  <c r="B54" i="3"/>
  <c r="J53" i="3"/>
  <c r="H53" i="3"/>
  <c r="F53" i="3"/>
  <c r="D53" i="3"/>
  <c r="B53" i="3"/>
  <c r="J52" i="3"/>
  <c r="H52" i="3"/>
  <c r="F52" i="3"/>
  <c r="D52" i="3"/>
  <c r="B52" i="3"/>
  <c r="J51" i="3"/>
  <c r="H51" i="3"/>
  <c r="F51" i="3"/>
  <c r="D51" i="3"/>
  <c r="B51" i="3"/>
  <c r="J50" i="3"/>
  <c r="H50" i="3"/>
  <c r="F50" i="3"/>
  <c r="D50" i="3"/>
  <c r="B50" i="3"/>
  <c r="J49" i="3"/>
  <c r="H49" i="3"/>
  <c r="F49" i="3"/>
  <c r="D49" i="3"/>
  <c r="B49" i="3"/>
  <c r="J48" i="3"/>
  <c r="H48" i="3"/>
  <c r="F48" i="3"/>
  <c r="D48" i="3"/>
  <c r="B48" i="3"/>
  <c r="J47" i="3"/>
  <c r="H47" i="3"/>
  <c r="F47" i="3"/>
  <c r="D47" i="3"/>
  <c r="B47" i="3"/>
  <c r="J46" i="3"/>
  <c r="H46" i="3"/>
  <c r="F46" i="3"/>
  <c r="D46" i="3"/>
  <c r="B46" i="3"/>
  <c r="J45" i="3"/>
  <c r="H45" i="3"/>
  <c r="F45" i="3"/>
  <c r="D45" i="3"/>
  <c r="B45" i="3"/>
  <c r="J44" i="3"/>
  <c r="H44" i="3"/>
  <c r="F44" i="3"/>
  <c r="D44" i="3"/>
  <c r="B44" i="3"/>
  <c r="J43" i="3"/>
  <c r="H43" i="3"/>
  <c r="F43" i="3"/>
  <c r="D43" i="3"/>
  <c r="B43" i="3"/>
  <c r="J42" i="3"/>
  <c r="H42" i="3"/>
  <c r="F42" i="3"/>
  <c r="D42" i="3"/>
  <c r="B42" i="3"/>
  <c r="J41" i="3"/>
  <c r="H41" i="3"/>
  <c r="F41" i="3"/>
  <c r="D41" i="3"/>
  <c r="B41" i="3"/>
  <c r="J40" i="3"/>
  <c r="H40" i="3"/>
  <c r="F40" i="3"/>
  <c r="D40" i="3"/>
  <c r="B40" i="3"/>
  <c r="J39" i="3"/>
  <c r="H39" i="3"/>
  <c r="F39" i="3"/>
  <c r="D39" i="3"/>
  <c r="B39" i="3"/>
  <c r="J38" i="3"/>
  <c r="H38" i="3"/>
  <c r="F38" i="3"/>
  <c r="D38" i="3"/>
  <c r="B38" i="3"/>
  <c r="J37" i="3"/>
  <c r="H37" i="3"/>
  <c r="F37" i="3"/>
  <c r="D37" i="3"/>
  <c r="B37" i="3"/>
  <c r="J36" i="3"/>
  <c r="H36" i="3"/>
  <c r="F36" i="3"/>
  <c r="D36" i="3"/>
  <c r="B36" i="3"/>
  <c r="J34" i="3"/>
  <c r="H34" i="3"/>
  <c r="F34" i="3"/>
  <c r="D34" i="3"/>
  <c r="B34" i="3"/>
  <c r="J33" i="3"/>
  <c r="H33" i="3"/>
  <c r="F33" i="3"/>
  <c r="D33" i="3"/>
  <c r="B33" i="3"/>
  <c r="J32" i="3"/>
  <c r="H32" i="3"/>
  <c r="F32" i="3"/>
  <c r="D32" i="3"/>
  <c r="B32" i="3"/>
  <c r="J31" i="3"/>
  <c r="H31" i="3"/>
  <c r="F31" i="3"/>
  <c r="D31" i="3"/>
  <c r="B31" i="3"/>
  <c r="J30" i="3"/>
  <c r="H30" i="3"/>
  <c r="F30" i="3"/>
  <c r="D30" i="3"/>
  <c r="B30" i="3"/>
  <c r="J29" i="3"/>
  <c r="F29" i="3"/>
  <c r="D29" i="3"/>
  <c r="B29" i="3"/>
  <c r="J28" i="3"/>
  <c r="H28" i="3"/>
  <c r="F28" i="3"/>
  <c r="D28" i="3"/>
  <c r="B28" i="3"/>
  <c r="J24" i="3"/>
  <c r="H24" i="3"/>
  <c r="F24" i="3"/>
  <c r="D24" i="3"/>
  <c r="B24" i="3"/>
  <c r="J23" i="3"/>
  <c r="H23" i="3"/>
  <c r="F23" i="3"/>
  <c r="D23" i="3"/>
  <c r="B23" i="3"/>
  <c r="J22" i="3"/>
  <c r="H22" i="3"/>
  <c r="F22" i="3"/>
  <c r="D22" i="3"/>
  <c r="B22" i="3"/>
  <c r="J18" i="3"/>
  <c r="H18" i="3"/>
  <c r="F18" i="3"/>
  <c r="D18" i="3"/>
  <c r="B18" i="3"/>
  <c r="J17" i="3"/>
  <c r="H17" i="3"/>
  <c r="F17" i="3"/>
  <c r="D17" i="3"/>
  <c r="B17" i="3"/>
  <c r="J15" i="3"/>
  <c r="H15" i="3"/>
  <c r="F15" i="3"/>
  <c r="D15" i="3"/>
  <c r="B15" i="3"/>
  <c r="J13" i="3"/>
  <c r="H13" i="3"/>
  <c r="F13" i="3"/>
  <c r="D13" i="3"/>
  <c r="B13" i="3"/>
  <c r="J12" i="3"/>
  <c r="H12" i="3"/>
  <c r="F12" i="3"/>
  <c r="D12" i="3"/>
  <c r="B12" i="3"/>
  <c r="J11" i="3"/>
  <c r="H11" i="3"/>
  <c r="F11" i="3"/>
  <c r="D11" i="3"/>
  <c r="B11" i="3"/>
  <c r="J10" i="3"/>
  <c r="H10" i="3"/>
  <c r="F10" i="3"/>
  <c r="D10" i="3"/>
  <c r="B10" i="3"/>
  <c r="J8" i="3"/>
  <c r="H8" i="3"/>
  <c r="F8" i="3"/>
  <c r="D8" i="3"/>
  <c r="B8" i="3"/>
  <c r="J7" i="3"/>
  <c r="H7" i="3"/>
  <c r="F7" i="3"/>
  <c r="D7" i="3"/>
  <c r="B7" i="3"/>
  <c r="J6" i="3"/>
  <c r="H6" i="3"/>
  <c r="F6" i="3"/>
  <c r="D6" i="3"/>
  <c r="B6" i="3"/>
  <c r="J5" i="3"/>
  <c r="J266" i="3" s="1"/>
  <c r="H5" i="3"/>
  <c r="F5" i="3"/>
  <c r="D5" i="3"/>
  <c r="D266" i="3" s="1"/>
  <c r="B5" i="3"/>
  <c r="B266" i="3" s="1"/>
  <c r="L320" i="1"/>
  <c r="J320" i="1"/>
  <c r="H320" i="1"/>
  <c r="J317" i="1"/>
  <c r="H317" i="1"/>
  <c r="F317" i="1"/>
  <c r="D317" i="1"/>
  <c r="B317" i="1"/>
  <c r="J316" i="1"/>
  <c r="H316" i="1"/>
  <c r="F316" i="1"/>
  <c r="D316" i="1"/>
  <c r="B316" i="1"/>
  <c r="J314" i="1"/>
  <c r="H314" i="1"/>
  <c r="F314" i="1"/>
  <c r="D314" i="1"/>
  <c r="B314" i="1"/>
  <c r="J313" i="1"/>
  <c r="H313" i="1"/>
  <c r="F313" i="1"/>
  <c r="D313" i="1"/>
  <c r="B313" i="1"/>
  <c r="J312" i="1"/>
  <c r="H312" i="1"/>
  <c r="F312" i="1"/>
  <c r="D312" i="1"/>
  <c r="B312" i="1"/>
  <c r="J310" i="1"/>
  <c r="H310" i="1"/>
  <c r="F310" i="1"/>
  <c r="D310" i="1"/>
  <c r="B310" i="1"/>
  <c r="J309" i="1"/>
  <c r="H309" i="1"/>
  <c r="F309" i="1"/>
  <c r="D309" i="1"/>
  <c r="B309" i="1"/>
  <c r="J308" i="1"/>
  <c r="H308" i="1"/>
  <c r="F308" i="1"/>
  <c r="D308" i="1"/>
  <c r="B308" i="1"/>
  <c r="J307" i="1"/>
  <c r="H307" i="1"/>
  <c r="F307" i="1"/>
  <c r="D307" i="1"/>
  <c r="B307" i="1"/>
  <c r="J306" i="1"/>
  <c r="H306" i="1"/>
  <c r="F306" i="1"/>
  <c r="D306" i="1"/>
  <c r="B306" i="1"/>
  <c r="J305" i="1"/>
  <c r="H305" i="1"/>
  <c r="F305" i="1"/>
  <c r="D305" i="1"/>
  <c r="B305" i="1"/>
  <c r="J304" i="1"/>
  <c r="H304" i="1"/>
  <c r="F304" i="1"/>
  <c r="D304" i="1"/>
  <c r="B304" i="1"/>
  <c r="J303" i="1"/>
  <c r="H303" i="1"/>
  <c r="F303" i="1"/>
  <c r="D303" i="1"/>
  <c r="B303" i="1"/>
  <c r="J299" i="1"/>
  <c r="H299" i="1"/>
  <c r="F299" i="1"/>
  <c r="D299" i="1"/>
  <c r="B299" i="1"/>
  <c r="J298" i="1"/>
  <c r="H298" i="1"/>
  <c r="B298" i="1"/>
  <c r="J297" i="1"/>
  <c r="H297" i="1"/>
  <c r="F297" i="1"/>
  <c r="D297" i="1"/>
  <c r="B297" i="1"/>
  <c r="J296" i="1"/>
  <c r="H296" i="1"/>
  <c r="F296" i="1"/>
  <c r="D296" i="1"/>
  <c r="B296" i="1"/>
  <c r="J295" i="1"/>
  <c r="H295" i="1"/>
  <c r="F295" i="1"/>
  <c r="D295" i="1"/>
  <c r="B295" i="1"/>
  <c r="J294" i="1"/>
  <c r="H294" i="1"/>
  <c r="B294" i="1"/>
  <c r="J293" i="1"/>
  <c r="H293" i="1"/>
  <c r="B293" i="1"/>
  <c r="J292" i="1"/>
  <c r="H292" i="1"/>
  <c r="F292" i="1"/>
  <c r="D292" i="1"/>
  <c r="B292" i="1"/>
  <c r="J290" i="1"/>
  <c r="H290" i="1"/>
  <c r="B290" i="1"/>
  <c r="J289" i="1"/>
  <c r="H289" i="1"/>
  <c r="F289" i="1"/>
  <c r="D289" i="1"/>
  <c r="B289" i="1"/>
  <c r="J287" i="1"/>
  <c r="H287" i="1"/>
  <c r="F287" i="1"/>
  <c r="D287" i="1"/>
  <c r="B287" i="1"/>
  <c r="J283" i="1"/>
  <c r="H283" i="1"/>
  <c r="B283" i="1"/>
  <c r="J282" i="1"/>
  <c r="H282" i="1"/>
  <c r="F282" i="1"/>
  <c r="B282" i="1"/>
  <c r="J281" i="1"/>
  <c r="H281" i="1"/>
  <c r="F281" i="1"/>
  <c r="D281" i="1"/>
  <c r="J280" i="1"/>
  <c r="H280" i="1"/>
  <c r="B280" i="1"/>
  <c r="H279" i="1"/>
  <c r="F279" i="1"/>
  <c r="D279" i="1"/>
  <c r="J278" i="1"/>
  <c r="H278" i="1"/>
  <c r="J277" i="1"/>
  <c r="H277" i="1"/>
  <c r="B277" i="1"/>
  <c r="J276" i="1"/>
  <c r="H276" i="1"/>
  <c r="F276" i="1"/>
  <c r="D276" i="1"/>
  <c r="B276" i="1"/>
  <c r="J275" i="1"/>
  <c r="H275" i="1"/>
  <c r="F275" i="1"/>
  <c r="D275" i="1"/>
  <c r="H274" i="1"/>
  <c r="D274" i="1"/>
  <c r="H273" i="1"/>
  <c r="B273" i="1"/>
  <c r="J272" i="1"/>
  <c r="H272" i="1"/>
  <c r="B272" i="1"/>
  <c r="J271" i="1"/>
  <c r="H271" i="1"/>
  <c r="F271" i="1"/>
  <c r="B271" i="1"/>
  <c r="J270" i="1"/>
  <c r="H270" i="1"/>
  <c r="F270" i="1"/>
  <c r="D270" i="1"/>
  <c r="B270" i="1"/>
  <c r="J269" i="1"/>
  <c r="H269" i="1"/>
  <c r="J268" i="1"/>
  <c r="H268" i="1"/>
  <c r="F268" i="1"/>
  <c r="D268" i="1"/>
  <c r="B268" i="1"/>
  <c r="J267" i="1"/>
  <c r="H267" i="1"/>
  <c r="F267" i="1"/>
  <c r="H266" i="1"/>
  <c r="D266" i="1"/>
  <c r="J265" i="1"/>
  <c r="H265" i="1"/>
  <c r="F265" i="1"/>
  <c r="H264" i="1"/>
  <c r="F264" i="1"/>
  <c r="D264" i="1"/>
  <c r="B264" i="1"/>
  <c r="J263" i="1"/>
  <c r="H263" i="1"/>
  <c r="F263" i="1"/>
  <c r="B263" i="1"/>
  <c r="J262" i="1"/>
  <c r="H262" i="1"/>
  <c r="F262" i="1"/>
  <c r="B262" i="1"/>
  <c r="J260" i="1"/>
  <c r="H260" i="1"/>
  <c r="F260" i="1"/>
  <c r="D260" i="1"/>
  <c r="B260" i="1"/>
  <c r="J259" i="1"/>
  <c r="H259" i="1"/>
  <c r="F259" i="1"/>
  <c r="B259" i="1"/>
  <c r="J258" i="1"/>
  <c r="H258" i="1"/>
  <c r="B258" i="1"/>
  <c r="J257" i="1"/>
  <c r="H257" i="1"/>
  <c r="F257" i="1"/>
  <c r="B257" i="1"/>
  <c r="J256" i="1"/>
  <c r="H256" i="1"/>
  <c r="B256" i="1"/>
  <c r="J255" i="1"/>
  <c r="H255" i="1"/>
  <c r="D255" i="1"/>
  <c r="J254" i="1"/>
  <c r="H254" i="1"/>
  <c r="F254" i="1"/>
  <c r="B254" i="1"/>
  <c r="J250" i="1"/>
  <c r="H250" i="1"/>
  <c r="F250" i="1"/>
  <c r="D250" i="1"/>
  <c r="B250" i="1"/>
  <c r="J249" i="1"/>
  <c r="H249" i="1"/>
  <c r="D249" i="1"/>
  <c r="B249" i="1"/>
  <c r="J248" i="1"/>
  <c r="H248" i="1"/>
  <c r="F248" i="1"/>
  <c r="D248" i="1"/>
  <c r="B248" i="1"/>
  <c r="J247" i="1"/>
  <c r="H247" i="1"/>
  <c r="F247" i="1"/>
  <c r="D247" i="1"/>
  <c r="B247" i="1"/>
  <c r="J246" i="1"/>
  <c r="H246" i="1"/>
  <c r="F246" i="1"/>
  <c r="D246" i="1"/>
  <c r="B246" i="1"/>
  <c r="J244" i="1"/>
  <c r="H244" i="1"/>
  <c r="F244" i="1"/>
  <c r="D244" i="1"/>
  <c r="B244" i="1"/>
  <c r="J243" i="1"/>
  <c r="H243" i="1"/>
  <c r="F243" i="1"/>
  <c r="D243" i="1"/>
  <c r="B243" i="1"/>
  <c r="J242" i="1"/>
  <c r="H242" i="1"/>
  <c r="F242" i="1"/>
  <c r="D242" i="1"/>
  <c r="B242" i="1"/>
  <c r="J241" i="1"/>
  <c r="H241" i="1"/>
  <c r="F241" i="1"/>
  <c r="D241" i="1"/>
  <c r="B241" i="1"/>
  <c r="J240" i="1"/>
  <c r="H240" i="1"/>
  <c r="F240" i="1"/>
  <c r="D240" i="1"/>
  <c r="B240" i="1"/>
  <c r="J239" i="1"/>
  <c r="H239" i="1"/>
  <c r="B239" i="1"/>
  <c r="J238" i="1"/>
  <c r="H238" i="1"/>
  <c r="F238" i="1"/>
  <c r="D238" i="1"/>
  <c r="B238" i="1"/>
  <c r="J237" i="1"/>
  <c r="H237" i="1"/>
  <c r="F237" i="1"/>
  <c r="D237" i="1"/>
  <c r="B237" i="1"/>
  <c r="J236" i="1"/>
  <c r="H236" i="1"/>
  <c r="F236" i="1"/>
  <c r="D236" i="1"/>
  <c r="B236" i="1"/>
  <c r="J235" i="1"/>
  <c r="H235" i="1"/>
  <c r="F235" i="1"/>
  <c r="D235" i="1"/>
  <c r="B235" i="1"/>
  <c r="J233" i="1"/>
  <c r="H233" i="1"/>
  <c r="F233" i="1"/>
  <c r="D233" i="1"/>
  <c r="B233" i="1"/>
  <c r="J232" i="1"/>
  <c r="H232" i="1"/>
  <c r="F232" i="1"/>
  <c r="D232" i="1"/>
  <c r="B232" i="1"/>
  <c r="J231" i="1"/>
  <c r="H231" i="1"/>
  <c r="F231" i="1"/>
  <c r="D231" i="1"/>
  <c r="B231" i="1"/>
  <c r="J230" i="1"/>
  <c r="H230" i="1"/>
  <c r="F230" i="1"/>
  <c r="D230" i="1"/>
  <c r="B230" i="1"/>
  <c r="J229" i="1"/>
  <c r="H229" i="1"/>
  <c r="F229" i="1"/>
  <c r="D229" i="1"/>
  <c r="B229" i="1"/>
  <c r="J228" i="1"/>
  <c r="H228" i="1"/>
  <c r="F228" i="1"/>
  <c r="D228" i="1"/>
  <c r="B228" i="1"/>
  <c r="J226" i="1"/>
  <c r="H226" i="1"/>
  <c r="F226" i="1"/>
  <c r="D226" i="1"/>
  <c r="B226" i="1"/>
  <c r="J224" i="1"/>
  <c r="H224" i="1"/>
  <c r="F224" i="1"/>
  <c r="D224" i="1"/>
  <c r="B224" i="1"/>
  <c r="J223" i="1"/>
  <c r="H223" i="1"/>
  <c r="F223" i="1"/>
  <c r="D223" i="1"/>
  <c r="B223" i="1"/>
  <c r="J222" i="1"/>
  <c r="H222" i="1"/>
  <c r="F222" i="1"/>
  <c r="D222" i="1"/>
  <c r="B222" i="1"/>
  <c r="J221" i="1"/>
  <c r="H221" i="1"/>
  <c r="F221" i="1"/>
  <c r="D221" i="1"/>
  <c r="B221" i="1"/>
  <c r="J220" i="1"/>
  <c r="H220" i="1"/>
  <c r="F220" i="1"/>
  <c r="D220" i="1"/>
  <c r="B220" i="1"/>
  <c r="J218" i="1"/>
  <c r="H218" i="1"/>
  <c r="F218" i="1"/>
  <c r="D218" i="1"/>
  <c r="B218" i="1"/>
  <c r="J217" i="1"/>
  <c r="H217" i="1"/>
  <c r="F217" i="1"/>
  <c r="D217" i="1"/>
  <c r="B217" i="1"/>
  <c r="J216" i="1"/>
  <c r="H216" i="1"/>
  <c r="F216" i="1"/>
  <c r="D216" i="1"/>
  <c r="B216" i="1"/>
  <c r="J215" i="1"/>
  <c r="H215" i="1"/>
  <c r="F215" i="1"/>
  <c r="D215" i="1"/>
  <c r="B215" i="1"/>
  <c r="J214" i="1"/>
  <c r="H214" i="1"/>
  <c r="F214" i="1"/>
  <c r="D214" i="1"/>
  <c r="B214" i="1"/>
  <c r="J213" i="1"/>
  <c r="H213" i="1"/>
  <c r="F213" i="1"/>
  <c r="D213" i="1"/>
  <c r="B213" i="1"/>
  <c r="J212" i="1"/>
  <c r="H212" i="1"/>
  <c r="F212" i="1"/>
  <c r="D212" i="1"/>
  <c r="B212" i="1"/>
  <c r="J211" i="1"/>
  <c r="H211" i="1"/>
  <c r="F211" i="1"/>
  <c r="D211" i="1"/>
  <c r="B211" i="1"/>
  <c r="J210" i="1"/>
  <c r="H210" i="1"/>
  <c r="F210" i="1"/>
  <c r="D210" i="1"/>
  <c r="B210" i="1"/>
  <c r="J209" i="1"/>
  <c r="H209" i="1"/>
  <c r="F209" i="1"/>
  <c r="D209" i="1"/>
  <c r="B209" i="1"/>
  <c r="J207" i="1"/>
  <c r="H207" i="1"/>
  <c r="F207" i="1"/>
  <c r="D207" i="1"/>
  <c r="B207" i="1"/>
  <c r="J206" i="1"/>
  <c r="H206" i="1"/>
  <c r="F206" i="1"/>
  <c r="D206" i="1"/>
  <c r="B206" i="1"/>
  <c r="J205" i="1"/>
  <c r="H205" i="1"/>
  <c r="F205" i="1"/>
  <c r="D205" i="1"/>
  <c r="B205" i="1"/>
  <c r="J204" i="1"/>
  <c r="H204" i="1"/>
  <c r="F204" i="1"/>
  <c r="D204" i="1"/>
  <c r="B204" i="1"/>
  <c r="J202" i="1"/>
  <c r="H202" i="1"/>
  <c r="F202" i="1"/>
  <c r="D202" i="1"/>
  <c r="B202" i="1"/>
  <c r="J200" i="1"/>
  <c r="H200" i="1"/>
  <c r="F200" i="1"/>
  <c r="D200" i="1"/>
  <c r="B200" i="1"/>
  <c r="J199" i="1"/>
  <c r="H199" i="1"/>
  <c r="F199" i="1"/>
  <c r="D199" i="1"/>
  <c r="B199" i="1"/>
  <c r="J198" i="1"/>
  <c r="H198" i="1"/>
  <c r="F198" i="1"/>
  <c r="D198" i="1"/>
  <c r="B198" i="1"/>
  <c r="J197" i="1"/>
  <c r="H197" i="1"/>
  <c r="F197" i="1"/>
  <c r="D197" i="1"/>
  <c r="B197" i="1"/>
  <c r="J196" i="1"/>
  <c r="H196" i="1"/>
  <c r="F196" i="1"/>
  <c r="D196" i="1"/>
  <c r="B196" i="1"/>
  <c r="J195" i="1"/>
  <c r="H195" i="1"/>
  <c r="F195" i="1"/>
  <c r="D195" i="1"/>
  <c r="B195" i="1"/>
  <c r="J193" i="1"/>
  <c r="H193" i="1"/>
  <c r="F193" i="1"/>
  <c r="D193" i="1"/>
  <c r="B193" i="1"/>
  <c r="J192" i="1"/>
  <c r="H192" i="1"/>
  <c r="B192" i="1"/>
  <c r="J191" i="1"/>
  <c r="H191" i="1"/>
  <c r="F191" i="1"/>
  <c r="D191" i="1"/>
  <c r="B191" i="1"/>
  <c r="J190" i="1"/>
  <c r="H190" i="1"/>
  <c r="F190" i="1"/>
  <c r="D190" i="1"/>
  <c r="B190" i="1"/>
  <c r="J189" i="1"/>
  <c r="H189" i="1"/>
  <c r="F189" i="1"/>
  <c r="D189" i="1"/>
  <c r="B189" i="1"/>
  <c r="J188" i="1"/>
  <c r="H188" i="1"/>
  <c r="F188" i="1"/>
  <c r="D188" i="1"/>
  <c r="B188" i="1"/>
  <c r="J187" i="1"/>
  <c r="H187" i="1"/>
  <c r="F187" i="1"/>
  <c r="D187" i="1"/>
  <c r="B187" i="1"/>
  <c r="J186" i="1"/>
  <c r="H186" i="1"/>
  <c r="F186" i="1"/>
  <c r="D186" i="1"/>
  <c r="B186" i="1"/>
  <c r="J184" i="1"/>
  <c r="H184" i="1"/>
  <c r="F184" i="1"/>
  <c r="D184" i="1"/>
  <c r="B184" i="1"/>
  <c r="J183" i="1"/>
  <c r="H183" i="1"/>
  <c r="F183" i="1"/>
  <c r="D183" i="1"/>
  <c r="B183" i="1"/>
  <c r="J182" i="1"/>
  <c r="H182" i="1"/>
  <c r="F182" i="1"/>
  <c r="D182" i="1"/>
  <c r="B182" i="1"/>
  <c r="J181" i="1"/>
  <c r="H181" i="1"/>
  <c r="F181" i="1"/>
  <c r="D181" i="1"/>
  <c r="B181" i="1"/>
  <c r="J180" i="1"/>
  <c r="H180" i="1"/>
  <c r="B180" i="1"/>
  <c r="J179" i="1"/>
  <c r="H179" i="1"/>
  <c r="F179" i="1"/>
  <c r="D179" i="1"/>
  <c r="B179" i="1"/>
  <c r="J178" i="1"/>
  <c r="F178" i="1"/>
  <c r="D178" i="1"/>
  <c r="B178" i="1"/>
  <c r="J177" i="1"/>
  <c r="H177" i="1"/>
  <c r="F177" i="1"/>
  <c r="D177" i="1"/>
  <c r="B177" i="1"/>
  <c r="J173" i="1"/>
  <c r="H173" i="1"/>
  <c r="F173" i="1"/>
  <c r="D173" i="1"/>
  <c r="B173" i="1"/>
  <c r="J172" i="1"/>
  <c r="H172" i="1"/>
  <c r="F172" i="1"/>
  <c r="D172" i="1"/>
  <c r="B172" i="1"/>
  <c r="J171" i="1"/>
  <c r="H171" i="1"/>
  <c r="F171" i="1"/>
  <c r="D171" i="1"/>
  <c r="B171" i="1"/>
  <c r="J170" i="1"/>
  <c r="H170" i="1"/>
  <c r="F170" i="1"/>
  <c r="D170" i="1"/>
  <c r="B170" i="1"/>
  <c r="J169" i="1"/>
  <c r="H169" i="1"/>
  <c r="F169" i="1"/>
  <c r="D169" i="1"/>
  <c r="B169" i="1"/>
  <c r="J168" i="1"/>
  <c r="H168" i="1"/>
  <c r="F168" i="1"/>
  <c r="D168" i="1"/>
  <c r="B168" i="1"/>
  <c r="J167" i="1"/>
  <c r="H167" i="1"/>
  <c r="F167" i="1"/>
  <c r="D167" i="1"/>
  <c r="B167" i="1"/>
  <c r="J166" i="1"/>
  <c r="H166" i="1"/>
  <c r="F166" i="1"/>
  <c r="D166" i="1"/>
  <c r="B166" i="1"/>
  <c r="J165" i="1"/>
  <c r="H165" i="1"/>
  <c r="F165" i="1"/>
  <c r="D165" i="1"/>
  <c r="B165" i="1"/>
  <c r="J164" i="1"/>
  <c r="H164" i="1"/>
  <c r="F164" i="1"/>
  <c r="D164" i="1"/>
  <c r="B164" i="1"/>
  <c r="J163" i="1"/>
  <c r="H163" i="1"/>
  <c r="F163" i="1"/>
  <c r="D163" i="1"/>
  <c r="B163" i="1"/>
  <c r="J162" i="1"/>
  <c r="H162" i="1"/>
  <c r="F162" i="1"/>
  <c r="D162" i="1"/>
  <c r="B162" i="1"/>
  <c r="J161" i="1"/>
  <c r="H161" i="1"/>
  <c r="F161" i="1"/>
  <c r="D161" i="1"/>
  <c r="B161" i="1"/>
  <c r="J160" i="1"/>
  <c r="H160" i="1"/>
  <c r="F160" i="1"/>
  <c r="D160" i="1"/>
  <c r="B160" i="1"/>
  <c r="J159" i="1"/>
  <c r="H159" i="1"/>
  <c r="F159" i="1"/>
  <c r="D159" i="1"/>
  <c r="B159" i="1"/>
  <c r="J157" i="1"/>
  <c r="H157" i="1"/>
  <c r="F157" i="1"/>
  <c r="D157" i="1"/>
  <c r="B157" i="1"/>
  <c r="J156" i="1"/>
  <c r="H156" i="1"/>
  <c r="F156" i="1"/>
  <c r="D156" i="1"/>
  <c r="B156" i="1"/>
  <c r="J155" i="1"/>
  <c r="H155" i="1"/>
  <c r="F155" i="1"/>
  <c r="D155" i="1"/>
  <c r="B155" i="1"/>
  <c r="J154" i="1"/>
  <c r="H154" i="1"/>
  <c r="F154" i="1"/>
  <c r="D154" i="1"/>
  <c r="B154" i="1"/>
  <c r="J153" i="1"/>
  <c r="H153" i="1"/>
  <c r="F153" i="1"/>
  <c r="D153" i="1"/>
  <c r="B153" i="1"/>
  <c r="J152" i="1"/>
  <c r="H152" i="1"/>
  <c r="F152" i="1"/>
  <c r="D152" i="1"/>
  <c r="B152" i="1"/>
  <c r="J151" i="1"/>
  <c r="H151" i="1"/>
  <c r="F151" i="1"/>
  <c r="D151" i="1"/>
  <c r="B151" i="1"/>
  <c r="H150" i="1"/>
  <c r="F150" i="1"/>
  <c r="D150" i="1"/>
  <c r="B150" i="1"/>
  <c r="J149" i="1"/>
  <c r="H149" i="1"/>
  <c r="F149" i="1"/>
  <c r="D149" i="1"/>
  <c r="B149" i="1"/>
  <c r="J148" i="1"/>
  <c r="H148" i="1"/>
  <c r="F148" i="1"/>
  <c r="D148" i="1"/>
  <c r="B148" i="1"/>
  <c r="J147" i="1"/>
  <c r="H147" i="1"/>
  <c r="F147" i="1"/>
  <c r="D147" i="1"/>
  <c r="B147" i="1"/>
  <c r="J146" i="1"/>
  <c r="H146" i="1"/>
  <c r="F146" i="1"/>
  <c r="D146" i="1"/>
  <c r="B146" i="1"/>
  <c r="J145" i="1"/>
  <c r="H145" i="1"/>
  <c r="B145" i="1"/>
  <c r="J144" i="1"/>
  <c r="H144" i="1"/>
  <c r="B144" i="1"/>
  <c r="J143" i="1"/>
  <c r="H143" i="1"/>
  <c r="F143" i="1"/>
  <c r="B143" i="1"/>
  <c r="J142" i="1"/>
  <c r="H142" i="1"/>
  <c r="F142" i="1"/>
  <c r="D142" i="1"/>
  <c r="B142" i="1"/>
  <c r="J141" i="1"/>
  <c r="H141" i="1"/>
  <c r="B141" i="1"/>
  <c r="J140" i="1"/>
  <c r="H140" i="1"/>
  <c r="F140" i="1"/>
  <c r="D140" i="1"/>
  <c r="B140" i="1"/>
  <c r="J139" i="1"/>
  <c r="H139" i="1"/>
  <c r="F139" i="1"/>
  <c r="D139" i="1"/>
  <c r="B139" i="1"/>
  <c r="J138" i="1"/>
  <c r="H138" i="1"/>
  <c r="F138" i="1"/>
  <c r="D138" i="1"/>
  <c r="B138" i="1"/>
  <c r="J137" i="1"/>
  <c r="H137" i="1"/>
  <c r="B137" i="1"/>
  <c r="J136" i="1"/>
  <c r="H136" i="1"/>
  <c r="F136" i="1"/>
  <c r="D136" i="1"/>
  <c r="B136" i="1"/>
  <c r="J135" i="1"/>
  <c r="H135" i="1"/>
  <c r="F135" i="1"/>
  <c r="D135" i="1"/>
  <c r="B135" i="1"/>
  <c r="J134" i="1"/>
  <c r="H134" i="1"/>
  <c r="F134" i="1"/>
  <c r="D134" i="1"/>
  <c r="B134" i="1"/>
  <c r="J133" i="1"/>
  <c r="H133" i="1"/>
  <c r="F133" i="1"/>
  <c r="D133" i="1"/>
  <c r="B133" i="1"/>
  <c r="J132" i="1"/>
  <c r="H132" i="1"/>
  <c r="F132" i="1"/>
  <c r="D132" i="1"/>
  <c r="B132" i="1"/>
  <c r="J131" i="1"/>
  <c r="H131" i="1"/>
  <c r="F131" i="1"/>
  <c r="D131" i="1"/>
  <c r="B131" i="1"/>
  <c r="J130" i="1"/>
  <c r="H130" i="1"/>
  <c r="F130" i="1"/>
  <c r="D130" i="1"/>
  <c r="B130" i="1"/>
  <c r="J128" i="1"/>
  <c r="H128" i="1"/>
  <c r="B128" i="1"/>
  <c r="J127" i="1"/>
  <c r="H127" i="1"/>
  <c r="F127" i="1"/>
  <c r="D127" i="1"/>
  <c r="B127" i="1"/>
  <c r="J126" i="1"/>
  <c r="H126" i="1"/>
  <c r="F126" i="1"/>
  <c r="D126" i="1"/>
  <c r="B126" i="1"/>
  <c r="J125" i="1"/>
  <c r="H125" i="1"/>
  <c r="F125" i="1"/>
  <c r="D125" i="1"/>
  <c r="J124" i="1"/>
  <c r="H124" i="1"/>
  <c r="F124" i="1"/>
  <c r="D124" i="1"/>
  <c r="B124" i="1"/>
  <c r="J123" i="1"/>
  <c r="H123" i="1"/>
  <c r="F123" i="1"/>
  <c r="D123" i="1"/>
  <c r="B123" i="1"/>
  <c r="J122" i="1"/>
  <c r="H122" i="1"/>
  <c r="F122" i="1"/>
  <c r="D122" i="1"/>
  <c r="B122" i="1"/>
  <c r="J121" i="1"/>
  <c r="H121" i="1"/>
  <c r="F121" i="1"/>
  <c r="D121" i="1"/>
  <c r="B121" i="1"/>
  <c r="J119" i="1"/>
  <c r="H119" i="1"/>
  <c r="F119" i="1"/>
  <c r="D119" i="1"/>
  <c r="B119" i="1"/>
  <c r="J118" i="1"/>
  <c r="H118" i="1"/>
  <c r="F118" i="1"/>
  <c r="D118" i="1"/>
  <c r="B118" i="1"/>
  <c r="J117" i="1"/>
  <c r="H117" i="1"/>
  <c r="F117" i="1"/>
  <c r="D117" i="1"/>
  <c r="B117" i="1"/>
  <c r="J116" i="1"/>
  <c r="H116" i="1"/>
  <c r="F116" i="1"/>
  <c r="D116" i="1"/>
  <c r="B116" i="1"/>
  <c r="J115" i="1"/>
  <c r="H115" i="1"/>
  <c r="F115" i="1"/>
  <c r="D115" i="1"/>
  <c r="B115" i="1"/>
  <c r="J113" i="1"/>
  <c r="H113" i="1"/>
  <c r="F113" i="1"/>
  <c r="D113" i="1"/>
  <c r="B113" i="1"/>
  <c r="J112" i="1"/>
  <c r="H112" i="1"/>
  <c r="F112" i="1"/>
  <c r="D112" i="1"/>
  <c r="B112" i="1"/>
  <c r="J111" i="1"/>
  <c r="H111" i="1"/>
  <c r="F111" i="1"/>
  <c r="D111" i="1"/>
  <c r="B111" i="1"/>
  <c r="J110" i="1"/>
  <c r="H110" i="1"/>
  <c r="F110" i="1"/>
  <c r="D110" i="1"/>
  <c r="B110" i="1"/>
  <c r="J109" i="1"/>
  <c r="H109" i="1"/>
  <c r="F109" i="1"/>
  <c r="D109" i="1"/>
  <c r="B109" i="1"/>
  <c r="J108" i="1"/>
  <c r="H108" i="1"/>
  <c r="F108" i="1"/>
  <c r="D108" i="1"/>
  <c r="B108" i="1"/>
  <c r="J107" i="1"/>
  <c r="H107" i="1"/>
  <c r="F107" i="1"/>
  <c r="D107" i="1"/>
  <c r="B107" i="1"/>
  <c r="J106" i="1"/>
  <c r="H106" i="1"/>
  <c r="F106" i="1"/>
  <c r="D106" i="1"/>
  <c r="B106" i="1"/>
  <c r="J105" i="1"/>
  <c r="H105" i="1"/>
  <c r="F105" i="1"/>
  <c r="D105" i="1"/>
  <c r="B105" i="1"/>
  <c r="J104" i="1"/>
  <c r="H104" i="1"/>
  <c r="F104" i="1"/>
  <c r="D104" i="1"/>
  <c r="B104" i="1"/>
  <c r="J103" i="1"/>
  <c r="H103" i="1"/>
  <c r="F103" i="1"/>
  <c r="D103" i="1"/>
  <c r="B103" i="1"/>
  <c r="J102" i="1"/>
  <c r="H102" i="1"/>
  <c r="F102" i="1"/>
  <c r="D102" i="1"/>
  <c r="B102" i="1"/>
  <c r="J101" i="1"/>
  <c r="H101" i="1"/>
  <c r="F101" i="1"/>
  <c r="D101" i="1"/>
  <c r="B101" i="1"/>
  <c r="J100" i="1"/>
  <c r="H100" i="1"/>
  <c r="F100" i="1"/>
  <c r="D100" i="1"/>
  <c r="B100" i="1"/>
  <c r="J99" i="1"/>
  <c r="H99" i="1"/>
  <c r="F99" i="1"/>
  <c r="D99" i="1"/>
  <c r="B99" i="1"/>
  <c r="J98" i="1"/>
  <c r="H98" i="1"/>
  <c r="F98" i="1"/>
  <c r="D98" i="1"/>
  <c r="B98" i="1"/>
  <c r="J97" i="1"/>
  <c r="H97" i="1"/>
  <c r="F97" i="1"/>
  <c r="D97" i="1"/>
  <c r="B97" i="1"/>
  <c r="J96" i="1"/>
  <c r="H96" i="1"/>
  <c r="B96" i="1"/>
  <c r="J95" i="1"/>
  <c r="H95" i="1"/>
  <c r="F95" i="1"/>
  <c r="D95" i="1"/>
  <c r="B95" i="1"/>
  <c r="J94" i="1"/>
  <c r="H94" i="1"/>
  <c r="F94" i="1"/>
  <c r="D94" i="1"/>
  <c r="B94" i="1"/>
  <c r="J93" i="1"/>
  <c r="H93" i="1"/>
  <c r="F93" i="1"/>
  <c r="D93" i="1"/>
  <c r="B93" i="1"/>
  <c r="J92" i="1"/>
  <c r="H92" i="1"/>
  <c r="F92" i="1"/>
  <c r="D92" i="1"/>
  <c r="B92" i="1"/>
  <c r="J91" i="1"/>
  <c r="H91" i="1"/>
  <c r="F91" i="1"/>
  <c r="D91" i="1"/>
  <c r="B91" i="1"/>
  <c r="J90" i="1"/>
  <c r="H90" i="1"/>
  <c r="F90" i="1"/>
  <c r="D90" i="1"/>
  <c r="B90" i="1"/>
  <c r="J89" i="1"/>
  <c r="H89" i="1"/>
  <c r="F89" i="1"/>
  <c r="D89" i="1"/>
  <c r="B89" i="1"/>
  <c r="J88" i="1"/>
  <c r="H88" i="1"/>
  <c r="F88" i="1"/>
  <c r="D88" i="1"/>
  <c r="B88" i="1"/>
  <c r="J87" i="1"/>
  <c r="H87" i="1"/>
  <c r="F87" i="1"/>
  <c r="D87" i="1"/>
  <c r="B87" i="1"/>
  <c r="J86" i="1"/>
  <c r="H86" i="1"/>
  <c r="F86" i="1"/>
  <c r="D86" i="1"/>
  <c r="B86" i="1"/>
  <c r="J85" i="1"/>
  <c r="H85" i="1"/>
  <c r="F85" i="1"/>
  <c r="D85" i="1"/>
  <c r="B85" i="1"/>
  <c r="J84" i="1"/>
  <c r="H84" i="1"/>
  <c r="F84" i="1"/>
  <c r="D84" i="1"/>
  <c r="B84" i="1"/>
  <c r="J83" i="1"/>
  <c r="H83" i="1"/>
  <c r="F83" i="1"/>
  <c r="D83" i="1"/>
  <c r="B83" i="1"/>
  <c r="J82" i="1"/>
  <c r="H82" i="1"/>
  <c r="F82" i="1"/>
  <c r="D82" i="1"/>
  <c r="B82" i="1"/>
  <c r="J81" i="1"/>
  <c r="H81" i="1"/>
  <c r="F81" i="1"/>
  <c r="D81" i="1"/>
  <c r="B81" i="1"/>
  <c r="J80" i="1"/>
  <c r="H80" i="1"/>
  <c r="F80" i="1"/>
  <c r="D80" i="1"/>
  <c r="B80" i="1"/>
  <c r="J79" i="1"/>
  <c r="H79" i="1"/>
  <c r="F79" i="1"/>
  <c r="D79" i="1"/>
  <c r="B79" i="1"/>
  <c r="J78" i="1"/>
  <c r="H78" i="1"/>
  <c r="F78" i="1"/>
  <c r="D78" i="1"/>
  <c r="B78" i="1"/>
  <c r="J77" i="1"/>
  <c r="H77" i="1"/>
  <c r="F77" i="1"/>
  <c r="D77" i="1"/>
  <c r="B77" i="1"/>
  <c r="J76" i="1"/>
  <c r="H76" i="1"/>
  <c r="F76" i="1"/>
  <c r="D76" i="1"/>
  <c r="B76" i="1"/>
  <c r="J75" i="1"/>
  <c r="H75" i="1"/>
  <c r="F75" i="1"/>
  <c r="D75" i="1"/>
  <c r="B75" i="1"/>
  <c r="J74" i="1"/>
  <c r="H74" i="1"/>
  <c r="F74" i="1"/>
  <c r="D74" i="1"/>
  <c r="B74" i="1"/>
  <c r="J73" i="1"/>
  <c r="H73" i="1"/>
  <c r="F73" i="1"/>
  <c r="D73" i="1"/>
  <c r="B73" i="1"/>
  <c r="J72" i="1"/>
  <c r="H72" i="1"/>
  <c r="F72" i="1"/>
  <c r="D72" i="1"/>
  <c r="B72" i="1"/>
  <c r="J71" i="1"/>
  <c r="H71" i="1"/>
  <c r="F71" i="1"/>
  <c r="D71" i="1"/>
  <c r="B71" i="1"/>
  <c r="J70" i="1"/>
  <c r="H70" i="1"/>
  <c r="F70" i="1"/>
  <c r="D70" i="1"/>
  <c r="B70" i="1"/>
  <c r="J69" i="1"/>
  <c r="H69" i="1"/>
  <c r="F69" i="1"/>
  <c r="D69" i="1"/>
  <c r="B69" i="1"/>
  <c r="J68" i="1"/>
  <c r="H68" i="1"/>
  <c r="F68" i="1"/>
  <c r="D68" i="1"/>
  <c r="B68" i="1"/>
  <c r="J67" i="1"/>
  <c r="H67" i="1"/>
  <c r="F67" i="1"/>
  <c r="D67" i="1"/>
  <c r="B67" i="1"/>
  <c r="J66" i="1"/>
  <c r="H66" i="1"/>
  <c r="F66" i="1"/>
  <c r="D66" i="1"/>
  <c r="B66" i="1"/>
  <c r="J65" i="1"/>
  <c r="H65" i="1"/>
  <c r="F65" i="1"/>
  <c r="D65" i="1"/>
  <c r="B65" i="1"/>
  <c r="J64" i="1"/>
  <c r="H64" i="1"/>
  <c r="F64" i="1"/>
  <c r="D64" i="1"/>
  <c r="B64" i="1"/>
  <c r="J63" i="1"/>
  <c r="H63" i="1"/>
  <c r="F63" i="1"/>
  <c r="D63" i="1"/>
  <c r="B63" i="1"/>
  <c r="J61" i="1"/>
  <c r="H61" i="1"/>
  <c r="F61" i="1"/>
  <c r="D61" i="1"/>
  <c r="B61" i="1"/>
  <c r="J60" i="1"/>
  <c r="H60" i="1"/>
  <c r="F60" i="1"/>
  <c r="D60" i="1"/>
  <c r="B60" i="1"/>
  <c r="J59" i="1"/>
  <c r="H59" i="1"/>
  <c r="F59" i="1"/>
  <c r="D59" i="1"/>
  <c r="B59" i="1"/>
  <c r="J58" i="1"/>
  <c r="H58" i="1"/>
  <c r="F58" i="1"/>
  <c r="D58" i="1"/>
  <c r="B58" i="1"/>
  <c r="J57" i="1"/>
  <c r="H57" i="1"/>
  <c r="F57" i="1"/>
  <c r="D57" i="1"/>
  <c r="B57" i="1"/>
  <c r="J56" i="1"/>
  <c r="F56" i="1"/>
  <c r="D56" i="1"/>
  <c r="B56" i="1"/>
  <c r="J55" i="1"/>
  <c r="H55" i="1"/>
  <c r="F55" i="1"/>
  <c r="D55" i="1"/>
  <c r="B55" i="1"/>
  <c r="J51" i="1"/>
  <c r="H51" i="1"/>
  <c r="F51" i="1"/>
  <c r="D51" i="1"/>
  <c r="B51" i="1"/>
  <c r="J50" i="1"/>
  <c r="H50" i="1"/>
  <c r="F50" i="1"/>
  <c r="D50" i="1"/>
  <c r="B50" i="1"/>
  <c r="J49" i="1"/>
  <c r="H49" i="1"/>
  <c r="F49" i="1"/>
  <c r="D49" i="1"/>
  <c r="B49" i="1"/>
  <c r="J48" i="1"/>
  <c r="H48" i="1"/>
  <c r="F48" i="1"/>
  <c r="D48" i="1"/>
  <c r="B48" i="1"/>
  <c r="J44" i="1"/>
  <c r="H44" i="1"/>
  <c r="F44" i="1"/>
  <c r="D44" i="1"/>
  <c r="B44" i="1"/>
  <c r="J43" i="1"/>
  <c r="H43" i="1"/>
  <c r="F43" i="1"/>
  <c r="D43" i="1"/>
  <c r="B43" i="1"/>
  <c r="J42" i="1"/>
  <c r="H42" i="1"/>
  <c r="F42" i="1"/>
  <c r="D42" i="1"/>
  <c r="B42" i="1"/>
  <c r="J41" i="1"/>
  <c r="H41" i="1"/>
  <c r="F41" i="1"/>
  <c r="D41" i="1"/>
  <c r="B41" i="1"/>
  <c r="J40" i="1"/>
  <c r="H40" i="1"/>
  <c r="F40" i="1"/>
  <c r="D40" i="1"/>
  <c r="B40" i="1"/>
  <c r="J39" i="1"/>
  <c r="H39" i="1"/>
  <c r="F39" i="1"/>
  <c r="D39" i="1"/>
  <c r="B39" i="1"/>
  <c r="J38" i="1"/>
  <c r="H38" i="1"/>
  <c r="F38" i="1"/>
  <c r="D38" i="1"/>
  <c r="B38" i="1"/>
  <c r="J37" i="1"/>
  <c r="H37" i="1"/>
  <c r="F37" i="1"/>
  <c r="D37" i="1"/>
  <c r="B37" i="1"/>
  <c r="J36" i="1"/>
  <c r="H36" i="1"/>
  <c r="F36" i="1"/>
  <c r="D36" i="1"/>
  <c r="B36" i="1"/>
  <c r="J35" i="1"/>
  <c r="H35" i="1"/>
  <c r="F35" i="1"/>
  <c r="D35" i="1"/>
  <c r="B35" i="1"/>
  <c r="J34" i="1"/>
  <c r="H34" i="1"/>
  <c r="F34" i="1"/>
  <c r="D34" i="1"/>
  <c r="B34" i="1"/>
  <c r="J33" i="1"/>
  <c r="H33" i="1"/>
  <c r="F33" i="1"/>
  <c r="D33" i="1"/>
  <c r="B33" i="1"/>
  <c r="J32" i="1"/>
  <c r="H32" i="1"/>
  <c r="F32" i="1"/>
  <c r="D32" i="1"/>
  <c r="B32" i="1"/>
  <c r="J31" i="1"/>
  <c r="H31" i="1"/>
  <c r="F31" i="1"/>
  <c r="D31" i="1"/>
  <c r="B31" i="1"/>
  <c r="J30" i="1"/>
  <c r="H30" i="1"/>
  <c r="F30" i="1"/>
  <c r="D30" i="1"/>
  <c r="B30" i="1"/>
  <c r="J29" i="1"/>
  <c r="H29" i="1"/>
  <c r="F29" i="1"/>
  <c r="D29" i="1"/>
  <c r="B29" i="1"/>
  <c r="J27" i="1"/>
  <c r="H27" i="1"/>
  <c r="B27" i="1"/>
  <c r="J26" i="1"/>
  <c r="H26" i="1"/>
  <c r="F26" i="1"/>
  <c r="D26" i="1"/>
  <c r="B26" i="1"/>
  <c r="J25" i="1"/>
  <c r="H25" i="1"/>
  <c r="F25" i="1"/>
  <c r="D25" i="1"/>
  <c r="B25" i="1"/>
  <c r="J24" i="1"/>
  <c r="H24" i="1"/>
  <c r="F24" i="1"/>
  <c r="D24" i="1"/>
  <c r="B24" i="1"/>
  <c r="J23" i="1"/>
  <c r="H23" i="1"/>
  <c r="F23" i="1"/>
  <c r="D23" i="1"/>
  <c r="B23" i="1"/>
  <c r="J21" i="1"/>
  <c r="H21" i="1"/>
  <c r="B21" i="1"/>
  <c r="J20" i="1"/>
  <c r="H20" i="1"/>
  <c r="F20" i="1"/>
  <c r="D20" i="1"/>
  <c r="B20" i="1"/>
  <c r="J19" i="1"/>
  <c r="H19" i="1"/>
  <c r="F19" i="1"/>
  <c r="D19" i="1"/>
  <c r="B19" i="1"/>
  <c r="J18" i="1"/>
  <c r="H18" i="1"/>
  <c r="F18" i="1"/>
  <c r="D18" i="1"/>
  <c r="B18" i="1"/>
  <c r="J17" i="1"/>
  <c r="H17" i="1"/>
  <c r="F17" i="1"/>
  <c r="D17" i="1"/>
  <c r="B17" i="1"/>
  <c r="J15" i="1"/>
  <c r="H15" i="1"/>
  <c r="F15" i="1"/>
  <c r="D15" i="1"/>
  <c r="B15" i="1"/>
  <c r="J13" i="1"/>
  <c r="H13" i="1"/>
  <c r="F13" i="1"/>
  <c r="D13" i="1"/>
  <c r="B13" i="1"/>
  <c r="J12" i="1"/>
  <c r="H12" i="1"/>
  <c r="F12" i="1"/>
  <c r="D12" i="1"/>
  <c r="B12" i="1"/>
  <c r="J11" i="1"/>
  <c r="H11" i="1"/>
  <c r="F11" i="1"/>
  <c r="D11" i="1"/>
  <c r="B11" i="1"/>
  <c r="J10" i="1"/>
  <c r="H10" i="1"/>
  <c r="F10" i="1"/>
  <c r="D10" i="1"/>
  <c r="B10" i="1"/>
  <c r="J8" i="1"/>
  <c r="H8" i="1"/>
  <c r="F8" i="1"/>
  <c r="D8" i="1"/>
  <c r="B8" i="1"/>
  <c r="J7" i="1"/>
  <c r="H7" i="1"/>
  <c r="F7" i="1"/>
  <c r="D7" i="1"/>
  <c r="B7" i="1"/>
  <c r="J6" i="1"/>
  <c r="H6" i="1"/>
  <c r="F6" i="1"/>
  <c r="D6" i="1"/>
  <c r="B6" i="1"/>
  <c r="J5" i="1"/>
  <c r="H5" i="1"/>
  <c r="F5" i="1"/>
  <c r="F320" i="1" s="1"/>
  <c r="D5" i="1"/>
  <c r="D320" i="1" s="1"/>
  <c r="B5" i="1"/>
  <c r="B320" i="1" s="1"/>
</calcChain>
</file>

<file path=xl/sharedStrings.xml><?xml version="1.0" encoding="utf-8"?>
<sst xmlns="http://schemas.openxmlformats.org/spreadsheetml/2006/main" count="6198" uniqueCount="1244">
  <si>
    <t>Produit</t>
  </si>
  <si>
    <t>La Fourche</t>
  </si>
  <si>
    <t>Évolution La Fourche</t>
  </si>
  <si>
    <t>Biocoop Champollion</t>
  </si>
  <si>
    <t>Évolution Biocoop Champollion</t>
  </si>
  <si>
    <t>Biocoop Fontaine</t>
  </si>
  <si>
    <t>Évolution Biocoop Fontaine</t>
  </si>
  <si>
    <t>Satoriz</t>
  </si>
  <si>
    <t>Évolution Satoriz</t>
  </si>
  <si>
    <t>GreenWeez</t>
  </si>
  <si>
    <t>Évolution GreenWeez</t>
  </si>
  <si>
    <t>Boissons</t>
  </si>
  <si>
    <t>Boissons végétales</t>
  </si>
  <si>
    <t>Boisson avoine</t>
  </si>
  <si>
    <t>0.63%</t>
  </si>
  <si>
    <t>0.00%</t>
  </si>
  <si>
    <t>Boisson riz</t>
  </si>
  <si>
    <t>Boisson amande</t>
  </si>
  <si>
    <t>Boisson soja</t>
  </si>
  <si>
    <t>-3.14%</t>
  </si>
  <si>
    <t>13.71%</t>
  </si>
  <si>
    <t>Jus de fruits</t>
  </si>
  <si>
    <t>Jus de pomme</t>
  </si>
  <si>
    <t>3.92%</t>
  </si>
  <si>
    <t>8.80%</t>
  </si>
  <si>
    <t>5.45%</t>
  </si>
  <si>
    <t>Jus d'orange</t>
  </si>
  <si>
    <t>54.05%</t>
  </si>
  <si>
    <t>36.00%</t>
  </si>
  <si>
    <t>-1.45%</t>
  </si>
  <si>
    <t>Jus multifruit</t>
  </si>
  <si>
    <t>6.33%</t>
  </si>
  <si>
    <t>23.75%</t>
  </si>
  <si>
    <t>4.35%</t>
  </si>
  <si>
    <t>Jus raisin</t>
  </si>
  <si>
    <t>7.76%</t>
  </si>
  <si>
    <t>7.02%</t>
  </si>
  <si>
    <t>2.60%</t>
  </si>
  <si>
    <t>Lait</t>
  </si>
  <si>
    <t>Lait vache</t>
  </si>
  <si>
    <t>4.03%</t>
  </si>
  <si>
    <t>Sirops</t>
  </si>
  <si>
    <t>Sirop de menthe</t>
  </si>
  <si>
    <t>Sirop de grenadine</t>
  </si>
  <si>
    <t>Sirop de citron</t>
  </si>
  <si>
    <t>Sirop d'orgeat</t>
  </si>
  <si>
    <t>Sirop de pèche</t>
  </si>
  <si>
    <t>Sodas</t>
  </si>
  <si>
    <t>Cola</t>
  </si>
  <si>
    <t>Limonade</t>
  </si>
  <si>
    <t>Citronnade</t>
  </si>
  <si>
    <t>Pétillant pomme</t>
  </si>
  <si>
    <t>Apibul pomme framboise</t>
  </si>
  <si>
    <t>Thé, café et chocolats</t>
  </si>
  <si>
    <t>Café grain 100% arabica</t>
  </si>
  <si>
    <t>Chicorée en grain</t>
  </si>
  <si>
    <t>Chicorée soluble</t>
  </si>
  <si>
    <t>Café moulu 100% arabica</t>
  </si>
  <si>
    <t>Poudre chocolaté</t>
  </si>
  <si>
    <t>18.71%</t>
  </si>
  <si>
    <t>-46.41%</t>
  </si>
  <si>
    <t>14.43%</t>
  </si>
  <si>
    <t>Cacao pur</t>
  </si>
  <si>
    <t>19.60%</t>
  </si>
  <si>
    <t>-9.76%</t>
  </si>
  <si>
    <t>3.78%</t>
  </si>
  <si>
    <t>Thé vert  gun powder</t>
  </si>
  <si>
    <t>The vert sencha</t>
  </si>
  <si>
    <t>Thé noir breakfast</t>
  </si>
  <si>
    <t>Thé vert menthe</t>
  </si>
  <si>
    <t>Thé vert jasmin</t>
  </si>
  <si>
    <t>Rooibos nature</t>
  </si>
  <si>
    <t>Chaï</t>
  </si>
  <si>
    <t>Tisane bonne nuit</t>
  </si>
  <si>
    <t>Tisane calme toux</t>
  </si>
  <si>
    <t>Tisane remède elfique</t>
  </si>
  <si>
    <t>Bébé</t>
  </si>
  <si>
    <t>Lait infantile</t>
  </si>
  <si>
    <t>Lait 1</t>
  </si>
  <si>
    <t>4.96%</t>
  </si>
  <si>
    <t>-100.00%</t>
  </si>
  <si>
    <t>1.10%</t>
  </si>
  <si>
    <t>-6.14%</t>
  </si>
  <si>
    <t>Lait 2</t>
  </si>
  <si>
    <t>8.38%</t>
  </si>
  <si>
    <t>1.51%</t>
  </si>
  <si>
    <t>Lait 3</t>
  </si>
  <si>
    <t>5.62%</t>
  </si>
  <si>
    <t>2.90%</t>
  </si>
  <si>
    <t>Liniment</t>
  </si>
  <si>
    <t>Epicerie salée</t>
  </si>
  <si>
    <t>Apéritifs</t>
  </si>
  <si>
    <t>Gressins nature</t>
  </si>
  <si>
    <t>Stick</t>
  </si>
  <si>
    <t>Bretzel</t>
  </si>
  <si>
    <t>Chips maïs</t>
  </si>
  <si>
    <t>Chips classique</t>
  </si>
  <si>
    <t>Pistaches salées</t>
  </si>
  <si>
    <t>-3.49%</t>
  </si>
  <si>
    <t>-</t>
  </si>
  <si>
    <t>Cacahuètes Salées</t>
  </si>
  <si>
    <t>Condiments</t>
  </si>
  <si>
    <t>Bouillon de légumes</t>
  </si>
  <si>
    <t>-5.75%</t>
  </si>
  <si>
    <t>Cube miso</t>
  </si>
  <si>
    <t>3.16%</t>
  </si>
  <si>
    <t>-1.34%</t>
  </si>
  <si>
    <t>25.18%</t>
  </si>
  <si>
    <t>Miso riz</t>
  </si>
  <si>
    <t>3.24%</t>
  </si>
  <si>
    <t>26.97%</t>
  </si>
  <si>
    <t>Gomasio</t>
  </si>
  <si>
    <t>8.71%</t>
  </si>
  <si>
    <t>4.45%</t>
  </si>
  <si>
    <t>9.81%</t>
  </si>
  <si>
    <t>Curcuma moulu</t>
  </si>
  <si>
    <t>2.79%</t>
  </si>
  <si>
    <t>-6.69%</t>
  </si>
  <si>
    <t>Curry Jaune</t>
  </si>
  <si>
    <t>3.79%</t>
  </si>
  <si>
    <t>Canelle</t>
  </si>
  <si>
    <t>0.26%</t>
  </si>
  <si>
    <t>-2.97%</t>
  </si>
  <si>
    <t>-1.28%</t>
  </si>
  <si>
    <t>Paprika doux</t>
  </si>
  <si>
    <t>3.44%</t>
  </si>
  <si>
    <t>1.43%</t>
  </si>
  <si>
    <t>1.75%</t>
  </si>
  <si>
    <t>Paprika fumé</t>
  </si>
  <si>
    <t>-3.04%</t>
  </si>
  <si>
    <t>0.13%</t>
  </si>
  <si>
    <t>Gingembre moulu</t>
  </si>
  <si>
    <t>Coriandre poudre</t>
  </si>
  <si>
    <t>8.45%</t>
  </si>
  <si>
    <t>5.40%</t>
  </si>
  <si>
    <t>6.25%</t>
  </si>
  <si>
    <t>Fenugrec</t>
  </si>
  <si>
    <t>1.48%</t>
  </si>
  <si>
    <t>2.16%</t>
  </si>
  <si>
    <t>Ras El-hanout</t>
  </si>
  <si>
    <t>-1.59%</t>
  </si>
  <si>
    <t>-0.86%</t>
  </si>
  <si>
    <t>Herbes de provence</t>
  </si>
  <si>
    <t>4.83%</t>
  </si>
  <si>
    <t>Cumin graines</t>
  </si>
  <si>
    <t>22.92%</t>
  </si>
  <si>
    <t>30.51%</t>
  </si>
  <si>
    <t>34.62%</t>
  </si>
  <si>
    <t>21.79%</t>
  </si>
  <si>
    <t>Cumin moulu</t>
  </si>
  <si>
    <t>19.59%</t>
  </si>
  <si>
    <t>33.16%</t>
  </si>
  <si>
    <t>36.17%</t>
  </si>
  <si>
    <t>30.23%</t>
  </si>
  <si>
    <t>Noix de muscade moulue</t>
  </si>
  <si>
    <t>20.00%</t>
  </si>
  <si>
    <t>2.44%</t>
  </si>
  <si>
    <t>4.27%</t>
  </si>
  <si>
    <t>Colombo poudre</t>
  </si>
  <si>
    <t>0.49%</t>
  </si>
  <si>
    <t>Piment doux</t>
  </si>
  <si>
    <t>1.16%</t>
  </si>
  <si>
    <t>12.89%</t>
  </si>
  <si>
    <t>Mélange chili</t>
  </si>
  <si>
    <t>8.14%</t>
  </si>
  <si>
    <t>7.69%</t>
  </si>
  <si>
    <t>5.08%</t>
  </si>
  <si>
    <t>-2.43%</t>
  </si>
  <si>
    <t>Garam masala</t>
  </si>
  <si>
    <t>-2.93%</t>
  </si>
  <si>
    <t>Origan</t>
  </si>
  <si>
    <t>2.56%</t>
  </si>
  <si>
    <t>-6.06%</t>
  </si>
  <si>
    <t>Thym</t>
  </si>
  <si>
    <t>1.06%</t>
  </si>
  <si>
    <t>-2.86%</t>
  </si>
  <si>
    <t>12.36%</t>
  </si>
  <si>
    <t>Moutarde Jaune graines</t>
  </si>
  <si>
    <t>1.46%</t>
  </si>
  <si>
    <t>Nigelle graines</t>
  </si>
  <si>
    <t>2.05%</t>
  </si>
  <si>
    <t>1.39%</t>
  </si>
  <si>
    <t>2.99%</t>
  </si>
  <si>
    <t>Curry madras</t>
  </si>
  <si>
    <t>8.70%</t>
  </si>
  <si>
    <t>8.62%</t>
  </si>
  <si>
    <t>7.84%</t>
  </si>
  <si>
    <t>-1.40%</t>
  </si>
  <si>
    <t>Mélange 4 épices</t>
  </si>
  <si>
    <t>Piment de Cayenne</t>
  </si>
  <si>
    <t>2.30%</t>
  </si>
  <si>
    <t>1.98%</t>
  </si>
  <si>
    <t>5.17%</t>
  </si>
  <si>
    <t>Cardamome</t>
  </si>
  <si>
    <t>0.89%</t>
  </si>
  <si>
    <t>-6.09%</t>
  </si>
  <si>
    <t>Safran</t>
  </si>
  <si>
    <t>0.78%</t>
  </si>
  <si>
    <t>0.62%</t>
  </si>
  <si>
    <t>-2.82%</t>
  </si>
  <si>
    <t>11.65%</t>
  </si>
  <si>
    <t>Ail des ours</t>
  </si>
  <si>
    <t>0.52%</t>
  </si>
  <si>
    <t>2.22%</t>
  </si>
  <si>
    <t>0.83%</t>
  </si>
  <si>
    <t>Levure malté bio</t>
  </si>
  <si>
    <t>Fécule pomme de terre</t>
  </si>
  <si>
    <t>Fécule tapioca</t>
  </si>
  <si>
    <t>2.17%</t>
  </si>
  <si>
    <t>Maizena</t>
  </si>
  <si>
    <t>3.46%</t>
  </si>
  <si>
    <t>6.35%</t>
  </si>
  <si>
    <t>8.35%</t>
  </si>
  <si>
    <t>Tomates séchées à l'huile</t>
  </si>
  <si>
    <t>Poivrons grillés</t>
  </si>
  <si>
    <t>Artichaut grillés</t>
  </si>
  <si>
    <t>Olives vertes entières</t>
  </si>
  <si>
    <t>Olives noires entières</t>
  </si>
  <si>
    <t>Olives vertes dénoyautées</t>
  </si>
  <si>
    <t>Olives noires dénoyautées</t>
  </si>
  <si>
    <t>Cornichon</t>
  </si>
  <si>
    <t>0.18%</t>
  </si>
  <si>
    <t>3.15%</t>
  </si>
  <si>
    <t>Capres</t>
  </si>
  <si>
    <t>-10.19%</t>
  </si>
  <si>
    <t>Poivre noir moulu</t>
  </si>
  <si>
    <t>12.26%</t>
  </si>
  <si>
    <t>-3.65%</t>
  </si>
  <si>
    <t>-2.44%</t>
  </si>
  <si>
    <t>-0.56%</t>
  </si>
  <si>
    <t>Poivre noir en grain</t>
  </si>
  <si>
    <t>-6.35%</t>
  </si>
  <si>
    <t>8.39%</t>
  </si>
  <si>
    <t>Poivre blanc grain</t>
  </si>
  <si>
    <t>-0.99%</t>
  </si>
  <si>
    <t>-3.42%</t>
  </si>
  <si>
    <t>38.30%</t>
  </si>
  <si>
    <t>Poivre mélange 3 baies</t>
  </si>
  <si>
    <t>-0.82%</t>
  </si>
  <si>
    <t>-3.03%</t>
  </si>
  <si>
    <t>Baie de Genièvre</t>
  </si>
  <si>
    <t>Gros sel</t>
  </si>
  <si>
    <t>3.33%</t>
  </si>
  <si>
    <t>Sel fin</t>
  </si>
  <si>
    <t>2.78%</t>
  </si>
  <si>
    <t>2.61%</t>
  </si>
  <si>
    <t>Conserves</t>
  </si>
  <si>
    <t>Coucous aux 7 légumes</t>
  </si>
  <si>
    <t>Petits pois</t>
  </si>
  <si>
    <t>Maïs bio</t>
  </si>
  <si>
    <t>Haricots verts</t>
  </si>
  <si>
    <t>Macédoine</t>
  </si>
  <si>
    <t>Huiles et vinaigres</t>
  </si>
  <si>
    <t>Huile d'olive</t>
  </si>
  <si>
    <t>33.90%</t>
  </si>
  <si>
    <t>71.51%</t>
  </si>
  <si>
    <t>32.12%</t>
  </si>
  <si>
    <t>Huile de tournesol</t>
  </si>
  <si>
    <t>-24.73%</t>
  </si>
  <si>
    <t>-33.52%</t>
  </si>
  <si>
    <t>-36.13%</t>
  </si>
  <si>
    <t>-31.93%</t>
  </si>
  <si>
    <t>Huile de colza</t>
  </si>
  <si>
    <t>0.86%</t>
  </si>
  <si>
    <t>-0.88%</t>
  </si>
  <si>
    <t>Huile de coco</t>
  </si>
  <si>
    <t>0.68%</t>
  </si>
  <si>
    <t>-7.80%</t>
  </si>
  <si>
    <t>Vinaigrette tonique</t>
  </si>
  <si>
    <t>Vinaigre de cidre</t>
  </si>
  <si>
    <t>2.10%</t>
  </si>
  <si>
    <t>Vinaigre basalmique</t>
  </si>
  <si>
    <t>4.91%</t>
  </si>
  <si>
    <t>Vinaigre alimentaire blanc</t>
  </si>
  <si>
    <t>-8.33%</t>
  </si>
  <si>
    <t>Pates, riz, graines et céréales</t>
  </si>
  <si>
    <t>Petit épeautre</t>
  </si>
  <si>
    <t>22.57%</t>
  </si>
  <si>
    <t>4.60%</t>
  </si>
  <si>
    <t>-16.88%</t>
  </si>
  <si>
    <t>Sarrazin décortiqué</t>
  </si>
  <si>
    <t>48.42%</t>
  </si>
  <si>
    <t>Quinoa Blanc</t>
  </si>
  <si>
    <t>-5.62%</t>
  </si>
  <si>
    <t>22.42%</t>
  </si>
  <si>
    <t>Quinoa 3 couleurs</t>
  </si>
  <si>
    <t>3.60%</t>
  </si>
  <si>
    <t>21.32%</t>
  </si>
  <si>
    <t>Boulghour</t>
  </si>
  <si>
    <t>-10.26%</t>
  </si>
  <si>
    <t>12.58%</t>
  </si>
  <si>
    <t>Millet</t>
  </si>
  <si>
    <t>12.90%</t>
  </si>
  <si>
    <t>6.17%</t>
  </si>
  <si>
    <t>1.45%</t>
  </si>
  <si>
    <t>Couscous complet</t>
  </si>
  <si>
    <t>-13.21%</t>
  </si>
  <si>
    <t>8.51%</t>
  </si>
  <si>
    <t>Blé tendre</t>
  </si>
  <si>
    <t>13.79%</t>
  </si>
  <si>
    <t>-5.19%</t>
  </si>
  <si>
    <t>Polenta</t>
  </si>
  <si>
    <t>-5.33%</t>
  </si>
  <si>
    <t>-1.37%</t>
  </si>
  <si>
    <t>-5.77%</t>
  </si>
  <si>
    <t>Graines de tournesol</t>
  </si>
  <si>
    <t>3.36%</t>
  </si>
  <si>
    <t>Graines de lin brun</t>
  </si>
  <si>
    <t>9.68%</t>
  </si>
  <si>
    <t>-10.08%</t>
  </si>
  <si>
    <t>14.46%</t>
  </si>
  <si>
    <t>Graines de sésame</t>
  </si>
  <si>
    <t>25.26%</t>
  </si>
  <si>
    <t>16.52%</t>
  </si>
  <si>
    <t>Graines de chia</t>
  </si>
  <si>
    <t>-23.60%</t>
  </si>
  <si>
    <t>Graines de courge</t>
  </si>
  <si>
    <t>-1.32%</t>
  </si>
  <si>
    <t>Pignon de cèdre</t>
  </si>
  <si>
    <t>-8.81%</t>
  </si>
  <si>
    <t>-2.56%</t>
  </si>
  <si>
    <t>Pignon de pin</t>
  </si>
  <si>
    <t>-2.03%</t>
  </si>
  <si>
    <t>-19.11%</t>
  </si>
  <si>
    <t>-17.69%</t>
  </si>
  <si>
    <t>Pois chiche</t>
  </si>
  <si>
    <t>12.81%</t>
  </si>
  <si>
    <t>23.34%</t>
  </si>
  <si>
    <t>Lentille corail </t>
  </si>
  <si>
    <t>-12.00%</t>
  </si>
  <si>
    <t>4.76%</t>
  </si>
  <si>
    <t>21.95%</t>
  </si>
  <si>
    <t>Pois cassés</t>
  </si>
  <si>
    <t>-2.33%</t>
  </si>
  <si>
    <t>11.76%</t>
  </si>
  <si>
    <t>Lentille verte</t>
  </si>
  <si>
    <t>2.47%</t>
  </si>
  <si>
    <t>-0.94%</t>
  </si>
  <si>
    <t>Mogette</t>
  </si>
  <si>
    <t>Penne (demi) complètes</t>
  </si>
  <si>
    <t>-4.35%</t>
  </si>
  <si>
    <t>Coquillettes (demi) complètes</t>
  </si>
  <si>
    <t>-5.24%</t>
  </si>
  <si>
    <t>-13.73%</t>
  </si>
  <si>
    <t>18.60%</t>
  </si>
  <si>
    <t>Spaghetti complets</t>
  </si>
  <si>
    <t>Fusilli intégrales</t>
  </si>
  <si>
    <t>Riz basmati complet </t>
  </si>
  <si>
    <t>-9.09%</t>
  </si>
  <si>
    <t>-11.11%</t>
  </si>
  <si>
    <t>5.71%</t>
  </si>
  <si>
    <t>Riz long complet</t>
  </si>
  <si>
    <t>-11.43%</t>
  </si>
  <si>
    <t>Riz rond complet</t>
  </si>
  <si>
    <t>35.31%</t>
  </si>
  <si>
    <t>10.61%</t>
  </si>
  <si>
    <t>Sauces</t>
  </si>
  <si>
    <t>Crème entière liquide</t>
  </si>
  <si>
    <t>Lait coco 17%</t>
  </si>
  <si>
    <t>Lait coco 22%</t>
  </si>
  <si>
    <t>-10.80%</t>
  </si>
  <si>
    <t>20.33%</t>
  </si>
  <si>
    <t>Crème soja</t>
  </si>
  <si>
    <t>-13.64%</t>
  </si>
  <si>
    <t>Crème riz</t>
  </si>
  <si>
    <t>2.51%</t>
  </si>
  <si>
    <t>Crème avoine</t>
  </si>
  <si>
    <t>4.55%</t>
  </si>
  <si>
    <t>-15.83%</t>
  </si>
  <si>
    <t>Crème amande</t>
  </si>
  <si>
    <t>8.57%</t>
  </si>
  <si>
    <t>7.41%</t>
  </si>
  <si>
    <t>Shoyu Sauce Soja</t>
  </si>
  <si>
    <t>2.40%</t>
  </si>
  <si>
    <t>18.57%</t>
  </si>
  <si>
    <t>13.09%</t>
  </si>
  <si>
    <t>Sauce Tamari</t>
  </si>
  <si>
    <t>2.34%</t>
  </si>
  <si>
    <t>36.56%</t>
  </si>
  <si>
    <t>Sauce Teriyaki</t>
  </si>
  <si>
    <t>2.95%</t>
  </si>
  <si>
    <t>-1.16%</t>
  </si>
  <si>
    <t>31.33%</t>
  </si>
  <si>
    <t>Coulis Tomate</t>
  </si>
  <si>
    <t>7.85%</t>
  </si>
  <si>
    <t>Passata Tomate</t>
  </si>
  <si>
    <t>0.38%</t>
  </si>
  <si>
    <t>1.38%</t>
  </si>
  <si>
    <t>9.34%</t>
  </si>
  <si>
    <t>Passata Tomate basilic</t>
  </si>
  <si>
    <t>6.38%</t>
  </si>
  <si>
    <t>5.58%</t>
  </si>
  <si>
    <t>2.97%</t>
  </si>
  <si>
    <t>Tomates pelées</t>
  </si>
  <si>
    <t>7.83%</t>
  </si>
  <si>
    <t>6.69%</t>
  </si>
  <si>
    <t>Tomates concassées</t>
  </si>
  <si>
    <t>9.92%</t>
  </si>
  <si>
    <t>Epicerie sucrée</t>
  </si>
  <si>
    <t>Aide à la patisserie</t>
  </si>
  <si>
    <t>Arôme naturel fleur d'oranger</t>
  </si>
  <si>
    <t>Arôme naturel amande amère</t>
  </si>
  <si>
    <t>Extrait de vanille</t>
  </si>
  <si>
    <t>Vanille en poudre</t>
  </si>
  <si>
    <t>Poudre à lever</t>
  </si>
  <si>
    <t>Levure boulangère sèche</t>
  </si>
  <si>
    <t>Agar Agar</t>
  </si>
  <si>
    <t>Noix de coco rapée</t>
  </si>
  <si>
    <t>Biscuits</t>
  </si>
  <si>
    <t>Cookies tout chocolat</t>
  </si>
  <si>
    <t>Petits beurres</t>
  </si>
  <si>
    <t>Petits beurres chocolat noir</t>
  </si>
  <si>
    <t>Genoise chocolat orange</t>
  </si>
  <si>
    <t>Gateau fourrés chocolat noir</t>
  </si>
  <si>
    <t>Boudoirs</t>
  </si>
  <si>
    <t>Biscuits petit dej chocolat</t>
  </si>
  <si>
    <t>Biscuits petit dej miel chocolat</t>
  </si>
  <si>
    <t>Chocolats et confiseries</t>
  </si>
  <si>
    <t>Palet de chocolat noir</t>
  </si>
  <si>
    <t>9.45%</t>
  </si>
  <si>
    <t>10.14%</t>
  </si>
  <si>
    <t>7.94%</t>
  </si>
  <si>
    <t>Pépites chocolat noir 60%</t>
  </si>
  <si>
    <t>34.00%</t>
  </si>
  <si>
    <t>40.37%</t>
  </si>
  <si>
    <t>Pépites chocolat au lait</t>
  </si>
  <si>
    <t>6.34%</t>
  </si>
  <si>
    <t>Chocolat noir dessert</t>
  </si>
  <si>
    <t>11.32%</t>
  </si>
  <si>
    <t>-1.69%</t>
  </si>
  <si>
    <t>9.15%</t>
  </si>
  <si>
    <t>Chocolat noir à la fleur de sel</t>
  </si>
  <si>
    <t>8.04%</t>
  </si>
  <si>
    <t>12.00%</t>
  </si>
  <si>
    <t>9.48%</t>
  </si>
  <si>
    <t>Chocolat noir à l'orange</t>
  </si>
  <si>
    <t>4.37%</t>
  </si>
  <si>
    <t>9.80%</t>
  </si>
  <si>
    <t>Compote et desserts</t>
  </si>
  <si>
    <t xml:space="preserve">So Soja  Vanille </t>
  </si>
  <si>
    <t>4.29%</t>
  </si>
  <si>
    <t>Compote pomme</t>
  </si>
  <si>
    <t>-0.42%</t>
  </si>
  <si>
    <t>Compote pomme poire</t>
  </si>
  <si>
    <t>-5.31%</t>
  </si>
  <si>
    <t>Compote pomme banane</t>
  </si>
  <si>
    <t>5.44%</t>
  </si>
  <si>
    <t>9.29%</t>
  </si>
  <si>
    <t>So Soja  Chocolat</t>
  </si>
  <si>
    <t>Céréales petit déjeuner</t>
  </si>
  <si>
    <t>Carré fourré chocolat</t>
  </si>
  <si>
    <t>15.89%</t>
  </si>
  <si>
    <t>-0.46%</t>
  </si>
  <si>
    <t>-0.93%</t>
  </si>
  <si>
    <t>9.40%</t>
  </si>
  <si>
    <t>Choco lune</t>
  </si>
  <si>
    <t>1.18%</t>
  </si>
  <si>
    <t>-1.22%</t>
  </si>
  <si>
    <t>Mops miel</t>
  </si>
  <si>
    <t>-3.30%</t>
  </si>
  <si>
    <t>Flocon d'avoine petit</t>
  </si>
  <si>
    <t>-10.29%</t>
  </si>
  <si>
    <t>11.41%</t>
  </si>
  <si>
    <t>Flocon d'avoine gros</t>
  </si>
  <si>
    <t>-3.17%</t>
  </si>
  <si>
    <t>Muesli céréales</t>
  </si>
  <si>
    <t>Muesli fruits</t>
  </si>
  <si>
    <t>Krounchy nature</t>
  </si>
  <si>
    <t>Krounchy chocolat</t>
  </si>
  <si>
    <t>Krounchy fruits rouges</t>
  </si>
  <si>
    <t>Fruits secs et fruits séchés</t>
  </si>
  <si>
    <t>Amandes</t>
  </si>
  <si>
    <t>-10.55%</t>
  </si>
  <si>
    <t>-11.62%</t>
  </si>
  <si>
    <t>-14.43%</t>
  </si>
  <si>
    <t>-13.48%</t>
  </si>
  <si>
    <t>Noisettes</t>
  </si>
  <si>
    <t>-0.54%</t>
  </si>
  <si>
    <t>11.37%</t>
  </si>
  <si>
    <t>11.13%</t>
  </si>
  <si>
    <t>Noix de cajou</t>
  </si>
  <si>
    <t>-11.17%</t>
  </si>
  <si>
    <t>-12.34%</t>
  </si>
  <si>
    <t>Raisins secs</t>
  </si>
  <si>
    <t>57.21%</t>
  </si>
  <si>
    <t>39.47%</t>
  </si>
  <si>
    <t>48.45%</t>
  </si>
  <si>
    <t>Cranberries</t>
  </si>
  <si>
    <t>-5.03%</t>
  </si>
  <si>
    <t>-7.46%</t>
  </si>
  <si>
    <t>-8.98%</t>
  </si>
  <si>
    <t>Sucrants</t>
  </si>
  <si>
    <t>Sirop d'agave</t>
  </si>
  <si>
    <t>38.23%</t>
  </si>
  <si>
    <t>30.07%</t>
  </si>
  <si>
    <t>Sucres et farines</t>
  </si>
  <si>
    <t>Farine T65</t>
  </si>
  <si>
    <t>-23.67%</t>
  </si>
  <si>
    <t>Farine T110</t>
  </si>
  <si>
    <t>1.92%</t>
  </si>
  <si>
    <t>Farine  seigle</t>
  </si>
  <si>
    <t>-71.76%</t>
  </si>
  <si>
    <t>Farine 5 céréales</t>
  </si>
  <si>
    <t>1.59%</t>
  </si>
  <si>
    <t>-4.23%</t>
  </si>
  <si>
    <t>Sucre blond/roux</t>
  </si>
  <si>
    <t>-9.70%</t>
  </si>
  <si>
    <t>0.98%</t>
  </si>
  <si>
    <t>-67.77%</t>
  </si>
  <si>
    <t>Sucre complet</t>
  </si>
  <si>
    <t>1.85%</t>
  </si>
  <si>
    <t>-60.85%</t>
  </si>
  <si>
    <t>Tartinables</t>
  </si>
  <si>
    <t>Pâte à tartiner</t>
  </si>
  <si>
    <t>Pâte à tartiner sans lait</t>
  </si>
  <si>
    <t>8.83%</t>
  </si>
  <si>
    <t>504.74%</t>
  </si>
  <si>
    <t>Crème de marrons</t>
  </si>
  <si>
    <t>9.82%</t>
  </si>
  <si>
    <t>389.75%</t>
  </si>
  <si>
    <t>9.36%</t>
  </si>
  <si>
    <t>525.26%</t>
  </si>
  <si>
    <t>Miel toutes fleurs</t>
  </si>
  <si>
    <t>375.00%</t>
  </si>
  <si>
    <t>502.35%</t>
  </si>
  <si>
    <t>Miel de montagne</t>
  </si>
  <si>
    <t>5.16%</t>
  </si>
  <si>
    <t>400.00%</t>
  </si>
  <si>
    <t>Beurre de cacahuète</t>
  </si>
  <si>
    <t>3.77%</t>
  </si>
  <si>
    <t>Purée sésame</t>
  </si>
  <si>
    <t>10.93%</t>
  </si>
  <si>
    <t>9.19%</t>
  </si>
  <si>
    <t>13.97%</t>
  </si>
  <si>
    <t>Purée amande</t>
  </si>
  <si>
    <t>-1.50%</t>
  </si>
  <si>
    <t>0.37%</t>
  </si>
  <si>
    <t>155.27%</t>
  </si>
  <si>
    <t>Purée noix de cajoux</t>
  </si>
  <si>
    <t>104.99%</t>
  </si>
  <si>
    <t>Purée noisette</t>
  </si>
  <si>
    <t>7.05%</t>
  </si>
  <si>
    <t>1.07%</t>
  </si>
  <si>
    <t>15.56%</t>
  </si>
  <si>
    <t>84.34%</t>
  </si>
  <si>
    <t>Tartines</t>
  </si>
  <si>
    <t>Biscottes complètes</t>
  </si>
  <si>
    <t>3.85%</t>
  </si>
  <si>
    <t>-35.20%</t>
  </si>
  <si>
    <t>Galette riz</t>
  </si>
  <si>
    <t>2.41%</t>
  </si>
  <si>
    <t>-4.05%</t>
  </si>
  <si>
    <t>5.00%</t>
  </si>
  <si>
    <t>-45.03%</t>
  </si>
  <si>
    <t>Galette riz chocolat noir</t>
  </si>
  <si>
    <t>4.08%</t>
  </si>
  <si>
    <t>Pain grillé complet</t>
  </si>
  <si>
    <t>-50.11%</t>
  </si>
  <si>
    <t>Pain grillé graines et céréales</t>
  </si>
  <si>
    <t>-3.32%</t>
  </si>
  <si>
    <t>-42.39%</t>
  </si>
  <si>
    <t>Frais</t>
  </si>
  <si>
    <t>Fruits</t>
  </si>
  <si>
    <t>Pommes</t>
  </si>
  <si>
    <t>Banane</t>
  </si>
  <si>
    <t>Clémentines</t>
  </si>
  <si>
    <t>Kiwi</t>
  </si>
  <si>
    <t>Poires</t>
  </si>
  <si>
    <t>Oranges</t>
  </si>
  <si>
    <t>Citron</t>
  </si>
  <si>
    <t>Légumes</t>
  </si>
  <si>
    <t>Ail</t>
  </si>
  <si>
    <t>Oignon jaune</t>
  </si>
  <si>
    <t>Oignon rouge</t>
  </si>
  <si>
    <t>Betterave</t>
  </si>
  <si>
    <t>Blettes</t>
  </si>
  <si>
    <t>Brocolis</t>
  </si>
  <si>
    <t>Carottes</t>
  </si>
  <si>
    <t>Celeri rave</t>
  </si>
  <si>
    <t>Celeri branche</t>
  </si>
  <si>
    <t>Champignon de paris</t>
  </si>
  <si>
    <t>Champignon pleurotes</t>
  </si>
  <si>
    <t>Chou de bruxelles</t>
  </si>
  <si>
    <t>Chou rouge</t>
  </si>
  <si>
    <t>Courge butternut</t>
  </si>
  <si>
    <t>Echalotte</t>
  </si>
  <si>
    <t>Endives</t>
  </si>
  <si>
    <t>Epinards</t>
  </si>
  <si>
    <t>Fenouil</t>
  </si>
  <si>
    <t>Panais</t>
  </si>
  <si>
    <t>Patate douce</t>
  </si>
  <si>
    <t>Poireau</t>
  </si>
  <si>
    <t>Pomme de terre</t>
  </si>
  <si>
    <t>Hygiène</t>
  </si>
  <si>
    <t>Cheveux</t>
  </si>
  <si>
    <t>Shampoing solide</t>
  </si>
  <si>
    <t>2.13%</t>
  </si>
  <si>
    <t>9.66%</t>
  </si>
  <si>
    <t>-1.92%</t>
  </si>
  <si>
    <t>4.52%</t>
  </si>
  <si>
    <t>Corps</t>
  </si>
  <si>
    <t>Savon alep 40%</t>
  </si>
  <si>
    <t>-11.12%</t>
  </si>
  <si>
    <t>12.32%</t>
  </si>
  <si>
    <t>0.44%</t>
  </si>
  <si>
    <t>Savon de marseille solide</t>
  </si>
  <si>
    <t>Féminine</t>
  </si>
  <si>
    <t>Serviette normale</t>
  </si>
  <si>
    <t>Serviette nuit</t>
  </si>
  <si>
    <t>Protège slip</t>
  </si>
  <si>
    <t>Serviette flux abondant</t>
  </si>
  <si>
    <t>Tampon nomal applicateur</t>
  </si>
  <si>
    <t>Tampon normal sans applicateur</t>
  </si>
  <si>
    <t>Tampon super applicateur</t>
  </si>
  <si>
    <t>Tampon super sans applicateur</t>
  </si>
  <si>
    <t>Maison</t>
  </si>
  <si>
    <t>Droguerie</t>
  </si>
  <si>
    <t>Vinaigre blanc</t>
  </si>
  <si>
    <t>-1.85%</t>
  </si>
  <si>
    <t>Bicarbonate soude</t>
  </si>
  <si>
    <t>-5.29%</t>
  </si>
  <si>
    <t>-16.13%</t>
  </si>
  <si>
    <t>6.29%</t>
  </si>
  <si>
    <t>Cristaux de soude</t>
  </si>
  <si>
    <t>3.28%</t>
  </si>
  <si>
    <t>33.22%</t>
  </si>
  <si>
    <t>Percarbonate de soude</t>
  </si>
  <si>
    <t>-0.43%</t>
  </si>
  <si>
    <t>0.90%</t>
  </si>
  <si>
    <t>Blanc de meudon</t>
  </si>
  <si>
    <t>7.55%</t>
  </si>
  <si>
    <t>8.82%</t>
  </si>
  <si>
    <t>-1.35%</t>
  </si>
  <si>
    <t>11.53%</t>
  </si>
  <si>
    <t>Savon noir</t>
  </si>
  <si>
    <t>1.91%</t>
  </si>
  <si>
    <t>6.73%</t>
  </si>
  <si>
    <t>Acide citrique</t>
  </si>
  <si>
    <t>-10.24%</t>
  </si>
  <si>
    <t>-1.23%</t>
  </si>
  <si>
    <t>17.59%</t>
  </si>
  <si>
    <t>Copeaux de savon</t>
  </si>
  <si>
    <t>17.79%</t>
  </si>
  <si>
    <t>Linge</t>
  </si>
  <si>
    <t>Lessive liquide</t>
  </si>
  <si>
    <t>1.68%</t>
  </si>
  <si>
    <t>Lessive poudre</t>
  </si>
  <si>
    <t>Assouplissants</t>
  </si>
  <si>
    <t>2.94%</t>
  </si>
  <si>
    <t>4.00%</t>
  </si>
  <si>
    <t>4.33%</t>
  </si>
  <si>
    <t>18.43%</t>
  </si>
  <si>
    <t>Vaisselle</t>
  </si>
  <si>
    <t>Liquide vaisselle</t>
  </si>
  <si>
    <t>Savon solide vaisselle</t>
  </si>
  <si>
    <t>-15.10%</t>
  </si>
  <si>
    <t>Prix du Panier</t>
  </si>
  <si>
    <t>carottes</t>
  </si>
  <si>
    <t>2,9</t>
  </si>
  <si>
    <t>navet</t>
  </si>
  <si>
    <t>patates</t>
  </si>
  <si>
    <t>1,6</t>
  </si>
  <si>
    <t>panais</t>
  </si>
  <si>
    <t>blettes</t>
  </si>
  <si>
    <t>4,5</t>
  </si>
  <si>
    <t>poireau</t>
  </si>
  <si>
    <t>3,6</t>
  </si>
  <si>
    <t>épinards</t>
  </si>
  <si>
    <t>patate douce</t>
  </si>
  <si>
    <t>3,5</t>
  </si>
  <si>
    <t>radis noir</t>
  </si>
  <si>
    <t>chou</t>
  </si>
  <si>
    <t>2,6</t>
  </si>
  <si>
    <t>salade</t>
  </si>
  <si>
    <t>courge</t>
  </si>
  <si>
    <t>2,1</t>
  </si>
  <si>
    <t>endives</t>
  </si>
  <si>
    <t>6,9</t>
  </si>
  <si>
    <t>chou chinois</t>
  </si>
  <si>
    <t>betterave</t>
  </si>
  <si>
    <t>oignon</t>
  </si>
  <si>
    <t>chou rave</t>
  </si>
  <si>
    <t>potimarron</t>
  </si>
  <si>
    <t>2,7</t>
  </si>
  <si>
    <t>Mélange pour grillades</t>
  </si>
  <si>
    <t>Machédoine</t>
  </si>
  <si>
    <t>-32.00%</t>
  </si>
  <si>
    <t>-17.54%</t>
  </si>
  <si>
    <t>-8.65%</t>
  </si>
  <si>
    <t>8.72%</t>
  </si>
  <si>
    <t>-10.05%</t>
  </si>
  <si>
    <t>10.80%</t>
  </si>
  <si>
    <t>-0.92%</t>
  </si>
  <si>
    <t>1.78%</t>
  </si>
  <si>
    <t>0.28%</t>
  </si>
  <si>
    <t>-0.80%</t>
  </si>
  <si>
    <t>-57.47%</t>
  </si>
  <si>
    <t>-9.01%</t>
  </si>
  <si>
    <t>2.32%</t>
  </si>
  <si>
    <t>-4.91%</t>
  </si>
  <si>
    <t>11.39%</t>
  </si>
  <si>
    <t>11.18%</t>
  </si>
  <si>
    <t>11.24%</t>
  </si>
  <si>
    <t>-15.22%</t>
  </si>
  <si>
    <t>1.99%</t>
  </si>
  <si>
    <t>10.92%</t>
  </si>
  <si>
    <t>11.07%</t>
  </si>
  <si>
    <t>-14.96%</t>
  </si>
  <si>
    <t>13.76%</t>
  </si>
  <si>
    <t>14.33%</t>
  </si>
  <si>
    <t>1.71%</t>
  </si>
  <si>
    <t>0.57%</t>
  </si>
  <si>
    <t>-8.79%</t>
  </si>
  <si>
    <t>11.73%</t>
  </si>
  <si>
    <t>-14.99%</t>
  </si>
  <si>
    <t>11.23%</t>
  </si>
  <si>
    <t>17.71%</t>
  </si>
  <si>
    <t>18.23%</t>
  </si>
  <si>
    <t>-23.27%</t>
  </si>
  <si>
    <t>8.46%</t>
  </si>
  <si>
    <t>7.39%</t>
  </si>
  <si>
    <t>5.75%</t>
  </si>
  <si>
    <t>10.89%</t>
  </si>
  <si>
    <t>-4.46%</t>
  </si>
  <si>
    <t>18.36%</t>
  </si>
  <si>
    <t>-3.08%</t>
  </si>
  <si>
    <t>-2.27%</t>
  </si>
  <si>
    <t>11.21%</t>
  </si>
  <si>
    <t>10.00%</t>
  </si>
  <si>
    <t>-14.98%</t>
  </si>
  <si>
    <t>18.81%</t>
  </si>
  <si>
    <t>-25.23%</t>
  </si>
  <si>
    <t>-5.79%</t>
  </si>
  <si>
    <t>11.22%</t>
  </si>
  <si>
    <t>-15.14%</t>
  </si>
  <si>
    <t>1.32%</t>
  </si>
  <si>
    <t>-10.22%</t>
  </si>
  <si>
    <t>-15.07%</t>
  </si>
  <si>
    <t>4.84%</t>
  </si>
  <si>
    <t>-1.24%</t>
  </si>
  <si>
    <t>16.22%</t>
  </si>
  <si>
    <t>5.01%</t>
  </si>
  <si>
    <t>-9.50%</t>
  </si>
  <si>
    <t>-11.61%</t>
  </si>
  <si>
    <t>-5.05%</t>
  </si>
  <si>
    <t>-6.42%</t>
  </si>
  <si>
    <t>17.61%</t>
  </si>
  <si>
    <t>4.46%</t>
  </si>
  <si>
    <t>-14.97%</t>
  </si>
  <si>
    <t>10.34%</t>
  </si>
  <si>
    <t>28.26%</t>
  </si>
  <si>
    <t>-1.67%</t>
  </si>
  <si>
    <t>-18.18%</t>
  </si>
  <si>
    <t>-3.90%</t>
  </si>
  <si>
    <t>-13.46%</t>
  </si>
  <si>
    <t>13.64%</t>
  </si>
  <si>
    <t>-3.13%</t>
  </si>
  <si>
    <t>-5.13%</t>
  </si>
  <si>
    <t>-20.41%</t>
  </si>
  <si>
    <t>-17.34%</t>
  </si>
  <si>
    <t>-3.85%</t>
  </si>
  <si>
    <t>7.19%</t>
  </si>
  <si>
    <t>18.18%</t>
  </si>
  <si>
    <t>-24.36%</t>
  </si>
  <si>
    <t>1.56%</t>
  </si>
  <si>
    <t>-14.10%</t>
  </si>
  <si>
    <t>6.90%</t>
  </si>
  <si>
    <t>40.00%</t>
  </si>
  <si>
    <t>33.07%</t>
  </si>
  <si>
    <t>5.19%</t>
  </si>
  <si>
    <t>67.92%</t>
  </si>
  <si>
    <t>-17.39%</t>
  </si>
  <si>
    <t>5.56%</t>
  </si>
  <si>
    <t>-28.95%</t>
  </si>
  <si>
    <t>12.65%</t>
  </si>
  <si>
    <t>5.88%</t>
  </si>
  <si>
    <t>-28.18%</t>
  </si>
  <si>
    <t>-1.29%</t>
  </si>
  <si>
    <t>0.56%</t>
  </si>
  <si>
    <t>17.76%</t>
  </si>
  <si>
    <t>-0.67%</t>
  </si>
  <si>
    <t>-1.79%</t>
  </si>
  <si>
    <t>-10.33%</t>
  </si>
  <si>
    <t>-6.84%</t>
  </si>
  <si>
    <t>-6.83%</t>
  </si>
  <si>
    <t>-4.95%</t>
  </si>
  <si>
    <t>-10.03%</t>
  </si>
  <si>
    <t>6.01%</t>
  </si>
  <si>
    <t>-0.63%</t>
  </si>
  <si>
    <t>-9.55%</t>
  </si>
  <si>
    <t>-1.82%</t>
  </si>
  <si>
    <t>-9.84%</t>
  </si>
  <si>
    <t>-4.41%</t>
  </si>
  <si>
    <t>0.34%</t>
  </si>
  <si>
    <t>-4.60%</t>
  </si>
  <si>
    <t>3.69%</t>
  </si>
  <si>
    <t>-0.05%</t>
  </si>
  <si>
    <t>-17.63%</t>
  </si>
  <si>
    <t>-0.66%</t>
  </si>
  <si>
    <t>0.46%</t>
  </si>
  <si>
    <t>1.30%</t>
  </si>
  <si>
    <t>1.53%</t>
  </si>
  <si>
    <t>-1.00%</t>
  </si>
  <si>
    <t>3.08%</t>
  </si>
  <si>
    <t>-16.44%</t>
  </si>
  <si>
    <t>5.20%</t>
  </si>
  <si>
    <t>-3.25%</t>
  </si>
  <si>
    <t>-4.82%</t>
  </si>
  <si>
    <t>-0.49%</t>
  </si>
  <si>
    <t>-1.15%</t>
  </si>
  <si>
    <t>-1.44%</t>
  </si>
  <si>
    <t>3.93%</t>
  </si>
  <si>
    <t>-0.91%</t>
  </si>
  <si>
    <t>23.26%</t>
  </si>
  <si>
    <t>-2.57%</t>
  </si>
  <si>
    <t>8.84%</t>
  </si>
  <si>
    <t>1.35%</t>
  </si>
  <si>
    <t>-7.32%</t>
  </si>
  <si>
    <t>0.72%</t>
  </si>
  <si>
    <t>-8.54%</t>
  </si>
  <si>
    <t>3.01%</t>
  </si>
  <si>
    <t>-10.00%</t>
  </si>
  <si>
    <t>-0.85%</t>
  </si>
  <si>
    <t>-0.51%</t>
  </si>
  <si>
    <t>-5.16%</t>
  </si>
  <si>
    <t>2.82%</t>
  </si>
  <si>
    <t>-9.87%</t>
  </si>
  <si>
    <t>-15.11%</t>
  </si>
  <si>
    <t>8.16%</t>
  </si>
  <si>
    <t>2.86%</t>
  </si>
  <si>
    <t>-22.64%</t>
  </si>
  <si>
    <t>-11.63%</t>
  </si>
  <si>
    <t>-10.06%</t>
  </si>
  <si>
    <t>12.50%</t>
  </si>
  <si>
    <t>-15.08%</t>
  </si>
  <si>
    <t>3.14%</t>
  </si>
  <si>
    <t>-10.94%</t>
  </si>
  <si>
    <t>7.57%</t>
  </si>
  <si>
    <t>-19.48%</t>
  </si>
  <si>
    <t>0.42%</t>
  </si>
  <si>
    <t>-14.71%</t>
  </si>
  <si>
    <t>0.79%</t>
  </si>
  <si>
    <t>-15.00%</t>
  </si>
  <si>
    <t>0.66%</t>
  </si>
  <si>
    <t>-10.04%</t>
  </si>
  <si>
    <t>-4.17%</t>
  </si>
  <si>
    <t>1.94%</t>
  </si>
  <si>
    <t>0.53%</t>
  </si>
  <si>
    <t>-12.64%</t>
  </si>
  <si>
    <t>4.63%</t>
  </si>
  <si>
    <t>-6.00%</t>
  </si>
  <si>
    <t>3.75%</t>
  </si>
  <si>
    <t>-14.77%</t>
  </si>
  <si>
    <t>-15.13%</t>
  </si>
  <si>
    <t>-15.19%</t>
  </si>
  <si>
    <t>-2.76%</t>
  </si>
  <si>
    <t>-9.98%</t>
  </si>
  <si>
    <t>3.65%</t>
  </si>
  <si>
    <t>21.25%</t>
  </si>
  <si>
    <t>1.20%</t>
  </si>
  <si>
    <t>-0.15%</t>
  </si>
  <si>
    <t>-4.78%</t>
  </si>
  <si>
    <t>-31.06%</t>
  </si>
  <si>
    <t>2.33%</t>
  </si>
  <si>
    <t>-14.93%</t>
  </si>
  <si>
    <t>4.93%</t>
  </si>
  <si>
    <t>-0.60%</t>
  </si>
  <si>
    <t>-9.96%</t>
  </si>
  <si>
    <t>0.95%</t>
  </si>
  <si>
    <t>-6.76%</t>
  </si>
  <si>
    <t>-7.87%</t>
  </si>
  <si>
    <t>8.47%</t>
  </si>
  <si>
    <t>-2.34%</t>
  </si>
  <si>
    <t>7.27%</t>
  </si>
  <si>
    <t>9.09%</t>
  </si>
  <si>
    <t>-20.51%</t>
  </si>
  <si>
    <t>-26.92%</t>
  </si>
  <si>
    <t>21.43%</t>
  </si>
  <si>
    <t>11.43%</t>
  </si>
  <si>
    <t>-8.16%</t>
  </si>
  <si>
    <t>-20.16%</t>
  </si>
  <si>
    <t>48.98%</t>
  </si>
  <si>
    <t>28.77%</t>
  </si>
  <si>
    <t>27.27%</t>
  </si>
  <si>
    <t>26.40%</t>
  </si>
  <si>
    <t>40.95%</t>
  </si>
  <si>
    <t>3.38%</t>
  </si>
  <si>
    <t>60.38%</t>
  </si>
  <si>
    <t>14.55%</t>
  </si>
  <si>
    <t>-36.52%</t>
  </si>
  <si>
    <t>2.63%</t>
  </si>
  <si>
    <t>16.67%</t>
  </si>
  <si>
    <t>14.99%</t>
  </si>
  <si>
    <t>-28.21%</t>
  </si>
  <si>
    <t>-38.64%</t>
  </si>
  <si>
    <t>-23.48%</t>
  </si>
  <si>
    <t>11.11%</t>
  </si>
  <si>
    <t>-0.59%</t>
  </si>
  <si>
    <t>-2.68%</t>
  </si>
  <si>
    <t>-6.92%</t>
  </si>
  <si>
    <t>-1.36%</t>
  </si>
  <si>
    <t>17.99%</t>
  </si>
  <si>
    <t>Santé</t>
  </si>
  <si>
    <t>Aromathérapie</t>
  </si>
  <si>
    <t>HE Tea Tree</t>
  </si>
  <si>
    <t>HE Citron</t>
  </si>
  <si>
    <t>HE Lavandin</t>
  </si>
  <si>
    <t>HE Menthe poivrée</t>
  </si>
  <si>
    <t>3.03%</t>
  </si>
  <si>
    <t>52596823.08%</t>
  </si>
  <si>
    <t>-4.66%</t>
  </si>
  <si>
    <t>9.55%</t>
  </si>
  <si>
    <t>-3.77%</t>
  </si>
  <si>
    <t>22.56%</t>
  </si>
  <si>
    <t>-21.05%</t>
  </si>
  <si>
    <t>25.00%</t>
  </si>
  <si>
    <t>2.68%</t>
  </si>
  <si>
    <t>-9.32%</t>
  </si>
  <si>
    <t>18.10%</t>
  </si>
  <si>
    <t>1.11%</t>
  </si>
  <si>
    <t>8.63%</t>
  </si>
  <si>
    <t>-4.00%</t>
  </si>
  <si>
    <t>25.16%</t>
  </si>
  <si>
    <t>5.54%</t>
  </si>
  <si>
    <t>4.59%</t>
  </si>
  <si>
    <t>-0.74%</t>
  </si>
  <si>
    <t>15.82%</t>
  </si>
  <si>
    <t>7.49%</t>
  </si>
  <si>
    <t>7.18%</t>
  </si>
  <si>
    <t>-0.72%</t>
  </si>
  <si>
    <t>6.80%</t>
  </si>
  <si>
    <t>6.62%</t>
  </si>
  <si>
    <t>5.87%</t>
  </si>
  <si>
    <t>3.55%</t>
  </si>
  <si>
    <t>6441117.39%</t>
  </si>
  <si>
    <t>63.02%</t>
  </si>
  <si>
    <t>18.96%</t>
  </si>
  <si>
    <t>-15.01%</t>
  </si>
  <si>
    <t>13.95%</t>
  </si>
  <si>
    <t>0.25%</t>
  </si>
  <si>
    <t>-14.69%</t>
  </si>
  <si>
    <t>17.78%</t>
  </si>
  <si>
    <t>1422120.80%</t>
  </si>
  <si>
    <t>17.75%</t>
  </si>
  <si>
    <t>1213398.98%</t>
  </si>
  <si>
    <t>3.90%</t>
  </si>
  <si>
    <t>21.13%</t>
  </si>
  <si>
    <t>17.65%</t>
  </si>
  <si>
    <t>16.48%</t>
  </si>
  <si>
    <t>3.54%</t>
  </si>
  <si>
    <t>719065.05%</t>
  </si>
  <si>
    <t>21.77%</t>
  </si>
  <si>
    <t>5.02%</t>
  </si>
  <si>
    <t>-5.04%</t>
  </si>
  <si>
    <t>4038464.29%</t>
  </si>
  <si>
    <t>-9.07%</t>
  </si>
  <si>
    <t>4464430.39%</t>
  </si>
  <si>
    <t>-6.38%</t>
  </si>
  <si>
    <t>10.50%</t>
  </si>
  <si>
    <t>-1.14%</t>
  </si>
  <si>
    <t>6769800.99%</t>
  </si>
  <si>
    <t>8117598.63%</t>
  </si>
  <si>
    <t>-12.11%</t>
  </si>
  <si>
    <t>-14.80%</t>
  </si>
  <si>
    <t>14.79%</t>
  </si>
  <si>
    <t>-15.04%</t>
  </si>
  <si>
    <t>5.90%</t>
  </si>
  <si>
    <t>-15.03%</t>
  </si>
  <si>
    <t>50.27%</t>
  </si>
  <si>
    <t>5.57%</t>
  </si>
  <si>
    <t>-15.02%</t>
  </si>
  <si>
    <t>62.54%</t>
  </si>
  <si>
    <t>-36.20%</t>
  </si>
  <si>
    <t>-10.43%</t>
  </si>
  <si>
    <t>21.74%</t>
  </si>
  <si>
    <t>1666669.17%</t>
  </si>
  <si>
    <t>40.74%</t>
  </si>
  <si>
    <t>-7.70%</t>
  </si>
  <si>
    <t>26.76%</t>
  </si>
  <si>
    <t>-6.16%</t>
  </si>
  <si>
    <t>2.04%</t>
  </si>
  <si>
    <t>-0.79%</t>
  </si>
  <si>
    <t>3.40%</t>
  </si>
  <si>
    <t>63.78%</t>
  </si>
  <si>
    <t>-6.48%</t>
  </si>
  <si>
    <t>-10.02%</t>
  </si>
  <si>
    <t>42.61%</t>
  </si>
  <si>
    <t>-20.67%</t>
  </si>
  <si>
    <t>2.48%</t>
  </si>
  <si>
    <t>12771279.31%</t>
  </si>
  <si>
    <t>3.91%</t>
  </si>
  <si>
    <t>23.55%</t>
  </si>
  <si>
    <t>4.67%</t>
  </si>
  <si>
    <t>-20.13%</t>
  </si>
  <si>
    <t>6785304.58%</t>
  </si>
  <si>
    <t>-23.57%</t>
  </si>
  <si>
    <t>8051421.74%</t>
  </si>
  <si>
    <t>-28.71%</t>
  </si>
  <si>
    <t>22.72%</t>
  </si>
  <si>
    <t>1.69%</t>
  </si>
  <si>
    <t>4.94%</t>
  </si>
  <si>
    <t>9.02%</t>
  </si>
  <si>
    <t>-14.89%</t>
  </si>
  <si>
    <t>1.47%</t>
  </si>
  <si>
    <t>-8.59%</t>
  </si>
  <si>
    <t>44.00%</t>
  </si>
  <si>
    <t>2867280.65%</t>
  </si>
  <si>
    <t>31.65%</t>
  </si>
  <si>
    <t>8.24%</t>
  </si>
  <si>
    <t>-4.94%</t>
  </si>
  <si>
    <t>-2.80%</t>
  </si>
  <si>
    <t>3.10%</t>
  </si>
  <si>
    <t>-11.36%</t>
  </si>
  <si>
    <t>6.08%</t>
  </si>
  <si>
    <t>-8.39%</t>
  </si>
  <si>
    <t>-11.74%</t>
  </si>
  <si>
    <t>11.85%</t>
  </si>
  <si>
    <t>-10.20%</t>
  </si>
  <si>
    <t>-10.69%</t>
  </si>
  <si>
    <t>10.79%</t>
  </si>
  <si>
    <t>45.86%</t>
  </si>
  <si>
    <t>22.79%</t>
  </si>
  <si>
    <t>-2.61%</t>
  </si>
  <si>
    <t>12.34%</t>
  </si>
  <si>
    <t>-16.99%</t>
  </si>
  <si>
    <t>-29.22%</t>
  </si>
  <si>
    <t>-30.09%</t>
  </si>
  <si>
    <t>-20.18%</t>
  </si>
  <si>
    <t>-7.85%</t>
  </si>
  <si>
    <t>11.63%</t>
  </si>
  <si>
    <t>-12.31%</t>
  </si>
  <si>
    <t>11.49%</t>
  </si>
  <si>
    <t>24.61%</t>
  </si>
  <si>
    <t>31.75%</t>
  </si>
  <si>
    <t>3.95%</t>
  </si>
  <si>
    <t>-15.12%</t>
  </si>
  <si>
    <t>1.12%</t>
  </si>
  <si>
    <t>-17.85%</t>
  </si>
  <si>
    <t>16.41%</t>
  </si>
  <si>
    <t>25915002.04%</t>
  </si>
  <si>
    <t>2.24%</t>
  </si>
  <si>
    <t>-5.61%</t>
  </si>
  <si>
    <t>4.62%</t>
  </si>
  <si>
    <t>2.25%</t>
  </si>
  <si>
    <t>-15.15%</t>
  </si>
  <si>
    <t>-11.50%</t>
  </si>
  <si>
    <t>22277794.74%</t>
  </si>
  <si>
    <t>-15.05%</t>
  </si>
  <si>
    <t>-14.91%</t>
  </si>
  <si>
    <t>2.08%</t>
  </si>
  <si>
    <t>7.81%</t>
  </si>
  <si>
    <t>-17.86%</t>
  </si>
  <si>
    <t>-5.57%</t>
  </si>
  <si>
    <t>-7.44%</t>
  </si>
  <si>
    <t>26298361.54%</t>
  </si>
  <si>
    <t>-18.03%</t>
  </si>
  <si>
    <t>2.58%</t>
  </si>
  <si>
    <t>-30.69%</t>
  </si>
  <si>
    <t>20914911.76%</t>
  </si>
  <si>
    <t>6.61%</t>
  </si>
  <si>
    <t>17259861.17%</t>
  </si>
  <si>
    <t>-24.84%</t>
  </si>
  <si>
    <t>5322582.63%</t>
  </si>
  <si>
    <t>25.74%</t>
  </si>
  <si>
    <t>5.10%</t>
  </si>
  <si>
    <t>8.19%</t>
  </si>
  <si>
    <t>-24.31%</t>
  </si>
  <si>
    <t>3.42%</t>
  </si>
  <si>
    <t>-8.67%</t>
  </si>
  <si>
    <t>2.43%</t>
  </si>
  <si>
    <t>-17.36%</t>
  </si>
  <si>
    <t>10.32%</t>
  </si>
  <si>
    <t>-16.71%</t>
  </si>
  <si>
    <t>17.31%</t>
  </si>
  <si>
    <t>-4.92%</t>
  </si>
  <si>
    <t>-8.66%</t>
  </si>
  <si>
    <t>6.10%</t>
  </si>
  <si>
    <t>11.26%</t>
  </si>
  <si>
    <t>-0.65%</t>
  </si>
  <si>
    <t>301903.87%</t>
  </si>
  <si>
    <t>10.31%</t>
  </si>
  <si>
    <t>-9.94%</t>
  </si>
  <si>
    <t>-14.94%</t>
  </si>
  <si>
    <t>7.79%</t>
  </si>
  <si>
    <t>15.13%</t>
  </si>
  <si>
    <t>8.88%</t>
  </si>
  <si>
    <t>1.14%</t>
  </si>
  <si>
    <t>13.24%</t>
  </si>
  <si>
    <t>33.31%</t>
  </si>
  <si>
    <t>14.38%</t>
  </si>
  <si>
    <t>8.96%</t>
  </si>
  <si>
    <t>8.33%</t>
  </si>
  <si>
    <t>9.84%</t>
  </si>
  <si>
    <t>10.96%</t>
  </si>
  <si>
    <t>8.93%</t>
  </si>
  <si>
    <t>10.75%</t>
  </si>
  <si>
    <t>-6.04%</t>
  </si>
  <si>
    <t>10.01%</t>
  </si>
  <si>
    <t>23.48%</t>
  </si>
  <si>
    <t>16.76%</t>
  </si>
  <si>
    <t>9.42%</t>
  </si>
  <si>
    <t>40.13%</t>
  </si>
  <si>
    <t>29.33%</t>
  </si>
  <si>
    <t>39.61%</t>
  </si>
  <si>
    <t>34.78%</t>
  </si>
  <si>
    <t>-5.07%</t>
  </si>
  <si>
    <t>39.91%</t>
  </si>
  <si>
    <t>38.98%</t>
  </si>
  <si>
    <t>46.30%</t>
  </si>
  <si>
    <t>33.33%</t>
  </si>
  <si>
    <t>25.86%</t>
  </si>
  <si>
    <t>37.87%</t>
  </si>
  <si>
    <t>40.70%</t>
  </si>
  <si>
    <t>28.71%</t>
  </si>
  <si>
    <t>32.14%</t>
  </si>
  <si>
    <t>29.03%</t>
  </si>
  <si>
    <t>38.08%</t>
  </si>
  <si>
    <t>54.81%</t>
  </si>
  <si>
    <t>-3.94%</t>
  </si>
  <si>
    <t>2.69%</t>
  </si>
  <si>
    <t>16614628.97%</t>
  </si>
  <si>
    <t>4.25%</t>
  </si>
  <si>
    <t>-4.42%</t>
  </si>
  <si>
    <t>-1.62%</t>
  </si>
  <si>
    <t>2.12%</t>
  </si>
  <si>
    <t>-11.87%</t>
  </si>
  <si>
    <t>0.92%</t>
  </si>
  <si>
    <t>-1.38%</t>
  </si>
  <si>
    <t>-3.12%</t>
  </si>
  <si>
    <t>-15.09%</t>
  </si>
  <si>
    <t>-6.56%</t>
  </si>
  <si>
    <t>17.62%</t>
  </si>
  <si>
    <t>0.58%</t>
  </si>
  <si>
    <t>3.61%</t>
  </si>
  <si>
    <t>-19.09%</t>
  </si>
  <si>
    <t>-7.78%</t>
  </si>
  <si>
    <t>-15.43%</t>
  </si>
  <si>
    <t>-10.81%</t>
  </si>
  <si>
    <t>-13.16%</t>
  </si>
  <si>
    <t>3.29%</t>
  </si>
  <si>
    <t>-19.82%</t>
  </si>
  <si>
    <t>-1.03%</t>
  </si>
  <si>
    <t>-1.47%</t>
  </si>
  <si>
    <t>5.28%</t>
  </si>
  <si>
    <t>-68.74%</t>
  </si>
  <si>
    <t>4.10%</t>
  </si>
  <si>
    <t>-9.97%</t>
  </si>
  <si>
    <t>15.42%</t>
  </si>
  <si>
    <t>-9.85%</t>
  </si>
  <si>
    <t>1.28%</t>
  </si>
  <si>
    <t>0.22%</t>
  </si>
  <si>
    <t>5.78%</t>
  </si>
  <si>
    <t>10.59%</t>
  </si>
  <si>
    <t>9.52%</t>
  </si>
  <si>
    <t>19.44%</t>
  </si>
  <si>
    <t>36.96%</t>
  </si>
  <si>
    <t>29.41%</t>
  </si>
  <si>
    <t>0.36%</t>
  </si>
  <si>
    <t>22.54%</t>
  </si>
  <si>
    <t>-4.67%</t>
  </si>
  <si>
    <t>34452923.26%</t>
  </si>
  <si>
    <t>27.12%</t>
  </si>
  <si>
    <t>20.69%</t>
  </si>
  <si>
    <t>29728595.65%</t>
  </si>
  <si>
    <t>-8.73%</t>
  </si>
  <si>
    <t>29828356.38%</t>
  </si>
  <si>
    <t>19323552.17%</t>
  </si>
  <si>
    <t>16161500.00%</t>
  </si>
  <si>
    <t>38647204.35%</t>
  </si>
  <si>
    <t>31520751.06%</t>
  </si>
  <si>
    <t>-13.89%</t>
  </si>
  <si>
    <t>39.74%</t>
  </si>
  <si>
    <t>6683268.42%</t>
  </si>
  <si>
    <t>-11.54%</t>
  </si>
  <si>
    <t>7971989.69%</t>
  </si>
  <si>
    <t>27.66%</t>
  </si>
  <si>
    <t>15.52%</t>
  </si>
  <si>
    <t>59.09%</t>
  </si>
  <si>
    <t>27864727.59%</t>
  </si>
  <si>
    <t>57.14%</t>
  </si>
  <si>
    <t>7.14%</t>
  </si>
  <si>
    <t>12.82%</t>
  </si>
  <si>
    <t>25.93%</t>
  </si>
  <si>
    <t>27.24%</t>
  </si>
  <si>
    <t>23640538.30%</t>
  </si>
  <si>
    <t>14.92%</t>
  </si>
  <si>
    <t>27.76%</t>
  </si>
  <si>
    <t>-13.33%</t>
  </si>
  <si>
    <t>13.46%</t>
  </si>
  <si>
    <t>10.71%</t>
  </si>
  <si>
    <t>1.19%</t>
  </si>
  <si>
    <t>24691233.33%</t>
  </si>
  <si>
    <t>72.73%</t>
  </si>
  <si>
    <t>15.38%</t>
  </si>
  <si>
    <t>34722087.50%</t>
  </si>
  <si>
    <t>10.20%</t>
  </si>
  <si>
    <t>1.97%</t>
  </si>
  <si>
    <t>3.45%</t>
  </si>
  <si>
    <t>7584268.60%</t>
  </si>
  <si>
    <t>8110191.97%</t>
  </si>
  <si>
    <t>35555420.00%</t>
  </si>
  <si>
    <t>61.90%</t>
  </si>
  <si>
    <t>35413764.54%</t>
  </si>
  <si>
    <t>21.61%</t>
  </si>
  <si>
    <t>22.22%</t>
  </si>
  <si>
    <t>17.22%</t>
  </si>
  <si>
    <t>11543900.00%</t>
  </si>
  <si>
    <t>16771371.70%</t>
  </si>
  <si>
    <t>10264195.61%</t>
  </si>
  <si>
    <t>12.24%</t>
  </si>
  <si>
    <t>54.21%</t>
  </si>
  <si>
    <t>22333769.35%</t>
  </si>
  <si>
    <t>21163900.00%</t>
  </si>
  <si>
    <t>18140471.43%</t>
  </si>
  <si>
    <t>44.26%</t>
  </si>
  <si>
    <t>22791900.00%</t>
  </si>
  <si>
    <t>22446566.67%</t>
  </si>
  <si>
    <t>40403900.00%</t>
  </si>
  <si>
    <t>49382566.67%</t>
  </si>
  <si>
    <t>-23.33%</t>
  </si>
  <si>
    <t>-9.16%</t>
  </si>
  <si>
    <t>-16.11%</t>
  </si>
  <si>
    <t>11.09%</t>
  </si>
  <si>
    <t>3.13%</t>
  </si>
  <si>
    <t>3.70%</t>
  </si>
  <si>
    <t>-3.57%</t>
  </si>
  <si>
    <t>5.26%</t>
  </si>
  <si>
    <t>-15.35%</t>
  </si>
  <si>
    <t>7.26%</t>
  </si>
  <si>
    <t>-15.16%</t>
  </si>
  <si>
    <t>34187900.00%</t>
  </si>
  <si>
    <t>-10.68%</t>
  </si>
  <si>
    <t>16.42%</t>
  </si>
  <si>
    <t>-15.06%</t>
  </si>
  <si>
    <t>13508836.17%</t>
  </si>
  <si>
    <t>-21.68%</t>
  </si>
  <si>
    <t>8.95%</t>
  </si>
  <si>
    <t>-20.83%</t>
  </si>
  <si>
    <t>-6.25%</t>
  </si>
  <si>
    <t>9.91%</t>
  </si>
  <si>
    <t>-20.47%</t>
  </si>
  <si>
    <t>-7.50%</t>
  </si>
  <si>
    <t>-15.18%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</si>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</sst>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4"/>
      <name val="Calibri"/>
    </font>
    <font>
      <b/>
      <sz val="11"/>
      <name val="Calibri"/>
    </font>
    <font>
      <u/>
      <sz val="11"/>
      <color rgb="FF0563C1"/>
      <name val="Calibri"/>
    </font>
    <font>
      <b/>
      <sz val="14"/>
      <name val="Calibri"/>
    </font>
    <font>
      <b/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4"/>
      <name val="Calibri"/>
    </font>
    <font>
      <b/>
      <sz val="11"/>
      <name val="Calibri"/>
    </font>
    <font>
      <u/>
      <sz val="11"/>
      <color rgb="FF0563C1"/>
      <name val="Calibri"/>
    </font>
    <font>
      <b/>
      <sz val="14"/>
      <name val="Calibri"/>
    </font>
    <font>
      <b/>
      <sz val="11"/>
      <name val="Calibri"/>
    </font>
    <font>
      <u/>
      <sz val="11"/>
      <color rgb="FF0563C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B7C9E2"/>
        <bgColor rgb="FFB7C9E2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5E6D6D"/>
        <bgColor rgb="FF5E6D6D"/>
      </patternFill>
    </fill>
    <fill>
      <patternFill patternType="solid">
        <fgColor rgb="FFFFFF00"/>
        <bgColor indexed="64"/>
      </patternFill>
    </fill>
    <fill>
      <patternFill patternType="solid">
        <fgColor rgb="FFB7C9E2"/>
        <bgColor rgb="FFB7C9E2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  <fill>
      <patternFill patternType="solid">
        <fgColor rgb="FF5E6D6D"/>
        <bgColor rgb="FF5E6D6D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B7C9E2"/>
        <bgColor rgb="FFB7C9E2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5E6D6D"/>
        <bgColor rgb="FF5E6D6D"/>
      </patternFill>
    </fill>
    <fill>
      <patternFill patternType="solid">
        <fgColor rgb="FFB7C9E2"/>
        <bgColor rgb="FFB7C9E2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5E6D6D"/>
        <bgColor rgb="FF5E6D6D"/>
      </patternFill>
    </fill>
    <fill>
      <patternFill patternType="solid">
        <fgColor rgb="FFF4CCCC"/>
        <bgColor rgb="FFF4CCCC"/>
      </patternFill>
    </fill>
    <fill>
      <patternFill patternType="solid">
        <fgColor rgb="FFB7C9E2"/>
        <bgColor rgb="FFB7C9E2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5E6D6D"/>
        <bgColor rgb="FF5E6D6D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5" fillId="4" borderId="0" xfId="0" applyFont="1" applyFill="1"/>
    <xf numFmtId="0" fontId="0" fillId="5" borderId="0" xfId="0" applyFill="1"/>
    <xf numFmtId="0" fontId="5" fillId="0" borderId="0" xfId="0" applyFont="1"/>
    <xf numFmtId="0" fontId="0" fillId="6" borderId="0" xfId="0" applyFill="1"/>
    <xf numFmtId="0" fontId="0" fillId="7" borderId="0" xfId="0" applyFill="1"/>
    <xf numFmtId="0" fontId="5" fillId="8" borderId="0" xfId="0" applyFont="1" applyFill="1"/>
    <xf numFmtId="0" fontId="1" fillId="8" borderId="0" xfId="1" applyFill="1"/>
    <xf numFmtId="0" fontId="6" fillId="9" borderId="0" xfId="0" applyFont="1" applyFill="1"/>
    <xf numFmtId="0" fontId="0" fillId="9" borderId="0" xfId="0" applyFill="1"/>
    <xf numFmtId="0" fontId="7" fillId="10" borderId="0" xfId="0" applyFont="1" applyFill="1"/>
    <xf numFmtId="0" fontId="0" fillId="10" borderId="0" xfId="0" applyFill="1"/>
    <xf numFmtId="0" fontId="8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1" borderId="0" xfId="0" applyFill="1"/>
    <xf numFmtId="0" fontId="8" fillId="0" borderId="0" xfId="0" applyFont="1"/>
    <xf numFmtId="0" fontId="8" fillId="8" borderId="0" xfId="0" applyFont="1" applyFill="1"/>
    <xf numFmtId="0" fontId="0" fillId="15" borderId="0" xfId="0" applyFill="1"/>
    <xf numFmtId="0" fontId="0" fillId="16" borderId="0" xfId="0" applyFill="1"/>
    <xf numFmtId="0" fontId="9" fillId="17" borderId="0" xfId="0" applyFont="1" applyFill="1"/>
    <xf numFmtId="0" fontId="9" fillId="0" borderId="0" xfId="0" applyFont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17" borderId="0" xfId="0" applyFill="1"/>
    <xf numFmtId="0" fontId="10" fillId="21" borderId="0" xfId="0" applyFont="1" applyFill="1"/>
    <xf numFmtId="0" fontId="0" fillId="21" borderId="0" xfId="0" applyFill="1"/>
    <xf numFmtId="0" fontId="11" fillId="22" borderId="0" xfId="0" applyFont="1" applyFill="1"/>
    <xf numFmtId="0" fontId="0" fillId="22" borderId="0" xfId="0" applyFill="1"/>
    <xf numFmtId="0" fontId="12" fillId="23" borderId="0" xfId="0" applyFont="1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3" borderId="0" xfId="0" applyFill="1"/>
    <xf numFmtId="0" fontId="12" fillId="0" borderId="0" xfId="0" applyFont="1"/>
    <xf numFmtId="0" fontId="2" fillId="0" borderId="0" xfId="0" applyFont="1"/>
    <xf numFmtId="0" fontId="0" fillId="0" borderId="0" xfId="0"/>
    <xf numFmtId="0" fontId="1" fillId="0" borderId="0" xfId="1"/>
    <xf numFmtId="0" fontId="13" fillId="27" borderId="0" xfId="0" applyFont="1" applyFill="1"/>
    <xf numFmtId="0" fontId="0" fillId="27" borderId="0" xfId="0" applyFill="1"/>
    <xf numFmtId="0" fontId="14" fillId="28" borderId="0" xfId="0" applyFont="1" applyFill="1"/>
    <xf numFmtId="0" fontId="0" fillId="28" borderId="0" xfId="0" applyFill="1"/>
    <xf numFmtId="0" fontId="15" fillId="29" borderId="0" xfId="0" applyFont="1" applyFill="1"/>
    <xf numFmtId="0" fontId="0" fillId="30" borderId="0" xfId="0" applyFill="1"/>
    <xf numFmtId="0" fontId="15" fillId="0" borderId="0" xfId="0" applyFont="1"/>
    <xf numFmtId="0" fontId="0" fillId="31" borderId="0" xfId="0" applyFill="1"/>
    <xf numFmtId="0" fontId="15" fillId="0" borderId="0" xfId="1" applyFont="1"/>
    <xf numFmtId="10" fontId="0" fillId="32" borderId="0" xfId="0" applyNumberFormat="1" applyFill="1"/>
    <xf numFmtId="0" fontId="0" fillId="32" borderId="0" xfId="0" applyFill="1"/>
    <xf numFmtId="0" fontId="0" fillId="29" borderId="0" xfId="0" applyFill="1"/>
  </cellXfs>
  <cellStyles count="2">
    <cellStyle name="Lien hypertexte" xfId="1" builtinId="8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0"/>
  <sheetViews>
    <sheetView topLeftCell="A3" workbookViewId="0">
      <selection activeCell="K5" sqref="K5"/>
    </sheetView>
  </sheetViews>
  <sheetFormatPr baseColWidth="10" defaultColWidth="9.109375" defaultRowHeight="14.4" x14ac:dyDescent="0.3"/>
  <cols>
    <col min="1" max="1" width="28.5546875" style="44" bestFit="1" customWidth="1"/>
    <col min="2" max="14" width="9.109375" style="44" customWidth="1"/>
    <col min="15" max="16384" width="9.109375" style="44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2" ht="18.75" customHeight="1" x14ac:dyDescent="0.35">
      <c r="A3" s="3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2" x14ac:dyDescent="0.3">
      <c r="A4" s="5" t="s">
        <v>12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2" x14ac:dyDescent="0.3">
      <c r="A5" t="s">
        <v>13</v>
      </c>
      <c r="B5" s="7" t="str">
        <f>HYPERLINK("https://lafourche.fr/products/la-fourche-boisson-avoine-bio-1l","1.59")</f>
        <v>1.59</v>
      </c>
      <c r="C5" s="8" t="s">
        <v>14</v>
      </c>
      <c r="D5" s="9" t="str">
        <f>HYPERLINK("https://www.biocoop.fr/boisson-avoine-naturel-1l-tb0026-000.html","2.21")</f>
        <v>2.21</v>
      </c>
      <c r="E5" t="s">
        <v>15</v>
      </c>
      <c r="F5" s="9" t="str">
        <f>HYPERLINK("https://www.biocoop.fr/boisson-avoine-naturel-1l-tb0026-000.html","2.15")</f>
        <v>2.15</v>
      </c>
      <c r="H5" s="9" t="str">
        <f>HYPERLINK("https://satoriz-comboire.bio/collections/boissons-sans-alcools/sous-famille-boissons-vegetales_boissons-avoine","1.65")</f>
        <v>1.65</v>
      </c>
      <c r="I5" t="s">
        <v>15</v>
      </c>
      <c r="J5" s="9" t="str">
        <f>HYPERLINK("https://www.greenweez.com/produit/boisson-vegetale-avoine-sans-sucres-1l/3EVER0147","1.69")</f>
        <v>1.69</v>
      </c>
      <c r="K5" t="s">
        <v>15</v>
      </c>
      <c r="L5">
        <v>1</v>
      </c>
    </row>
    <row r="6" spans="1:12" x14ac:dyDescent="0.3">
      <c r="A6" t="s">
        <v>16</v>
      </c>
      <c r="B6" s="7" t="str">
        <f>HYPERLINK("https://lafourche.fr/products/la-fourche-boisson-riz-bio-1l","1.54")</f>
        <v>1.54</v>
      </c>
      <c r="C6" t="s">
        <v>15</v>
      </c>
      <c r="D6" s="9" t="str">
        <f>HYPERLINK("https://www.biocoop.fr/boisson-de-riz-naturel-1l-tb0036-000.html","1.85")</f>
        <v>1.85</v>
      </c>
      <c r="E6" t="s">
        <v>15</v>
      </c>
      <c r="F6" s="9" t="str">
        <f>HYPERLINK("https://www.biocoop.fr/boisson-riz-nature-1l-tb0038-000.html","1.85")</f>
        <v>1.85</v>
      </c>
      <c r="H6" s="9" t="str">
        <f>HYPERLINK("https://satoriz-comboire.bio/collections/boissons-sans-alcools/products/in1","1.55")</f>
        <v>1.55</v>
      </c>
      <c r="I6" t="s">
        <v>15</v>
      </c>
      <c r="J6" s="9" t="str">
        <f>HYPERLINK("https://www.greenweez.com/produit/lot-de-6-boissons-vegetales-riz-sans-sucre-1l/1PACK3637","1.57")</f>
        <v>1.57</v>
      </c>
      <c r="K6" t="s">
        <v>15</v>
      </c>
      <c r="L6">
        <v>1</v>
      </c>
    </row>
    <row r="7" spans="1:12" x14ac:dyDescent="0.3">
      <c r="A7" t="s">
        <v>17</v>
      </c>
      <c r="B7" s="9" t="str">
        <f>HYPERLINK("https://lafourche.fr/products/la-fourche-boisson-a-lamande-intense-bio-1l","2.75")</f>
        <v>2.75</v>
      </c>
      <c r="C7" t="s">
        <v>15</v>
      </c>
      <c r="D7" s="9" t="str">
        <f>HYPERLINK("https://www.biocoop.fr/boisson-de-riz-amande-1l-tb0028-000.html","2.55")</f>
        <v>2.55</v>
      </c>
      <c r="E7" t="s">
        <v>15</v>
      </c>
      <c r="F7" s="9" t="str">
        <f>HYPERLINK("https://www.biocoop.fr/boisson-amande-intense-1l-hm1044-000.html","2.85")</f>
        <v>2.85</v>
      </c>
      <c r="H7" s="9" t="str">
        <f>HYPERLINK("https://satoriz-comboire.bio/collections/boissons-sans-alcools/products/lbt235","2.95")</f>
        <v>2.95</v>
      </c>
      <c r="I7" t="s">
        <v>15</v>
      </c>
      <c r="J7" s="7" t="str">
        <f>HYPERLINK("https://www.greenweez.com/produit/lot-de-6-boissons-vegetales-amande-sans-sucre-1l/1PACK3639","1.93")</f>
        <v>1.93</v>
      </c>
      <c r="K7" t="s">
        <v>15</v>
      </c>
    </row>
    <row r="8" spans="1:12" x14ac:dyDescent="0.3">
      <c r="A8" t="s">
        <v>18</v>
      </c>
      <c r="B8" s="7" t="str">
        <f>HYPERLINK("https://lafourche.fr/products/la-fourche-boisson-soja-bio-1l","1.29")</f>
        <v>1.29</v>
      </c>
      <c r="C8" t="s">
        <v>15</v>
      </c>
      <c r="D8" s="9" t="str">
        <f>HYPERLINK("https://www.biocoop.fr/boissons/boissons-vegetales.html","1.85")</f>
        <v>1.85</v>
      </c>
      <c r="E8" s="10" t="s">
        <v>19</v>
      </c>
      <c r="F8" s="9" t="str">
        <f>HYPERLINK("https://www.biocoop.fr/boisson-soja-nature-1l-sy1723-000.html","2.5")</f>
        <v>2.5</v>
      </c>
      <c r="H8" s="9" t="str">
        <f>HYPERLINK("https://satoriz-comboire.bio/collections/boissons-sans-alcools/products/re42896","1.45")</f>
        <v>1.45</v>
      </c>
      <c r="I8" t="s">
        <v>15</v>
      </c>
      <c r="J8" s="9" t="str">
        <f>HYPERLINK("https://www.greenweez.com/produit/boisson-vegetale-soja-nature-1l/1BTER0574","1.99")</f>
        <v>1.99</v>
      </c>
      <c r="K8" s="8" t="s">
        <v>20</v>
      </c>
    </row>
    <row r="9" spans="1:12" x14ac:dyDescent="0.3">
      <c r="A9" s="5" t="s">
        <v>21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2" x14ac:dyDescent="0.3">
      <c r="A10" t="s">
        <v>22</v>
      </c>
      <c r="B10" s="9" t="str">
        <f>HYPERLINK("https://lafourche.fr/products/pur-jus-de-pomme","2.65")</f>
        <v>2.65</v>
      </c>
      <c r="C10" s="8" t="s">
        <v>23</v>
      </c>
      <c r="D10" s="9" t="str">
        <f>HYPERLINK("https://www.biocoop.fr/jus-de-pomme-tetra-1l-ls4001-000.html","2.72")</f>
        <v>2.72</v>
      </c>
      <c r="E10" s="8" t="s">
        <v>24</v>
      </c>
      <c r="F10" s="7" t="str">
        <f>HYPERLINK("https://www.biocoop.fr/jus-de-pomme-tetra-1l-ls4001-000.html","2.55")</f>
        <v>2.55</v>
      </c>
      <c r="H10" s="9" t="str">
        <f>HYPERLINK("https://satoriz-comboire.bio/collections/boissons-sans-alcools/products/vt4310292","2.9")</f>
        <v>2.9</v>
      </c>
      <c r="I10" s="8" t="s">
        <v>25</v>
      </c>
      <c r="J10" s="9" t="str">
        <f>HYPERLINK("https://www.greenweez.com/produit/lot-de-3-jus-de-pomme-bio-1l/1PACK3598","2.66")</f>
        <v>2.66</v>
      </c>
      <c r="K10" t="s">
        <v>15</v>
      </c>
    </row>
    <row r="11" spans="1:12" x14ac:dyDescent="0.3">
      <c r="A11" t="s">
        <v>26</v>
      </c>
      <c r="B11" s="9" t="str">
        <f>HYPERLINK("https://lafourche.fr/products/pur-jus-dorange","3.99")</f>
        <v>3.99</v>
      </c>
      <c r="C11" s="8" t="s">
        <v>27</v>
      </c>
      <c r="D11" s="9" t="str">
        <f>HYPERLINK("https://www.biocoop.fr/jus-orange-tetra-2l-em1007-000.html","3.4")</f>
        <v>3.4</v>
      </c>
      <c r="E11" s="8" t="s">
        <v>28</v>
      </c>
      <c r="F11" s="9" t="str">
        <f>HYPERLINK("https://www.biocoop.fr/jus-orange-tetra-2l-em1007-000.html","3.4")</f>
        <v>3.4</v>
      </c>
      <c r="H11" s="9" t="str">
        <f>HYPERLINK("https://satoriz-comboire.bio/collections/boissons-sans-alcools/products/re39815","3.4")</f>
        <v>3.4</v>
      </c>
      <c r="I11" s="10" t="s">
        <v>29</v>
      </c>
      <c r="J11" s="7" t="str">
        <f>HYPERLINK("https://www.greenweez.com/produit/lot-de-3-jus-dorange-bio-1l/1PACK3600","2.92")</f>
        <v>2.92</v>
      </c>
      <c r="K11" t="s">
        <v>15</v>
      </c>
      <c r="L11">
        <v>2</v>
      </c>
    </row>
    <row r="12" spans="1:12" x14ac:dyDescent="0.3">
      <c r="A12" t="s">
        <v>30</v>
      </c>
      <c r="B12" s="9" t="str">
        <f>HYPERLINK("https://lafourche.fr/products/vitamont-cocktail-kids-junior-bio-1l","3.36")</f>
        <v>3.36</v>
      </c>
      <c r="C12" s="8" t="s">
        <v>31</v>
      </c>
      <c r="D12" s="9" t="str">
        <f>HYPERLINK("https://www.biocoop.fr/jus-d-orange-mandarine-raisin-1l-ls4004-000.html","3.7")</f>
        <v>3.7</v>
      </c>
      <c r="E12" s="8" t="s">
        <v>32</v>
      </c>
      <c r="F12" s="9" t="str">
        <f>HYPERLINK("https://www.biocoop.fr/cocktail-5-fruits-1l-vt4728-000.html","4.4")</f>
        <v>4.4</v>
      </c>
      <c r="H12" s="9" t="str">
        <f>HYPERLINK("https://satoriz-comboire.bio/collections/boissons-sans-alcools/products/re39816","3.6")</f>
        <v>3.6</v>
      </c>
      <c r="I12" s="8" t="s">
        <v>33</v>
      </c>
      <c r="J12" s="7" t="str">
        <f>HYPERLINK("https://www.greenweez.com/produit/lot-de-3-jus-multifruits-bio-1l/1PACK3599","3.26")</f>
        <v>3.26</v>
      </c>
      <c r="K12" t="s">
        <v>15</v>
      </c>
      <c r="L12">
        <v>2</v>
      </c>
    </row>
    <row r="13" spans="1:12" x14ac:dyDescent="0.3">
      <c r="A13" t="s">
        <v>34</v>
      </c>
      <c r="B13" s="9" t="str">
        <f>HYPERLINK("https://lafourche.fr/products/vitamont-jus-matin-tonique-orange-sanguine-et-pamplemousse-1l-bio","3.61")</f>
        <v>3.61</v>
      </c>
      <c r="C13" s="8" t="s">
        <v>35</v>
      </c>
      <c r="D13" s="7" t="str">
        <f>HYPERLINK("https://www.biocoop.fr/jus-de-raisin-rouge-1l-ls4005-000.html","3.2")</f>
        <v>3.2</v>
      </c>
      <c r="E13" s="8" t="s">
        <v>36</v>
      </c>
      <c r="F13" s="45" t="str">
        <f>HYPERLINK("https://www.biocoop.fr/jus-de-raisin-rouge-1l-ls4005-000.html","888888")</f>
        <v>888888</v>
      </c>
      <c r="H13" s="9" t="str">
        <f>HYPERLINK("https://satoriz-comboire.bio/products/vt4310042?_pos=1&amp;_sid=4d862041b&amp;_ss=r","3.9")</f>
        <v>3.9</v>
      </c>
      <c r="I13" t="s">
        <v>15</v>
      </c>
      <c r="J13" s="9" t="str">
        <f>HYPERLINK("https://www.greenweez.com/produit/pur-jus-de-raisin-bio-tetra-pak-1l/5VITA0126","3.94")</f>
        <v>3.94</v>
      </c>
      <c r="K13" s="8" t="s">
        <v>37</v>
      </c>
    </row>
    <row r="14" spans="1:12" x14ac:dyDescent="0.3">
      <c r="A14" s="5" t="s">
        <v>38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2" x14ac:dyDescent="0.3">
      <c r="A15" t="s">
        <v>39</v>
      </c>
      <c r="B15" s="7" t="str">
        <f>HYPERLINK("https://lafourche.fr/products/la-fourche-lait-demi-ecreme-bio-et-equitable-6x1l-6l","1.11")</f>
        <v>1.11</v>
      </c>
      <c r="C15" t="s">
        <v>15</v>
      </c>
      <c r="D15" s="9" t="str">
        <f>HYPERLINK("https://www.biocoop.fr/lait-demi-ecreme-sterilise-uht-ad6922-000.html","1.25")</f>
        <v>1.25</v>
      </c>
      <c r="E15" t="s">
        <v>15</v>
      </c>
      <c r="F15" s="45" t="str">
        <f>HYPERLINK("https://www.biocoop.fr/lait-demi-ecreme-sterilise-uht-ad6922-000.html","1.15")</f>
        <v>1.15</v>
      </c>
      <c r="H15" s="9" t="str">
        <f>HYPERLINK("https://satoriz-comboire.bio/collections/produits-frais/products/cbvi6916","1.2")</f>
        <v>1.2</v>
      </c>
      <c r="I15" t="s">
        <v>15</v>
      </c>
      <c r="J15" s="45" t="str">
        <f>HYPERLINK("https://www.greenweez.com/produit/lait-sterilise-uht-demi-ecreme-1l/1BTER0554","1.55")</f>
        <v>1.55</v>
      </c>
      <c r="K15" s="8" t="s">
        <v>40</v>
      </c>
      <c r="L15">
        <v>6</v>
      </c>
    </row>
    <row r="16" spans="1:12" x14ac:dyDescent="0.3">
      <c r="A16" s="35" t="s">
        <v>41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1:11" x14ac:dyDescent="0.3">
      <c r="A17" t="s">
        <v>42</v>
      </c>
      <c r="B17" s="37" t="str">
        <f>HYPERLINK("https://lafourche.fr/products/elibio-sirop-de-menthe-bio-0-5l","5.97")</f>
        <v>5.97</v>
      </c>
      <c r="D17" s="42" t="str">
        <f>HYPERLINK("https://www.biocoop.fr/magasin-biocoop_champollion/sirop-menthe-70cl-bg5003-000.html","888888")</f>
        <v>888888</v>
      </c>
      <c r="F17" s="42" t="str">
        <f>HYPERLINK("https://www.biocoop.fr/magasin-biocoop_fontaine/sirop-menthe-70cl-bg5003-000.html","9.36")</f>
        <v>9.36</v>
      </c>
      <c r="H17" s="42" t="str">
        <f>HYPERLINK("https://satoriz-comboire.bio/products/big7430?_pos=4&amp;_sid=54d23de92&amp;_ss=r","9.07")</f>
        <v>9.07</v>
      </c>
      <c r="J17" s="42" t="str">
        <f>HYPERLINK("https://www.greenweez.com/produit/sirop-de-menthe-1l/1MENE0020","8.48")</f>
        <v>8.48</v>
      </c>
    </row>
    <row r="18" spans="1:11" x14ac:dyDescent="0.3">
      <c r="A18" t="s">
        <v>43</v>
      </c>
      <c r="B18" s="37" t="str">
        <f>HYPERLINK("https://lafourche.fr/products/elibio-sirop-de-genadine-bio-0-5l","5.97")</f>
        <v>5.97</v>
      </c>
      <c r="D18" s="42" t="str">
        <f>HYPERLINK("https://www.biocoop.fr/magasin-biocoop_champollion/sirop-grenadine-70cl-bg5000-000.html","888888")</f>
        <v>888888</v>
      </c>
      <c r="F18" s="42" t="str">
        <f>HYPERLINK("https://www.biocoop.fr/magasin-biocoop_fontaine/sirop-grenadine-70cl-bg5000-000.html","9.64")</f>
        <v>9.64</v>
      </c>
      <c r="H18" s="42" t="str">
        <f>HYPERLINK("https://satoriz-comboire.bio/products/st60234?_pos=1&amp;_sid=5b36669db&amp;_ss=r","9.5")</f>
        <v>9.5</v>
      </c>
      <c r="J18" s="42" t="str">
        <f>HYPERLINK("https://www.greenweez.com/produit/sirop-de-grenadine-1l/1MENE0019","8.48")</f>
        <v>8.48</v>
      </c>
    </row>
    <row r="19" spans="1:11" x14ac:dyDescent="0.3">
      <c r="A19" t="s">
        <v>44</v>
      </c>
      <c r="B19" s="37" t="str">
        <f>HYPERLINK("https://lafourche.fr/products/elibio-sirop-de-citron-bio-1l","5.97")</f>
        <v>5.97</v>
      </c>
      <c r="D19" s="42" t="str">
        <f>HYPERLINK("https://www.biocoop.fr/magasin-biocoop_champollion/sirop-de-citron-au-sucre-de-canne-70cl-ro6000-000.html","7.07")</f>
        <v>7.07</v>
      </c>
      <c r="F19" s="42" t="str">
        <f>HYPERLINK("https://www.biocoop.fr/magasin-biocoop_fontaine/sirop-de-citron-au-sucre-de-canne-70cl-ro6000-000.html","7.21")</f>
        <v>7.21</v>
      </c>
      <c r="H19" s="42" t="str">
        <f>HYPERLINK("https://satoriz-comboire.bio/products/st60236?_pos=2&amp;_sid=bfaa22f0a&amp;_ss=r","9.2")</f>
        <v>9.2</v>
      </c>
      <c r="J19" s="42" t="str">
        <f>HYPERLINK("https://www.greenweez.com/produit/sirop-de-citron-1l/1MENE0021","8.48")</f>
        <v>8.48</v>
      </c>
    </row>
    <row r="20" spans="1:11" x14ac:dyDescent="0.3">
      <c r="A20" t="s">
        <v>45</v>
      </c>
      <c r="B20" s="37" t="str">
        <f>HYPERLINK("https://lafourche.fr/products/maison-meneau-sirop-dorgeat-bio-0-5l","11.98")</f>
        <v>11.98</v>
      </c>
      <c r="D20" s="42" t="str">
        <f>HYPERLINK("https://www.biocoop.fr/magasin-biocoop_champollion/sirop-d-orgeat-au-sucre-de-canne-50cl-mb0006-000.html","12.2")</f>
        <v>12.2</v>
      </c>
      <c r="F20" s="42" t="str">
        <f>HYPERLINK("https://www.biocoop.fr/magasin-biocoop_fontaine/sirop-d-orgeat-au-sucre-de-canne-50cl-mb0006-000.html","13.8")</f>
        <v>13.8</v>
      </c>
      <c r="H20" s="42" t="str">
        <f>HYPERLINK("https://satoriz-comboire.bio/products/st97029?_pos=1&amp;_sid=940e9ee22&amp;_ss=r","13.9")</f>
        <v>13.9</v>
      </c>
      <c r="J20" s="42" t="str">
        <f>HYPERLINK("https://www.greenweez.com/produit/sirop-dorgeat-50cl/1MENE0053","13.18")</f>
        <v>13.18</v>
      </c>
    </row>
    <row r="21" spans="1:11" x14ac:dyDescent="0.3">
      <c r="A21" t="s">
        <v>46</v>
      </c>
      <c r="B21" s="37" t="str">
        <f>HYPERLINK("https://lafourche.fr/products/maison-meneau-sirop-peche-50cl-bio","13.58")</f>
        <v>13.58</v>
      </c>
      <c r="D21">
        <v>888888</v>
      </c>
      <c r="F21">
        <v>888888</v>
      </c>
      <c r="H21" s="42" t="str">
        <f>HYPERLINK("https://satoriz-comboire.bio/products/st97047?_pos=1&amp;_sid=805242a5b&amp;_ss=r","15.3")</f>
        <v>15.3</v>
      </c>
      <c r="J21" s="42" t="str">
        <f>HYPERLINK("https://www.greenweez.com/produit/sirop-de-peche-50cl/1MENE0056","13.94")</f>
        <v>13.94</v>
      </c>
    </row>
    <row r="22" spans="1:11" x14ac:dyDescent="0.3">
      <c r="A22" s="35" t="s">
        <v>47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1:11" x14ac:dyDescent="0.3">
      <c r="A23" t="s">
        <v>48</v>
      </c>
      <c r="B23" s="37" t="str">
        <f>HYPERLINK("https://lafourche.fr/products/cola-bio","2.99")</f>
        <v>2.99</v>
      </c>
      <c r="D23" s="42" t="str">
        <f>HYPERLINK("https://www.biocoop.fr/magasin-biocoop_champollion/cola-1l-vt0680-000.html","4.05")</f>
        <v>4.05</v>
      </c>
      <c r="F23" s="42" t="str">
        <f>HYPERLINK("https://www.biocoop.fr/magasin-biocoop_fontaine/cola-1l-vt0680-000.html","4.15")</f>
        <v>4.15</v>
      </c>
      <c r="H23" s="42" t="str">
        <f>HYPERLINK("https://satoriz-comboire.bio/products/vtcola?_pos=2&amp;_sid=a5c47adfe&amp;_ss=r","3.65")</f>
        <v>3.65</v>
      </c>
      <c r="J23" s="42" t="str">
        <f>HYPERLINK("https://www.greenweez.com/produit/cola-bio-equitable-1l/5VITA0045","3.95")</f>
        <v>3.95</v>
      </c>
    </row>
    <row r="24" spans="1:11" x14ac:dyDescent="0.3">
      <c r="A24" t="s">
        <v>49</v>
      </c>
      <c r="B24" s="42" t="str">
        <f>HYPERLINK("https://lafourche.fr/products/vitamont-limonade-d-antan-75cl-bio","3.6")</f>
        <v>3.6</v>
      </c>
      <c r="D24" s="42" t="str">
        <f>HYPERLINK("https://www.biocoop.fr/magasin-biocoop_champollion/limonade-75cl-mb0067-000.html","3.13")</f>
        <v>3.13</v>
      </c>
      <c r="F24" s="42" t="str">
        <f>HYPERLINK("https://www.biocoop.fr/magasin-biocoop_fontaine/limonade-75cl-mb0067-000.html","3.13")</f>
        <v>3.13</v>
      </c>
      <c r="H24" s="37" t="str">
        <f>HYPERLINK("https://satoriz-comboire.bio/products/selm1?_pos=1&amp;_sid=7ce88d87a&amp;_ss=r","2.85")</f>
        <v>2.85</v>
      </c>
      <c r="J24" s="42" t="str">
        <f>HYPERLINK("https://www.greenweez.com/produit/limonade-dantan-75cl-25-cl-offerts/5VITA0081","3.35")</f>
        <v>3.35</v>
      </c>
    </row>
    <row r="25" spans="1:11" x14ac:dyDescent="0.3">
      <c r="A25" t="s">
        <v>50</v>
      </c>
      <c r="B25" s="42" t="str">
        <f>HYPERLINK("https://lafourche.fr/products/vitamont-citronnade-au-pur-jus-de-citron-jaune-75cl-bio","3.47")</f>
        <v>3.47</v>
      </c>
      <c r="D25" s="42" t="str">
        <f>HYPERLINK("https://www.biocoop.fr/magasin-biocoop_champollion/citronnade-citron-vert-75cl-vt4959-000.html","888888")</f>
        <v>888888</v>
      </c>
      <c r="F25" s="42" t="str">
        <f>HYPERLINK("https://www.biocoop.fr/magasin-biocoop_fontaine/citronnade-citron-vert-75cl-vt4959-000.html","4.07")</f>
        <v>4.07</v>
      </c>
      <c r="H25" s="37" t="str">
        <f>HYPERLINK("https://satoriz-comboire.bio/products/vt10883?_pos=3&amp;_sid=d446ce772&amp;_ss=r","3.4")</f>
        <v>3.4</v>
      </c>
      <c r="J25" s="42" t="str">
        <f>HYPERLINK("https://www.greenweez.com/produit/citronnade-citrons-jaunes-bio-75cl/5VITA0060","888888")</f>
        <v>888888</v>
      </c>
    </row>
    <row r="26" spans="1:11" x14ac:dyDescent="0.3">
      <c r="A26" t="s">
        <v>51</v>
      </c>
      <c r="B26" s="37" t="str">
        <f>HYPERLINK("https://lafourche.fr/products/coteaux-nantais-bio-apibul-pommes-75cl","4.6")</f>
        <v>4.6</v>
      </c>
      <c r="D26" s="42" t="str">
        <f>HYPERLINK("https://www.biocoop.fr/magasin-biocoop_champollion/petillant-de-fruit-100-pomme-75cl-or1100-000.html","4.89")</f>
        <v>4.89</v>
      </c>
      <c r="F26" s="42" t="str">
        <f>HYPERLINK("https://www.biocoop.fr/magasin-biocoop_fontaine/apibul-pommes-75cl-cn0040-000.html","5.24")</f>
        <v>5.24</v>
      </c>
      <c r="H26" s="42" t="str">
        <f>HYPERLINK("https://satoriz-comboire.bio/collections/boissons-sans-alcools/products/cn0057","5.27")</f>
        <v>5.27</v>
      </c>
      <c r="J26" s="45" t="str">
        <f>HYPERLINK("https://www.greenweez.com/produit/apibul-pommes-75cl/1COTE0197","5.71")</f>
        <v>5.71</v>
      </c>
    </row>
    <row r="27" spans="1:11" x14ac:dyDescent="0.3">
      <c r="A27" t="s">
        <v>52</v>
      </c>
      <c r="B27" s="37" t="str">
        <f>HYPERLINK("https://lafourche.fr/products/coteaux-nantais-bio-apibul-pommes-framboises-75cl","5.19")</f>
        <v>5.19</v>
      </c>
      <c r="D27">
        <v>888888</v>
      </c>
      <c r="F27">
        <v>888888</v>
      </c>
      <c r="H27" s="42" t="str">
        <f>HYPERLINK("https://satoriz-comboire.bio/collections/boissons-sans-alcools/products/cn0039","6.4")</f>
        <v>6.4</v>
      </c>
      <c r="J27" s="42" t="str">
        <f>HYPERLINK("https://www.greenweez.com/produit/apibul-pommes-framboises-75cl/1COTE0031","6.88")</f>
        <v>6.88</v>
      </c>
    </row>
    <row r="28" spans="1:11" x14ac:dyDescent="0.3">
      <c r="A28" s="5" t="s">
        <v>53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3">
      <c r="A29" t="s">
        <v>54</v>
      </c>
      <c r="B29" s="37" t="str">
        <f>HYPERLINK("https://lafourche.fr/products/la-fourche-cafe-en-grains-equilibre-arabica-honduras-bio-equitable-1kg","13.9")</f>
        <v>13.9</v>
      </c>
      <c r="D29" s="42" t="str">
        <f>HYPERLINK("https://www.biocoop.fr/magasin-biocoop_champollion/cafe-mexique-grains-bio-mx0046-000.html","21.25")</f>
        <v>21.25</v>
      </c>
      <c r="F29" s="42" t="str">
        <f>HYPERLINK("https://www.biocoop.fr/magasin-biocoop_fontaine/cafe-melange-tresor-peuples-grains-500g-cp4105-000.html","20.8")</f>
        <v>20.8</v>
      </c>
      <c r="H29" s="42" t="str">
        <f>HYPERLINK("https://satoriz-comboire.bio/collections/epicerie-sucree/products/dag53","14.3")</f>
        <v>14.3</v>
      </c>
      <c r="J29" s="42" t="str">
        <f>HYPERLINK("https://www.greenweez.com/produit/cafe-en-grains-100-arabica-medium-1kg/2BIOD0010","14.95")</f>
        <v>14.95</v>
      </c>
    </row>
    <row r="30" spans="1:11" x14ac:dyDescent="0.3">
      <c r="A30" t="s">
        <v>55</v>
      </c>
      <c r="B30" s="37" t="str">
        <f>HYPERLINK("https://lafourche.fr/products/lima-chicoree-bio-500g","11.3")</f>
        <v>11.3</v>
      </c>
      <c r="D30" s="42" t="str">
        <f>HYPERLINK("https://www.biocoop.fr/magasin-biocoop_champollion/magasin-biocoop_champollion/chicoree-bio-lr5005-000.html","888888")</f>
        <v>888888</v>
      </c>
      <c r="F30" s="42" t="str">
        <f>HYPERLINK("https://www.biocoop.fr/magasin-biocoop_fontaine/chicoree-torrefiee-gout-doux-lr5001-000.html","21.25")</f>
        <v>21.25</v>
      </c>
      <c r="H30" s="42" t="str">
        <f>HYPERLINK("https://satoriz-comboire.bio/collections/epicerie-sucree/products/re42658","14.88")</f>
        <v>14.88</v>
      </c>
      <c r="J30" s="42" t="str">
        <f>HYPERLINK("https://www.greenweez.com/produit/chicoree-cicoria-original-filtre-500g/1LIMA0071","12.98")</f>
        <v>12.98</v>
      </c>
    </row>
    <row r="31" spans="1:11" x14ac:dyDescent="0.3">
      <c r="A31" t="s">
        <v>56</v>
      </c>
      <c r="B31" s="37" t="str">
        <f>HYPERLINK("https://lafourche.fr/products/bio-pour-tous-chicoree-torrefiee-soluble-bio-0-2kg","31.5")</f>
        <v>31.5</v>
      </c>
      <c r="D31" s="42" t="str">
        <f>HYPERLINK("https://www.biocoop.fr/magasin-biocoop_champollion/magasin-biocoop_champollion/chicoree-soluble-200g-lr5007-000.html","888888")</f>
        <v>888888</v>
      </c>
      <c r="F31" s="42" t="str">
        <f>HYPERLINK("https://www.biocoop.fr/magasin-biocoop_fontaine/chicoree-instantanee-recharge-180g-pr5353-000.html","40.28")</f>
        <v>40.28</v>
      </c>
      <c r="H31" s="42" t="str">
        <f>HYPERLINK("https://satoriz-comboire.bio/collections/epicerie-sucree/products/re41362","32.0")</f>
        <v>32.0</v>
      </c>
      <c r="J31" s="42" t="str">
        <f>HYPERLINK("https://www.greenweez.com/produit/chicoree-torrefiee-soluble-bio-200g/1DAGO0034","37.5")</f>
        <v>37.5</v>
      </c>
    </row>
    <row r="32" spans="1:11" x14ac:dyDescent="0.3">
      <c r="A32" t="s">
        <v>57</v>
      </c>
      <c r="B32" s="37" t="str">
        <f>HYPERLINK("https://lafourche.fr/products/la-fourche-cafe-moulu-equilibre-arabica-honduras-bio-equitable-0-5kg","13.8")</f>
        <v>13.8</v>
      </c>
      <c r="D32" s="42" t="str">
        <f>HYPERLINK("https://www.biocoop.fr/magasin-biocoop_champollion/cafe-arabica-melange-origine-equilibre-mx0055-000.html","18.6")</f>
        <v>18.6</v>
      </c>
      <c r="F32" s="42" t="str">
        <f>HYPERLINK("https://www.biocoop.fr/magasin-biocoop_fontaine/cafe-melange-tresor-des-andes-500g-cp4107-000.html","14.4")</f>
        <v>14.4</v>
      </c>
      <c r="H32" s="37" t="str">
        <f>HYPERLINK("https://satoriz-comboire.bio/collections/epicerie-sucree/products/st13500","13.8")</f>
        <v>13.8</v>
      </c>
      <c r="J32" s="42" t="str">
        <f>HYPERLINK("https://www.greenweez.com/produit/cafe-moulu-100-arabica-medium-500g/2BIOD0016","15.88")</f>
        <v>15.88</v>
      </c>
    </row>
    <row r="33" spans="1:12" x14ac:dyDescent="0.3">
      <c r="A33" t="s">
        <v>58</v>
      </c>
      <c r="B33" s="9" t="str">
        <f>HYPERLINK("https://lafourche.fr/products/biodyssee-poudre-chocolatee-32-bio-800g","8.44")</f>
        <v>8.44</v>
      </c>
      <c r="C33" s="8" t="s">
        <v>59</v>
      </c>
      <c r="D33" s="9" t="str">
        <f>HYPERLINK("https://www.biocoop.fr/poudre-cacaotee-pour-le-petit-dejeuner-jk1001-000.html","7.49")</f>
        <v>7.49</v>
      </c>
      <c r="E33" t="s">
        <v>15</v>
      </c>
      <c r="F33" s="9" t="str">
        <f>HYPERLINK("https://www.biocoop.fr/poudre-cacaotee-pour-le-petit-dejeuner-jk1001-000.html","7.49")</f>
        <v>7.49</v>
      </c>
      <c r="H33" s="7" t="str">
        <f>HYPERLINK("https://satoriz-comboire.bio/collections/epicerie-sucree/products/re47003","6.5")</f>
        <v>6.5</v>
      </c>
      <c r="I33" s="10" t="s">
        <v>60</v>
      </c>
      <c r="J33" s="9" t="str">
        <f>HYPERLINK("https://www.greenweez.com/produit/preparation-en-poudre-cacao-cool-matin-500g/1VITA0049","13.8")</f>
        <v>13.8</v>
      </c>
      <c r="K33" s="8" t="s">
        <v>61</v>
      </c>
      <c r="L33">
        <v>0.2</v>
      </c>
    </row>
    <row r="34" spans="1:12" ht="18.75" customHeight="1" x14ac:dyDescent="0.3">
      <c r="A34" t="s">
        <v>62</v>
      </c>
      <c r="B34" s="9" t="str">
        <f>HYPERLINK("https://lafourche.fr/products/biodyssee-poudre-de-cacao-maigre-10-12-mg-250g","11.96")</f>
        <v>11.96</v>
      </c>
      <c r="C34" s="8" t="s">
        <v>63</v>
      </c>
      <c r="D34" s="9" t="str">
        <f>HYPERLINK("https://www.biocoop.fr/poudre-cacao-pur-250g-jk1000-000.html","21.4")</f>
        <v>21.4</v>
      </c>
      <c r="E34" t="s">
        <v>15</v>
      </c>
      <c r="F34" s="9" t="str">
        <f>HYPERLINK("https://www.biocoop.fr/poudre-cacao-pur-250g-jk1000-000.html","19.96")</f>
        <v>19.96</v>
      </c>
      <c r="H34" s="9" t="str">
        <f>HYPERLINK("https://satoriz-comboire.bio/collections/epicerie-sucree/products/ma9011","14.8")</f>
        <v>14.8</v>
      </c>
      <c r="I34" s="10" t="s">
        <v>64</v>
      </c>
      <c r="J34" s="7" t="str">
        <f>HYPERLINK("https://www.greenweez.com/produit/poudre-de-cacao-bio-500g/2WEEZ0158","10.98")</f>
        <v>10.98</v>
      </c>
      <c r="K34" s="8" t="s">
        <v>65</v>
      </c>
    </row>
    <row r="35" spans="1:12" x14ac:dyDescent="0.3">
      <c r="A35" t="s">
        <v>66</v>
      </c>
      <c r="B35" s="42" t="str">
        <f>HYPERLINK("https://lafourche.fr/products/biodyssee-the-vert-gunpowder-de-chine-bio-100g","40.5")</f>
        <v>40.5</v>
      </c>
      <c r="D35" s="42" t="str">
        <f>HYPERLINK("https://www.biocoop.fr/magasin-biocoop_champollion/the-vert-chine-gunpowder-jg0161-000.html","65.5")</f>
        <v>65.5</v>
      </c>
      <c r="F35" s="42" t="str">
        <f>HYPERLINK("https://www.biocoop.fr/magasin-biocoop_fontaine/the-vert-jasmin-bio-tp2027-000.html","55.9")</f>
        <v>55.9</v>
      </c>
      <c r="H35" s="42" t="str">
        <f>HYPERLINK("https://satoriz-comboire.bio/collections/epicerie-sucree/products/st23518","51.25")</f>
        <v>51.25</v>
      </c>
      <c r="J35" s="37" t="str">
        <f>HYPERLINK("https://www.greenweez.com/produit/the-vert-gunpowder-bio-vrac-200g/2WEEZ0431","25.05")</f>
        <v>25.05</v>
      </c>
    </row>
    <row r="36" spans="1:12" x14ac:dyDescent="0.3">
      <c r="A36" t="s">
        <v>67</v>
      </c>
      <c r="B36" s="37" t="str">
        <f>HYPERLINK("https://lafourche.fr/products/biodyssee-the-vert-sencha-de-chine-bio-100g","42.7")</f>
        <v>42.7</v>
      </c>
      <c r="D36" s="42" t="str">
        <f>HYPERLINK("https://www.biocoop.fr/magasin-biocoop_champollion/the-vert-chine-sencha-zhejiang-bio-jg0679-000.html","52.9")</f>
        <v>52.9</v>
      </c>
      <c r="F36" s="42" t="str">
        <f>HYPERLINK("https://www.biocoop.fr/magasin-biocoop_fontaine/the-vert-chine-sencha-zhejiang-bio-jg0679-000.html","52.4")</f>
        <v>52.4</v>
      </c>
      <c r="H36" s="42" t="str">
        <f>HYPERLINK("https://satoriz-comboire.bio/collections/epicerie-sucree/products/st23515","60.25")</f>
        <v>60.25</v>
      </c>
      <c r="J36" s="42" t="str">
        <f>HYPERLINK("https://www.greenweez.com/produit/the-vert-sencha-origine-chine-200g/1DEST0533","50.9")</f>
        <v>50.9</v>
      </c>
    </row>
    <row r="37" spans="1:12" x14ac:dyDescent="0.3">
      <c r="A37" t="s">
        <v>68</v>
      </c>
      <c r="B37" s="42" t="str">
        <f>HYPERLINK("https://lafourche.fr/products/biodyssee-the-noir-breakfast-de-ceylan-bio-100g","39.8")</f>
        <v>39.8</v>
      </c>
      <c r="D37" s="42" t="str">
        <f>HYPERLINK("https://www.biocoop.fr/magasin-biocoop_champollion/the-noir-english-breakfast-bio-jg0155-000.html","52.23")</f>
        <v>52.23</v>
      </c>
      <c r="F37" s="42" t="str">
        <f>HYPERLINK("https://www.biocoop.fr/magasin-biocoop_fontaine/the-noir-breakfast-ceylan-100g-to1025-000.html","43.3")</f>
        <v>43.3</v>
      </c>
      <c r="H37" s="42" t="str">
        <f>HYPERLINK("https://satoriz-comboire.bio/products/st23502?_pos=3&amp;_sid=b9236397b&amp;_ss=r","62.5")</f>
        <v>62.5</v>
      </c>
      <c r="J37" s="37" t="str">
        <f>HYPERLINK("https://www.greenweez.com/produit/the-noir-breakfast-bio-vrac-200g/2WEEZ0434","29.3")</f>
        <v>29.3</v>
      </c>
    </row>
    <row r="38" spans="1:12" x14ac:dyDescent="0.3">
      <c r="A38" t="s">
        <v>69</v>
      </c>
      <c r="B38" s="37" t="str">
        <f>HYPERLINK("https://lafourche.fr/products/la-fourche-the-vert-menthe-bio-equitable-0-1kg","39.9")</f>
        <v>39.9</v>
      </c>
      <c r="D38" s="42" t="str">
        <f>HYPERLINK("https://www.biocoop.fr/magasin-biocoop_champollion/the-vert-menthe-parfum-de-medina-bio-jg0677-000.html","52.29")</f>
        <v>52.29</v>
      </c>
      <c r="F38" s="42" t="str">
        <f>HYPERLINK("https://www.biocoop.fr/magasin-biocoop_fontaine/the-vert-menthe-parfum-de-medina-bio-jg0677-000.html","51.9")</f>
        <v>51.9</v>
      </c>
      <c r="H38" s="42" t="str">
        <f>HYPERLINK("https://satoriz-comboire.bio/products/st23516?_pos=2&amp;_sid=f98d83d08&amp;_ss=r","73.25")</f>
        <v>73.25</v>
      </c>
      <c r="J38" s="42" t="str">
        <f>HYPERLINK("https://www.greenweez.com/produit/the-vert-a-la-menthe-200g/1DEST0423","68.35")</f>
        <v>68.35</v>
      </c>
    </row>
    <row r="39" spans="1:12" x14ac:dyDescent="0.3">
      <c r="A39" t="s">
        <v>70</v>
      </c>
      <c r="B39" s="42" t="str">
        <f>HYPERLINK("https://lafourche.fr/products/biodyssee-the-vert-fleuri-au-jasmin-bio-0-1kg","46.1")</f>
        <v>46.1</v>
      </c>
      <c r="D39" s="42" t="str">
        <f>HYPERLINK("https://www.biocoop.fr/magasin-biocoop_champollion/the-vert-jasmin-flowers-bio-jg0087-000.html","70.82")</f>
        <v>70.82</v>
      </c>
      <c r="F39" s="42" t="str">
        <f>HYPERLINK("https://www.biocoop.fr/magasin-biocoop_fontaine/the-vert-jasmin-bio-tp2027-000.html","55.9")</f>
        <v>55.9</v>
      </c>
      <c r="H39" s="42" t="str">
        <f>HYPERLINK("https://satoriz-comboire.bio/products/ma04628?_pos=3&amp;_sid=81e463890&amp;_ss=r","63.54")</f>
        <v>63.54</v>
      </c>
      <c r="J39" s="37" t="str">
        <f>HYPERLINK("https://www.greenweez.com/produit/the-vert-jasmin-bio-vrac-200g/2WEEZ0433","37.8")</f>
        <v>37.8</v>
      </c>
    </row>
    <row r="40" spans="1:12" ht="18.75" customHeight="1" x14ac:dyDescent="0.3">
      <c r="A40" t="s">
        <v>71</v>
      </c>
      <c r="B40" s="42" t="str">
        <f>HYPERLINK("https://lafourche.fr/products/gaia-rooibos-nature-100g","48.4")</f>
        <v>48.4</v>
      </c>
      <c r="D40" s="42" t="str">
        <f>HYPERLINK("https://www.biocoop.fr/magasin-biocoop_champollion/rooibos-nature-to1011-000.html","47.5")</f>
        <v>47.5</v>
      </c>
      <c r="F40" s="42" t="str">
        <f>HYPERLINK("https://www.biocoop.fr/magasin-biocoop_fontaine/rooibos-nature-to1011-000.html","40.8")</f>
        <v>40.8</v>
      </c>
      <c r="H40" s="42" t="str">
        <f>HYPERLINK("https://satoriz-comboire.bio/collections/epicerie-sucree/products/st6062","45.5")</f>
        <v>45.5</v>
      </c>
      <c r="J40" s="37" t="str">
        <f>HYPERLINK("https://www.greenweez.com/produit/rooibos-nature-dafrique-du-sud-100g/1DEST0413","40.0")</f>
        <v>40.0</v>
      </c>
    </row>
    <row r="41" spans="1:12" x14ac:dyDescent="0.3">
      <c r="A41" t="s">
        <v>72</v>
      </c>
      <c r="B41" s="37" t="str">
        <f>HYPERLINK("https://lafourche.fr/products/yogi-tea-infusion-chai-tea-bio-90g","44.33")</f>
        <v>44.33</v>
      </c>
      <c r="D41" s="42" t="str">
        <f>HYPERLINK("https://www.biocoop.fr/magasin-biocoop_champollion/tisane-classic-chai-90g-gt1000-000.html","51.67")</f>
        <v>51.67</v>
      </c>
      <c r="F41" s="42" t="str">
        <f>HYPERLINK("https://www.biocoop.fr/magasin-biocoop_fontaine/tisane-classic-chai-90g-gt1000-000.html","51.67")</f>
        <v>51.67</v>
      </c>
      <c r="H41" s="42" t="str">
        <f>HYPERLINK("https://satoriz-comboire.bio/products/pu710051?_pos=4&amp;_sid=56ad69599&amp;_ss=r","46.67")</f>
        <v>46.67</v>
      </c>
      <c r="J41" s="42" t="str">
        <f>HYPERLINK("https://www.greenweez.com/produit/infusion-vrac-classic-chai-90g/1YOGI0049","50.22")</f>
        <v>50.22</v>
      </c>
    </row>
    <row r="42" spans="1:12" x14ac:dyDescent="0.3">
      <c r="A42" t="s">
        <v>73</v>
      </c>
      <c r="B42" s="37" t="str">
        <f>HYPERLINK("https://lafourche.fr/products/gaia-tisane-bonne-nuit-50g","106")</f>
        <v>106</v>
      </c>
      <c r="D42" s="42" t="str">
        <f>HYPERLINK("https://www.biocoop.fr/magasin-biocoop_champollion/tisane-bonne-nuit-jg0634-000.html","128.0")</f>
        <v>128.0</v>
      </c>
      <c r="F42" s="42" t="str">
        <f>HYPERLINK("https://www.biocoop.fr/magasin-biocoop_fontaine/tisane-bonne-nuit-jg0634-000.html","128.0")</f>
        <v>128.0</v>
      </c>
      <c r="H42" s="42" t="str">
        <f>HYPERLINK("https://satoriz-comboire.bio/collections/epicerie-sucree/products/jgth502","122.0")</f>
        <v>122.0</v>
      </c>
      <c r="J42" s="42" t="str">
        <f>HYPERLINK("https://www.greenweez.com/produit/tisane-bonne-nuit-50g/3JARD0022","125.8")</f>
        <v>125.8</v>
      </c>
    </row>
    <row r="43" spans="1:12" x14ac:dyDescent="0.3">
      <c r="A43" t="s">
        <v>74</v>
      </c>
      <c r="B43" s="37" t="str">
        <f>HYPERLINK("https://lafourche.fr/products/gaia-tisane-calmetoux-50g","109")</f>
        <v>109</v>
      </c>
      <c r="D43" s="42" t="str">
        <f>HYPERLINK("https://www.biocoop.fr/magasin-biocoop_champollion/tisane-calmetoux-jg0637-000.html","128.0")</f>
        <v>128.0</v>
      </c>
      <c r="F43" s="42" t="str">
        <f>HYPERLINK("https://www.biocoop.fr/magasin-biocoop_fontaine/tisane-calmetoux-jg0637-000.html","128.0")</f>
        <v>128.0</v>
      </c>
      <c r="H43" s="42" t="str">
        <f>HYPERLINK("https://satoriz-comboire.bio/collections/epicerie-sucree/products/jgth508","122.0")</f>
        <v>122.0</v>
      </c>
      <c r="J43" s="42" t="str">
        <f>HYPERLINK("https://www.greenweez.com/produit/tisane-calme-toux-50g/3JARD0074","123.6")</f>
        <v>123.6</v>
      </c>
    </row>
    <row r="44" spans="1:12" x14ac:dyDescent="0.3">
      <c r="A44" t="s">
        <v>75</v>
      </c>
      <c r="B44" s="37" t="str">
        <f>HYPERLINK("https://lafourche.fr/products/les-jardins-de-gaia-tisane-remede-elfique-bio-0-05kg","106")</f>
        <v>106</v>
      </c>
      <c r="D44" s="42" t="str">
        <f>HYPERLINK("https://www.biocoop.fr/magasin-biocoop_champollion/tisane-remede-elfique-50g-aa0429-000.html","888888")</f>
        <v>888888</v>
      </c>
      <c r="F44" s="42" t="str">
        <f>HYPERLINK("https://www.biocoop.fr/magasin-biocoop_fontaine/tisane-remede-elfique-50g-aa0429-000.html","124.0")</f>
        <v>124.0</v>
      </c>
      <c r="H44" s="42" t="str">
        <f>HYPERLINK("https://satoriz-comboire.bio/collections/epicerie-sucree/products/jgth517","122.0")</f>
        <v>122.0</v>
      </c>
      <c r="J44" s="42" t="str">
        <f>HYPERLINK("https://www.greenweez.com/produit/tisane-remede-elfique-detox-50g/3JARD0021","123.6")</f>
        <v>123.6</v>
      </c>
    </row>
    <row r="46" spans="1:12" ht="18.75" customHeight="1" x14ac:dyDescent="0.35">
      <c r="A46" s="3" t="s">
        <v>76</v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2" x14ac:dyDescent="0.3">
      <c r="A47" s="5" t="s">
        <v>77</v>
      </c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2" x14ac:dyDescent="0.3">
      <c r="A48" t="s">
        <v>78</v>
      </c>
      <c r="B48" s="9" t="str">
        <f>HYPERLINK("https://lafourche.fr/products/hipp-lait-1-pour-nourrissons-combiotic-0-6-mois-0-8kg","22.24")</f>
        <v>22.24</v>
      </c>
      <c r="C48" s="8" t="s">
        <v>79</v>
      </c>
      <c r="D48" s="9" t="str">
        <f>HYPERLINK("https://www.biocoop.fr/lait-infantile-1er-age-800g-nt2000-000.html","19.7")</f>
        <v>19.7</v>
      </c>
      <c r="E48" s="10" t="s">
        <v>80</v>
      </c>
      <c r="F48" s="7" t="str">
        <f>HYPERLINK("https://www.biocoop.fr/lait-infantile-1er-age-800g-nt2000-000.html","18.9")</f>
        <v>18.9</v>
      </c>
      <c r="H48" s="9" t="str">
        <f>HYPERLINK("https://satoriz-comboire.bio/collections/bebe/products/pu660168808","22.88")</f>
        <v>22.88</v>
      </c>
      <c r="I48" s="8" t="s">
        <v>81</v>
      </c>
      <c r="J48" s="9" t="str">
        <f>HYPERLINK("https://www.greenweez.com/produit/lot-de-3-lait-1-combiotic-r-pour-nourrissons-de-0-a-6-mois/1PACK3439","22.01")</f>
        <v>22.01</v>
      </c>
      <c r="K48" s="10" t="s">
        <v>82</v>
      </c>
    </row>
    <row r="49" spans="1:12" x14ac:dyDescent="0.3">
      <c r="A49" t="s">
        <v>83</v>
      </c>
      <c r="B49" s="9" t="str">
        <f>HYPERLINK("https://lafourche.fr/products/hipp-lait-2-de-suite-combiotic-des-6-mois-0-8kg","21.61")</f>
        <v>21.61</v>
      </c>
      <c r="C49" s="8" t="s">
        <v>84</v>
      </c>
      <c r="D49" s="9" t="str">
        <f>HYPERLINK("https://www.biocoop.fr/lait-infantile-2eme-age-800g-nt2001-000.html","19.99")</f>
        <v>19.99</v>
      </c>
      <c r="E49" s="10" t="s">
        <v>80</v>
      </c>
      <c r="F49" s="7" t="str">
        <f>HYPERLINK("https://www.biocoop.fr/lait-infantile-2eme-age-800g-nt2001-000.html","17.9")</f>
        <v>17.9</v>
      </c>
      <c r="H49" s="9" t="str">
        <f>HYPERLINK("https://satoriz-comboire.bio/collections/bebe/products/pu660154208","22.25")</f>
        <v>22.25</v>
      </c>
      <c r="I49" s="8" t="s">
        <v>85</v>
      </c>
      <c r="J49" s="9" t="str">
        <f>HYPERLINK("https://www.greenweez.com/produit/lot-de-3-x-lait-infantile-2eme-age-900g-de-6-a-12-mois/1PACK3351","19.91")</f>
        <v>19.91</v>
      </c>
      <c r="K49" t="s">
        <v>15</v>
      </c>
    </row>
    <row r="50" spans="1:12" x14ac:dyDescent="0.3">
      <c r="A50" t="s">
        <v>86</v>
      </c>
      <c r="B50" s="9" t="str">
        <f>HYPERLINK("https://lafourche.fr/products/hipp-lait-3-de-croissance-combiotic-des-10-mois-0-8kg","19.74")</f>
        <v>19.74</v>
      </c>
      <c r="C50" s="8" t="s">
        <v>87</v>
      </c>
      <c r="D50" s="9" t="str">
        <f>HYPERLINK("https://www.biocoop.fr/lait-infantile-3eme-age-800g-nt2002-000.html","18.9")</f>
        <v>18.9</v>
      </c>
      <c r="E50" s="10" t="s">
        <v>80</v>
      </c>
      <c r="F50" s="9" t="str">
        <f>HYPERLINK("https://www.biocoop.fr/lait-infantile-3eme-age-800g-nt2002-000.html","18.5")</f>
        <v>18.5</v>
      </c>
      <c r="H50" s="9" t="str">
        <f>HYPERLINK("https://satoriz-comboire.bio/collections/bebe/products/pu660154308","20.92")</f>
        <v>20.92</v>
      </c>
      <c r="I50" s="8" t="s">
        <v>88</v>
      </c>
      <c r="J50" s="7" t="str">
        <f>HYPERLINK("https://www.greenweez.com/produit/lot-de-3-laits-de-suite-3-demeter-600g-des-10-mois/1PACK3673","17.9")</f>
        <v>17.9</v>
      </c>
      <c r="K50" t="s">
        <v>15</v>
      </c>
    </row>
    <row r="51" spans="1:12" x14ac:dyDescent="0.3">
      <c r="A51" t="s">
        <v>89</v>
      </c>
      <c r="B51" s="37" t="str">
        <f>HYPERLINK("https://lafourche.fr/products/tidoo-liniment-oleocalcaire-familial-900ml","14.29")</f>
        <v>14.29</v>
      </c>
      <c r="D51" s="42" t="str">
        <f>HYPERLINK("https://www.biocoop.fr/magasin-biocoop_champollion/liniment-oleo-calcaire-bebe-lg5038-000.html","16.9")</f>
        <v>16.9</v>
      </c>
      <c r="F51" s="42" t="str">
        <f>HYPERLINK("https://www.biocoop.fr/magasin-biocoop_fontaine/liniment-oleo-calcaire-bebe-lg5038-000.html","17.6")</f>
        <v>17.6</v>
      </c>
      <c r="H51" s="42" t="str">
        <f>HYPERLINK("https://satoriz-comboire.bio/products/ecoae035?_pos=3&amp;_sid=db2ea40dc&amp;_ss=r","16.9")</f>
        <v>16.9</v>
      </c>
      <c r="J51" s="18" t="str">
        <f>HYPERLINK("https://www.greenweez.com/produit/liniment-bebe-oleocalcaire-1l/2WEEZ0527","10.9")</f>
        <v>10.9</v>
      </c>
    </row>
    <row r="53" spans="1:12" ht="18.75" customHeight="1" x14ac:dyDescent="0.35">
      <c r="A53" s="3" t="s">
        <v>90</v>
      </c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2" x14ac:dyDescent="0.3">
      <c r="A54" s="5" t="s">
        <v>91</v>
      </c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2" x14ac:dyDescent="0.3">
      <c r="A55" t="s">
        <v>92</v>
      </c>
      <c r="B55" s="7" t="str">
        <f>HYPERLINK("https://lafourche.fr/products/lazzaretti-gressin-rubata-a-l-huile-d-olive-bio-0-16kg","11.19")</f>
        <v>11.19</v>
      </c>
      <c r="D55" s="9" t="str">
        <f>HYPERLINK("https://www.biocoop.fr/gressins-a-l-huile-d-olive-vierge-sd2008-000.html","38.0")</f>
        <v>38.0</v>
      </c>
      <c r="F55" s="9" t="str">
        <f>HYPERLINK("https://www.biocoop.fr/gressin-nature-150g-gr4007-000.html","12.67")</f>
        <v>12.67</v>
      </c>
      <c r="H55" s="9" t="str">
        <f>HYPERLINK("https://satoriz-comboire.bio/collections/epicerie-salee/products/tgc01","12.67")</f>
        <v>12.67</v>
      </c>
      <c r="J55" s="9" t="str">
        <f>HYPERLINK("https://www.greenweez.com/produit/gressins-au-sesame-160g/1LAZZ0072","13.13")</f>
        <v>13.13</v>
      </c>
    </row>
    <row r="56" spans="1:12" x14ac:dyDescent="0.3">
      <c r="A56" t="s">
        <v>93</v>
      </c>
      <c r="B56" s="7" t="str">
        <f>HYPERLINK("https://lafourche.fr/products/moulin-des-moines-sticks-depeautre-200g-bio","9.95")</f>
        <v>9.95</v>
      </c>
      <c r="D56" s="9" t="str">
        <f>HYPERLINK("https://www.biocoop.fr/sticks-epeautre-pur-200g-ml1211-000.html","888888")</f>
        <v>888888</v>
      </c>
      <c r="F56" s="9" t="str">
        <f>HYPERLINK("https://www.biocoop.fr/sticks-epeautre-pur-200g-ml1211-000.html","10.95")</f>
        <v>10.95</v>
      </c>
      <c r="H56">
        <v>888888</v>
      </c>
      <c r="J56" s="9" t="str">
        <f>HYPERLINK("https://www.greenweez.com/produit/sticks-depeautre-a-lhuile-dolive-200g/1MOUL0035","888888")</f>
        <v>888888</v>
      </c>
    </row>
    <row r="57" spans="1:12" x14ac:dyDescent="0.3">
      <c r="A57" t="s">
        <v>94</v>
      </c>
      <c r="B57" s="9" t="str">
        <f>HYPERLINK("https://lafourche.fr/products/moulin-des-moines-bretzels-depeautre-150g-bio","11.53")</f>
        <v>11.53</v>
      </c>
      <c r="D57" s="9" t="str">
        <f>HYPERLINK("https://www.biocoop.fr/bretzel-epeautre-bio-ml1218-000.html","9.95")</f>
        <v>9.95</v>
      </c>
      <c r="F57" s="7" t="str">
        <f>HYPERLINK("https://www.biocoop.fr/bretzel-epeautre-bio-ml1218-000.html","9.0")</f>
        <v>9.0</v>
      </c>
      <c r="H57" s="9" t="str">
        <f>HYPERLINK("https://satoriz-comboire.bio/products/eu1740?_pos=1&amp;_psq=bretzel&amp;_ss=e&amp;_v=1.0","16.0")</f>
        <v>16.0</v>
      </c>
      <c r="J57" s="9" t="str">
        <f>HYPERLINK("https://www.greenweez.com/produit/bretzels-epeautre-sesame-et-huile-dolive-150g/1MOUL0033","11.67")</f>
        <v>11.67</v>
      </c>
    </row>
    <row r="58" spans="1:12" x14ac:dyDescent="0.3">
      <c r="A58" t="s">
        <v>95</v>
      </c>
      <c r="B58" s="7" t="str">
        <f>HYPERLINK("https://lafourche.fr/products/pural-chips-au-mais-nature-bio-0-2kg","10.9")</f>
        <v>10.9</v>
      </c>
      <c r="D58" s="9" t="str">
        <f>HYPERLINK("https://www.biocoop.fr/tortilla-chips-mais-natures-200g-ap0010-000.html","12.5")</f>
        <v>12.5</v>
      </c>
      <c r="F58" s="9" t="str">
        <f>HYPERLINK("https://www.biocoop.fr/tortilla-chips-mais-natures-200g-ap0010-000.html","12.5")</f>
        <v>12.5</v>
      </c>
      <c r="H58" s="9" t="str">
        <f>HYPERLINK("https://satoriz-comboire.bio/collections/epicerie-salee/products/po10","11.5")</f>
        <v>11.5</v>
      </c>
      <c r="J58" s="9" t="str">
        <f>HYPERLINK("https://www.greenweez.com/produit/chips-de-mais-nature-125g/1PURA0072","13.52")</f>
        <v>13.52</v>
      </c>
    </row>
    <row r="59" spans="1:12" x14ac:dyDescent="0.3">
      <c r="A59" t="s">
        <v>96</v>
      </c>
      <c r="B59" s="7" t="str">
        <f>HYPERLINK("https://lafourche.fr/products/trafo-chips-salees-125g","14.4")</f>
        <v>14.4</v>
      </c>
      <c r="D59" s="9" t="str">
        <f>HYPERLINK("https://www.biocoop.fr/chips-pdt-natures-100g-cs5010-000.html","27.0")</f>
        <v>27.0</v>
      </c>
      <c r="F59" s="9" t="str">
        <f>HYPERLINK("https://www.biocoop.fr/chips-pdt-natures-200g-ao4005-000.html","19.95")</f>
        <v>19.95</v>
      </c>
      <c r="H59" s="9" t="str">
        <f>HYPERLINK("https://satoriz-comboire.bio/collections/epicerie-salee/products/ma5776","15.6")</f>
        <v>15.6</v>
      </c>
      <c r="J59" s="9" t="str">
        <f>HYPERLINK("https://www.greenweez.com/produit/chips-nature-format-familial-220g/1APER0002","18.39")</f>
        <v>18.39</v>
      </c>
    </row>
    <row r="60" spans="1:12" x14ac:dyDescent="0.3">
      <c r="A60" t="s">
        <v>97</v>
      </c>
      <c r="B60" s="7" t="str">
        <f>HYPERLINK("https://lafourche.fr/products/la-fourche-250g-de-pistaches-en-coque-grillees-salees-en-vrac-bio","23.2")</f>
        <v>23.2</v>
      </c>
      <c r="C60" t="s">
        <v>15</v>
      </c>
      <c r="D60" s="9" t="str">
        <f>HYPERLINK("https://www.biocoop.fr/pistaches-coques-grillees-salees-bio-ag3041-000.html","32.39")</f>
        <v>32.39</v>
      </c>
      <c r="E60" t="s">
        <v>15</v>
      </c>
      <c r="F60" s="9" t="str">
        <f>HYPERLINK("https://www.biocoop.fr/pistaches-coques-grillees-salees-bio-ag3041-000.html","888888")</f>
        <v>888888</v>
      </c>
      <c r="H60" s="9" t="str">
        <f>HYPERLINK("https://satoriz-comboire.bio/collections/vrac/products/ag0653","24.9")</f>
        <v>24.9</v>
      </c>
      <c r="I60" s="10" t="s">
        <v>98</v>
      </c>
      <c r="J60" s="9" t="str">
        <f>HYPERLINK("https://www.greenweez.com/produit/pistaches-en-coques-grillees-salees-500g/2WEEZ0404","888888")</f>
        <v>888888</v>
      </c>
      <c r="K60" s="11" t="s">
        <v>99</v>
      </c>
    </row>
    <row r="61" spans="1:12" x14ac:dyDescent="0.3">
      <c r="A61" t="s">
        <v>100</v>
      </c>
      <c r="B61" s="7" t="str">
        <f>HYPERLINK("https://lafourche.fr/products/la-fourche-cacahuetes-grillees-salees-bio-en-vrac-0-5kg","7.7")</f>
        <v>7.7</v>
      </c>
      <c r="D61" s="9" t="str">
        <f>HYPERLINK("https://www.biocoop.fr/arachide-grillee-nature-bio-ag3062-000.html","10.8")</f>
        <v>10.8</v>
      </c>
      <c r="F61" s="9" t="str">
        <f>HYPERLINK("https://www.biocoop.fr/arachides-grillees-et-salees-egypte-bio-ag3063-000.html","11.8")</f>
        <v>11.8</v>
      </c>
      <c r="H61" s="9" t="str">
        <f>HYPERLINK("https://satoriz-comboire.bio/collections/vrac/products/bof3707","8.15")</f>
        <v>8.15</v>
      </c>
      <c r="J61" s="9" t="str">
        <f>HYPERLINK("https://www.greenweez.com/produit/arachides-decortiquees-grillees-nature-500g/2WEEZ0360","11.88")</f>
        <v>11.88</v>
      </c>
      <c r="L61">
        <v>0.25</v>
      </c>
    </row>
    <row r="62" spans="1:12" x14ac:dyDescent="0.3">
      <c r="A62" s="5" t="s">
        <v>101</v>
      </c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2" x14ac:dyDescent="0.3">
      <c r="A63" t="s">
        <v>102</v>
      </c>
      <c r="B63" s="7" t="str">
        <f>HYPERLINK("https://lafourche.fr/products/philia-bouillon-de-legumes-cubes-66g-bio","15")</f>
        <v>15</v>
      </c>
      <c r="C63" t="s">
        <v>15</v>
      </c>
      <c r="D63" s="9" t="str">
        <f>HYPERLINK("https://www.biocoop.fr/epicerie-salee/condiments-sauces-aides-culinaires/bouillons.html?product_list_order=price_ref_asc","22.16")</f>
        <v>22.16</v>
      </c>
      <c r="E63" t="s">
        <v>15</v>
      </c>
      <c r="F63" s="9" t="str">
        <f>HYPERLINK("https://www.biocoop.fr/bouillon-de-legumes-en-cube-hl1004-000.html","22.16")</f>
        <v>22.16</v>
      </c>
      <c r="H63" s="9" t="str">
        <f>HYPERLINK("https://satoriz-comboire.bio/products/ralegplu?_pos=9&amp;_sid=deed539af&amp;_ss=r","16.4")</f>
        <v>16.4</v>
      </c>
      <c r="I63" s="10" t="s">
        <v>103</v>
      </c>
      <c r="J63" s="9" t="str">
        <f>HYPERLINK("https://www.greenweez.com/produit/bouillon-de-legumes-en-poudre-sans-levure-500g/1RAPU0182","16.8")</f>
        <v>16.8</v>
      </c>
      <c r="K63" t="s">
        <v>15</v>
      </c>
    </row>
    <row r="64" spans="1:12" x14ac:dyDescent="0.3">
      <c r="A64" t="s">
        <v>104</v>
      </c>
      <c r="B64" s="7" t="str">
        <f>HYPERLINK("https://lafourche.fr/products/danival-cube-miso-bio-8x10g-bio","40.75")</f>
        <v>40.75</v>
      </c>
      <c r="C64" s="8" t="s">
        <v>105</v>
      </c>
      <c r="D64" s="9" t="str">
        <f>HYPERLINK("https://www.biocoop.fr/miso-cube-original-8-80g-dn1090-000.html","888888")</f>
        <v>888888</v>
      </c>
      <c r="E64" s="11" t="s">
        <v>99</v>
      </c>
      <c r="F64" s="9" t="str">
        <f>HYPERLINK("https://www.biocoop.fr/miso-cube-original-8-80g-dn1090-000.html","49.88")</f>
        <v>49.88</v>
      </c>
      <c r="H64" s="9" t="str">
        <f>HYPERLINK("https://satoriz-comboire.bio/products/da2889?_pos=3&amp;_sid=9469a6a77&amp;_ss=r","45.63")</f>
        <v>45.63</v>
      </c>
      <c r="I64" s="10" t="s">
        <v>106</v>
      </c>
      <c r="J64" s="9" t="str">
        <f>HYPERLINK("https://www.greenweez.com/produit/miso-en-cubes-original-8x10g/1DANI0197","46.63")</f>
        <v>46.63</v>
      </c>
      <c r="K64" s="8" t="s">
        <v>107</v>
      </c>
    </row>
    <row r="65" spans="1:12" x14ac:dyDescent="0.3">
      <c r="A65" t="s">
        <v>108</v>
      </c>
      <c r="B65" s="7" t="str">
        <f>HYPERLINK("https://lafourche.fr/products/danival-miso-riz-bio-0-39kg","17.87")</f>
        <v>17.87</v>
      </c>
      <c r="C65" t="s">
        <v>15</v>
      </c>
      <c r="D65" s="9" t="str">
        <f>HYPERLINK("https://www.biocoop.fr/miso-riz-200g-dn0733-000.html","24.95")</f>
        <v>24.95</v>
      </c>
      <c r="E65" t="s">
        <v>15</v>
      </c>
      <c r="F65" s="9" t="str">
        <f>HYPERLINK("https://www.biocoop.fr/miso-riz-200g-dn0733-000.html","24.95")</f>
        <v>24.95</v>
      </c>
      <c r="H65" s="9" t="str">
        <f>HYPERLINK("https://satoriz-comboire.bio/products/re2573?_pos=8&amp;_sid=9469a6a77&amp;_ss=r","20.38")</f>
        <v>20.38</v>
      </c>
      <c r="I65" s="8" t="s">
        <v>109</v>
      </c>
      <c r="J65" s="9" t="str">
        <f>HYPERLINK("https://www.greenweez.com/produit/miso-de-riz-390g/1DANI0048","20.67")</f>
        <v>20.67</v>
      </c>
      <c r="K65" s="8" t="s">
        <v>110</v>
      </c>
    </row>
    <row r="66" spans="1:12" x14ac:dyDescent="0.3">
      <c r="A66" t="s">
        <v>111</v>
      </c>
      <c r="B66" s="7" t="str">
        <f>HYPERLINK("https://lafourche.fr/products/la-fourche-gomasio-bio-0-5kg","9.98")</f>
        <v>9.98</v>
      </c>
      <c r="C66" s="8" t="s">
        <v>112</v>
      </c>
      <c r="D66" s="9" t="str">
        <f>HYPERLINK("https://www.biocoop.fr/gomasio-300g-he0775-000.html","20.17")</f>
        <v>20.17</v>
      </c>
      <c r="E66" s="8" t="s">
        <v>33</v>
      </c>
      <c r="F66" s="9" t="str">
        <f>HYPERLINK("https://www.biocoop.fr/gomasio-300g-he0775-000.html","20.33")</f>
        <v>20.33</v>
      </c>
      <c r="H66" s="9" t="str">
        <f>HYPERLINK("https://satoriz-comboire.bio/products/go300?_pos=3&amp;_sid=8c4a51e31&amp;_ss=r","19.5")</f>
        <v>19.5</v>
      </c>
      <c r="I66" s="8" t="s">
        <v>113</v>
      </c>
      <c r="J66" s="9" t="str">
        <f>HYPERLINK("https://www.greenweez.com/produit/gomasio-loriginal-500g/1SENF0012","12.98")</f>
        <v>12.98</v>
      </c>
      <c r="K66" s="8" t="s">
        <v>114</v>
      </c>
    </row>
    <row r="67" spans="1:12" x14ac:dyDescent="0.3">
      <c r="A67" t="s">
        <v>115</v>
      </c>
      <c r="B67" s="9" t="str">
        <f>HYPERLINK("https://lafourche.fr/products/la-fourche-curcuma-moulu-bio-0-25kg","14.76")</f>
        <v>14.76</v>
      </c>
      <c r="C67" s="8" t="s">
        <v>116</v>
      </c>
      <c r="D67" s="9" t="str">
        <f>HYPERLINK("https://www.biocoop.fr/curcuma-en-poudre-racine-bio-ck2048-000.html","19.7")</f>
        <v>19.7</v>
      </c>
      <c r="E67" t="s">
        <v>15</v>
      </c>
      <c r="F67" s="9" t="str">
        <f>HYPERLINK("https://www.biocoop.fr/curcuma-moulu-80g-ck1415-000.html","45.63")</f>
        <v>45.63</v>
      </c>
      <c r="H67" s="9" t="str">
        <f>HYPERLINK("https://satoriz-comboire.bio/products/cocurcrapc500?_pos=5&amp;_sid=0aacfc20c&amp;_ss=r","23.7")</f>
        <v>23.7</v>
      </c>
      <c r="I67" s="10" t="s">
        <v>117</v>
      </c>
      <c r="J67" s="7" t="str">
        <f>HYPERLINK("https://www.greenweez.com/produit/curcuma-poudre-bio-250g/2WEEZ0074","14.36")</f>
        <v>14.36</v>
      </c>
      <c r="K67" t="s">
        <v>15</v>
      </c>
    </row>
    <row r="68" spans="1:12" x14ac:dyDescent="0.3">
      <c r="A68" t="s">
        <v>118</v>
      </c>
      <c r="B68" s="9" t="str">
        <f>HYPERLINK("https://lafourche.fr/products/la-fourche-curry-jaune-moulu-bio-0-15kg","30.6")</f>
        <v>30.6</v>
      </c>
      <c r="C68" t="s">
        <v>15</v>
      </c>
      <c r="D68" s="7" t="str">
        <f>HYPERLINK("https://www.biocoop.fr/curry-poudre-bio-ck2049-000.html","29.5")</f>
        <v>29.5</v>
      </c>
      <c r="E68" t="s">
        <v>15</v>
      </c>
      <c r="F68" s="9" t="str">
        <f>HYPERLINK("https://www.biocoop.fr/curry-en-poudre-80g-ck1414-000.html","56.25")</f>
        <v>56.25</v>
      </c>
      <c r="H68" s="9" t="str">
        <f>HYPERLINK("https://satoriz-comboire.bio/collections/epicerie-salee/products/cocurry1","51.25")</f>
        <v>51.25</v>
      </c>
      <c r="I68" s="8" t="s">
        <v>119</v>
      </c>
      <c r="J68" s="9" t="str">
        <f>HYPERLINK("https://www.greenweez.com/produit/curry-en-poudre-bio-150g/2WEEZ0162","31.2")</f>
        <v>31.2</v>
      </c>
      <c r="K68" t="s">
        <v>15</v>
      </c>
      <c r="L68">
        <v>0.02</v>
      </c>
    </row>
    <row r="69" spans="1:12" x14ac:dyDescent="0.3">
      <c r="A69" t="s">
        <v>120</v>
      </c>
      <c r="B69" s="9" t="str">
        <f>HYPERLINK("https://lafourche.fr/products/la-fourche-cannelle-moulue-bio-0-15kg","26.6")</f>
        <v>26.6</v>
      </c>
      <c r="C69" s="8" t="s">
        <v>121</v>
      </c>
      <c r="D69" s="9" t="str">
        <f>HYPERLINK("https://www.biocoop.fr/cannelle-moulue-80g-ck2037-000.html","57.5")</f>
        <v>57.5</v>
      </c>
      <c r="E69" t="s">
        <v>15</v>
      </c>
      <c r="F69" s="9" t="str">
        <f>HYPERLINK("https://www.biocoop.fr/cannelle-moulue-80g-ck2037-000.html","57.5")</f>
        <v>57.5</v>
      </c>
      <c r="H69" s="7" t="str">
        <f>HYPERLINK("https://satoriz-comboire.bio/products/cocannegpc?_pos=2&amp;_sid=a0e00fe60&amp;_ss=r","26.1")</f>
        <v>26.1</v>
      </c>
      <c r="I69" s="10" t="s">
        <v>122</v>
      </c>
      <c r="J69" s="9" t="str">
        <f>HYPERLINK("https://www.greenweez.com/produit/cannelle-de-ceylan-en-poudre-500g/1COOK0184","29.42")</f>
        <v>29.42</v>
      </c>
      <c r="K69" s="10" t="s">
        <v>123</v>
      </c>
    </row>
    <row r="70" spans="1:12" x14ac:dyDescent="0.3">
      <c r="A70" t="s">
        <v>124</v>
      </c>
      <c r="B70" s="9" t="str">
        <f>HYPERLINK("https://lafourche.fr/products/la-fourche-paprika-doux-bio-0-15kg","27.93")</f>
        <v>27.93</v>
      </c>
      <c r="C70" s="8" t="s">
        <v>125</v>
      </c>
      <c r="D70" s="9" t="str">
        <f>HYPERLINK("https://www.biocoop.fr/paprika-doux-de-hongrie-40g-ck0922-000.html","88.75")</f>
        <v>88.75</v>
      </c>
      <c r="E70" s="8" t="s">
        <v>126</v>
      </c>
      <c r="F70" s="9" t="str">
        <f>HYPERLINK("https://www.biocoop.fr/paprika-doux-de-hongrie-40g-ck0922-000.html","87.5")</f>
        <v>87.5</v>
      </c>
      <c r="H70" s="9" t="str">
        <f>HYPERLINK("https://satoriz-comboire.bio/products/copapdfr?_pos=2&amp;_sid=444323c97&amp;_ss=r","72.5")</f>
        <v>72.5</v>
      </c>
      <c r="I70" s="8" t="s">
        <v>127</v>
      </c>
      <c r="J70" s="45" t="str">
        <f>HYPERLINK("https://www.greenweez.com/produit/paprika-doux-en-poudre-bio-150g/2WEEZ0165","27.2")</f>
        <v>27.2</v>
      </c>
      <c r="K70" t="s">
        <v>15</v>
      </c>
      <c r="L70">
        <v>0.02</v>
      </c>
    </row>
    <row r="71" spans="1:12" x14ac:dyDescent="0.3">
      <c r="A71" t="s">
        <v>128</v>
      </c>
      <c r="B71" s="9" t="str">
        <f>HYPERLINK("https://lafourche.fr/products/la-fourche-paprika-fume-bio-0-15kg","33.27")</f>
        <v>33.27</v>
      </c>
      <c r="C71" t="s">
        <v>15</v>
      </c>
      <c r="D71" s="9" t="str">
        <f>HYPERLINK("https://www.biocoop.fr/paprika-fume-fl1217-000.html","77.5")</f>
        <v>77.5</v>
      </c>
      <c r="E71" t="s">
        <v>15</v>
      </c>
      <c r="F71" s="9" t="str">
        <f>HYPERLINK("https://www.biocoop.fr/paprika-fume-fl1217-000.html","888888")</f>
        <v>888888</v>
      </c>
      <c r="H71" s="9" t="str">
        <f>HYPERLINK("https://satoriz-comboire.bio/products/emhbe58b?_pos=2&amp;_sid=3ef3d1d3c&amp;_ss=r","53.33")</f>
        <v>53.33</v>
      </c>
      <c r="I71" s="10" t="s">
        <v>129</v>
      </c>
      <c r="J71" s="7" t="str">
        <f>HYPERLINK("https://www.greenweez.com/produit/paprika-fume-sachet-recharge-250g/1ECOI0084","31.04")</f>
        <v>31.04</v>
      </c>
      <c r="K71" s="8" t="s">
        <v>130</v>
      </c>
    </row>
    <row r="72" spans="1:12" x14ac:dyDescent="0.3">
      <c r="A72" t="s">
        <v>131</v>
      </c>
      <c r="B72" s="9" t="str">
        <f>HYPERLINK("https://lafourche.fr/products/la-fourche-paprika-doux-bio-0-15kg","27.93")</f>
        <v>27.93</v>
      </c>
      <c r="C72" s="8" t="s">
        <v>125</v>
      </c>
      <c r="D72" s="9" t="str">
        <f>HYPERLINK("https://www.biocoop.fr/gingembre-racine-poudre-bio-ck2051-000.html","33.65")</f>
        <v>33.65</v>
      </c>
      <c r="E72" t="s">
        <v>15</v>
      </c>
      <c r="F72" s="9" t="str">
        <f>HYPERLINK("https://www.biocoop.fr/gingembre-moulu-80g-ck2062-000.html","67.5")</f>
        <v>67.5</v>
      </c>
      <c r="H72" s="9" t="str">
        <f>HYPERLINK("https://satoriz-comboire.bio/products/cogingpp?_pos=2&amp;_sid=eb2485dcf&amp;_ss=r","56.88")</f>
        <v>56.88</v>
      </c>
      <c r="I72" t="s">
        <v>15</v>
      </c>
      <c r="J72" s="7" t="str">
        <f>HYPERLINK("https://www.greenweez.com/produit/gingembre-en-poudre-bio-200g/2WEEZ0161","27.2")</f>
        <v>27.2</v>
      </c>
      <c r="K72" t="s">
        <v>15</v>
      </c>
      <c r="L72">
        <v>0.02</v>
      </c>
    </row>
    <row r="73" spans="1:12" x14ac:dyDescent="0.3">
      <c r="A73" t="s">
        <v>132</v>
      </c>
      <c r="B73" s="7" t="str">
        <f>HYPERLINK("https://lafourche.fr/products/biodyssee-coriandre-en-poudre-bio-0-035kg","44")</f>
        <v>44</v>
      </c>
      <c r="C73" s="8" t="s">
        <v>133</v>
      </c>
      <c r="D73" s="9" t="str">
        <f>HYPERLINK("https://www.biocoop.fr/coriandre-moulue-30g-ck0925-000.html","71.67")</f>
        <v>71.67</v>
      </c>
      <c r="E73" t="s">
        <v>15</v>
      </c>
      <c r="F73" s="9" t="str">
        <f>HYPERLINK("https://www.biocoop.fr/coriandre-moulue-30g-ck0925-000.html","75.0")</f>
        <v>75.0</v>
      </c>
      <c r="H73" s="9" t="str">
        <f>HYPERLINK("https://satoriz-comboire.bio/collections/epicerie-salee/products/cocorpc","65.0")</f>
        <v>65.0</v>
      </c>
      <c r="I73" s="8" t="s">
        <v>134</v>
      </c>
      <c r="J73" s="9" t="str">
        <f>HYPERLINK("https://www.greenweez.com/produit/poudre-de-graines-de-coriandre-35g/2BIOD0049","58.29")</f>
        <v>58.29</v>
      </c>
      <c r="K73" s="8" t="s">
        <v>135</v>
      </c>
    </row>
    <row r="74" spans="1:12" x14ac:dyDescent="0.3">
      <c r="A74" t="s">
        <v>136</v>
      </c>
      <c r="B74" s="7" t="str">
        <f>HYPERLINK("https://lafourche.fr/products/cook-fenugrec-poudre-55g","37.82")</f>
        <v>37.82</v>
      </c>
      <c r="C74" s="8" t="s">
        <v>137</v>
      </c>
      <c r="D74" s="9" t="str">
        <f>HYPERLINK("https://www.biocoop.fr/fenugrec-moulu-55g-ck1209-000.html","47.27")</f>
        <v>47.27</v>
      </c>
      <c r="E74" t="s">
        <v>15</v>
      </c>
      <c r="F74" s="9" t="str">
        <f>HYPERLINK("https://www.biocoop.fr/fenugrec-moulu-55g-ck1209-000.html","888888")</f>
        <v>888888</v>
      </c>
      <c r="H74" s="9" t="str">
        <f>HYPERLINK("https://satoriz-comboire.bio/products/cofenuc?_pos=1&amp;_sid=a8a199e11&amp;_ss=r","41.82")</f>
        <v>41.82</v>
      </c>
      <c r="I74" t="s">
        <v>15</v>
      </c>
      <c r="J74" s="9" t="str">
        <f>HYPERLINK("https://www.greenweez.com/produit/fenugrec-poudre-bio-50g/1COOK0022","47.4")</f>
        <v>47.4</v>
      </c>
      <c r="K74" s="8" t="s">
        <v>138</v>
      </c>
    </row>
    <row r="75" spans="1:12" x14ac:dyDescent="0.3">
      <c r="A75" t="s">
        <v>139</v>
      </c>
      <c r="B75" s="7" t="str">
        <f>HYPERLINK("https://lafourche.fr/products/la-fourche-ras-el-hanout-bio-0-15kg","46.6")</f>
        <v>46.6</v>
      </c>
      <c r="C75" t="s">
        <v>15</v>
      </c>
      <c r="D75" s="9" t="str">
        <f>HYPERLINK("https://www.biocoop.fr/ras-el-hanout-35g-ar0215-000.html","94.86")</f>
        <v>94.86</v>
      </c>
      <c r="E75" t="s">
        <v>15</v>
      </c>
      <c r="F75" s="9" t="str">
        <f>HYPERLINK("https://www.biocoop.fr/ras-el-hanout-35g-ar0215-000.html","102.86")</f>
        <v>102.86</v>
      </c>
      <c r="H75" s="9" t="str">
        <f>HYPERLINK("https://satoriz-comboire.bio/products/corasec?_pos=3&amp;_sid=7032da4b7&amp;_ss=r","88.57")</f>
        <v>88.57</v>
      </c>
      <c r="I75" s="10" t="s">
        <v>140</v>
      </c>
      <c r="J75" s="9" t="str">
        <f>HYPERLINK("https://www.greenweez.com/produit/melange-ras-el-hanout-bio-35g/1COOK0072","98.57")</f>
        <v>98.57</v>
      </c>
      <c r="K75" s="10" t="s">
        <v>141</v>
      </c>
    </row>
    <row r="76" spans="1:12" x14ac:dyDescent="0.3">
      <c r="A76" t="s">
        <v>142</v>
      </c>
      <c r="B76" s="9" t="str">
        <f>HYPERLINK("https://lafourche.fr/products/la-fourche-herbes-de-provence-bio-0-2kg","47.5")</f>
        <v>47.5</v>
      </c>
      <c r="C76" t="s">
        <v>15</v>
      </c>
      <c r="D76" s="9" t="str">
        <f>HYPERLINK("https://www.biocoop.fr/herbes-de-provence-50g-ar0035-000.html","66.0")</f>
        <v>66.0</v>
      </c>
      <c r="E76" t="s">
        <v>15</v>
      </c>
      <c r="F76" s="7" t="str">
        <f>HYPERLINK("https://www.biocoop.fr/herbes-de-provence-sans-marjolaine-bio-ck2106-000.html","34.0")</f>
        <v>34.0</v>
      </c>
      <c r="H76" s="9" t="str">
        <f>HYPERLINK("https://satoriz-comboire.bio/products/coherb1?_pos=1&amp;_sid=64d9c02ce&amp;_ss=r","88.75")</f>
        <v>88.75</v>
      </c>
      <c r="I76" t="s">
        <v>15</v>
      </c>
      <c r="J76" s="9" t="str">
        <f>HYPERLINK("https://www.greenweez.com/produit/herbes-de-provence-60g/2BIOD0053","65.17")</f>
        <v>65.17</v>
      </c>
      <c r="K76" s="8" t="s">
        <v>143</v>
      </c>
      <c r="L76">
        <v>0.02</v>
      </c>
    </row>
    <row r="77" spans="1:12" x14ac:dyDescent="0.3">
      <c r="A77" t="s">
        <v>144</v>
      </c>
      <c r="B77" s="7" t="str">
        <f>HYPERLINK("https://lafourche.fr/products/la-fourche-cumin-graines-bio-0-15kg","59")</f>
        <v>59</v>
      </c>
      <c r="C77" s="8" t="s">
        <v>145</v>
      </c>
      <c r="D77" s="9" t="str">
        <f>HYPERLINK("https://www.biocoop.fr/cumin-graines-40g-ck0924-000.html","96.25")</f>
        <v>96.25</v>
      </c>
      <c r="E77" s="8" t="s">
        <v>146</v>
      </c>
      <c r="F77" s="9" t="str">
        <f>HYPERLINK("https://www.biocoop.fr/cumin-graines-40g-ck0924-000.html","95.0")</f>
        <v>95.0</v>
      </c>
      <c r="H77" s="9" t="str">
        <f>HYPERLINK("https://satoriz-comboire.bio/products/cocum?_pos=1&amp;_sid=d9ea7a39f&amp;_ss=r","87.5")</f>
        <v>87.5</v>
      </c>
      <c r="I77" s="8" t="s">
        <v>147</v>
      </c>
      <c r="J77" s="9" t="str">
        <f>HYPERLINK("https://www.greenweez.com/produit/graines-de-cumin-eco-recharge-40g/1COOK0177","78.25")</f>
        <v>78.25</v>
      </c>
      <c r="K77" s="8" t="s">
        <v>148</v>
      </c>
    </row>
    <row r="78" spans="1:12" x14ac:dyDescent="0.3">
      <c r="A78" t="s">
        <v>149</v>
      </c>
      <c r="B78" s="9" t="str">
        <f>HYPERLINK("https://lafourche.fr/products/la-fourche-cumin-moulu-bio-0-15kg","58.6")</f>
        <v>58.6</v>
      </c>
      <c r="C78" s="8" t="s">
        <v>150</v>
      </c>
      <c r="D78" s="9" t="str">
        <f>HYPERLINK("https://www.biocoop.fr/cumin-moulu-80g-ck2038-000.html","87.38")</f>
        <v>87.38</v>
      </c>
      <c r="E78" s="8" t="s">
        <v>151</v>
      </c>
      <c r="F78" s="7" t="str">
        <f>HYPERLINK("https://www.biocoop.fr/graines-de-cumin-en-poudre-bio-ck2050-000.html","29.9")</f>
        <v>29.9</v>
      </c>
      <c r="H78" s="9" t="str">
        <f>HYPERLINK("https://satoriz-comboire.bio/collections/epicerie-salee/products/cocumigrpr","80.0")</f>
        <v>80.0</v>
      </c>
      <c r="I78" s="8" t="s">
        <v>152</v>
      </c>
      <c r="J78" s="9" t="str">
        <f>HYPERLINK("https://www.greenweez.com/produit/cumin-poudre-bio-80g/1COOK0138","92.63")</f>
        <v>92.63</v>
      </c>
      <c r="K78" s="8" t="s">
        <v>153</v>
      </c>
    </row>
    <row r="79" spans="1:12" x14ac:dyDescent="0.3">
      <c r="A79" t="s">
        <v>154</v>
      </c>
      <c r="B79" s="7" t="str">
        <f>HYPERLINK("https://lafourche.fr/products/biodyssee-noix-de-muscade-moulue-bio-0-05kg","64.8")</f>
        <v>64.8</v>
      </c>
      <c r="C79" s="8" t="s">
        <v>155</v>
      </c>
      <c r="D79" s="9" t="str">
        <f>HYPERLINK("https://www.biocoop.fr/muscade-moulue-35g-ck0926-000.html","142.57")</f>
        <v>142.57</v>
      </c>
      <c r="E79" t="s">
        <v>15</v>
      </c>
      <c r="F79" s="9" t="str">
        <f>HYPERLINK("https://www.biocoop.fr/muscade-moulue-35g-ck0926-000.html","142.57")</f>
        <v>142.57</v>
      </c>
      <c r="H79" s="9" t="str">
        <f>HYPERLINK("https://satoriz-comboire.bio/products/comusmou?_pos=1&amp;_sid=e5cb2307e&amp;_ss=r","120.0")</f>
        <v>120.0</v>
      </c>
      <c r="I79" s="8" t="s">
        <v>156</v>
      </c>
      <c r="J79" s="9" t="str">
        <f>HYPERLINK("https://www.greenweez.com/produit/noix-de-muscade-moulue-50g/2BIOD0044","83.0")</f>
        <v>83.0</v>
      </c>
      <c r="K79" s="8" t="s">
        <v>157</v>
      </c>
      <c r="L79">
        <v>0.02</v>
      </c>
    </row>
    <row r="80" spans="1:12" x14ac:dyDescent="0.3">
      <c r="A80" t="s">
        <v>158</v>
      </c>
      <c r="B80" s="7" t="str">
        <f>HYPERLINK("https://lafourche.fr/products/cook-colombo-poudre-35g","57.14")</f>
        <v>57.14</v>
      </c>
      <c r="C80" s="8" t="s">
        <v>159</v>
      </c>
      <c r="D80" s="9" t="str">
        <f>HYPERLINK("https://www.biocoop.fr/melange-epices-colombo-35g-ck0947-000.html","67.14")</f>
        <v>67.14</v>
      </c>
      <c r="E80" t="s">
        <v>15</v>
      </c>
      <c r="F80" s="9" t="str">
        <f>HYPERLINK("https://www.biocoop.fr/melange-epices-colombo-35g-ck0947-000.html","888888")</f>
        <v>888888</v>
      </c>
      <c r="H80" s="9" t="str">
        <f>HYPERLINK("https://satoriz-comboire.bio/products/coloc?_pos=7&amp;_sid=0aacfc20c&amp;_ss=r","62.86")</f>
        <v>62.86</v>
      </c>
      <c r="I80" t="s">
        <v>15</v>
      </c>
      <c r="J80" s="9" t="str">
        <f>HYPERLINK("https://www.greenweez.com/produit/colombo-bio-50g/1LACA0042","888888")</f>
        <v>888888</v>
      </c>
      <c r="K80" s="11" t="s">
        <v>99</v>
      </c>
    </row>
    <row r="81" spans="1:11" x14ac:dyDescent="0.3">
      <c r="A81" t="s">
        <v>160</v>
      </c>
      <c r="B81" s="7" t="str">
        <f>HYPERLINK("https://lafourche.fr/products/cook-piment-doux-40g","65.5")</f>
        <v>65.5</v>
      </c>
      <c r="C81" s="8" t="s">
        <v>161</v>
      </c>
      <c r="D81" s="9" t="str">
        <f>HYPERLINK("https://www.biocoop.fr/piment-doux-d-espagne-40g-ck0940-000.html","81.25")</f>
        <v>81.25</v>
      </c>
      <c r="E81" t="s">
        <v>15</v>
      </c>
      <c r="F81" s="9" t="str">
        <f>HYPERLINK("https://www.biocoop.fr/piment-doux-d-espagne-40g-ck0940-000.html","81.25")</f>
        <v>81.25</v>
      </c>
      <c r="H81" s="9" t="str">
        <f>HYPERLINK("https://satoriz-comboire.bio/products/copimdou?_pos=2&amp;_sid=da3bb6d2d&amp;_ss=r","72.5")</f>
        <v>72.5</v>
      </c>
      <c r="I81" s="8" t="s">
        <v>127</v>
      </c>
      <c r="J81" s="9" t="str">
        <f>HYPERLINK("https://www.greenweez.com/produit/piment-doux-despagne-bio-40g/1COOK0038","81.0")</f>
        <v>81.0</v>
      </c>
      <c r="K81" s="8" t="s">
        <v>162</v>
      </c>
    </row>
    <row r="82" spans="1:11" x14ac:dyDescent="0.3">
      <c r="A82" t="s">
        <v>163</v>
      </c>
      <c r="B82" s="7" t="str">
        <f>HYPERLINK("https://lafourche.fr/products/cook-melange-pour-chili-35g","79.71")</f>
        <v>79.71</v>
      </c>
      <c r="C82" s="8" t="s">
        <v>164</v>
      </c>
      <c r="D82" s="9" t="str">
        <f>HYPERLINK("https://www.biocoop.fr/melange-epices-du-chili-35g-ck2014-000.html","100.0")</f>
        <v>100.0</v>
      </c>
      <c r="E82" s="8" t="s">
        <v>165</v>
      </c>
      <c r="F82" s="9" t="str">
        <f>HYPERLINK("https://www.biocoop.fr/melange-epices-du-chili-35g-ck2014-000.html","888888")</f>
        <v>888888</v>
      </c>
      <c r="H82" s="9" t="str">
        <f>HYPERLINK("https://satoriz-comboire.bio/products/cochilc?_pos=1&amp;_sid=6e691e7ce&amp;_ss=r","88.57")</f>
        <v>88.57</v>
      </c>
      <c r="I82" s="8" t="s">
        <v>166</v>
      </c>
      <c r="J82" s="9" t="str">
        <f>HYPERLINK("https://www.greenweez.com/produit/melange-bio-chili-35g/1COOK0075","91.43")</f>
        <v>91.43</v>
      </c>
      <c r="K82" s="10" t="s">
        <v>167</v>
      </c>
    </row>
    <row r="83" spans="1:11" x14ac:dyDescent="0.3">
      <c r="A83" t="s">
        <v>168</v>
      </c>
      <c r="B83" s="7" t="str">
        <f>HYPERLINK("https://lafourche.fr/products/garam-masala","84.57")</f>
        <v>84.57</v>
      </c>
      <c r="C83" t="s">
        <v>15</v>
      </c>
      <c r="D83" s="9" t="str">
        <f>HYPERLINK("https://www.biocoop.fr/garam-masala-35g-ck2059-000.html","110.0")</f>
        <v>110.0</v>
      </c>
      <c r="E83" t="s">
        <v>15</v>
      </c>
      <c r="F83" s="9" t="str">
        <f>HYPERLINK("https://www.biocoop.fr/garam-masala-35g-ck2059-000.html","110.0")</f>
        <v>110.0</v>
      </c>
      <c r="H83" s="9" t="str">
        <f>HYPERLINK("https://satoriz-comboire.bio/products/map2garp?_pos=1&amp;_sid=a1f143f38&amp;_ss=r","94.29")</f>
        <v>94.29</v>
      </c>
      <c r="I83" s="10" t="s">
        <v>169</v>
      </c>
      <c r="J83" s="9" t="str">
        <f>HYPERLINK("https://www.greenweez.com/produit/melange-garam-masala-bio-35g/1COOK0071","110.86")</f>
        <v>110.86</v>
      </c>
      <c r="K83" t="s">
        <v>15</v>
      </c>
    </row>
    <row r="84" spans="1:11" x14ac:dyDescent="0.3">
      <c r="A84" t="s">
        <v>170</v>
      </c>
      <c r="B84" s="7" t="str">
        <f>HYPERLINK("https://lafourche.fr/products/la-fourche-origan-bio-0-15kg","84.67")</f>
        <v>84.67</v>
      </c>
      <c r="C84" t="s">
        <v>15</v>
      </c>
      <c r="D84" s="9" t="str">
        <f>HYPERLINK("https://www.biocoop.fr/feuille-coupees-d-origan-13g-ck1216-000.html","160.0")</f>
        <v>160.0</v>
      </c>
      <c r="E84" s="8" t="s">
        <v>171</v>
      </c>
      <c r="F84" s="9" t="str">
        <f>HYPERLINK("https://www.biocoop.fr/feuille-coupees-d-origan-13g-ck1216-000.html","170.0")</f>
        <v>170.0</v>
      </c>
      <c r="H84" s="9" t="str">
        <f>HYPERLINK("https://satoriz-comboire.bio/collections/epicerie-salee/products/coorigfeer","119.23")</f>
        <v>119.23</v>
      </c>
      <c r="I84" s="10" t="s">
        <v>172</v>
      </c>
      <c r="J84" s="9" t="str">
        <f>HYPERLINK("https://www.greenweez.com/produit/origan-12g/2BIOD0050","115.0")</f>
        <v>115.0</v>
      </c>
      <c r="K84" t="s">
        <v>15</v>
      </c>
    </row>
    <row r="85" spans="1:11" x14ac:dyDescent="0.3">
      <c r="A85" t="s">
        <v>173</v>
      </c>
      <c r="B85" s="9" t="str">
        <f>HYPERLINK("https://lafourche.fr/products/cook-thym-feuilles-bio-45g","84.67")</f>
        <v>84.67</v>
      </c>
      <c r="C85" s="8" t="s">
        <v>174</v>
      </c>
      <c r="D85" s="9" t="str">
        <f>HYPERLINK("https://www.biocoop.fr/feuilles-de-thym-15g-ck1239-000.html","180.0")</f>
        <v>180.0</v>
      </c>
      <c r="E85" t="s">
        <v>15</v>
      </c>
      <c r="F85" s="9" t="str">
        <f>HYPERLINK("https://www.biocoop.fr/feuilles-de-thym-15g-ck1239-000.html","183.33")</f>
        <v>183.33</v>
      </c>
      <c r="H85" s="7" t="str">
        <f>HYPERLINK("https://satoriz-comboire.bio/products/cothym?_pos=1&amp;_psq=thym%20feuille&amp;_ss=e&amp;_v=1.0","68.0")</f>
        <v>68.0</v>
      </c>
      <c r="I85" s="10" t="s">
        <v>175</v>
      </c>
      <c r="J85" s="9" t="str">
        <f>HYPERLINK("https://www.greenweez.com/produit/thym-feuilles-bio-45-g/1COOK0085","111.11")</f>
        <v>111.11</v>
      </c>
      <c r="K85" s="8" t="s">
        <v>176</v>
      </c>
    </row>
    <row r="86" spans="1:11" x14ac:dyDescent="0.3">
      <c r="A86" t="s">
        <v>177</v>
      </c>
      <c r="B86" s="9" t="str">
        <f>HYPERLINK("https://lafourche.fr/products/cook-moutarde-jaune-graines-60g","34.67")</f>
        <v>34.67</v>
      </c>
      <c r="C86" s="8" t="s">
        <v>178</v>
      </c>
      <c r="D86" s="7" t="str">
        <f>HYPERLINK("https://www.biocoop.fr/epicerie-salee/condiments-sauces-aides-culinaires/epices-poivres.html?product_list_order=price_ref_asc","19.7")</f>
        <v>19.7</v>
      </c>
      <c r="E86" t="s">
        <v>15</v>
      </c>
      <c r="F86" s="9" t="str">
        <f>HYPERLINK("https://www.biocoop.fr/moutarde-jaune-graines-60g-ck0928-000.html","41.67")</f>
        <v>41.67</v>
      </c>
      <c r="H86" s="9" t="str">
        <f>HYPERLINK("https://satoriz-comboire.bio/products/comoutc?_pos=1&amp;_psq=moutarde%20jaune&amp;_ss=e&amp;_v=1.0","38.33")</f>
        <v>38.33</v>
      </c>
      <c r="I86" t="s">
        <v>15</v>
      </c>
      <c r="J86" s="9" t="str">
        <f>HYPERLINK("https://www.greenweez.com/produit/moutarde-jaune-graine-bio-55g/1LACA0026","888888")</f>
        <v>888888</v>
      </c>
      <c r="K86" s="11" t="s">
        <v>99</v>
      </c>
    </row>
    <row r="87" spans="1:11" x14ac:dyDescent="0.3">
      <c r="A87" t="s">
        <v>179</v>
      </c>
      <c r="B87" s="7" t="str">
        <f>HYPERLINK("https://lafourche.fr/products/cook-nigelle-graines-50g","59.8")</f>
        <v>59.8</v>
      </c>
      <c r="C87" s="8" t="s">
        <v>180</v>
      </c>
      <c r="D87" s="9" t="str">
        <f>HYPERLINK("https://www.biocoop.fr/nigelle-graines-50g-ck2033-000.html","73.0")</f>
        <v>73.0</v>
      </c>
      <c r="E87" s="8" t="s">
        <v>181</v>
      </c>
      <c r="F87" s="9" t="str">
        <f>HYPERLINK("https://www.biocoop.fr/nigelle-graines-50g-ck2033-000.html","74.0")</f>
        <v>74.0</v>
      </c>
      <c r="H87" s="9" t="str">
        <f>HYPERLINK("https://satoriz-comboire.bio/products/conig?_pos=2&amp;_sid=d9ea7a39f&amp;_ss=r","68.0")</f>
        <v>68.0</v>
      </c>
      <c r="I87" t="s">
        <v>15</v>
      </c>
      <c r="J87" s="9" t="str">
        <f>HYPERLINK("https://www.greenweez.com/produit/nigelle-graines-bio-50g/1COOK0120","75.8")</f>
        <v>75.8</v>
      </c>
      <c r="K87" s="8" t="s">
        <v>182</v>
      </c>
    </row>
    <row r="88" spans="1:11" x14ac:dyDescent="0.3">
      <c r="A88" t="s">
        <v>183</v>
      </c>
      <c r="B88" s="7" t="str">
        <f>HYPERLINK("https://lafourche.fr/products/cook-curry-madras-35g","71.43")</f>
        <v>71.43</v>
      </c>
      <c r="C88" s="8" t="s">
        <v>184</v>
      </c>
      <c r="D88" s="9" t="str">
        <f>HYPERLINK("https://www.biocoop.fr/curry-madras-35g-ck2053-000.html","90.0")</f>
        <v>90.0</v>
      </c>
      <c r="E88" s="8" t="s">
        <v>185</v>
      </c>
      <c r="F88" s="9" t="str">
        <f>HYPERLINK("https://www.biocoop.fr/curry-madras-35g-ck2053-000.html","888888")</f>
        <v>888888</v>
      </c>
      <c r="H88" s="9" t="str">
        <f>HYPERLINK("https://satoriz-comboire.bio/products/cocumac?_pos=2&amp;_sid=f282e7faa&amp;_ss=r","78.57")</f>
        <v>78.57</v>
      </c>
      <c r="I88" s="8" t="s">
        <v>186</v>
      </c>
      <c r="J88" s="9" t="str">
        <f>HYPERLINK("https://www.greenweez.com/produit/curry-de-madras-poudre-bio-35g/1COOK0128","81.14")</f>
        <v>81.14</v>
      </c>
      <c r="K88" s="10" t="s">
        <v>187</v>
      </c>
    </row>
    <row r="89" spans="1:11" x14ac:dyDescent="0.3">
      <c r="A89" t="s">
        <v>188</v>
      </c>
      <c r="B89" s="7" t="str">
        <f>HYPERLINK("https://lafourche.fr/products/cook-melange-4-epices-bio-35g","87.14")</f>
        <v>87.14</v>
      </c>
      <c r="C89" t="s">
        <v>15</v>
      </c>
      <c r="D89" s="9" t="str">
        <f>HYPERLINK("https://www.biocoop.fr/melange-4-epices-35g-ck1237-000.html","100.0")</f>
        <v>100.0</v>
      </c>
      <c r="E89" t="s">
        <v>15</v>
      </c>
      <c r="F89" s="9" t="str">
        <f>HYPERLINK("https://www.biocoop.fr/melange-4-epices-35g-ck1237-000.html","100.0")</f>
        <v>100.0</v>
      </c>
      <c r="H89" s="9" t="str">
        <f>HYPERLINK("https://satoriz-comboire.bio/","888888")</f>
        <v>888888</v>
      </c>
      <c r="I89" s="11" t="s">
        <v>99</v>
      </c>
      <c r="J89" s="9" t="str">
        <f>HYPERLINK("https://www.greenweez.com/produit/quatre-epices-bio-50g/1LACA0043","888888")</f>
        <v>888888</v>
      </c>
      <c r="K89" s="11" t="s">
        <v>99</v>
      </c>
    </row>
    <row r="90" spans="1:11" x14ac:dyDescent="0.3">
      <c r="A90" t="s">
        <v>189</v>
      </c>
      <c r="B90" s="7" t="str">
        <f>HYPERLINK("https://lafourche.fr/products/cook-piment-cayenne-poudre-40g","111.25")</f>
        <v>111.25</v>
      </c>
      <c r="C90" s="8" t="s">
        <v>190</v>
      </c>
      <c r="D90" s="9" t="str">
        <f>HYPERLINK("https://www.biocoop.fr/piment-de-cayenne-poudre-40g-ck0910-000.html","128.75")</f>
        <v>128.75</v>
      </c>
      <c r="E90" s="8" t="s">
        <v>191</v>
      </c>
      <c r="F90" s="9" t="str">
        <f>HYPERLINK("https://www.biocoop.fr/piment-de-cayenne-poudre-40g-ck0910-000.html","130.0")</f>
        <v>130.0</v>
      </c>
      <c r="H90" s="9" t="str">
        <f>HYPERLINK("https://satoriz-comboire.bio/products/copimpc?_pos=1&amp;_psq=cook%20piment&amp;_ss=e&amp;_v=1.0","116.25")</f>
        <v>116.25</v>
      </c>
      <c r="I90" t="s">
        <v>15</v>
      </c>
      <c r="J90" s="9" t="str">
        <f>HYPERLINK("https://www.greenweez.com/produit/piment-de-cayenne-poudre-bio-40g/1COOK0040","127.25")</f>
        <v>127.25</v>
      </c>
      <c r="K90" s="8" t="s">
        <v>192</v>
      </c>
    </row>
    <row r="91" spans="1:11" x14ac:dyDescent="0.3">
      <c r="A91" t="s">
        <v>193</v>
      </c>
      <c r="B91" s="9" t="str">
        <f>HYPERLINK("https://lafourche.fr/products/cook-cardamome-moulue-35g","157.14")</f>
        <v>157.14</v>
      </c>
      <c r="C91" t="s">
        <v>15</v>
      </c>
      <c r="D91" s="9" t="str">
        <f>HYPERLINK("https://www.biocoop.fr/cardamome-moulue-35g-ck0900-000.html","161.43")</f>
        <v>161.43</v>
      </c>
      <c r="E91" s="8" t="s">
        <v>194</v>
      </c>
      <c r="F91" s="9" t="str">
        <f>HYPERLINK("https://www.biocoop.fr/cardamome-moulue-35g-ck0900-000.html","160.0")</f>
        <v>160.0</v>
      </c>
      <c r="H91" s="7" t="str">
        <f>HYPERLINK("https://satoriz-comboire.bio/products/cocard?_pos=4&amp;_sid=d84ba935d&amp;_ss=r","154.29")</f>
        <v>154.29</v>
      </c>
      <c r="I91" s="10" t="s">
        <v>195</v>
      </c>
      <c r="J91" s="9" t="str">
        <f>HYPERLINK("https://www.greenweez.com/produit/cardamome-poudre-bio-35g/1COOK0010","169.71")</f>
        <v>169.71</v>
      </c>
      <c r="K91" t="s">
        <v>15</v>
      </c>
    </row>
    <row r="92" spans="1:11" x14ac:dyDescent="0.3">
      <c r="A92" t="s">
        <v>196</v>
      </c>
      <c r="B92" s="9" t="str">
        <f>HYPERLINK("https://lafourche.fr/products/cook-safran-poudre-1g","10380")</f>
        <v>10380</v>
      </c>
      <c r="C92" s="8" t="s">
        <v>197</v>
      </c>
      <c r="D92" s="9" t="str">
        <f>HYPERLINK("https://www.biocoop.fr/safran-stigmates-entiers-1g-ck0945-000.html","11350.0")</f>
        <v>11350.0</v>
      </c>
      <c r="E92" s="8" t="s">
        <v>198</v>
      </c>
      <c r="F92" s="9" t="str">
        <f>HYPERLINK("https://www.biocoop.fr/safran-stigmates-entiers-1g-ck0945-000.html","11850.0")</f>
        <v>11850.0</v>
      </c>
      <c r="H92" s="7" t="str">
        <f>HYPERLINK("https://satoriz-comboire.bio/products/map2safs?_pos=1&amp;_sid=cd322a73f&amp;_ss=r","8600.0")</f>
        <v>8600.0</v>
      </c>
      <c r="I92" s="10" t="s">
        <v>199</v>
      </c>
      <c r="J92" s="9" t="str">
        <f>HYPERLINK("https://www.greenweez.com/produit/safran-stigmates-bio-1g/1COOK0052","11980.0")</f>
        <v>11980.0</v>
      </c>
      <c r="K92" s="8" t="s">
        <v>200</v>
      </c>
    </row>
    <row r="93" spans="1:11" x14ac:dyDescent="0.3">
      <c r="A93" t="s">
        <v>201</v>
      </c>
      <c r="B93" s="9" t="str">
        <f>HYPERLINK("https://lafourche.fr/products/cook-ail-des-ours-coupe-16g","121.88")</f>
        <v>121.88</v>
      </c>
      <c r="C93" s="8" t="s">
        <v>202</v>
      </c>
      <c r="D93" s="9" t="str">
        <f>HYPERLINK("https://www.biocoop.fr/ail-des-ours-feuille-coupes-16g-ck2032-000.html","168.75")</f>
        <v>168.75</v>
      </c>
      <c r="E93" t="s">
        <v>15</v>
      </c>
      <c r="F93" s="7" t="str">
        <f>HYPERLINK("https://www.biocoop.fr/ail-des-ours-en-poudre-ec2115-000.html","98.0")</f>
        <v>98.0</v>
      </c>
      <c r="H93" s="9" t="str">
        <f>HYPERLINK("https://satoriz-comboire.bio/products/coailo?_pos=2&amp;_psq=ail%20des%20ours&amp;_ss=e&amp;_v=1.0","143.75")</f>
        <v>143.75</v>
      </c>
      <c r="I93" s="8" t="s">
        <v>203</v>
      </c>
      <c r="J93" s="9" t="str">
        <f>HYPERLINK("https://www.greenweez.com/produit/ail-des-ours-feuille-coupes-bio-16g/1COOK0110","152.5")</f>
        <v>152.5</v>
      </c>
      <c r="K93" s="8" t="s">
        <v>204</v>
      </c>
    </row>
    <row r="94" spans="1:11" x14ac:dyDescent="0.3">
      <c r="A94" t="s">
        <v>205</v>
      </c>
      <c r="B94" s="42" t="str">
        <f>HYPERLINK("https://lafourche.fr/products/philia-levure-maltee-en-flocons-bio-0-15kg","35.67")</f>
        <v>35.67</v>
      </c>
      <c r="D94" s="42" t="str">
        <f>HYPERLINK("https://www.biocoop.fr/magasin-biocoop_champollion/flocons-de-levure-maltee-biologique-bio-ag2000-000.html","888888")</f>
        <v>888888</v>
      </c>
      <c r="F94" s="37" t="str">
        <f>HYPERLINK("https://www.biocoop.fr/magasin-biocoop_fontaine/flocons-de-levure-maltee-biologique-bio-ag2000-000.html","30.0")</f>
        <v>30.0</v>
      </c>
      <c r="H94" s="37" t="str">
        <f>HYPERLINK("https://satoriz-comboire.bio/products/re42572?_pos=1&amp;_sid=c597614d8&amp;_ss=r","30.0")</f>
        <v>30.0</v>
      </c>
      <c r="J94" s="42" t="str">
        <f>HYPERLINK("https://www.greenweez.com/produit/flocons-de-levure-maltee-150g/1RAPU0059","45.6")</f>
        <v>45.6</v>
      </c>
    </row>
    <row r="95" spans="1:11" x14ac:dyDescent="0.3">
      <c r="A95" t="s">
        <v>206</v>
      </c>
      <c r="B95" s="45" t="str">
        <f>HYPERLINK("https://lafourche.fr/products/celiane-fecule-de-pomme-de-terre-sans-gluten-500g","6.96")</f>
        <v>6.96</v>
      </c>
      <c r="D95" s="9" t="str">
        <f>HYPERLINK("https://www.biocoop.fr/fecule-de-pomme-de-terre-500g-al3026-000.html","8.84")</f>
        <v>8.84</v>
      </c>
      <c r="F95" s="9" t="str">
        <f>HYPERLINK("https://www.biocoop.fr/fecule-de-pomme-de-terre-500g-al3026-000.html","8.8")</f>
        <v>8.8</v>
      </c>
      <c r="H95" s="9" t="str">
        <f>HYPERLINK("https://satoriz-comboire.bio/products/ma5005?_pos=1&amp;_sid=7918f591f&amp;_ss=r","6.3")</f>
        <v>6.3</v>
      </c>
      <c r="J95" s="7" t="str">
        <f>HYPERLINK("https://www.greenweez.com/produit/fecule-de-pomme-de-terre-500g-1/1MKAL0230","6.14")</f>
        <v>6.14</v>
      </c>
    </row>
    <row r="96" spans="1:11" x14ac:dyDescent="0.3">
      <c r="A96" t="s">
        <v>207</v>
      </c>
      <c r="B96" s="9" t="str">
        <f>HYPERLINK("https://lafourche.fr/products/celnat-tapioca-250g","9.68")</f>
        <v>9.68</v>
      </c>
      <c r="C96" t="s">
        <v>15</v>
      </c>
      <c r="D96">
        <v>888888</v>
      </c>
      <c r="E96" s="11" t="s">
        <v>99</v>
      </c>
      <c r="F96">
        <v>888888</v>
      </c>
      <c r="H96" s="7" t="str">
        <f>HYPERLINK("https://satoriz-comboire.bio/products/eu7671?_pos=3&amp;_sid=7918f591f&amp;_ss=r","9.4")</f>
        <v>9.4</v>
      </c>
      <c r="I96" s="8" t="s">
        <v>208</v>
      </c>
      <c r="J96" s="9" t="str">
        <f>HYPERLINK("https://www.greenweez.com/produit/fecule-de-tapioca-500g/1MAVI0037","9.8")</f>
        <v>9.8</v>
      </c>
      <c r="K96" s="8" t="s">
        <v>105</v>
      </c>
    </row>
    <row r="97" spans="1:12" x14ac:dyDescent="0.3">
      <c r="A97" t="s">
        <v>209</v>
      </c>
      <c r="B97" s="9" t="str">
        <f>HYPERLINK("https://lafourche.fr/products/joannusmolen-maizena-250g","11.96")</f>
        <v>11.96</v>
      </c>
      <c r="C97" s="8" t="s">
        <v>210</v>
      </c>
      <c r="D97" s="9" t="str">
        <f>HYPERLINK("https://www.biocoop.fr/amidon-de-mais-250g-jm1111-000.html","888888")</f>
        <v>888888</v>
      </c>
      <c r="E97" s="11" t="s">
        <v>99</v>
      </c>
      <c r="F97" s="9" t="str">
        <f>HYPERLINK("https://www.biocoop.fr/amidon-de-mais-250g-jm1111-000.html","14.8")</f>
        <v>14.8</v>
      </c>
      <c r="H97" s="9" t="str">
        <f>HYPERLINK("https://satoriz-comboire.bio/products/eu2350?_pos=2&amp;_sid=7918f591f&amp;_ss=r","13.4")</f>
        <v>13.4</v>
      </c>
      <c r="I97" s="8" t="s">
        <v>211</v>
      </c>
      <c r="J97" s="7" t="str">
        <f>HYPERLINK("https://www.greenweez.com/produit/amidon-de-mais-sans-gluten-bio-500g/2WEEZ0207","8.56")</f>
        <v>8.56</v>
      </c>
      <c r="K97" s="8" t="s">
        <v>212</v>
      </c>
    </row>
    <row r="98" spans="1:12" x14ac:dyDescent="0.3">
      <c r="A98" t="s">
        <v>213</v>
      </c>
      <c r="B98" s="7" t="str">
        <f>HYPERLINK("https://lafourche.fr/products/la-fourche-tomates-sechees-a-lhuile-bio-0-28kg","12.11")</f>
        <v>12.11</v>
      </c>
      <c r="D98" s="9" t="str">
        <f>HYPERLINK("https://www.biocoop.fr/tomates-sechees-a-l-huile-190g-oi5058-000.html","888888")</f>
        <v>888888</v>
      </c>
      <c r="F98" s="9" t="str">
        <f>HYPERLINK("https://www.biocoop.fr/tomates-sechees-a-l-huile-190g-oi5058-000.html","21.0")</f>
        <v>21.0</v>
      </c>
      <c r="H98" s="9" t="str">
        <f>HYPERLINK("https://satoriz-comboire.bio/products/igpose06?_pos=3&amp;_sid=2863f3a20&amp;_ss=r","15.53")</f>
        <v>15.53</v>
      </c>
      <c r="J98" s="9" t="str">
        <f>HYPERLINK("https://www.greenweez.com/produit/tomates-sechees-a-lhuile-190g-3/1BIOO0004","25.79")</f>
        <v>25.79</v>
      </c>
    </row>
    <row r="99" spans="1:12" x14ac:dyDescent="0.3">
      <c r="A99" t="s">
        <v>214</v>
      </c>
      <c r="B99" s="9" t="str">
        <f>HYPERLINK("https://lafourche.fr/products/la-fourche-poivrons-grilles-a-lhuile-bio-0-19kg","15.53")</f>
        <v>15.53</v>
      </c>
      <c r="D99" s="9" t="str">
        <f>HYPERLINK("https://www.biocoop.fr/poivrons-grilles-a-l-huile-190g-oi5057-000.html","888888")</f>
        <v>888888</v>
      </c>
      <c r="F99" s="9" t="str">
        <f>HYPERLINK("https://www.biocoop.fr/poivrons-grilles-a-l-huile-190g-oi5057-000.html","17.89")</f>
        <v>17.89</v>
      </c>
      <c r="H99" s="9" t="str">
        <f>HYPERLINK("https://satoriz-comboire.bio/products/ig23?_pos=1&amp;_sid=bd3227372&amp;_ss=r","14.21")</f>
        <v>14.21</v>
      </c>
      <c r="J99" s="7" t="str">
        <f>HYPERLINK("https://www.greenweez.com/produit/poivrons-rouges-grilles-en-saumure-310g/1RAPU0184","9.65")</f>
        <v>9.65</v>
      </c>
    </row>
    <row r="100" spans="1:12" x14ac:dyDescent="0.3">
      <c r="A100" t="s">
        <v>215</v>
      </c>
      <c r="B100" s="7" t="str">
        <f>HYPERLINK("https://lafourche.fr/products/la-fourche-artichauts-grilles-a-lhuile-bio-0-19kg","15.74")</f>
        <v>15.74</v>
      </c>
      <c r="D100" s="9" t="str">
        <f>HYPERLINK("https://www.biocoop.fr/artichaut-grille-a-l-huile-190g-oi5055-000.html","888888")</f>
        <v>888888</v>
      </c>
      <c r="F100" s="9" t="str">
        <f>HYPERLINK("https://www.biocoop.fr/artichaut-grille-a-l-huile-190g-oi5055-000.html","23.42")</f>
        <v>23.42</v>
      </c>
      <c r="H100" s="9" t="str">
        <f>HYPERLINK("https://satoriz-comboire.bio/products/iggrca03?_pos=1&amp;_sid=a6f336c8a&amp;_ss=r","18.95")</f>
        <v>18.95</v>
      </c>
      <c r="J100" s="9" t="str">
        <f>HYPERLINK("https://www.greenweez.com/produit/artichauts-grilles-a-lhuile-190g/1BIOO0006","27.84")</f>
        <v>27.84</v>
      </c>
    </row>
    <row r="101" spans="1:12" x14ac:dyDescent="0.3">
      <c r="A101" t="s">
        <v>216</v>
      </c>
      <c r="B101" s="9" t="str">
        <f>HYPERLINK("https://lafourche.fr/products/philia-olives-vertes-entiere-bio-0-35kg","12.47")</f>
        <v>12.47</v>
      </c>
      <c r="D101" s="9" t="str">
        <f>HYPERLINK("https://www.biocoop.fr/olive-verte-nature-500g-net-egoutte-pm0931-000.html","888888")</f>
        <v>888888</v>
      </c>
      <c r="F101" s="9" t="str">
        <f>HYPERLINK("https://www.biocoop.fr/olive-verte-nature-500g-net-egoutte-pm0931-000.html","13.1")</f>
        <v>13.1</v>
      </c>
      <c r="H101" s="9" t="str">
        <f>HYPERLINK("https://satoriz-comboire.bio/products/re39209?_pos=8&amp;_sid=06b61fa87&amp;_ss=r","14.21")</f>
        <v>14.21</v>
      </c>
      <c r="J101" s="7" t="str">
        <f>HYPERLINK("https://www.greenweez.com/produit/olives-vertes-550g/1BIOO0015","11.04")</f>
        <v>11.04</v>
      </c>
    </row>
    <row r="102" spans="1:12" x14ac:dyDescent="0.3">
      <c r="A102" t="s">
        <v>217</v>
      </c>
      <c r="B102" s="9" t="str">
        <f>HYPERLINK("https://lafourche.fr/products/philia-olives-noires-kalamata-entieres-bio-0-35kg","14")</f>
        <v>14</v>
      </c>
      <c r="D102" s="9" t="str">
        <f>HYPERLINK("https://www.biocoop.fr/olive-noire-nature-410g-net-egoutte-oi5062-000.html","11.95")</f>
        <v>11.95</v>
      </c>
      <c r="F102" s="7" t="str">
        <f>HYPERLINK("https://www.biocoop.fr/olive-noire-nature-410g-net-egoutte-oi5062-000.html","10.61")</f>
        <v>10.61</v>
      </c>
      <c r="H102" s="9" t="str">
        <f>HYPERLINK("https://satoriz-comboire.bio/products/re44555?_pos=1&amp;_sid=add1402fc&amp;_ss=r","10.7")</f>
        <v>10.7</v>
      </c>
      <c r="J102" s="9" t="str">
        <f>HYPERLINK("https://www.greenweez.com/produit/olives-noires-au-naturel-500g/2EMIL0096","13.82")</f>
        <v>13.82</v>
      </c>
    </row>
    <row r="103" spans="1:12" x14ac:dyDescent="0.3">
      <c r="A103" t="s">
        <v>218</v>
      </c>
      <c r="B103" s="9" t="str">
        <f>HYPERLINK("https://lafourche.fr/products/nefeli-olives-vertes-denoyautees-bio-0-98kg","15.37")</f>
        <v>15.37</v>
      </c>
      <c r="D103" s="9" t="str">
        <f>HYPERLINK("https://www.biocoop.fr/olive-noire-denoyautee-370g-net-egoutte-oi5060-000.html","888888")</f>
        <v>888888</v>
      </c>
      <c r="F103" s="9" t="str">
        <f>HYPERLINK("https://www.biocoop.fr/olive-noire-denoyautee-370g-net-egoutte-oi5060-000.html","15.68")</f>
        <v>15.68</v>
      </c>
      <c r="H103" s="9" t="str">
        <f>HYPERLINK("https://satoriz-comboire.bio/products/igovsd01?_pos=1&amp;_sid=06b61fa87&amp;_ss=r","16.67")</f>
        <v>16.67</v>
      </c>
      <c r="J103" s="7" t="str">
        <f>HYPERLINK("https://www.greenweez.com/produit/olives-vertes-denoyautees-au-naturel-bio-de-grece-160g/2WEEZ0541","8.51")</f>
        <v>8.51</v>
      </c>
    </row>
    <row r="104" spans="1:12" x14ac:dyDescent="0.3">
      <c r="A104" t="s">
        <v>219</v>
      </c>
      <c r="B104" s="9" t="str">
        <f>HYPERLINK("https://lafourche.fr/products/nefeli-olives-kalamata-denoyautes-bio-0-97kg","17.22")</f>
        <v>17.22</v>
      </c>
      <c r="D104" s="9" t="str">
        <f>HYPERLINK("https://www.biocoop.fr/olive-verte-denoyautee-370g-net-egoutte-oi5066-000.html","888888")</f>
        <v>888888</v>
      </c>
      <c r="F104" s="9" t="str">
        <f>HYPERLINK("https://www.biocoop.fr/olive-verte-denoyautee-370g-net-egoutte-oi5066-000.html","18.11")</f>
        <v>18.11</v>
      </c>
      <c r="H104" s="9" t="str">
        <f>HYPERLINK("https://satoriz-comboire.bio/products/igondevo02?_pos=14&amp;_sid=add1402fc&amp;_ss=r","15.0")</f>
        <v>15.0</v>
      </c>
      <c r="J104" s="7" t="str">
        <f>HYPERLINK("https://www.greenweez.com/produit/olives-noires-kalamata-denoyautees-bio-de-grece-160g/2WEEZ0540","8.78")</f>
        <v>8.78</v>
      </c>
    </row>
    <row r="105" spans="1:12" x14ac:dyDescent="0.3">
      <c r="A105" t="s">
        <v>220</v>
      </c>
      <c r="B105" s="9" t="str">
        <f>HYPERLINK("https://lafourche.fr/products/la-fourche-cornichons-aigre-doux-bio-0-36kg","11.08")</f>
        <v>11.08</v>
      </c>
      <c r="C105" s="8" t="s">
        <v>221</v>
      </c>
      <c r="D105" s="9" t="str">
        <f>HYPERLINK("https://www.biocoop.fr/cornichons-mi-fins-180g-net-egoutte-bs4006-000.html","18.61")</f>
        <v>18.61</v>
      </c>
      <c r="E105" t="s">
        <v>15</v>
      </c>
      <c r="F105" s="9" t="str">
        <f>HYPERLINK("https://www.biocoop.fr/cornichon-aigre-doux-aneth-360g-net-egoutte-ch0048-000.html","18.19")</f>
        <v>18.19</v>
      </c>
      <c r="H105" s="9" t="str">
        <f>HYPERLINK("https://satoriz-comboire.bio/products/re22746?_pos=5&amp;_sid=847aca358&amp;_ss=r","13.75")</f>
        <v>13.75</v>
      </c>
      <c r="I105" s="8" t="s">
        <v>222</v>
      </c>
      <c r="J105" s="7" t="str">
        <f>HYPERLINK("https://www.greenweez.com/produit/cornichons-aigres-doux-bio-entiers-72cl/2WEEZ0494","6.1")</f>
        <v>6.1</v>
      </c>
      <c r="K105" t="s">
        <v>15</v>
      </c>
    </row>
    <row r="106" spans="1:12" x14ac:dyDescent="0.3">
      <c r="A106" t="s">
        <v>223</v>
      </c>
      <c r="B106" s="9" t="str">
        <f>HYPERLINK("https://lafourche.fr/products/philia-capres-bio-au-vinaigre-90g","24.44")</f>
        <v>24.44</v>
      </c>
      <c r="C106" s="8" t="s">
        <v>157</v>
      </c>
      <c r="D106" s="9" t="str">
        <f>HYPERLINK("https://www.biocoop.fr/capres-huile-d-olive-oi5030-000.html","29.44")</f>
        <v>29.44</v>
      </c>
      <c r="E106" s="10" t="s">
        <v>224</v>
      </c>
      <c r="F106" s="9" t="str">
        <f>HYPERLINK("https://www.biocoop.fr/capres-au-vinaigre-90g-net-egoutte-oi5002-000.html","32.22")</f>
        <v>32.22</v>
      </c>
      <c r="H106" s="9" t="str">
        <f>HYPERLINK("https://satoriz-comboire.bio/products/igcaac06?_pos=1&amp;_sid=f306db1db&amp;_ss=r","21.67")</f>
        <v>21.67</v>
      </c>
      <c r="I106" t="s">
        <v>15</v>
      </c>
      <c r="J106" s="7" t="str">
        <f>HYPERLINK("https://www.greenweez.com/produit/capres-surfines-a-lestragon-22-8cl/1BRAV0002","15.53")</f>
        <v>15.53</v>
      </c>
      <c r="K106" t="s">
        <v>15</v>
      </c>
    </row>
    <row r="107" spans="1:12" x14ac:dyDescent="0.3">
      <c r="A107" t="s">
        <v>225</v>
      </c>
      <c r="B107" s="7" t="str">
        <f>HYPERLINK("https://lafourche.fr/products/biodyssee-poivre-noir-moulu-bio-0-5kg","25.82")</f>
        <v>25.82</v>
      </c>
      <c r="C107" s="8" t="s">
        <v>226</v>
      </c>
      <c r="D107" s="9" t="str">
        <f>HYPERLINK("https://www.biocoop.fr/poivre-noir-moulu-45g-ck1425-000.html","87.78")</f>
        <v>87.78</v>
      </c>
      <c r="E107" s="10" t="s">
        <v>227</v>
      </c>
      <c r="F107" s="9" t="str">
        <f>HYPERLINK("https://www.biocoop.fr/poivre-noir-poudre-bio-ck2103-000.html","36.35")</f>
        <v>36.35</v>
      </c>
      <c r="H107" s="9" t="str">
        <f>HYPERLINK("https://satoriz-comboire.bio/products/copoimpf?_pos=1&amp;_sid=858b36494&amp;_ss=r","45.23")</f>
        <v>45.23</v>
      </c>
      <c r="I107" s="10" t="s">
        <v>228</v>
      </c>
      <c r="J107" s="9" t="str">
        <f>HYPERLINK("https://www.greenweez.com/produit/poivre-noir-moulu-220g/1COOK0090","49.45")</f>
        <v>49.45</v>
      </c>
      <c r="K107" s="10" t="s">
        <v>229</v>
      </c>
    </row>
    <row r="108" spans="1:12" x14ac:dyDescent="0.3">
      <c r="A108" t="s">
        <v>230</v>
      </c>
      <c r="B108" s="7" t="str">
        <f>HYPERLINK("https://lafourche.fr/products/la-fourche-poivre-noir-en-grains-bio-0-5kg","27.98")</f>
        <v>27.98</v>
      </c>
      <c r="C108" t="s">
        <v>15</v>
      </c>
      <c r="D108" s="9" t="str">
        <f>HYPERLINK("https://www.biocoop.fr/poivre-noir-en-grains-200g-ck1402-000.html","61.25")</f>
        <v>61.25</v>
      </c>
      <c r="E108" t="s">
        <v>15</v>
      </c>
      <c r="F108" s="9" t="str">
        <f>HYPERLINK("https://www.biocoop.fr/poivre-noir-en-grains-200g-ck1402-000.html","56.25")</f>
        <v>56.25</v>
      </c>
      <c r="H108" s="9" t="str">
        <f>HYPERLINK("https://satoriz-comboire.bio/products/copovngrec?_pos=4&amp;_sid=62a891f1e&amp;_ss=r","33.9")</f>
        <v>33.9</v>
      </c>
      <c r="I108" s="10" t="s">
        <v>231</v>
      </c>
      <c r="J108" s="9" t="str">
        <f>HYPERLINK("https://www.greenweez.com/produit/poivre-noir-entier-500g/2BIOD0103","31.0")</f>
        <v>31.0</v>
      </c>
      <c r="K108" s="8" t="s">
        <v>232</v>
      </c>
      <c r="L108">
        <v>0.02</v>
      </c>
    </row>
    <row r="109" spans="1:12" x14ac:dyDescent="0.3">
      <c r="A109" t="s">
        <v>233</v>
      </c>
      <c r="B109" s="9" t="str">
        <f>HYPERLINK("https://lafourche.fr/products/cook-poivre-blanc-en-grains-bio-0-05kg","100.4")</f>
        <v>100.4</v>
      </c>
      <c r="C109" s="10" t="s">
        <v>234</v>
      </c>
      <c r="D109" s="9" t="str">
        <f>HYPERLINK("https://www.biocoop.fr/poivre-blanc-moulin-50g-sm0364-000.html","99.8")</f>
        <v>99.8</v>
      </c>
      <c r="E109" t="s">
        <v>15</v>
      </c>
      <c r="F109" s="9" t="str">
        <f>HYPERLINK("https://www.biocoop.fr/poivre-blanc-moulin-50g-sm0364-000.html","888888")</f>
        <v>888888</v>
      </c>
      <c r="H109" s="9" t="str">
        <f>HYPERLINK("https://satoriz-comboire.bio/products/copobgc?_pos=1&amp;_sid=62a891f1e&amp;_ss=r","113.0")</f>
        <v>113.0</v>
      </c>
      <c r="I109" s="10" t="s">
        <v>235</v>
      </c>
      <c r="J109" s="7" t="str">
        <f>HYPERLINK("https://www.greenweez.com/produit/poivre-blanc-entier-moulin-rechargeable-50g/2BIOD0036","91.0")</f>
        <v>91.0</v>
      </c>
      <c r="K109" s="8" t="s">
        <v>236</v>
      </c>
    </row>
    <row r="110" spans="1:12" x14ac:dyDescent="0.3">
      <c r="A110" t="s">
        <v>237</v>
      </c>
      <c r="B110" s="9" t="str">
        <f>HYPERLINK("https://lafourche.fr/products/cook-melange-3-baies-bio-45g","107.78")</f>
        <v>107.78</v>
      </c>
      <c r="C110" s="10" t="s">
        <v>238</v>
      </c>
      <c r="D110" s="9" t="str">
        <f>HYPERLINK("https://www.biocoop.fr/poivre-melange-3-baies-45g-ck1224-000.html","127.78")</f>
        <v>127.78</v>
      </c>
      <c r="E110" t="s">
        <v>15</v>
      </c>
      <c r="F110" s="9" t="str">
        <f>HYPERLINK("https://www.biocoop.fr/poivre-melange-3-baies-45g-ck1224-000.html","127.78")</f>
        <v>127.78</v>
      </c>
      <c r="H110" s="9" t="str">
        <f>HYPERLINK("https://satoriz-comboire.bio/products/co3b?_pos=2&amp;_sid=7800f3f38&amp;_ss=r","106.67")</f>
        <v>106.67</v>
      </c>
      <c r="I110" s="10" t="s">
        <v>239</v>
      </c>
      <c r="J110" s="7" t="str">
        <f>HYPERLINK("https://www.greenweez.com/produit/melange-de-poivres-50g/1LEBE0023","68.0")</f>
        <v>68.0</v>
      </c>
      <c r="K110" t="s">
        <v>15</v>
      </c>
    </row>
    <row r="111" spans="1:12" x14ac:dyDescent="0.3">
      <c r="A111" t="s">
        <v>240</v>
      </c>
      <c r="B111" s="7" t="str">
        <f>HYPERLINK("https://lafourche.fr/products/cook-baies-de-genievre-bio-0-025kg","93.2")</f>
        <v>93.2</v>
      </c>
      <c r="C111" s="8" t="s">
        <v>127</v>
      </c>
      <c r="D111" s="9" t="str">
        <f>HYPERLINK("https://www.biocoop.fr/baies-de-genievre-25g-ck1210-000.html","104.0")</f>
        <v>104.0</v>
      </c>
      <c r="E111" t="s">
        <v>15</v>
      </c>
      <c r="F111" s="9" t="str">
        <f>HYPERLINK("https://www.biocoop.fr/baies-de-genievre-25g-ck1210-000.html","110.0")</f>
        <v>110.0</v>
      </c>
      <c r="H111" s="9" t="str">
        <f>HYPERLINK("https://satoriz-comboire.bio/products/cogen?_pos=1&amp;_sid=7910a3a2a&amp;_ss=r","102.0")</f>
        <v>102.0</v>
      </c>
      <c r="I111" t="s">
        <v>15</v>
      </c>
      <c r="J111" s="9" t="str">
        <f>HYPERLINK("https://www.greenweez.com/produit/genievre-baies-bio-50g/1LACA0017","888888")</f>
        <v>888888</v>
      </c>
      <c r="K111" s="11" t="s">
        <v>99</v>
      </c>
    </row>
    <row r="112" spans="1:12" x14ac:dyDescent="0.3">
      <c r="A112" t="s">
        <v>241</v>
      </c>
      <c r="B112" s="7" t="str">
        <f>HYPERLINK("https://lafourche.fr/products/danival-sel-gros-atlantique-1kg","1.49")</f>
        <v>1.49</v>
      </c>
      <c r="C112" t="s">
        <v>15</v>
      </c>
      <c r="D112" s="9" t="str">
        <f>HYPERLINK("https://www.biocoop.fr/gros-sel-de-guerande-gu0133-000.html","2.7")</f>
        <v>2.7</v>
      </c>
      <c r="E112" t="s">
        <v>15</v>
      </c>
      <c r="F112" s="9" t="str">
        <f>HYPERLINK("https://www.biocoop.fr/gros-sel-de-guerande-gu0133-000.html","2.7")</f>
        <v>2.7</v>
      </c>
      <c r="H112" s="9" t="str">
        <f>HYPERLINK("https://satoriz-comboire.bio/collections/epicerie-salee/products/da0052","1.55")</f>
        <v>1.55</v>
      </c>
      <c r="I112" s="8" t="s">
        <v>242</v>
      </c>
      <c r="J112" s="9" t="str">
        <f>HYPERLINK("https://www.greenweez.com/produit/sel-gros-de-latlantique-1kg/1DANI0333","1.62")</f>
        <v>1.62</v>
      </c>
      <c r="K112" s="8" t="s">
        <v>198</v>
      </c>
    </row>
    <row r="113" spans="1:12" x14ac:dyDescent="0.3">
      <c r="A113" t="s">
        <v>243</v>
      </c>
      <c r="B113" s="7" t="str">
        <f>HYPERLINK("https://lafourche.fr/products/danival-sel-fin-atlantique-1kg","1.75")</f>
        <v>1.75</v>
      </c>
      <c r="C113" t="s">
        <v>15</v>
      </c>
      <c r="D113" s="9" t="str">
        <f>HYPERLINK("https://www.biocoop.fr/sel-fin-de-guerande-gu0105-000.html","5.0")</f>
        <v>5.0</v>
      </c>
      <c r="E113" t="s">
        <v>15</v>
      </c>
      <c r="F113" s="9" t="str">
        <f>HYPERLINK("https://www.biocoop.fr/sel-fin-de-guerande-gu0105-000.html","5.0")</f>
        <v>5.0</v>
      </c>
      <c r="H113" s="9" t="str">
        <f>HYPERLINK("https://satoriz-comboire.bio/collections/epicerie-salee/products/da0021","1.85")</f>
        <v>1.85</v>
      </c>
      <c r="I113" s="8" t="s">
        <v>244</v>
      </c>
      <c r="J113" s="9" t="str">
        <f>HYPERLINK("https://www.greenweez.com/produit/sel-fin-de-guerande-500g/1LEGU0004","7.08")</f>
        <v>7.08</v>
      </c>
      <c r="K113" s="8" t="s">
        <v>245</v>
      </c>
    </row>
    <row r="114" spans="1:12" x14ac:dyDescent="0.3">
      <c r="A114" s="5" t="s">
        <v>246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2" x14ac:dyDescent="0.3">
      <c r="A115" t="s">
        <v>247</v>
      </c>
      <c r="B115" s="7" t="str">
        <f>HYPERLINK("https://lafourche.fr/products/prosain-couscous-aux-7-legumes-bio-1kg","5.98")</f>
        <v>5.98</v>
      </c>
      <c r="D115" s="9" t="str">
        <f>HYPERLINK("https://www.biocoop.fr/couscous-7-legumes-pr5174-000.html","5.99")</f>
        <v>5.99</v>
      </c>
      <c r="F115" s="9" t="str">
        <f>HYPERLINK("https://www.biocoop.fr/couscous-7-legumes-pr5174-000.html","5.99")</f>
        <v>5.99</v>
      </c>
      <c r="H115" s="9" t="str">
        <f>HYPERLINK("https://satoriz-comboire.bio/products/fd000623?_pos=2&amp;_sid=7511bf09f&amp;_ss=r","7.15")</f>
        <v>7.15</v>
      </c>
      <c r="J115" s="9" t="str">
        <f>HYPERLINK("https://www.greenweez.com/produit/couscous-aux-7-legumes-1kg/1PROS0058","7.75")</f>
        <v>7.75</v>
      </c>
    </row>
    <row r="116" spans="1:12" x14ac:dyDescent="0.3">
      <c r="A116" t="s">
        <v>248</v>
      </c>
      <c r="B116" s="7" t="str">
        <f>HYPERLINK("https://lafourche.fr/products/elibio-petits-pois-bio-400g","5.32")</f>
        <v>5.32</v>
      </c>
      <c r="D116" s="9" t="str">
        <f>HYPERLINK("https://www.biocoop.fr/petits-pois-extra-fins-sans-sel-240g-net-egoutte-pr5177-000.html","15.0")</f>
        <v>15.0</v>
      </c>
      <c r="F116" s="9" t="str">
        <f>HYPERLINK("https://www.biocoop.fr/petits-pois-530g-net-egoutte-mg5035-000.html","7.17")</f>
        <v>7.17</v>
      </c>
      <c r="H116" s="9" t="str">
        <f>HYPERLINK("https://satoriz-comboire.bio/products/re44454?_pos=6&amp;_sid=dd8a0af67&amp;_ss=r","6.25")</f>
        <v>6.25</v>
      </c>
      <c r="J116" s="9" t="str">
        <f>HYPERLINK("https://www.greenweez.com/produit/petits-pois-a-letuvee-400g/1LUCE0019","6.58")</f>
        <v>6.58</v>
      </c>
    </row>
    <row r="117" spans="1:12" x14ac:dyDescent="0.3">
      <c r="A117" t="s">
        <v>249</v>
      </c>
      <c r="B117" s="7" t="str">
        <f>HYPERLINK("https://lafourche.fr/products/elibio-mais-doux-bio-300g","5.23")</f>
        <v>5.23</v>
      </c>
      <c r="D117" s="9" t="str">
        <f>HYPERLINK("https://www.biocoop.fr/mais-doux-285g-net-egoutte-cf7000-000.html","6.32")</f>
        <v>6.32</v>
      </c>
      <c r="F117" s="9" t="str">
        <f>HYPERLINK("https://www.biocoop.fr/mais-doux-285g-net-egoutte-cf7000-000.html","6.32")</f>
        <v>6.32</v>
      </c>
      <c r="H117" s="9" t="str">
        <f>HYPERLINK("https://satoriz-comboire.bio/products/re44453?_pos=1&amp;_sid=648b2db9d&amp;_ss=r","5.96")</f>
        <v>5.96</v>
      </c>
      <c r="J117" s="9" t="str">
        <f>HYPERLINK("https://www.greenweez.com/produit/lot-de-3-mais-bio-origine-france-300g/1PACK3606","5.57")</f>
        <v>5.57</v>
      </c>
    </row>
    <row r="118" spans="1:12" x14ac:dyDescent="0.3">
      <c r="A118" t="s">
        <v>250</v>
      </c>
      <c r="B118" s="9" t="str">
        <f>HYPERLINK("https://lafourche.fr/products/elibio-haricots-verts-bio-800g","5.39")</f>
        <v>5.39</v>
      </c>
      <c r="D118" s="9" t="str">
        <f>HYPERLINK("https://www.biocoop.fr/haricots-verts-extra-fins-220g-net-egoutte-cf7001-000.html","10.91")</f>
        <v>10.91</v>
      </c>
      <c r="F118" s="9" t="str">
        <f>HYPERLINK("https://www.biocoop.fr/haricots-verts-extra-fins-440g-net-egoutte-mg5033-000.html","8.87")</f>
        <v>8.87</v>
      </c>
      <c r="H118" s="9" t="str">
        <f>HYPERLINK("https://satoriz-comboire.bio/products/re44456?_pos=4&amp;_sid=de1e57aee&amp;_ss=r","6.36")</f>
        <v>6.36</v>
      </c>
      <c r="J118" s="7" t="str">
        <f>HYPERLINK("https://www.greenweez.com/produit/lot-de-2-haricots-verts-bio-origine-france-800g/1PACK3593","2.78")</f>
        <v>2.78</v>
      </c>
    </row>
    <row r="119" spans="1:12" x14ac:dyDescent="0.3">
      <c r="A119" t="s">
        <v>251</v>
      </c>
      <c r="B119" s="9" t="str">
        <f>HYPERLINK("https://lafourche.fr/products/macedoine","11.09")</f>
        <v>11.09</v>
      </c>
      <c r="D119" s="9" t="str">
        <f>HYPERLINK("https://www.biocoop.fr/macedoine-de-legumes-445g-rc0863-000.html","8.43")</f>
        <v>8.43</v>
      </c>
      <c r="F119" s="9" t="str">
        <f>HYPERLINK("https://www.biocoop.fr/macedoine-de-legumes-240g-net-egoutte-rc0864-000.html","12.46")</f>
        <v>12.46</v>
      </c>
      <c r="H119" s="7" t="str">
        <f>HYPERLINK("https://satoriz-comboire.bio/products/ch720?_pos=1&amp;_psq=mac%C3%A9doine&amp;_ss=e&amp;_v=1.0","7.64")</f>
        <v>7.64</v>
      </c>
      <c r="J119" s="9" t="str">
        <f>HYPERLINK("https://www.greenweez.com/produit/macedoine-de-legumes-370ml/1PRIM0832","8.94")</f>
        <v>8.94</v>
      </c>
    </row>
    <row r="120" spans="1:12" x14ac:dyDescent="0.3">
      <c r="A120" s="5" t="s">
        <v>252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2" x14ac:dyDescent="0.3">
      <c r="A121" t="s">
        <v>253</v>
      </c>
      <c r="B121" s="9" t="str">
        <f>HYPERLINK("https://lafourche.fr/products/la-fourche-huile-dolive-vierge-extra-origine-espagne-bio-3l","11.89")</f>
        <v>11.89</v>
      </c>
      <c r="C121" s="8" t="s">
        <v>254</v>
      </c>
      <c r="D121" s="7" t="str">
        <f>HYPERLINK("https://www.biocoop.fr/huile-d-olive-vierge-extra-1l-mg1090-000.html","8.95")</f>
        <v>8.95</v>
      </c>
      <c r="E121" t="s">
        <v>15</v>
      </c>
      <c r="F121" s="9" t="str">
        <f>HYPERLINK("https://www.biocoop.fr/huile-d-olive-1l-co7008-000.html","10.99")</f>
        <v>10.99</v>
      </c>
      <c r="H121" s="9" t="str">
        <f>HYPERLINK("https://satoriz-comboire.bio/collections/epicerie-salee/products/vo1","15.35")</f>
        <v>15.35</v>
      </c>
      <c r="I121" s="8" t="s">
        <v>255</v>
      </c>
      <c r="J121" s="9" t="str">
        <f>HYPERLINK("https://www.greenweez.com/produit/huile-dolive-vierge-extra-1l-1/1LUCE0020","15.96")</f>
        <v>15.96</v>
      </c>
      <c r="K121" s="8" t="s">
        <v>256</v>
      </c>
      <c r="L121">
        <v>0.5</v>
      </c>
    </row>
    <row r="122" spans="1:12" x14ac:dyDescent="0.3">
      <c r="A122" t="s">
        <v>257</v>
      </c>
      <c r="B122" s="7" t="str">
        <f>HYPERLINK("https://lafourche.fr/products/la-fourche-huile-de-tournesol-vierge-origine-france-bio-3l","3.5")</f>
        <v>3.5</v>
      </c>
      <c r="C122" s="10" t="s">
        <v>258</v>
      </c>
      <c r="D122" s="9" t="str">
        <f>HYPERLINK("https://www.biocoop.fr/huile-de-tournesol-france-1l-mg1154-000.html","4.72")</f>
        <v>4.72</v>
      </c>
      <c r="E122" s="10" t="s">
        <v>259</v>
      </c>
      <c r="F122" s="9" t="str">
        <f>HYPERLINK("https://www.biocoop.fr/huile-de-tournesol-france-1l-mg1154-000.html","4.46")</f>
        <v>4.46</v>
      </c>
      <c r="H122" s="9" t="str">
        <f>HYPERLINK("https://satoriz-comboire.bio/collections/epicerie-salee/products/re38671","3.8")</f>
        <v>3.8</v>
      </c>
      <c r="I122" s="10" t="s">
        <v>260</v>
      </c>
      <c r="J122" s="9" t="str">
        <f>HYPERLINK("https://www.greenweez.com/produit/huile-de-tournesol-vierge-3l/1OILI0003","5.65")</f>
        <v>5.65</v>
      </c>
      <c r="K122" s="10" t="s">
        <v>261</v>
      </c>
      <c r="L122">
        <v>0.5</v>
      </c>
    </row>
    <row r="123" spans="1:12" x14ac:dyDescent="0.3">
      <c r="A123" t="s">
        <v>262</v>
      </c>
      <c r="B123" s="7" t="str">
        <f>HYPERLINK("https://lafourche.fr/products/la-fourche-huile-de-colza-vierge-bio-3l","4.65")</f>
        <v>4.65</v>
      </c>
      <c r="C123" t="s">
        <v>15</v>
      </c>
      <c r="D123" s="9" t="str">
        <f>HYPERLINK("https://www.biocoop.fr/huile-colza-1l-co7002-000.html","7.05")</f>
        <v>7.05</v>
      </c>
      <c r="E123" s="8" t="s">
        <v>263</v>
      </c>
      <c r="F123" s="9" t="str">
        <f>HYPERLINK("https://www.biocoop.fr/huile-colza-1l-co7002-000.html","6.45")</f>
        <v>6.45</v>
      </c>
      <c r="H123" s="9" t="str">
        <f>HYPERLINK("https://satoriz-comboire.bio/collections/epicerie-salee/products/re42186","5.65")</f>
        <v>5.65</v>
      </c>
      <c r="I123" s="10" t="s">
        <v>264</v>
      </c>
      <c r="J123" s="9" t="str">
        <f>HYPERLINK("https://www.greenweez.com/produit/huile-de-colza-vierge-bio-1l/2WEEZ0242","6.49")</f>
        <v>6.49</v>
      </c>
      <c r="K123" t="s">
        <v>15</v>
      </c>
    </row>
    <row r="124" spans="1:12" x14ac:dyDescent="0.3">
      <c r="A124" t="s">
        <v>265</v>
      </c>
      <c r="B124" s="7" t="str">
        <f>HYPERLINK("https://lafourche.fr/products/la-fourche-huile-de-coco-desodorisee-bio-et-equitable-1l","8.99")</f>
        <v>8.99</v>
      </c>
      <c r="C124" s="10" t="s">
        <v>231</v>
      </c>
      <c r="D124" s="9" t="str">
        <f>HYPERLINK("https://www.biocoop.fr/huile-de-coco-desodorisee-950ml-mg1141-000.html","14.89")</f>
        <v>14.89</v>
      </c>
      <c r="E124" s="8" t="s">
        <v>266</v>
      </c>
      <c r="F124" s="9" t="str">
        <f>HYPERLINK("https://www.biocoop.fr/huile-de-coco-desodorisee-950ml-mg1141-000.html","12.89")</f>
        <v>12.89</v>
      </c>
      <c r="H124" s="9" t="str">
        <f>HYPERLINK("https://satoriz-comboire.bio/collections/epicerie-salee/products/pr1424","11.7")</f>
        <v>11.7</v>
      </c>
      <c r="I124" t="s">
        <v>15</v>
      </c>
      <c r="J124" s="9" t="str">
        <f>HYPERLINK("https://www.greenweez.com/produit/huile-de-coco-du-sri-lanka-1l/1BASE0016","9.1")</f>
        <v>9.1</v>
      </c>
      <c r="K124" s="10" t="s">
        <v>267</v>
      </c>
    </row>
    <row r="125" spans="1:12" x14ac:dyDescent="0.3">
      <c r="A125" t="s">
        <v>268</v>
      </c>
      <c r="B125">
        <v>888888</v>
      </c>
      <c r="D125" s="42" t="str">
        <f>HYPERLINK("https://www.biocoop.fr/magasin-biocoop_champollion/vinaigrette-curcuma-gingembre-citron-36cl-bq0007-000.html","19.31")</f>
        <v>19.31</v>
      </c>
      <c r="F125" s="42" t="str">
        <f>HYPERLINK("https://www.biocoop.fr/magasin-biocoop_fontaine/vinaigrette-curcuma-gingembre-citron-36cl-bq0007-000.html","19.31")</f>
        <v>19.31</v>
      </c>
      <c r="H125" s="42" t="str">
        <f>HYPERLINK("https://satoriz-comboire.bio/products/re21497?_pos=1&amp;_sid=00ea134f4&amp;_ss=r","18.61")</f>
        <v>18.61</v>
      </c>
      <c r="J125" s="37" t="str">
        <f>HYPERLINK("https://www.greenweez.com/produit/vinaigrette-assaisonnette-la-tonique-36cl/3QUIN0011","18.47")</f>
        <v>18.47</v>
      </c>
    </row>
    <row r="126" spans="1:12" x14ac:dyDescent="0.3">
      <c r="A126" t="s">
        <v>269</v>
      </c>
      <c r="B126" s="7" t="str">
        <f>HYPERLINK("https://lafourche.fr/products/la-fourche-vinaigre-de-cidre-bio-1l","2.70")</f>
        <v>2.70</v>
      </c>
      <c r="C126" s="11" t="s">
        <v>99</v>
      </c>
      <c r="D126" s="9" t="str">
        <f>HYPERLINK("https://www.biocoop.fr/vinaigre-de-cidre-75cl-cn0222-000.html","4.33")</f>
        <v>4.33</v>
      </c>
      <c r="E126" t="s">
        <v>15</v>
      </c>
      <c r="F126" s="9" t="str">
        <f>HYPERLINK("https://www.biocoop.fr/vinaigre-de-cidre-75cl-cn0222-000.html","4.33")</f>
        <v>4.33</v>
      </c>
      <c r="H126" s="9" t="str">
        <f>HYPERLINK("https://satoriz-comboire.bio/collections/epicerie-salee/products/re38988","3.4")</f>
        <v>3.4</v>
      </c>
      <c r="I126" s="8" t="s">
        <v>270</v>
      </c>
      <c r="J126" s="9" t="str">
        <f>HYPERLINK("https://www.greenweez.com/produit/vinaigre-de-cidre-bio-75cl/2WEEZ0409","3.44")</f>
        <v>3.44</v>
      </c>
      <c r="K126" t="s">
        <v>15</v>
      </c>
      <c r="L126">
        <v>0.2</v>
      </c>
    </row>
    <row r="127" spans="1:12" x14ac:dyDescent="0.3">
      <c r="A127" t="s">
        <v>271</v>
      </c>
      <c r="B127" s="7" t="str">
        <f>HYPERLINK("https://lafourche.fr/products/la-fourche-vinaigre-balsamique-de-modene-bio-1l","5.95")</f>
        <v>5.95</v>
      </c>
      <c r="C127" t="s">
        <v>15</v>
      </c>
      <c r="D127" s="9" t="str">
        <f>HYPERLINK("https://www.biocoop.fr/vinaigre-balsamique-de-modene-50cl-po2022-000.html","888888")</f>
        <v>888888</v>
      </c>
      <c r="E127" s="11" t="s">
        <v>99</v>
      </c>
      <c r="F127" s="9" t="str">
        <f>HYPERLINK("https://www.biocoop.fr/vinaigre-balsamique-de-modene-50cl-po2022-000.html","9.1")</f>
        <v>9.1</v>
      </c>
      <c r="H127" s="9" t="str">
        <f>HYPERLINK("https://satoriz-comboire.bio/collections/epicerie-salee/products/re38990","7.27")</f>
        <v>7.27</v>
      </c>
      <c r="I127" s="8" t="s">
        <v>272</v>
      </c>
      <c r="J127" s="9" t="str">
        <f>HYPERLINK("https://www.greenweez.com/produit/vinaigre-balsamique-de-modene-bio-50cl/2WEEZ0408","6.96")</f>
        <v>6.96</v>
      </c>
      <c r="K127" t="s">
        <v>15</v>
      </c>
    </row>
    <row r="128" spans="1:12" x14ac:dyDescent="0.3">
      <c r="A128" t="s">
        <v>273</v>
      </c>
      <c r="B128" s="9" t="str">
        <f>HYPERLINK("https://lafourche.fr/products/laselva-vinaigre-balsamique-blanc-500ml-bio","9")</f>
        <v>9</v>
      </c>
      <c r="C128" t="s">
        <v>15</v>
      </c>
      <c r="D128">
        <v>888888</v>
      </c>
      <c r="E128" s="11" t="s">
        <v>99</v>
      </c>
      <c r="F128">
        <v>888888</v>
      </c>
      <c r="H128" s="7" t="str">
        <f>HYPERLINK("https://satoriz-comboire.bio/collections/epicerie-salee/products/sd09327118331","6.6")</f>
        <v>6.6</v>
      </c>
      <c r="I128" s="10" t="s">
        <v>274</v>
      </c>
      <c r="J128" s="9" t="str">
        <f>HYPERLINK("https://www.greenweez.com/produit/vinaigre-balsamique-blanc-500ml/1SELV0040","11.2")</f>
        <v>11.2</v>
      </c>
      <c r="K128" t="s">
        <v>15</v>
      </c>
    </row>
    <row r="129" spans="1:12" x14ac:dyDescent="0.3">
      <c r="A129" s="5" t="s">
        <v>275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2" x14ac:dyDescent="0.3">
      <c r="A130" t="s">
        <v>276</v>
      </c>
      <c r="B130" s="7" t="str">
        <f>HYPERLINK("https://lafourche.fr/products/la-fourche-petit-epeautre-bio-en-vrac-1kg","4.29")</f>
        <v>4.29</v>
      </c>
      <c r="C130" s="8" t="s">
        <v>277</v>
      </c>
      <c r="D130" s="9" t="str">
        <f>HYPERLINK("https://www.biocoop.fr/petit-epeautre-decortique-500g-br0273-000.html","6.9")</f>
        <v>6.9</v>
      </c>
      <c r="E130" t="s">
        <v>15</v>
      </c>
      <c r="F130" s="9" t="str">
        <f>HYPERLINK("https://www.biocoop.fr/petit-epeautre-decortique-500g-br0273-000.html","888888")</f>
        <v>888888</v>
      </c>
      <c r="H130" s="9" t="str">
        <f>HYPERLINK("https://satoriz-comboire.bio/collections/vrac/products/re42050","4.55")</f>
        <v>4.55</v>
      </c>
      <c r="I130" s="8" t="s">
        <v>278</v>
      </c>
      <c r="J130" s="9" t="str">
        <f>HYPERLINK("https://www.greenweez.com/produit/petit-epeautre-500g/1MKAL0113","5.12")</f>
        <v>5.12</v>
      </c>
      <c r="K130" s="10" t="s">
        <v>279</v>
      </c>
    </row>
    <row r="131" spans="1:12" x14ac:dyDescent="0.3">
      <c r="A131" t="s">
        <v>280</v>
      </c>
      <c r="B131" s="7" t="str">
        <f>HYPERLINK("https://lafourche.fr/products/la-fourche-graines-tournesol-bio-en-vrac-1kg","4.3")</f>
        <v>4.3</v>
      </c>
      <c r="C131" t="s">
        <v>15</v>
      </c>
      <c r="D131" s="9" t="str">
        <f>HYPERLINK("https://www.biocoop.fr/sarrasin-decortique-bio-ra6027-000.html","5.99")</f>
        <v>5.99</v>
      </c>
      <c r="E131" t="s">
        <v>15</v>
      </c>
      <c r="F131" s="9" t="str">
        <f>HYPERLINK("https://www.biocoop.fr/sarrasin-decortique-bio-ra6027-000.html","6.99")</f>
        <v>6.99</v>
      </c>
      <c r="H131" s="9" t="str">
        <f>HYPERLINK("https://satoriz-comboire.bio/collections/vrac/products/eco759","7.05")</f>
        <v>7.05</v>
      </c>
      <c r="I131" s="8" t="s">
        <v>281</v>
      </c>
      <c r="J131" s="9" t="str">
        <f>HYPERLINK("https://www.greenweez.com/produit/sarrasin-decortique-3kg/5GREE0100","5.33")</f>
        <v>5.33</v>
      </c>
      <c r="K131" t="s">
        <v>15</v>
      </c>
      <c r="L131">
        <v>0.5</v>
      </c>
    </row>
    <row r="132" spans="1:12" x14ac:dyDescent="0.3">
      <c r="A132" t="s">
        <v>282</v>
      </c>
      <c r="B132" s="7" t="str">
        <f>HYPERLINK("https://lafourche.fr/products/solid-food-1kg-de-quinoa-blanc-en-vrac-bio","6.3")</f>
        <v>6.3</v>
      </c>
      <c r="C132" t="s">
        <v>15</v>
      </c>
      <c r="D132" s="9" t="str">
        <f>HYPERLINK("https://www.biocoop.fr/quinoa-france-bio-br0263-000.html","8.4")</f>
        <v>8.4</v>
      </c>
      <c r="E132" s="10" t="s">
        <v>283</v>
      </c>
      <c r="F132" s="9" t="str">
        <f>HYPERLINK("https://www.biocoop.fr/quinoa-france-bio-br0263-000.html","8.4")</f>
        <v>8.4</v>
      </c>
      <c r="H132" s="9" t="str">
        <f>HYPERLINK("https://satoriz-comboire.bio/collections/vrac/products/bg1","8.8")</f>
        <v>8.8</v>
      </c>
      <c r="I132" s="10" t="s">
        <v>274</v>
      </c>
      <c r="J132" s="9" t="str">
        <f>HYPERLINK("https://www.greenweez.com/produit/quinoa-real-blanc-1kg/1MKAL0120","9.12")</f>
        <v>9.12</v>
      </c>
      <c r="K132" s="8" t="s">
        <v>284</v>
      </c>
      <c r="L132">
        <v>0.5</v>
      </c>
    </row>
    <row r="133" spans="1:12" x14ac:dyDescent="0.3">
      <c r="A133" t="s">
        <v>285</v>
      </c>
      <c r="B133" s="7" t="str">
        <f>HYPERLINK("https://lafourche.fr/products/la-fourche-quinoa-tricolore-bio-en-vrac-1kg","6.95")</f>
        <v>6.95</v>
      </c>
      <c r="C133" t="s">
        <v>15</v>
      </c>
      <c r="D133" s="9" t="str">
        <f>HYPERLINK("https://www.biocoop.fr/quinoa-real-bolivie-3-couleurs-bio-sm0366-000.html","8.9")</f>
        <v>8.9</v>
      </c>
      <c r="E133" t="s">
        <v>15</v>
      </c>
      <c r="F133" s="9" t="str">
        <f>HYPERLINK("https://www.biocoop.fr/quinoa-real-bolivie-3-couleurs-bio-sm0366-000.html","8.6")</f>
        <v>8.6</v>
      </c>
      <c r="H133" s="9" t="str">
        <f>HYPERLINK("https://satoriz-comboire.bio/products/eu7921?_pos=2&amp;_sid=f28a0cca6&amp;_ss=r","7.2")</f>
        <v>7.2</v>
      </c>
      <c r="I133" s="8" t="s">
        <v>286</v>
      </c>
      <c r="J133" s="9" t="str">
        <f>HYPERLINK("https://www.greenweez.com/produit/quinoa-tricolore-bio-500g/2WEEZ0157","9.9")</f>
        <v>9.9</v>
      </c>
      <c r="K133" s="8" t="s">
        <v>287</v>
      </c>
    </row>
    <row r="134" spans="1:12" x14ac:dyDescent="0.3">
      <c r="A134" t="s">
        <v>288</v>
      </c>
      <c r="B134" s="7" t="str">
        <f>HYPERLINK("https://lafourche.fr/products/la-fourche-1kg-de-boulgour-gros-bio-en-vrac","2.79")</f>
        <v>2.79</v>
      </c>
      <c r="C134" s="8" t="s">
        <v>242</v>
      </c>
      <c r="D134" s="9" t="str">
        <f>HYPERLINK("https://www.biocoop.fr/boulgour-ble-gros-france-1kg-ma8005-000.html","3.99")</f>
        <v>3.99</v>
      </c>
      <c r="E134" t="s">
        <v>15</v>
      </c>
      <c r="F134" s="9" t="str">
        <f>HYPERLINK("https://www.biocoop.fr/boulgour-ble-gros-france-1kg-ma8005-000.html","3.6")</f>
        <v>3.6</v>
      </c>
      <c r="H134" s="9" t="str">
        <f>HYPERLINK("https://satoriz-comboire.bio/collections/vrac/products/ma11050","3.5")</f>
        <v>3.5</v>
      </c>
      <c r="I134" s="10" t="s">
        <v>289</v>
      </c>
      <c r="J134" s="9" t="str">
        <f>HYPERLINK("https://www.greenweez.com/produit/boulgour-traditionnel-bio-2-5kg/2WEEZ0215","3.58")</f>
        <v>3.58</v>
      </c>
      <c r="K134" s="8" t="s">
        <v>290</v>
      </c>
      <c r="L134">
        <v>0.2</v>
      </c>
    </row>
    <row r="135" spans="1:12" x14ac:dyDescent="0.3">
      <c r="A135" t="s">
        <v>291</v>
      </c>
      <c r="B135" s="7" t="str">
        <f>HYPERLINK("https://lafourche.fr/products/la-fourche-1kg-de-graines-de-millet-bio-en-vrac","3.5")</f>
        <v>3.5</v>
      </c>
      <c r="C135" s="8" t="s">
        <v>292</v>
      </c>
      <c r="D135" s="9" t="str">
        <f>HYPERLINK("https://www.biocoop.fr/millet-decortique-bio-md1001-000.html","4.3")</f>
        <v>4.3</v>
      </c>
      <c r="E135" s="8" t="s">
        <v>293</v>
      </c>
      <c r="F135" s="9" t="str">
        <f>HYPERLINK("https://www.biocoop.fr/millet-decortique-france-500g-al8046-000.html","5.8")</f>
        <v>5.8</v>
      </c>
      <c r="H135" s="7" t="str">
        <f>HYPERLINK("https://satoriz-comboire.bio/collections/vrac/products/re39809","3.5")</f>
        <v>3.5</v>
      </c>
      <c r="I135" s="8" t="s">
        <v>294</v>
      </c>
      <c r="J135" s="9" t="str">
        <f>HYPERLINK("https://www.greenweez.com/produit/millet-bio-2-5kg/2WEEZ0528","3.56")</f>
        <v>3.56</v>
      </c>
      <c r="K135" t="s">
        <v>15</v>
      </c>
    </row>
    <row r="136" spans="1:12" x14ac:dyDescent="0.3">
      <c r="A136" t="s">
        <v>295</v>
      </c>
      <c r="B136" s="7" t="str">
        <f>HYPERLINK("https://lafourche.fr/products/la-fourche-1kg-de-couscous-complet-bio-en-vrac","2.3")</f>
        <v>2.3</v>
      </c>
      <c r="C136" s="10" t="s">
        <v>296</v>
      </c>
      <c r="D136" s="9" t="str">
        <f>HYPERLINK("https://www.biocoop.fr/couscous-ble-dur-complet-bio-bi9030-000.html","3.25")</f>
        <v>3.25</v>
      </c>
      <c r="E136" t="s">
        <v>15</v>
      </c>
      <c r="F136" s="9" t="str">
        <f>HYPERLINK("https://www.biocoop.fr/couscous-ble-dur-complet-500g-bi9019-000.html","4.4")</f>
        <v>4.4</v>
      </c>
      <c r="H136" s="9" t="str">
        <f>HYPERLINK("https://satoriz-comboire.bio/collections/vrac/products/re40833","2.55")</f>
        <v>2.55</v>
      </c>
      <c r="I136" s="8" t="s">
        <v>297</v>
      </c>
      <c r="J136" s="9" t="str">
        <f>HYPERLINK("https://www.greenweez.com/produit/couscous-complet-bio-2-5kg/2WEEZ0216","3.79")</f>
        <v>3.79</v>
      </c>
      <c r="K136" t="s">
        <v>15</v>
      </c>
    </row>
    <row r="137" spans="1:12" x14ac:dyDescent="0.3">
      <c r="A137" t="s">
        <v>298</v>
      </c>
      <c r="B137" s="7" t="str">
        <f>HYPERLINK("https://lafourche.fr/products/la-fourche-ble-tendre-complet-bio-en-vrac-1kg","1.59")</f>
        <v>1.59</v>
      </c>
      <c r="C137" t="s">
        <v>15</v>
      </c>
      <c r="D137">
        <v>888888</v>
      </c>
      <c r="E137" s="11" t="s">
        <v>99</v>
      </c>
      <c r="F137">
        <v>888888</v>
      </c>
      <c r="H137" s="9" t="str">
        <f>HYPERLINK("https://satoriz-comboire.bio/products/eco608?_pos=3&amp;_sid=c145f4454&amp;_ss=r","1.65")</f>
        <v>1.65</v>
      </c>
      <c r="I137" s="8" t="s">
        <v>299</v>
      </c>
      <c r="J137" s="9" t="str">
        <f>HYPERLINK("https://www.greenweez.com/produit/ble-tendre-complet-500g/1MKAL0007","2.56")</f>
        <v>2.56</v>
      </c>
      <c r="K137" s="10" t="s">
        <v>300</v>
      </c>
    </row>
    <row r="138" spans="1:12" x14ac:dyDescent="0.3">
      <c r="A138" t="s">
        <v>301</v>
      </c>
      <c r="B138" s="9" t="str">
        <f>HYPERLINK("https://lafourche.fr/products/la-fourche-polenta-bio-en-vrac-1kg","3.55")</f>
        <v>3.55</v>
      </c>
      <c r="C138" s="10" t="s">
        <v>302</v>
      </c>
      <c r="D138" s="9" t="str">
        <f>HYPERLINK("https://www.biocoop.fr/semoule-de-mais-instantanee-polenta-bio-ma8079-000.html","3.85")</f>
        <v>3.85</v>
      </c>
      <c r="E138" t="s">
        <v>15</v>
      </c>
      <c r="F138" s="9" t="str">
        <f>HYPERLINK("https://www.biocoop.fr/semoule-de-mais-instantanee-polenta-bio-ma8079-000.html","3.6")</f>
        <v>3.6</v>
      </c>
      <c r="H138" s="9" t="str">
        <f>HYPERLINK("https://satoriz-comboire.bio/products/ma71051?_pos=5&amp;_sid=36154f2e5&amp;_ss=r","3.6")</f>
        <v>3.6</v>
      </c>
      <c r="I138" s="10" t="s">
        <v>303</v>
      </c>
      <c r="J138" s="7" t="str">
        <f>HYPERLINK("https://www.greenweez.com/produit/semoule-mais-fine-1kg/1MKAL0272","3.43")</f>
        <v>3.43</v>
      </c>
      <c r="K138" s="10" t="s">
        <v>304</v>
      </c>
      <c r="L138">
        <v>0.3</v>
      </c>
    </row>
    <row r="139" spans="1:12" x14ac:dyDescent="0.3">
      <c r="A139" t="s">
        <v>305</v>
      </c>
      <c r="B139" s="7" t="str">
        <f>HYPERLINK("https://lafourche.fr/products/la-fourche-500g-de-graines-de-tournesol-en-vrac-bio","3.7")</f>
        <v>3.7</v>
      </c>
      <c r="C139" t="s">
        <v>15</v>
      </c>
      <c r="D139" s="9" t="str">
        <f>HYPERLINK("https://www.biocoop.fr/tournesol-decortique-bio-al8034-000.html","10.35")</f>
        <v>10.35</v>
      </c>
      <c r="E139" t="s">
        <v>15</v>
      </c>
      <c r="F139" s="45" t="str">
        <f>HYPERLINK("https://www.biocoop.fr/tournesol-decortique-250g-al8033-000.html","11.96")</f>
        <v>11.96</v>
      </c>
      <c r="H139" s="9" t="str">
        <f>HYPERLINK("https://satoriz-comboire.bio/products/re39556?_pos=3&amp;_sid=9a1745164&amp;_ss=r","7.7")</f>
        <v>7.7</v>
      </c>
      <c r="I139" s="8" t="s">
        <v>306</v>
      </c>
      <c r="J139" s="9" t="str">
        <f>HYPERLINK("https://www.greenweez.com/produit/graines-de-tournesol-decortiquees-bio-500g/2WEEZ0020","5.36")</f>
        <v>5.36</v>
      </c>
      <c r="K139" t="s">
        <v>15</v>
      </c>
      <c r="L139">
        <v>0.1</v>
      </c>
    </row>
    <row r="140" spans="1:12" x14ac:dyDescent="0.3">
      <c r="A140" t="s">
        <v>307</v>
      </c>
      <c r="B140" s="9" t="str">
        <f>HYPERLINK("https://lafourche.fr/products/la-fourche-500g-de-graines-de-lin-brun-bio-en-vrac","4.76")</f>
        <v>4.76</v>
      </c>
      <c r="C140" s="8" t="s">
        <v>308</v>
      </c>
      <c r="D140" s="9" t="str">
        <f>HYPERLINK("https://www.biocoop.fr/graine-de-lin-brun-bio-br0236-000.html","5.53")</f>
        <v>5.53</v>
      </c>
      <c r="E140" s="10" t="s">
        <v>309</v>
      </c>
      <c r="F140" s="9" t="str">
        <f>HYPERLINK("https://www.biocoop.fr/graine-de-lin-brun-bio-br0236-000.html","5.8")</f>
        <v>5.8</v>
      </c>
      <c r="H140" s="7" t="str">
        <f>HYPERLINK("https://satoriz-comboire.bio/products/re39808?_pos=9&amp;_sid=2d728524c&amp;_ss=r","4.75")</f>
        <v>4.75</v>
      </c>
      <c r="I140" s="8" t="s">
        <v>310</v>
      </c>
      <c r="J140" s="9" t="str">
        <f>HYPERLINK("https://www.greenweez.com/produit/graines-de-lin-brun-bio-500g/2WEEZ0019","4.76")</f>
        <v>4.76</v>
      </c>
      <c r="K140" t="s">
        <v>15</v>
      </c>
    </row>
    <row r="141" spans="1:12" x14ac:dyDescent="0.3">
      <c r="A141" t="s">
        <v>311</v>
      </c>
      <c r="B141" s="7" t="str">
        <f>HYPERLINK("https://lafourche.fr/products/la-fourche-500g-de-graines-de-sesames-bio-en-vrac","5.4")</f>
        <v>5.4</v>
      </c>
      <c r="C141" t="s">
        <v>15</v>
      </c>
      <c r="D141">
        <v>888888</v>
      </c>
      <c r="E141" s="11" t="s">
        <v>99</v>
      </c>
      <c r="F141">
        <v>888888</v>
      </c>
      <c r="H141" s="9" t="str">
        <f>HYPERLINK("https://satoriz-comboire.bio/products/eu203?_pos=5&amp;_sid=2bd1fd04d&amp;_ss=r","5.95")</f>
        <v>5.95</v>
      </c>
      <c r="I141" s="8" t="s">
        <v>312</v>
      </c>
      <c r="J141" s="9" t="str">
        <f>HYPERLINK("https://www.greenweez.com/produit/sesame-complet-bio-500g/2WEEZ0028","7.9")</f>
        <v>7.9</v>
      </c>
      <c r="K141" s="8" t="s">
        <v>313</v>
      </c>
    </row>
    <row r="142" spans="1:12" x14ac:dyDescent="0.3">
      <c r="A142" t="s">
        <v>314</v>
      </c>
      <c r="B142" s="7" t="str">
        <f>HYPERLINK("https://lafourche.fr/products/la-fourche-500g-de-graines-de-chia-bio-en-vrac","6.8")</f>
        <v>6.8</v>
      </c>
      <c r="C142" s="10" t="s">
        <v>315</v>
      </c>
      <c r="D142" s="9" t="str">
        <f>HYPERLINK("https://www.biocoop.fr/graines-de-chia-qu1026-000.html","888888")</f>
        <v>888888</v>
      </c>
      <c r="E142" s="11" t="s">
        <v>99</v>
      </c>
      <c r="F142" s="9" t="str">
        <f>HYPERLINK("https://www.biocoop.fr/graines-de-chia-qu1026-000.html","888888")</f>
        <v>888888</v>
      </c>
      <c r="H142" s="7" t="str">
        <f>HYPERLINK("https://satoriz-comboire.bio/products/bofchia?_pos=6&amp;_sid=c84fead2c&amp;_ss=r","6.8")</f>
        <v>6.8</v>
      </c>
      <c r="I142" s="10" t="s">
        <v>29</v>
      </c>
      <c r="J142" s="9" t="str">
        <f>HYPERLINK("https://www.greenweez.com/produit/graines-de-chia-bio-500g/2WEEZ0337","9.96")</f>
        <v>9.96</v>
      </c>
      <c r="K142" t="s">
        <v>15</v>
      </c>
    </row>
    <row r="143" spans="1:12" x14ac:dyDescent="0.3">
      <c r="A143" t="s">
        <v>316</v>
      </c>
      <c r="B143" s="9" t="str">
        <f>HYPERLINK("https://lafourche.fr/products/la-fourche-500g-de-graines-de-courge-en-vrac-bio","12.6")</f>
        <v>12.6</v>
      </c>
      <c r="C143" t="s">
        <v>15</v>
      </c>
      <c r="D143">
        <v>888888</v>
      </c>
      <c r="E143" s="11" t="s">
        <v>99</v>
      </c>
      <c r="F143" s="45" t="str">
        <f>HYPERLINK("https://www.biocoop.fr/graine-de-courge-france-250g-al8045-000.html","20.80")</f>
        <v>20.80</v>
      </c>
      <c r="H143" s="9" t="str">
        <f>HYPERLINK("https://satoriz-comboire.bio/products/ec008?_pos=3&amp;_sid=8f28a5498&amp;_ss=r","14.95")</f>
        <v>14.95</v>
      </c>
      <c r="I143" s="10" t="s">
        <v>317</v>
      </c>
      <c r="J143" s="7" t="str">
        <f>HYPERLINK("https://www.greenweez.com/produit/graines-de-courge-bio-500g/2WEEZ0530","11.88")</f>
        <v>11.88</v>
      </c>
      <c r="K143" t="s">
        <v>15</v>
      </c>
    </row>
    <row r="144" spans="1:12" x14ac:dyDescent="0.3">
      <c r="A144" t="s">
        <v>318</v>
      </c>
      <c r="B144" s="9" t="str">
        <f>HYPERLINK("https://lafourche.fr/products/la-fourche-250g-de-pignons-de-cedre-en-vrac-bio","43.6")</f>
        <v>43.6</v>
      </c>
      <c r="C144" t="s">
        <v>15</v>
      </c>
      <c r="D144">
        <v>888888</v>
      </c>
      <c r="E144" s="11" t="s">
        <v>99</v>
      </c>
      <c r="F144">
        <v>888888</v>
      </c>
      <c r="H144" s="7" t="str">
        <f>HYPERLINK("https://satoriz-comboire.bio/products/bof3007?_pos=1&amp;_sid=3170df032&amp;_ss=r","41.4")</f>
        <v>41.4</v>
      </c>
      <c r="I144" s="10" t="s">
        <v>319</v>
      </c>
      <c r="J144" s="9" t="str">
        <f>HYPERLINK("https://www.greenweez.com/produit/pignons-de-cedre-500g/2WEEZ0403","47.9")</f>
        <v>47.9</v>
      </c>
      <c r="K144" s="10" t="s">
        <v>320</v>
      </c>
    </row>
    <row r="145" spans="1:12" x14ac:dyDescent="0.3">
      <c r="A145" t="s">
        <v>321</v>
      </c>
      <c r="B145" s="7" t="str">
        <f>HYPERLINK("https://lafourche.fr/products/la-fourche-pignons-de-pin-bio-0-25kg","57.92")</f>
        <v>57.92</v>
      </c>
      <c r="C145" s="10" t="s">
        <v>322</v>
      </c>
      <c r="D145">
        <v>888888</v>
      </c>
      <c r="E145" s="11" t="s">
        <v>99</v>
      </c>
      <c r="F145">
        <v>888888</v>
      </c>
      <c r="H145" s="9" t="str">
        <f>HYPERLINK("https://satoriz-comboire.bio/products/ag639?_pos=2&amp;_sid=265828df9&amp;_ss=r","94.8")</f>
        <v>94.8</v>
      </c>
      <c r="I145" s="10" t="s">
        <v>323</v>
      </c>
      <c r="J145" s="9" t="str">
        <f>HYPERLINK("https://www.greenweez.com/produit/pignons-de-pin-bio-125g/1DPFS0044","102.0")</f>
        <v>102.0</v>
      </c>
      <c r="K145" s="10" t="s">
        <v>324</v>
      </c>
    </row>
    <row r="146" spans="1:12" x14ac:dyDescent="0.3">
      <c r="A146" t="s">
        <v>325</v>
      </c>
      <c r="B146" s="7" t="str">
        <f>HYPERLINK("https://lafourche.fr/products/la-fourche-1kg-de-pois-chiches-en-vrac-bio","3.61")</f>
        <v>3.61</v>
      </c>
      <c r="C146" s="8" t="s">
        <v>326</v>
      </c>
      <c r="D146" s="9" t="str">
        <f>HYPERLINK("https://www.biocoop.fr/pois-chiches-bio-al8031-000.html","4.95")</f>
        <v>4.95</v>
      </c>
      <c r="E146" t="s">
        <v>15</v>
      </c>
      <c r="F146" s="9" t="str">
        <f>HYPERLINK("https://www.biocoop.fr/pois-chiches-bio-al8031-000.html","4.5")</f>
        <v>4.5</v>
      </c>
      <c r="H146" s="9" t="str">
        <f>HYPERLINK("https://satoriz-comboire.bio/collections/vrac/products/re40037","3.7")</f>
        <v>3.7</v>
      </c>
      <c r="I146" t="s">
        <v>15</v>
      </c>
      <c r="J146" s="9" t="str">
        <f>HYPERLINK("https://www.greenweez.com/produit/pois-chiches-origine-france-3kg/5GREE0125","4.65")</f>
        <v>4.65</v>
      </c>
      <c r="K146" s="8" t="s">
        <v>327</v>
      </c>
      <c r="L146">
        <v>0.2</v>
      </c>
    </row>
    <row r="147" spans="1:12" x14ac:dyDescent="0.3">
      <c r="A147" t="s">
        <v>328</v>
      </c>
      <c r="B147" s="7" t="str">
        <f>HYPERLINK("https://lafourche.fr/products/la-fourche-1kg-de-lentilles-corail-bio-en-vrac","3.3")</f>
        <v>3.3</v>
      </c>
      <c r="C147" s="10" t="s">
        <v>329</v>
      </c>
      <c r="D147" s="9" t="str">
        <f>HYPERLINK("https://www.biocoop.fr/lentilles-corail-500g-al8038-000.html","8.7")</f>
        <v>8.7</v>
      </c>
      <c r="E147" t="s">
        <v>15</v>
      </c>
      <c r="F147" s="9" t="str">
        <f>HYPERLINK("https://www.biocoop.fr/lentilles-corail-500g-al8038-000.html","8.4")</f>
        <v>8.4</v>
      </c>
      <c r="H147" s="7" t="str">
        <f>HYPERLINK("https://satoriz-comboire.bio/collections/vrac/products/eu1380","3.3")</f>
        <v>3.3</v>
      </c>
      <c r="I147" s="8" t="s">
        <v>330</v>
      </c>
      <c r="J147" s="9" t="str">
        <f>HYPERLINK("https://www.greenweez.com/produit/lentilles-corail-3kg/5GREE0154","4.0")</f>
        <v>4.0</v>
      </c>
      <c r="K147" s="8" t="s">
        <v>331</v>
      </c>
      <c r="L147">
        <v>0.5</v>
      </c>
    </row>
    <row r="148" spans="1:12" x14ac:dyDescent="0.3">
      <c r="A148" t="s">
        <v>332</v>
      </c>
      <c r="B148" s="7" t="str">
        <f>HYPERLINK("https://lafourche.fr/products/la-fourche-1kg-de-pois-casses-bio-en-vrac","3.99")</f>
        <v>3.99</v>
      </c>
      <c r="C148" t="s">
        <v>15</v>
      </c>
      <c r="D148" s="9" t="str">
        <f>HYPERLINK("https://www.biocoop.fr/pois-casses-france-cuisson-rapide-250g-sa1122-000.html","8.32")</f>
        <v>8.32</v>
      </c>
      <c r="E148" t="s">
        <v>15</v>
      </c>
      <c r="F148" s="9" t="str">
        <f>HYPERLINK("https://www.biocoop.fr/pois-casses-france-500g-al8048-000.html","4.94")</f>
        <v>4.94</v>
      </c>
      <c r="H148" s="9" t="str">
        <f>HYPERLINK("https://satoriz-comboire.bio/collections/vrac/products/eu1363","4.2")</f>
        <v>4.2</v>
      </c>
      <c r="I148" s="10" t="s">
        <v>333</v>
      </c>
      <c r="J148" s="7" t="str">
        <f>HYPERLINK("https://www.greenweez.com/produit/pois-casses-verts-3kg/5GREE0169","3.99")</f>
        <v>3.99</v>
      </c>
      <c r="K148" s="8" t="s">
        <v>334</v>
      </c>
      <c r="L148">
        <v>0.3</v>
      </c>
    </row>
    <row r="149" spans="1:12" x14ac:dyDescent="0.3">
      <c r="A149" t="s">
        <v>335</v>
      </c>
      <c r="B149" s="7" t="str">
        <f>HYPERLINK("https://lafourche.fr/products/la-fourche-1kg-de-lentilles-vertes-bio-en-vrac","4.56")</f>
        <v>4.56</v>
      </c>
      <c r="C149" s="8" t="s">
        <v>336</v>
      </c>
      <c r="D149" s="9" t="str">
        <f>HYPERLINK("https://www.biocoop.fr/lentilles-vertes-bio-br0278-000.html","5.25")</f>
        <v>5.25</v>
      </c>
      <c r="E149" s="10" t="s">
        <v>337</v>
      </c>
      <c r="F149" s="9" t="str">
        <f>HYPERLINK("https://www.biocoop.fr/lentilles-vertes-bio-br0278-000.html","5.3")</f>
        <v>5.3</v>
      </c>
      <c r="H149" s="9" t="str">
        <f>HYPERLINK("https://satoriz-comboire.bio/collections/vrac/products/re39341","4.8")</f>
        <v>4.8</v>
      </c>
      <c r="I149" t="s">
        <v>15</v>
      </c>
      <c r="J149" s="9" t="str">
        <f>HYPERLINK("https://www.greenweez.com/produit/lentilles-vertes-bio-france-2-5kg/2WEEZ0296","5.38")</f>
        <v>5.38</v>
      </c>
      <c r="K149" t="s">
        <v>15</v>
      </c>
      <c r="L149">
        <v>0.5</v>
      </c>
    </row>
    <row r="150" spans="1:12" x14ac:dyDescent="0.3">
      <c r="A150" t="s">
        <v>338</v>
      </c>
      <c r="B150" s="7" t="str">
        <f>HYPERLINK("https://lafourche.fr/products/celnat-haricots-blancs-lingots-de-vendee-500g","6.52")</f>
        <v>6.52</v>
      </c>
      <c r="D150" s="9" t="str">
        <f>HYPERLINK("https://www.biocoop.fr/haricots-blancs-lingots-500g-fc1002-000.html","8.4")</f>
        <v>8.4</v>
      </c>
      <c r="F150" s="45" t="str">
        <f>HYPERLINK("https://www.biocoop.fr/magasin-biocoop_fontaine/haricots-blancs-lingots-bio-al8036-000.html","6.90")</f>
        <v>6.90</v>
      </c>
      <c r="H150" s="9" t="str">
        <f>HYPERLINK("https://satoriz-comboire.bio/products/ra1?_pos=1&amp;_sid=ae7e90580&amp;_ss=r","6.95")</f>
        <v>6.95</v>
      </c>
      <c r="J150">
        <v>888888</v>
      </c>
    </row>
    <row r="151" spans="1:12" x14ac:dyDescent="0.3">
      <c r="A151" t="s">
        <v>339</v>
      </c>
      <c r="B151" s="7" t="str">
        <f>HYPERLINK("https://lafourche.fr/products/la-fourche-penne-complete-bio-en-vrac-1kg","2.2")</f>
        <v>2.2</v>
      </c>
      <c r="C151" s="10" t="s">
        <v>340</v>
      </c>
      <c r="D151" s="9" t="str">
        <f>HYPERLINK("https://www.biocoop.fr/pennes-complet-bio-al0143-000.html","3.05")</f>
        <v>3.05</v>
      </c>
      <c r="E151" t="s">
        <v>15</v>
      </c>
      <c r="F151" s="9" t="str">
        <f>HYPERLINK("https://www.biocoop.fr/penne-completes-500g-al0137-000.html","3.0")</f>
        <v>3.0</v>
      </c>
      <c r="H151" s="9" t="str">
        <f>HYPERLINK("https://satoriz-comboire.bio/collections/vrac/products/eu1054","2.8")</f>
        <v>2.8</v>
      </c>
      <c r="I151" t="s">
        <v>15</v>
      </c>
      <c r="J151" s="9" t="str">
        <f>HYPERLINK("https://www.greenweez.com/produit/penne-bio-semi-complete-500g/2WEEZ0490","2.98")</f>
        <v>2.98</v>
      </c>
      <c r="K151" t="s">
        <v>15</v>
      </c>
    </row>
    <row r="152" spans="1:12" x14ac:dyDescent="0.3">
      <c r="A152" t="s">
        <v>341</v>
      </c>
      <c r="B152" s="7" t="str">
        <f>HYPERLINK("https://lafourche.fr/products/la-fourche-coquillettes-completes-bio-en-vrac-1kg","1.99")</f>
        <v>1.99</v>
      </c>
      <c r="C152" s="10" t="s">
        <v>342</v>
      </c>
      <c r="D152" s="9" t="str">
        <f>HYPERLINK("https://www.biocoop.fr/coquillettes-1-2-completes-bio-al0060-000.html","2.2")</f>
        <v>2.2</v>
      </c>
      <c r="E152" s="10" t="s">
        <v>343</v>
      </c>
      <c r="F152" s="9" t="str">
        <f>HYPERLINK("https://www.biocoop.fr/coquillettes-completes-500g-al0028-000.html","3.2")</f>
        <v>3.2</v>
      </c>
      <c r="H152" s="9" t="str">
        <f>HYPERLINK("https://satoriz-comboire.bio/collections/vrac/products/eu1053","2.8")</f>
        <v>2.8</v>
      </c>
      <c r="I152" t="s">
        <v>15</v>
      </c>
      <c r="J152" s="9" t="str">
        <f>HYPERLINK("https://www.greenweez.com/produit/coquillettes-demi-completes-1kg/1PRIM0788","2.87")</f>
        <v>2.87</v>
      </c>
      <c r="K152" s="8" t="s">
        <v>344</v>
      </c>
    </row>
    <row r="153" spans="1:12" x14ac:dyDescent="0.3">
      <c r="A153" t="s">
        <v>345</v>
      </c>
      <c r="B153" s="9" t="str">
        <f>HYPERLINK("https://lafourche.fr/products/bio-pour-tous-spaghetti-complets-bio-500g","2.4")</f>
        <v>2.4</v>
      </c>
      <c r="D153" s="9" t="str">
        <f>HYPERLINK("https://www.biocoop.fr/spaghettis-complets-500g-al0001-000.html","3.14")</f>
        <v>3.14</v>
      </c>
      <c r="F153" s="9" t="str">
        <f>HYPERLINK("https://www.biocoop.fr/spaghettis-complets-500g-al0001-000.html","2.9")</f>
        <v>2.9</v>
      </c>
      <c r="H153" s="7" t="str">
        <f>HYPERLINK("https://satoriz-comboire.bio/products/re44650?_pos=5&amp;_sid=376ef8b42&amp;_ss=r","2.15")</f>
        <v>2.15</v>
      </c>
      <c r="J153" s="9" t="str">
        <f>HYPERLINK("https://www.greenweez.com/produit/spaghettis-complets-bio-italie-500g/2WEEZ0029","3.38")</f>
        <v>3.38</v>
      </c>
      <c r="L153">
        <v>0.5</v>
      </c>
    </row>
    <row r="154" spans="1:12" x14ac:dyDescent="0.3">
      <c r="A154" t="s">
        <v>346</v>
      </c>
      <c r="B154" s="9" t="str">
        <f>HYPERLINK("https://lafourche.fr/products/bio-pour-tous-fusilli-integrales-bio-500g","2.52")</f>
        <v>2.52</v>
      </c>
      <c r="D154" s="9" t="str">
        <f>HYPERLINK("https://www.biocoop.fr/spirales-completes-500g-al0025-000.html","3.24")</f>
        <v>3.24</v>
      </c>
      <c r="F154" s="9" t="str">
        <f>HYPERLINK("https://www.biocoop.fr/spirales-completes-500g-al0025-000.html","3.2")</f>
        <v>3.2</v>
      </c>
      <c r="H154" s="7" t="str">
        <f>HYPERLINK("https://satoriz-comboire.bio/products/re39052?_pos=1&amp;_sid=2d3ebab7a&amp;_ss=r","2.3")</f>
        <v>2.3</v>
      </c>
      <c r="J154" s="9" t="str">
        <f>HYPERLINK("https://www.greenweez.com/produit/torsades-completes-bio-italie-500g/2WEEZ0024","3.38")</f>
        <v>3.38</v>
      </c>
      <c r="L154">
        <v>0.5</v>
      </c>
    </row>
    <row r="155" spans="1:12" x14ac:dyDescent="0.3">
      <c r="A155" t="s">
        <v>347</v>
      </c>
      <c r="B155" s="7" t="str">
        <f>HYPERLINK("https://lafourche.fr/products/la-fourche-1kg-de-riz-basmati-complet-en-vrac-bio","3.5")</f>
        <v>3.5</v>
      </c>
      <c r="C155" s="10" t="s">
        <v>348</v>
      </c>
      <c r="D155" s="9" t="str">
        <f>HYPERLINK("https://www.biocoop.fr/riz-basmati-complet-bio-mf0081-000.html","4.4")</f>
        <v>4.4</v>
      </c>
      <c r="E155" s="10" t="s">
        <v>349</v>
      </c>
      <c r="F155" s="9" t="str">
        <f>HYPERLINK("https://www.biocoop.fr/riz-basmati-complet-mf0014-000.html","6.2")</f>
        <v>6.2</v>
      </c>
      <c r="H155" s="9" t="str">
        <f>HYPERLINK("https://satoriz-comboire.bio/collections/vrac/products/eu2292","3.7")</f>
        <v>3.7</v>
      </c>
      <c r="I155" s="8" t="s">
        <v>350</v>
      </c>
      <c r="J155" s="9" t="str">
        <f>HYPERLINK("https://www.greenweez.com/produit/riz-basmati-complet-bio-2-5kg/2WEEZ0124","4.38")</f>
        <v>4.38</v>
      </c>
      <c r="K155" s="8" t="s">
        <v>119</v>
      </c>
    </row>
    <row r="156" spans="1:12" x14ac:dyDescent="0.3">
      <c r="A156" t="s">
        <v>351</v>
      </c>
      <c r="B156" s="9" t="str">
        <f>HYPERLINK("https://lafourche.fr/products/la-fourche-3kg-de-riz-long-complet-en-vrac-bio-gros-format","4.27")</f>
        <v>4.27</v>
      </c>
      <c r="C156" t="s">
        <v>15</v>
      </c>
      <c r="D156" s="9" t="str">
        <f>HYPERLINK("https://www.biocoop.fr/riz-long-complet-camargue-1kg-bo0100-000.html","4.61")</f>
        <v>4.61</v>
      </c>
      <c r="E156" t="s">
        <v>15</v>
      </c>
      <c r="F156" s="9" t="str">
        <f>HYPERLINK("https://www.biocoop.fr/riz-long-complet-camargue-1kg-bo0100-000.html","4.8")</f>
        <v>4.8</v>
      </c>
      <c r="H156" s="7" t="str">
        <f>HYPERLINK("https://satoriz-comboire.bio/collections/vrac/products/eu629","3.1")</f>
        <v>3.1</v>
      </c>
      <c r="I156" s="10" t="s">
        <v>352</v>
      </c>
      <c r="J156" s="9" t="str">
        <f>HYPERLINK("https://www.greenweez.com/produit/riz-long-brun-bio-2-5kg/2WEEZ0472","3.88")</f>
        <v>3.88</v>
      </c>
      <c r="K156" t="s">
        <v>15</v>
      </c>
      <c r="L156">
        <v>0.5</v>
      </c>
    </row>
    <row r="157" spans="1:12" x14ac:dyDescent="0.3">
      <c r="A157" t="s">
        <v>353</v>
      </c>
      <c r="B157" s="9" t="str">
        <f>HYPERLINK("https://lafourche.fr/products/celnat-riz-rond-complet-de-camargue-igp-bio-0-5kg","5.54")</f>
        <v>5.54</v>
      </c>
      <c r="C157" t="s">
        <v>15</v>
      </c>
      <c r="D157" s="9" t="str">
        <f>HYPERLINK("https://www.biocoop.fr/riz-de-camargue-rond-1-2-complet-1kg-bo0106-000.html","5.25")</f>
        <v>5.25</v>
      </c>
      <c r="E157" s="8" t="s">
        <v>354</v>
      </c>
      <c r="F157" s="9" t="str">
        <f>HYPERLINK("https://www.biocoop.fr/riz-de-camargue-rond-1-2-complet-1kg-bo0106-000.html","4.95")</f>
        <v>4.95</v>
      </c>
      <c r="H157" s="7" t="str">
        <f>HYPERLINK("https://satoriz-comboire.bio/collections/vrac/products/eu624","3.3")</f>
        <v>3.3</v>
      </c>
      <c r="I157" t="s">
        <v>15</v>
      </c>
      <c r="J157" s="9" t="str">
        <f>HYPERLINK("https://www.greenweez.com/produit/riz-rond-complet-bio-2-5kg/2WEEZ0126","4.38")</f>
        <v>4.38</v>
      </c>
      <c r="K157" s="8" t="s">
        <v>355</v>
      </c>
    </row>
    <row r="158" spans="1:12" x14ac:dyDescent="0.3">
      <c r="A158" s="5" t="s">
        <v>356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2" x14ac:dyDescent="0.3">
      <c r="A159" t="s">
        <v>357</v>
      </c>
      <c r="B159" s="37" t="str">
        <f>HYPERLINK("https://lafourche.fr/products/la-fourche-creme-entiere-liquide-bio-3x20cl-0-6l","6.25")</f>
        <v>6.25</v>
      </c>
      <c r="D159" s="42" t="str">
        <f>HYPERLINK("https://www.biocoop.fr/magasin-biocoop_champollion/creme-entiere-fluide-30-mg-ls3001-000.html","7.25")</f>
        <v>7.25</v>
      </c>
      <c r="F159" s="42" t="str">
        <f>HYPERLINK("https://www.biocoop.fr/magasin-biocoop_fontaine/creme-entiere-fluide-30-mg-ls3001-000.html","7.25")</f>
        <v>7.25</v>
      </c>
      <c r="H159" s="37" t="str">
        <f>HYPERLINK("https://satoriz-comboire.bio/products/re16270?_pos=1&amp;_sid=9d4552554&amp;_ss=r","6.25")</f>
        <v>6.25</v>
      </c>
      <c r="J159" s="42" t="str">
        <f>HYPERLINK("https://www.greenweez.com/produit/creme-liquide-entiere-uht-30-mg-pf-3x20cl/1LAIP0002","8.25")</f>
        <v>8.25</v>
      </c>
      <c r="L159">
        <v>0.3</v>
      </c>
    </row>
    <row r="160" spans="1:12" x14ac:dyDescent="0.3">
      <c r="A160" t="s">
        <v>358</v>
      </c>
      <c r="B160" s="9" t="str">
        <f>HYPERLINK("https://lafourche.fr/products/la-fourche-lait-de-coco-bio-0-4l","4.25")</f>
        <v>4.25</v>
      </c>
      <c r="C160" s="9" t="s">
        <v>15</v>
      </c>
      <c r="D160" s="9" t="str">
        <f>HYPERLINK("https://www.biocoop.fr/lait-coco-a-cuisiner-17-mg-tetra-1l-bc9029-000.html","5.14")</f>
        <v>5.14</v>
      </c>
      <c r="E160" s="9" t="s">
        <v>15</v>
      </c>
      <c r="F160" s="9" t="str">
        <f>HYPERLINK("https://www.biocoop.fr/lait-coco-40cl-mc0002-000.html","5.25")</f>
        <v>5.25</v>
      </c>
      <c r="G160" s="9"/>
      <c r="H160" s="12" t="str">
        <f>HYPERLINK("https://satoriz-comboire.bio/products/re41359","3.75")</f>
        <v>3.75</v>
      </c>
      <c r="I160" s="9" t="s">
        <v>99</v>
      </c>
      <c r="J160" s="9" t="str">
        <f>HYPERLINK("https://www.greenweez.com/produit/lait-de-coco-17-mg-400ml-equitable/2WEEZ0407","4.25")</f>
        <v>4.25</v>
      </c>
      <c r="K160" t="s">
        <v>15</v>
      </c>
    </row>
    <row r="161" spans="1:12" ht="18.75" customHeight="1" x14ac:dyDescent="0.3">
      <c r="A161" t="s">
        <v>359</v>
      </c>
      <c r="B161" s="9" t="str">
        <f>HYPERLINK("https://lafourche.fr/products/la-fourche-creme-de-coco-22-de-mg-bio-et-equitable-0-4l","4.63")</f>
        <v>4.63</v>
      </c>
      <c r="C161" t="s">
        <v>15</v>
      </c>
      <c r="D161" s="9" t="str">
        <f>HYPERLINK("https://www.biocoop.fr/creme-coco-a-fouetter-400ml-bc9028-000.html","8.25")</f>
        <v>8.25</v>
      </c>
      <c r="E161" t="s">
        <v>15</v>
      </c>
      <c r="F161" s="9" t="str">
        <f>HYPERLINK("https://www.biocoop.fr/creme-de-coco-a-cuisiner-mc0003-000.html","5.75")</f>
        <v>5.75</v>
      </c>
      <c r="H161" s="7" t="str">
        <f>HYPERLINK("https://satoriz-comboire.bio/collections/produits-frais/products/re41360","4.13")</f>
        <v>4.13</v>
      </c>
      <c r="I161" s="10" t="s">
        <v>360</v>
      </c>
      <c r="J161" s="9" t="str">
        <f>HYPERLINK("https://www.greenweez.com/produit/creme-de-coco-22-mg-40cl/1BASE0009","5.15")</f>
        <v>5.15</v>
      </c>
      <c r="K161" s="8" t="s">
        <v>361</v>
      </c>
    </row>
    <row r="162" spans="1:12" x14ac:dyDescent="0.3">
      <c r="A162" t="s">
        <v>362</v>
      </c>
      <c r="B162" s="7" t="str">
        <f>HYPERLINK("https://lafourche.fr/products/la-fourche-soja-cuisine-bio-3x20cl-0-6l","3.8")</f>
        <v>3.8</v>
      </c>
      <c r="C162" s="10" t="s">
        <v>363</v>
      </c>
      <c r="D162" s="9" t="str">
        <f>HYPERLINK("https://www.biocoop.fr/cuisine-soja-20cl-sy1605-000.html","7.65")</f>
        <v>7.65</v>
      </c>
      <c r="E162" t="s">
        <v>15</v>
      </c>
      <c r="F162" s="9" t="str">
        <f>HYPERLINK("https://www.biocoop.fr/cuisine-soja-20cl-so-soja-cuisine-ti3018-000.html","5.5")</f>
        <v>5.5</v>
      </c>
      <c r="H162" s="9" t="str">
        <f>HYPERLINK("https://satoriz-comboire.bio/collections/produits-frais/products/aa197367","4.8")</f>
        <v>4.8</v>
      </c>
      <c r="I162" s="8" t="s">
        <v>33</v>
      </c>
      <c r="J162" s="9" t="str">
        <f>HYPERLINK("https://www.greenweez.com/produit/lot-de-3-x-creme-soja-du-chef-25cl/1PACK3768","6.13")</f>
        <v>6.13</v>
      </c>
      <c r="K162" t="s">
        <v>15</v>
      </c>
      <c r="L162">
        <v>0.2</v>
      </c>
    </row>
    <row r="163" spans="1:12" x14ac:dyDescent="0.3">
      <c r="A163" t="s">
        <v>364</v>
      </c>
      <c r="B163" s="7" t="str">
        <f>HYPERLINK("https://lafourche.fr/products/lima-creme-cuisine-a-base-de-riz-bio-0-2kg","4.5")</f>
        <v>4.5</v>
      </c>
      <c r="C163" t="s">
        <v>15</v>
      </c>
      <c r="D163" s="9" t="str">
        <f>HYPERLINK("https://www.biocoop.fr/cuisine-riz-liquide-20cl-ab5020-000.html","4.95")</f>
        <v>4.95</v>
      </c>
      <c r="E163" t="s">
        <v>15</v>
      </c>
      <c r="F163" s="9" t="str">
        <f>HYPERLINK("https://www.biocoop.fr/cuisine-riz-liquide-20cl-ab5020-000.html","4.95")</f>
        <v>4.95</v>
      </c>
      <c r="H163" s="9" t="str">
        <f>HYPERLINK("https://satoriz-comboire.bio/collections/produits-frais/products/aa212388","4.9")</f>
        <v>4.9</v>
      </c>
      <c r="I163" s="8" t="s">
        <v>365</v>
      </c>
      <c r="J163" s="9" t="str">
        <f>HYPERLINK("https://www.greenweez.com/produit/preparation-de-riz-cuisine-200ml/1BRID0019","16.7")</f>
        <v>16.7</v>
      </c>
      <c r="K163" s="10" t="s">
        <v>80</v>
      </c>
      <c r="L163">
        <v>0.2</v>
      </c>
    </row>
    <row r="164" spans="1:12" x14ac:dyDescent="0.3">
      <c r="A164" t="s">
        <v>366</v>
      </c>
      <c r="B164" s="7" t="str">
        <f>HYPERLINK("https://lafourche.fr/products/lima-oat-avoine-cuisine-20cl","4.5")</f>
        <v>4.5</v>
      </c>
      <c r="C164" t="s">
        <v>15</v>
      </c>
      <c r="D164" s="7" t="str">
        <f>HYPERLINK("https://www.biocoop.fr/avoine-cuisine-20cl-tb0030-000.html","4.5")</f>
        <v>4.5</v>
      </c>
      <c r="E164" t="s">
        <v>15</v>
      </c>
      <c r="F164" s="7" t="str">
        <f>HYPERLINK("https://www.biocoop.fr/avoine-cuisine-20cl-tb0030-000.html","4.5")</f>
        <v>4.5</v>
      </c>
      <c r="H164" s="9" t="str">
        <f>HYPERLINK("https://satoriz-comboire.bio/collections/produits-frais/products/tb6","5.75")</f>
        <v>5.75</v>
      </c>
      <c r="I164" s="8" t="s">
        <v>367</v>
      </c>
      <c r="J164" s="9" t="str">
        <f>HYPERLINK("https://www.greenweez.com/produit/puree-davoine-cuisine-200ml/1LIMA0106","5.05")</f>
        <v>5.05</v>
      </c>
      <c r="K164" s="10" t="s">
        <v>368</v>
      </c>
      <c r="L164">
        <v>0.2</v>
      </c>
    </row>
    <row r="165" spans="1:12" x14ac:dyDescent="0.3">
      <c r="A165" t="s">
        <v>369</v>
      </c>
      <c r="B165" s="7" t="str">
        <f>HYPERLINK("https://lafourche.fr/products/lima-creme-cuisine-amande-bio-0-2l","4.9")</f>
        <v>4.9</v>
      </c>
      <c r="C165" t="s">
        <v>15</v>
      </c>
      <c r="D165" s="9" t="str">
        <f>HYPERLINK("https://www.biocoop.fr/cuisine-amande-20cl-hm1061-000.html","9.0")</f>
        <v>9.0</v>
      </c>
      <c r="E165" t="s">
        <v>15</v>
      </c>
      <c r="F165" s="9" t="str">
        <f>HYPERLINK("https://www.biocoop.fr/amande-cuisine-25cl-ma0021-000.html","8.8")</f>
        <v>8.8</v>
      </c>
      <c r="H165" s="9" t="str">
        <f>HYPERLINK("https://satoriz-comboire.bio/collections/produits-frais/products/pera6902a","9.5")</f>
        <v>9.5</v>
      </c>
      <c r="I165" s="8" t="s">
        <v>370</v>
      </c>
      <c r="J165" s="9" t="str">
        <f>HYPERLINK("https://www.greenweez.com/produit/amande-cuisine-20cl-1/1PERL0118","10.15")</f>
        <v>10.15</v>
      </c>
      <c r="K165" s="8" t="s">
        <v>371</v>
      </c>
    </row>
    <row r="166" spans="1:12" x14ac:dyDescent="0.3">
      <c r="A166" t="s">
        <v>372</v>
      </c>
      <c r="B166" s="7" t="str">
        <f>HYPERLINK("https://lafourche.fr/products/autour-du-riz-shoyu-sauce-soja-traditionnelle-bio-600ml","9.37")</f>
        <v>9.37</v>
      </c>
      <c r="C166" s="8" t="s">
        <v>373</v>
      </c>
      <c r="D166" s="9" t="str">
        <f>HYPERLINK("https://www.biocoop.fr/shoyu-traditionnel-sauce-soja-mf1139-000.html","9.92")</f>
        <v>9.92</v>
      </c>
      <c r="E166" t="s">
        <v>15</v>
      </c>
      <c r="F166" s="9" t="str">
        <f>HYPERLINK("https://www.biocoop.fr/shoyu-traditionnel-sauce-soja-mf1139-000.html","9.92")</f>
        <v>9.92</v>
      </c>
      <c r="H166" s="9" t="str">
        <f>HYPERLINK("https://satoriz-comboire.bio/collections/epicerie-salee/products/re2583","11.3")</f>
        <v>11.3</v>
      </c>
      <c r="I166" s="8" t="s">
        <v>374</v>
      </c>
      <c r="J166" s="9" t="str">
        <f>HYPERLINK("https://www.greenweez.com/produit/sauce-soja-shoyu-traditionnel-60cl/1FITN0063","11.23")</f>
        <v>11.23</v>
      </c>
      <c r="K166" s="8" t="s">
        <v>375</v>
      </c>
    </row>
    <row r="167" spans="1:12" x14ac:dyDescent="0.3">
      <c r="A167" t="s">
        <v>376</v>
      </c>
      <c r="B167" s="7" t="str">
        <f>HYPERLINK("https://lafourche.fr/products/autour-du-riz-veritable-sauce-tamari-bio-600ml","10.08")</f>
        <v>10.08</v>
      </c>
      <c r="C167" s="8" t="s">
        <v>377</v>
      </c>
      <c r="D167" s="9" t="str">
        <f>HYPERLINK("https://www.biocoop.fr/veritable-tamari-sauce-soja-mf1140-000.html","11.58")</f>
        <v>11.58</v>
      </c>
      <c r="E167" t="s">
        <v>15</v>
      </c>
      <c r="F167" s="9" t="str">
        <f>HYPERLINK("https://www.biocoop.fr/veritable-tamari-sauce-soja-mf1140-000.html","11.58")</f>
        <v>11.58</v>
      </c>
      <c r="H167" s="9" t="str">
        <f>HYPERLINK("https://satoriz-comboire.bio/products/da2810?_pos=1&amp;_sid=897b7d14d&amp;_ss=r","14.4")</f>
        <v>14.4</v>
      </c>
      <c r="I167" s="8" t="s">
        <v>286</v>
      </c>
      <c r="J167" s="9" t="str">
        <f>HYPERLINK("https://www.greenweez.com/produit/tamari-sauce-soja-60cl/1FITN0065","17.48")</f>
        <v>17.48</v>
      </c>
      <c r="K167" s="8" t="s">
        <v>378</v>
      </c>
    </row>
    <row r="168" spans="1:12" x14ac:dyDescent="0.3">
      <c r="A168" t="s">
        <v>379</v>
      </c>
      <c r="B168" s="9" t="str">
        <f>HYPERLINK("https://lafourche.fr/products/autour-du-riz-marinade-teriyaki-bio-200ml","17.45")</f>
        <v>17.45</v>
      </c>
      <c r="C168" s="8" t="s">
        <v>380</v>
      </c>
      <c r="D168" s="9" t="str">
        <f>HYPERLINK("https://www.biocoop.fr/marinade-teriyaki-sauce-soja-douce-200ml-mf1135-000.html","18.65")</f>
        <v>18.65</v>
      </c>
      <c r="E168" t="s">
        <v>15</v>
      </c>
      <c r="F168" s="9" t="str">
        <f>HYPERLINK("https://www.biocoop.fr/marinade-teriyaki-sauce-soja-douce-200ml-mf1135-000.html","888888")</f>
        <v>888888</v>
      </c>
      <c r="H168" s="7" t="str">
        <f>HYPERLINK("https://satoriz-comboire.bio/products/re31762?_pos=2&amp;_sid=a4310e210&amp;_ss=r","17.0")</f>
        <v>17.0</v>
      </c>
      <c r="I168" s="10" t="s">
        <v>381</v>
      </c>
      <c r="J168" s="9" t="str">
        <f>HYPERLINK("https://www.greenweez.com/produit/marinade-teriyaki-20cl/1FITN0068","19.7")</f>
        <v>19.7</v>
      </c>
      <c r="K168" s="8" t="s">
        <v>382</v>
      </c>
    </row>
    <row r="169" spans="1:12" x14ac:dyDescent="0.3">
      <c r="A169" t="s">
        <v>383</v>
      </c>
      <c r="B169" s="9" t="str">
        <f>HYPERLINK("https://lafourche.fr/products/prosain-coulis-de-tomates-du-sud-ouest-bio-425ml","3.51")</f>
        <v>3.51</v>
      </c>
      <c r="C169" t="s">
        <v>15</v>
      </c>
      <c r="D169" s="9" t="str">
        <f>HYPERLINK("https://www.biocoop.fr/coulis-de-tomates-pr5266-000.html","4.27")</f>
        <v>4.27</v>
      </c>
      <c r="E169" t="s">
        <v>15</v>
      </c>
      <c r="F169" s="9" t="str">
        <f>HYPERLINK("https://www.biocoop.fr/coulis-de-tomates-pr5266-000.html","4.27")</f>
        <v>4.27</v>
      </c>
      <c r="H169" s="9" t="str">
        <f>HYPERLINK("https://satoriz-comboire.bio/products/tdsppr5?_pos=4&amp;_sid=41218c552&amp;_ss=r","4.12")</f>
        <v>4.12</v>
      </c>
      <c r="I169" s="8" t="s">
        <v>384</v>
      </c>
      <c r="J169" s="7" t="str">
        <f>HYPERLINK("https://www.greenweez.com/produit/coulis-de-tomates-bio-500g/2WEEZ0415","2.42")</f>
        <v>2.42</v>
      </c>
      <c r="K169" t="s">
        <v>15</v>
      </c>
      <c r="L169">
        <v>0.5</v>
      </c>
    </row>
    <row r="170" spans="1:12" x14ac:dyDescent="0.3">
      <c r="A170" t="s">
        <v>385</v>
      </c>
      <c r="B170" s="9" t="str">
        <f>HYPERLINK("https://lafourche.fr/products/la-fourche-passata-bio-0-69kg","2.61")</f>
        <v>2.61</v>
      </c>
      <c r="C170" s="8" t="s">
        <v>386</v>
      </c>
      <c r="D170" s="9" t="str">
        <f>HYPERLINK("https://www.biocoop.fr/sauce-tomate-passata-rustique-510g-ts5102-000.html","5.86")</f>
        <v>5.86</v>
      </c>
      <c r="E170" s="8" t="s">
        <v>387</v>
      </c>
      <c r="F170" s="9" t="str">
        <f>HYPERLINK("https://www.biocoop.fr/sauce-tomate-passata-rustique-510g-ts5102-000.html","5.49")</f>
        <v>5.49</v>
      </c>
      <c r="H170" s="7" t="str">
        <f>HYPERLINK("https://satoriz-comboire.bio/products/re43264?_pos=1&amp;_sid=c9497427a&amp;_ss=r","2.28")</f>
        <v>2.28</v>
      </c>
      <c r="I170" t="s">
        <v>15</v>
      </c>
      <c r="J170" s="9" t="str">
        <f>HYPERLINK("https://www.greenweez.com/produit/sauce-tomate-passata-nature-690g-1/1LUCE0026","2.81")</f>
        <v>2.81</v>
      </c>
      <c r="K170" s="8" t="s">
        <v>388</v>
      </c>
    </row>
    <row r="171" spans="1:12" x14ac:dyDescent="0.3">
      <c r="A171" t="s">
        <v>389</v>
      </c>
      <c r="B171" s="9" t="str">
        <f>HYPERLINK("https://lafourche.fr/products/bio-pour-tous-passata-basilic-bio-0-68kg","2.5")</f>
        <v>2.5</v>
      </c>
      <c r="C171" s="8" t="s">
        <v>390</v>
      </c>
      <c r="D171" s="9" t="str">
        <f>HYPERLINK("https://www.biocoop.fr/sauce-tomate-basilic-300g-ts5100-000.html","7.0")</f>
        <v>7.0</v>
      </c>
      <c r="E171" s="8" t="s">
        <v>391</v>
      </c>
      <c r="F171" s="9" t="str">
        <f>HYPERLINK("https://www.biocoop.fr/passata-au-basilic-350g-ts5128-000.html","6.0")</f>
        <v>6.0</v>
      </c>
      <c r="H171" s="7" t="str">
        <f>HYPERLINK("https://satoriz-comboire.bio/collections/epicerie-salee/products/re43265","2.35")</f>
        <v>2.35</v>
      </c>
      <c r="I171" t="s">
        <v>15</v>
      </c>
      <c r="J171" s="9" t="str">
        <f>HYPERLINK("https://www.greenweez.com/produit/passata-basilic-680g/1LUCE0028","3.12")</f>
        <v>3.12</v>
      </c>
      <c r="K171" s="8" t="s">
        <v>392</v>
      </c>
    </row>
    <row r="172" spans="1:12" x14ac:dyDescent="0.3">
      <c r="A172" t="s">
        <v>393</v>
      </c>
      <c r="B172" s="7" t="str">
        <f>HYPERLINK("https://lafourche.fr/products/la-fourche-tomates-pelees-bio-800g-0-8kg","2.37")</f>
        <v>2.37</v>
      </c>
      <c r="C172" t="s">
        <v>15</v>
      </c>
      <c r="D172" s="45" t="str">
        <f>HYPERLINK("https://www.biocoop.fr/tomates-entieres-pelees-240g-net-egoutte-ca0004-000.html","8.17")</f>
        <v>8.17</v>
      </c>
      <c r="E172" s="11" t="s">
        <v>99</v>
      </c>
      <c r="F172" s="9" t="str">
        <f>HYPERLINK("https://www.biocoop.fr/tomates-entieres-pelees-480g-net-egoutte-ca0014-000.html","5.52")</f>
        <v>5.52</v>
      </c>
      <c r="H172" s="9" t="str">
        <f>HYPERLINK("https://satoriz-comboire.bio/products/re43269?_pos=1&amp;_sid=31eef6622&amp;_ss=r","4.27")</f>
        <v>4.27</v>
      </c>
      <c r="I172" s="8" t="s">
        <v>394</v>
      </c>
      <c r="J172" s="9" t="str">
        <f>HYPERLINK("https://www.greenweez.com/produit/tomates-pelees-format-familial-800g/1LUCE0032","3.35")</f>
        <v>3.35</v>
      </c>
      <c r="K172" s="8" t="s">
        <v>395</v>
      </c>
    </row>
    <row r="173" spans="1:12" x14ac:dyDescent="0.3">
      <c r="A173" t="s">
        <v>396</v>
      </c>
      <c r="B173" s="7" t="str">
        <f>HYPERLINK("https://lafourche.fr/products/la-fourche-tomates-concassees-bio-800g-0-8kg","2.44")</f>
        <v>2.44</v>
      </c>
      <c r="C173" t="s">
        <v>15</v>
      </c>
      <c r="D173" s="9" t="str">
        <f>HYPERLINK("https://www.biocoop.fr/tomates-concassees-400g-ca0006-000.html","4.45")</f>
        <v>4.45</v>
      </c>
      <c r="E173" t="s">
        <v>15</v>
      </c>
      <c r="F173" s="9" t="str">
        <f>HYPERLINK("https://www.biocoop.fr/tomates-concassees-400g-ca0006-000.html","3.5")</f>
        <v>3.5</v>
      </c>
      <c r="H173" s="9" t="str">
        <f>HYPERLINK("https://satoriz-comboire.bio/products/re43267?_pos=1&amp;_psq=Tomates%20concass%C3%A9e&amp;_ss=e&amp;_v=1.0","4.38")</f>
        <v>4.38</v>
      </c>
      <c r="I173" t="s">
        <v>15</v>
      </c>
      <c r="J173" s="9" t="str">
        <f>HYPERLINK("https://www.greenweez.com/produit/tomates-concassees-400g-1/1LUCE0025","4.1")</f>
        <v>4.1</v>
      </c>
      <c r="K173" s="8" t="s">
        <v>397</v>
      </c>
    </row>
    <row r="175" spans="1:12" ht="18.75" customHeight="1" x14ac:dyDescent="0.35">
      <c r="A175" s="3" t="s">
        <v>398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2" x14ac:dyDescent="0.3">
      <c r="A176" s="35" t="s">
        <v>399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/>
    </row>
    <row r="177" spans="1:12" x14ac:dyDescent="0.3">
      <c r="A177" t="s">
        <v>400</v>
      </c>
      <c r="B177" s="37" t="str">
        <f>HYPERLINK("https://lafourche.fr/products/la-pateliere-arome-naturel-fleur-d-oranger-bio-1l","7.39")</f>
        <v>7.39</v>
      </c>
      <c r="D177" s="42" t="str">
        <f>HYPERLINK("https://www.biocoop.fr/magasin-biocoop_champollion/eau-de-fleur-d-oranger-50ml-ck2004-000.html","72.0")</f>
        <v>72.0</v>
      </c>
      <c r="F177" s="42" t="str">
        <f>HYPERLINK("https://www.biocoop.fr/magasin-biocoop_fontaine/eau-de-fleur-d-oranger-50ml-ck2004-000.html","73.0")</f>
        <v>73.0</v>
      </c>
      <c r="H177" s="42" t="str">
        <f>HYPERLINK("https://satoriz-comboire.bio/collections/epicerie-sucree/products/sero20201","10.45")</f>
        <v>10.45</v>
      </c>
      <c r="J177" s="42" t="str">
        <f>HYPERLINK("https://www.greenweez.com/produit/eau-florale-de-fleur-doranger-200ml/1LADR0102","33.3")</f>
        <v>33.3</v>
      </c>
    </row>
    <row r="178" spans="1:12" x14ac:dyDescent="0.3">
      <c r="A178" t="s">
        <v>401</v>
      </c>
      <c r="B178" s="37" t="str">
        <f>HYPERLINK("https://lafourche.fr/products/culinat-arome-naturel-damande-amere-bio-0-06l","57.17")</f>
        <v>57.17</v>
      </c>
      <c r="D178" s="42" t="str">
        <f>HYPERLINK("https://www.biocoop.fr/magasin-biocoop_champollion/arome-amande-amere-60ml-bp5140-000.html","888888")</f>
        <v>888888</v>
      </c>
      <c r="F178" s="42" t="str">
        <f>HYPERLINK("https://www.biocoop.fr/magasin-biocoop_fontaine/arome-amande-amere-60ml-bp5140-000.html","62.5")</f>
        <v>62.5</v>
      </c>
      <c r="H178">
        <v>888888</v>
      </c>
      <c r="J178" s="42" t="str">
        <f>HYPERLINK("https://www.greenweez.com/produit/arome-naturel-damande-amere-60ml/1CULI0015","66.5")</f>
        <v>66.5</v>
      </c>
    </row>
    <row r="179" spans="1:12" x14ac:dyDescent="0.3">
      <c r="A179" t="s">
        <v>402</v>
      </c>
      <c r="B179" s="42" t="str">
        <f>HYPERLINK("https://lafourche.fr/products/cook-extrait-de-vanille-40ml","269")</f>
        <v>269</v>
      </c>
      <c r="D179" s="42" t="str">
        <f>HYPERLINK("https://www.biocoop.fr/magasin-biocoop_champollion/extrait-naturel-de-vanille-bourbon-40ml-da9015-000.html","287.5")</f>
        <v>287.5</v>
      </c>
      <c r="F179" s="42" t="str">
        <f>HYPERLINK("https://www.biocoop.fr/magasin-biocoop_fontaine/extrait-naturel-de-vanille-bourbon-40ml-da9015-000.html","888888")</f>
        <v>888888</v>
      </c>
      <c r="H179" s="37" t="str">
        <f>HYPERLINK("https://satoriz-comboire.bio/collections/epicerie-sucree/products/cova","263.75")</f>
        <v>263.75</v>
      </c>
      <c r="J179" s="42" t="str">
        <f>HYPERLINK("https://www.greenweez.com/produit/extrait-de-vanille-30ml/6NATU0064","294.33")</f>
        <v>294.33</v>
      </c>
    </row>
    <row r="180" spans="1:12" x14ac:dyDescent="0.3">
      <c r="A180" t="s">
        <v>403</v>
      </c>
      <c r="B180" s="42" t="str">
        <f>HYPERLINK("https://lafourche.fr/products/cook-vanille-gousse-poudre-10g","1099")</f>
        <v>1099</v>
      </c>
      <c r="D180">
        <v>888888</v>
      </c>
      <c r="F180">
        <v>888888</v>
      </c>
      <c r="H180" s="37" t="str">
        <f>HYPERLINK("https://satoriz-comboire.bio/collections/epicerie-sucree/products/covanil1","1040.0")</f>
        <v>1040.0</v>
      </c>
      <c r="J180" s="42" t="str">
        <f>HYPERLINK("https://www.greenweez.com/produit/vanille-poudre-bio-10g/1COOK0108","1194.0")</f>
        <v>1194.0</v>
      </c>
    </row>
    <row r="181" spans="1:12" x14ac:dyDescent="0.3">
      <c r="A181" t="s">
        <v>404</v>
      </c>
      <c r="B181" s="37" t="str">
        <f>HYPERLINK("https://lafourche.fr/products/culinat-poudre-a-lever-sans-phosphate-bio-8x10g","15.13")</f>
        <v>15.13</v>
      </c>
      <c r="D181" s="42" t="str">
        <f>HYPERLINK("https://www.biocoop.fr/magasin-biocoop_champollion/poudre-a-lever-sans-gluten-8x10g-bp5153-000.html","888888")</f>
        <v>888888</v>
      </c>
      <c r="F181" s="42" t="str">
        <f>HYPERLINK("https://www.biocoop.fr/magasin-biocoop_fontaine/poudre-a-lever-sans-gluten-8x10g-bp5153-000.html","19.75")</f>
        <v>19.75</v>
      </c>
      <c r="H181" s="42" t="str">
        <f>HYPERLINK("https://satoriz-comboire.bio/products/pu7980?_pos=2&amp;_sid=ac4ce57b8&amp;_ss=r","16.67")</f>
        <v>16.67</v>
      </c>
      <c r="J181" s="42" t="str">
        <f>HYPERLINK("https://www.greenweez.com/produit/poudre-a-lever-sans-phosphate-sans-gluten-8x10g/1CULI0011","17.75")</f>
        <v>17.75</v>
      </c>
    </row>
    <row r="182" spans="1:12" x14ac:dyDescent="0.3">
      <c r="A182" t="s">
        <v>405</v>
      </c>
      <c r="B182" s="37" t="str">
        <f>HYPERLINK("https://lafourche.fr/products/natali-levure-boulangere-seche-54g","79.44")</f>
        <v>79.44</v>
      </c>
      <c r="D182" s="42" t="str">
        <f>HYPERLINK("https://www.biocoop.fr/magasin-biocoop_champollion/levure-boulangere-active-9g-ag2001-000.html","105.56")</f>
        <v>105.56</v>
      </c>
      <c r="F182" s="42" t="str">
        <f>HYPERLINK("https://www.biocoop.fr/magasin-biocoop_fontaine/levure-boulangere-active-9g-ag2001-000.html","105.56")</f>
        <v>105.56</v>
      </c>
      <c r="H182" s="42" t="str">
        <f>HYPERLINK("https://satoriz-comboire.bio/products/ralesa?_pos=3&amp;_sid=177cf0bd8&amp;_ss=r","88.89")</f>
        <v>88.89</v>
      </c>
      <c r="J182" s="42" t="str">
        <f>HYPERLINK("https://www.greenweez.com/produit/levure-boulangere-deshydratee-9-g/1RAPU0061","105.56")</f>
        <v>105.56</v>
      </c>
    </row>
    <row r="183" spans="1:12" x14ac:dyDescent="0.3">
      <c r="A183" t="s">
        <v>406</v>
      </c>
      <c r="B183" s="37" t="str">
        <f>HYPERLINK("https://lafourche.fr/products/natali-agar-agar-bio-en-poudre-50g","108.6")</f>
        <v>108.6</v>
      </c>
      <c r="D183" s="42" t="str">
        <f>HYPERLINK("https://www.biocoop.fr/magasin-biocoop_champollion/agar-agar-5x4g-na5186-000.html","175.0")</f>
        <v>175.0</v>
      </c>
      <c r="F183" s="42" t="str">
        <f>HYPERLINK("https://www.biocoop.fr/magasin-biocoop_fontaine/agar-agar-5x4g-na5186-000.html","175.0")</f>
        <v>175.0</v>
      </c>
      <c r="H183" s="42" t="str">
        <f>HYPERLINK("https://satoriz-comboire.bio/collections/epicerie-sucree/products/na510120","123.0")</f>
        <v>123.0</v>
      </c>
      <c r="J183" s="42" t="str">
        <f>HYPERLINK("https://www.greenweez.com/produit/agar-agar-5-sachets-de-4g/6NATU0140","166.0")</f>
        <v>166.0</v>
      </c>
    </row>
    <row r="184" spans="1:12" x14ac:dyDescent="0.3">
      <c r="A184" t="s">
        <v>407</v>
      </c>
      <c r="B184" s="42" t="str">
        <f>HYPERLINK("https://lafourche.fr/products/la-fourche-noix-de-coco-rapee-bio-en-vrac-0-5kg","7")</f>
        <v>7</v>
      </c>
      <c r="D184" s="42" t="str">
        <f>HYPERLINK("https://www.biocoop.fr/magasin-biocoop_champollion/noix-de-coco-rapee-philippines-bio-by0922-000.html","10.7")</f>
        <v>10.7</v>
      </c>
      <c r="F184" s="42" t="str">
        <f>HYPERLINK("https://www.biocoop.fr/magasin-biocoop_fontaine/noix-de-coco-rapee-philippines-bio-by0922-000.html","8.9")</f>
        <v>8.9</v>
      </c>
      <c r="H184" s="37" t="str">
        <f>HYPERLINK("https://satoriz-comboire.bio/products/ag0103?_pos=1&amp;_sid=044dfd52e&amp;_ss=r","5.95")</f>
        <v>5.95</v>
      </c>
      <c r="J184" s="42" t="str">
        <f>HYPERLINK("https://www.greenweez.com/produit/noix-de-coco-rapee-250g/1MKAL0101","9.24")</f>
        <v>9.24</v>
      </c>
    </row>
    <row r="185" spans="1:12" x14ac:dyDescent="0.3">
      <c r="A185" s="5" t="s">
        <v>408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2" x14ac:dyDescent="0.3">
      <c r="A186" t="s">
        <v>409</v>
      </c>
      <c r="B186" s="7" t="str">
        <f>HYPERLINK("https://lafourche.fr/products/la-fourche-cookies-gout-tout-choco-bio-0-175kg","11.37")</f>
        <v>11.37</v>
      </c>
      <c r="D186" s="9" t="str">
        <f>HYPERLINK("https://www.biocoop.fr/cookie-cacao-et-pepites-de-chocolat-12-200g-ba7001-000.html","12.25")</f>
        <v>12.25</v>
      </c>
      <c r="F186" s="9" t="str">
        <f>HYPERLINK("https://www.biocoop.fr/cookie-cacao-et-pepites-de-chocolat-12-200g-ba7001-000.html","12.25")</f>
        <v>12.25</v>
      </c>
      <c r="H186" s="9" t="str">
        <f>HYPERLINK("https://satoriz-comboire.bio/products/mpi1vr002?_pos=2&amp;_psq=cookies&amp;_ss=e&amp;_v=1.0","15.2")</f>
        <v>15.2</v>
      </c>
      <c r="J186" s="9" t="str">
        <f>HYPERLINK("https://www.greenweez.com/produit/cookies-tout-chocolat-1-5kg/2BELL0421","24.54")</f>
        <v>24.54</v>
      </c>
      <c r="L186">
        <v>0.2</v>
      </c>
    </row>
    <row r="187" spans="1:12" x14ac:dyDescent="0.3">
      <c r="A187" t="s">
        <v>410</v>
      </c>
      <c r="B187" s="7" t="str">
        <f>HYPERLINK("https://lafourche.fr/products/la-fourche-petits-beurres-bio-0-15kg","8.8")</f>
        <v>8.8</v>
      </c>
      <c r="D187" s="9" t="str">
        <f>HYPERLINK("https://www.biocoop.fr/biscuit-petit-beurre-ble-complet-15-140g-ba7000-000.html","11.43")</f>
        <v>11.43</v>
      </c>
      <c r="F187" s="9" t="str">
        <f>HYPERLINK("https://www.biocoop.fr/biscuit-petit-beurre-ble-complet-15-140g-ba7000-000.html","11.43")</f>
        <v>11.43</v>
      </c>
      <c r="H187" s="9" t="str">
        <f>HYPERLINK("https://satoriz-comboire.bio/products/eu279?_pos=1&amp;_sid=e4bdc4aa2&amp;_ss=r","15.33")</f>
        <v>15.33</v>
      </c>
      <c r="J187" s="9" t="str">
        <f>HYPERLINK("https://www.greenweez.com/produit/biscuits-ptit-beurre-155g/2MOUL0011","16.65")</f>
        <v>16.65</v>
      </c>
    </row>
    <row r="188" spans="1:12" x14ac:dyDescent="0.3">
      <c r="A188" t="s">
        <v>411</v>
      </c>
      <c r="B188" s="9" t="str">
        <f>HYPERLINK("https://lafourche.fr/products/bio-pour-tous-petits-beurres-chocolat-noir-bio-0-15kg","17.6")</f>
        <v>17.6</v>
      </c>
      <c r="D188" s="9" t="str">
        <f>HYPERLINK("https://www.biocoop.fr/biscuit-petit-beurre-chocolat-noir-150g-bv5002-000.html","19.67")</f>
        <v>19.67</v>
      </c>
      <c r="F188" s="9" t="str">
        <f>HYPERLINK("https://www.biocoop.fr/biscuit-petit-beurre-chocolat-noir-150g-bv5002-000.html","19.67")</f>
        <v>19.67</v>
      </c>
      <c r="H188" s="7" t="str">
        <f>HYPERLINK("https://satoriz-comboire.bio/products/re41657?_pos=7&amp;_sid=e4bdc4aa2&amp;_ss=r","16.0")</f>
        <v>16.0</v>
      </c>
      <c r="J188" s="9" t="str">
        <f>HYPERLINK("https://www.greenweez.com/produit/ptits-beurre-chocolat-noir-150g/1BTER0166","32.0")</f>
        <v>32.0</v>
      </c>
      <c r="L188">
        <v>0.2</v>
      </c>
    </row>
    <row r="189" spans="1:12" x14ac:dyDescent="0.3">
      <c r="A189" t="s">
        <v>412</v>
      </c>
      <c r="B189" s="7" t="str">
        <f>HYPERLINK("https://lafourche.fr/products/bonneterre-genoises-chocolat-coeur-orange-bio-0-15kg","19")</f>
        <v>19</v>
      </c>
      <c r="D189" s="9" t="str">
        <f>HYPERLINK("https://www.biocoop.fr/biscuit-nappe-orange-noir-tentation-130g-ca1141-000.html","28.46")</f>
        <v>28.46</v>
      </c>
      <c r="F189" s="9" t="str">
        <f>HYPERLINK("https://www.biocoop.fr/biscuit-nappe-orange-noir-tentation-130g-ca1141-000.html","888888")</f>
        <v>888888</v>
      </c>
      <c r="H189" s="9" t="str">
        <f>HYPERLINK("https://satoriz-comboire.bio/collections/epicerie-sucree/products/mpie006","25.77")</f>
        <v>25.77</v>
      </c>
      <c r="J189" s="9" t="str">
        <f>HYPERLINK("https://www.greenweez.com/produit/biscuits-tentation-orange-130g/2MOUL0007","888888")</f>
        <v>888888</v>
      </c>
    </row>
    <row r="190" spans="1:12" x14ac:dyDescent="0.3">
      <c r="A190" t="s">
        <v>413</v>
      </c>
      <c r="B190" s="9" t="str">
        <f>HYPERLINK("https://lafourche.fr/products/bio-pour-tous-gouters-fourres-ronds-chocolat-noir-bio-0-185kg","13.89")</f>
        <v>13.89</v>
      </c>
      <c r="D190" s="7" t="str">
        <f>HYPERLINK("https://www.biocoop.fr/biscuit-fourre-epeautre-cacao-15-pm1899-000.html","9.97")</f>
        <v>9.97</v>
      </c>
      <c r="F190" s="7" t="str">
        <f>HYPERLINK("https://www.biocoop.fr/biscuit-fourre-epeautre-cacao-15-pm1899-000.html","9.97")</f>
        <v>9.97</v>
      </c>
      <c r="H190" s="9" t="str">
        <f>HYPERLINK("https://satoriz-comboire.bio/collections/epicerie-sucree/products/re41660","12.97")</f>
        <v>12.97</v>
      </c>
      <c r="J190" s="9" t="str">
        <f>HYPERLINK("https://www.greenweez.com/produit/gouter-chocolat-noir-225g/3EVER0030","16.13")</f>
        <v>16.13</v>
      </c>
      <c r="L190">
        <v>0.2</v>
      </c>
    </row>
    <row r="191" spans="1:12" x14ac:dyDescent="0.3">
      <c r="A191" t="s">
        <v>414</v>
      </c>
      <c r="B191" s="7" t="str">
        <f>HYPERLINK("https://lafourche.fr/products/moulin-des-moines-boudoirs-princesse-bio-200g","9.95")</f>
        <v>9.95</v>
      </c>
      <c r="D191" s="9" t="str">
        <f>HYPERLINK("https://www.biocoop.fr/boudoirs-aux-oeufs-frais-30-175g-bv6000-000.html","14.0")</f>
        <v>14.0</v>
      </c>
      <c r="F191" s="9" t="str">
        <f>HYPERLINK("https://www.biocoop.fr/boudoirs-aux-oeufs-frais-30-175g-bv6000-000.html","14.0")</f>
        <v>14.0</v>
      </c>
      <c r="H191" s="9" t="str">
        <f>HYPERLINK("https://satoriz-comboire.bio/products/re41663?_pos=2&amp;_sid=8a641806d&amp;_ss=r","12.57")</f>
        <v>12.57</v>
      </c>
      <c r="J191" s="9" t="str">
        <f>HYPERLINK("https://www.greenweez.com/produit/boudoirs-200g/1MOUL0009","11.1")</f>
        <v>11.1</v>
      </c>
    </row>
    <row r="192" spans="1:12" x14ac:dyDescent="0.3">
      <c r="A192" t="s">
        <v>415</v>
      </c>
      <c r="B192" s="7" t="str">
        <f>HYPERLINK("https://lafourche.fr/products/la-fourche-biscuits-petit-dejeuner-choco-noisette-bio-0-2kg","12.4")</f>
        <v>12.4</v>
      </c>
      <c r="D192">
        <v>888888</v>
      </c>
      <c r="F192">
        <v>888888</v>
      </c>
      <c r="H192" s="9" t="str">
        <f>HYPERLINK("https://satoriz-comboire.bio/collections/epicerie-sucree/products/mpi0534","16.05")</f>
        <v>16.05</v>
      </c>
      <c r="J192" s="9" t="str">
        <f>HYPERLINK("https://www.greenweez.com/produit/ptit-dej-bio-cereales-chocolat-190g/2MOUL0024","16.79")</f>
        <v>16.79</v>
      </c>
    </row>
    <row r="193" spans="1:12" x14ac:dyDescent="0.3">
      <c r="A193" t="s">
        <v>416</v>
      </c>
      <c r="B193" s="7" t="str">
        <f>HYPERLINK("https://lafourche.fr/products/biscuits-ptit-dej-cereales-miel-et-chocolat","14.11")</f>
        <v>14.11</v>
      </c>
      <c r="D193" s="9" t="str">
        <f>HYPERLINK("https://www.biocoop.fr/biscuit-cereales-miel-chocolat-190g-ca1149-000.html","17.11")</f>
        <v>17.11</v>
      </c>
      <c r="F193" s="9" t="str">
        <f>HYPERLINK("https://www.biocoop.fr/biscuit-cereales-miel-chocolat-190g-ca1149-000.html","17.37")</f>
        <v>17.37</v>
      </c>
      <c r="H193" s="9" t="str">
        <f>HYPERLINK("https://satoriz-comboire.bio/collections/epicerie-sucree/products/mpi0534","16.05")</f>
        <v>16.05</v>
      </c>
      <c r="J193" s="9" t="str">
        <f>HYPERLINK("https://www.greenweez.com/produit/ptit-dej-bio-chocolat-miel-190g/2MOUL0025","16.79")</f>
        <v>16.79</v>
      </c>
      <c r="L193">
        <v>0.2</v>
      </c>
    </row>
    <row r="194" spans="1:12" x14ac:dyDescent="0.3">
      <c r="A194" s="5" t="s">
        <v>417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2" x14ac:dyDescent="0.3">
      <c r="A195" t="s">
        <v>418</v>
      </c>
      <c r="B195" s="7" t="str">
        <f>HYPERLINK("https://lafourche.fr/products/la-fourche-palets-de-chocolat-noir-50-equitables-et-bio-en-vrac-0-5kg","9.54")</f>
        <v>9.54</v>
      </c>
      <c r="C195" t="s">
        <v>15</v>
      </c>
      <c r="D195" s="9" t="str">
        <f>HYPERLINK("https://www.biocoop.fr/chocolat-noir-dessert-palets-58-bio-po0450-000.html","13.9")</f>
        <v>13.9</v>
      </c>
      <c r="E195" s="8" t="s">
        <v>419</v>
      </c>
      <c r="F195" s="9" t="str">
        <f>HYPERLINK("https://www.biocoop.fr/chocolat-noir-palet-54-bio-da9010-000.html","13.9")</f>
        <v>13.9</v>
      </c>
      <c r="H195" s="9" t="str">
        <f>HYPERLINK("https://satoriz-comboire.bio/collections/vrac/products/ma8069","15.2")</f>
        <v>15.2</v>
      </c>
      <c r="I195" s="8" t="s">
        <v>420</v>
      </c>
      <c r="J195" s="9" t="str">
        <f>HYPERLINK("https://www.greenweez.com/produit/palets-de-chocolat-noir-58-1kg/1KAOK0016","21.48")</f>
        <v>21.48</v>
      </c>
      <c r="K195" s="8" t="s">
        <v>421</v>
      </c>
    </row>
    <row r="196" spans="1:12" x14ac:dyDescent="0.3">
      <c r="A196" t="s">
        <v>422</v>
      </c>
      <c r="B196" s="9" t="str">
        <f>HYPERLINK("https://lafourche.fr/products/la-fourche-pepites-de-chocolat-noir-60-bio-equitable-2-5kg","15.41")</f>
        <v>15.41</v>
      </c>
      <c r="C196" s="8" t="s">
        <v>423</v>
      </c>
      <c r="D196" s="9" t="str">
        <f>HYPERLINK("https://www.biocoop.fr/chocolat-noir-pepites-60-by0943-000.html","24.8")</f>
        <v>24.8</v>
      </c>
      <c r="E196" t="s">
        <v>15</v>
      </c>
      <c r="F196" s="7" t="str">
        <f>HYPERLINK("https://www.biocoop.fr/chocolat-noir-pepites-60-bio-po0448-000.html","12.95")</f>
        <v>12.95</v>
      </c>
      <c r="H196" s="9" t="str">
        <f>HYPERLINK("https://satoriz-comboire.bio/collections/vrac/products/ma73001","15.4")</f>
        <v>15.4</v>
      </c>
      <c r="I196" s="8" t="s">
        <v>306</v>
      </c>
      <c r="J196" s="9" t="str">
        <f>HYPERLINK("https://www.greenweez.com/produit/pepites-de-chocolat-noir-60-de-cacao-5kg/1SENF0062","16.1")</f>
        <v>16.1</v>
      </c>
      <c r="K196" s="8" t="s">
        <v>424</v>
      </c>
      <c r="L196">
        <v>0.2</v>
      </c>
    </row>
    <row r="197" spans="1:12" x14ac:dyDescent="0.3">
      <c r="A197" t="s">
        <v>425</v>
      </c>
      <c r="B197" s="13" t="str">
        <f>HYPERLINK("https://lafourche.fr/products/la-fourche-pepites-de-chocolat-au-lait-36-equitables-et-bio-en-vrac-0-5kg","15.78")</f>
        <v>15.78</v>
      </c>
      <c r="C197" s="11" t="s">
        <v>99</v>
      </c>
      <c r="D197" s="9" t="str">
        <f>HYPERLINK("https://www.biocoop.fr/chocolat-lait-pepites-38-bio-da9007-000.html","888888")</f>
        <v>888888</v>
      </c>
      <c r="E197" s="11" t="s">
        <v>99</v>
      </c>
      <c r="F197" s="9" t="str">
        <f>HYPERLINK("https://www.biocoop.fr/chocolat-lait-pepites-38-bio-da9007-000.html","15.9")</f>
        <v>15.9</v>
      </c>
      <c r="H197" s="9" t="str">
        <f>HYPERLINK("https://satoriz-comboire.bio/collections/vrac/products/ma00074","21.8")</f>
        <v>21.8</v>
      </c>
      <c r="I197" s="8" t="s">
        <v>426</v>
      </c>
      <c r="J197" s="9" t="str">
        <f>HYPERLINK("https://www.greenweez.com/produit/pepites-de-chocolat-au-lait-36-bio-et-equitables-500g/2WEEZ0400","23.88")</f>
        <v>23.88</v>
      </c>
      <c r="K197" s="10" t="s">
        <v>80</v>
      </c>
    </row>
    <row r="198" spans="1:12" x14ac:dyDescent="0.3">
      <c r="A198" t="s">
        <v>427</v>
      </c>
      <c r="B198" s="9" t="str">
        <f>HYPERLINK("https://lafourche.fr/products/chocolat-patissier-56-bio","14.75")</f>
        <v>14.75</v>
      </c>
      <c r="C198" s="8" t="s">
        <v>428</v>
      </c>
      <c r="D198" s="7" t="str">
        <f>HYPERLINK("https://www.biocoop.fr/chocolat-noir-dessert-200g-bc4078-000.html","13.5")</f>
        <v>13.5</v>
      </c>
      <c r="E198" t="s">
        <v>15</v>
      </c>
      <c r="F198" s="9" t="str">
        <f>HYPERLINK("https://www.biocoop.fr/chocolat-noir-dessert-58-200g-aa0106-000.html","18.0")</f>
        <v>18.0</v>
      </c>
      <c r="H198" s="9" t="str">
        <f>HYPERLINK("https://satoriz-comboire.bio/collections/epicerie-sucree/products/bt2411","14.5")</f>
        <v>14.5</v>
      </c>
      <c r="I198" s="10" t="s">
        <v>429</v>
      </c>
      <c r="J198" s="9" t="str">
        <f>HYPERLINK("https://www.greenweez.com/produit/lot-de-3-chocolats-noirs-dessert-bio-56-200g/1PACK3608","17.77")</f>
        <v>17.77</v>
      </c>
      <c r="K198" s="8" t="s">
        <v>430</v>
      </c>
    </row>
    <row r="199" spans="1:12" x14ac:dyDescent="0.3">
      <c r="A199" t="s">
        <v>431</v>
      </c>
      <c r="B199" s="9" t="str">
        <f>HYPERLINK("https://lafourche.fr/products/chocolat-noir-a-la-fleur-de-sel-la-fourche-bio","21.5")</f>
        <v>21.5</v>
      </c>
      <c r="C199" s="8" t="s">
        <v>432</v>
      </c>
      <c r="D199" s="7" t="str">
        <f>HYPERLINK("https://www.biocoop.fr/chocolat-noir-fleur-de-sel-70-100g-bc4087-000.html","19.9")</f>
        <v>19.9</v>
      </c>
      <c r="E199" t="s">
        <v>15</v>
      </c>
      <c r="F199" s="9" t="str">
        <f>HYPERLINK("https://www.biocoop.fr/chocolat-noir-fleur-de-sel-70-100g-po0456-000.html","31.0")</f>
        <v>31.0</v>
      </c>
      <c r="H199" s="9" t="str">
        <f>HYPERLINK("https://satoriz-comboire.bio/collections/epicerie-sucree/products/ma7079","28.0")</f>
        <v>28.0</v>
      </c>
      <c r="I199" s="8" t="s">
        <v>433</v>
      </c>
      <c r="J199" s="9" t="str">
        <f>HYPERLINK("https://www.greenweez.com/produit/lot-de-3-chocolats-noirs-bio-70-fleur-de-sel-100g/1PACK3610","22.63")</f>
        <v>22.63</v>
      </c>
      <c r="K199" s="8" t="s">
        <v>434</v>
      </c>
    </row>
    <row r="200" spans="1:12" x14ac:dyDescent="0.3">
      <c r="A200" t="s">
        <v>435</v>
      </c>
      <c r="B200" s="7" t="str">
        <f>HYPERLINK("https://lafourche.fr/products/chocolat-noir-55p-a-lorange","23.9")</f>
        <v>23.9</v>
      </c>
      <c r="C200" s="8" t="s">
        <v>436</v>
      </c>
      <c r="D200" s="9" t="str">
        <f>HYPERLINK("https://www.biocoop.fr/chocolat-noir-orange-58-100g-po0424-000.html","888888")</f>
        <v>888888</v>
      </c>
      <c r="E200" s="11" t="s">
        <v>99</v>
      </c>
      <c r="F200" s="9" t="str">
        <f>HYPERLINK("https://www.biocoop.fr/chocolat-noir-orange-58-100g-po0424-000.html","25.0")</f>
        <v>25.0</v>
      </c>
      <c r="H200" s="9" t="str">
        <f>HYPERLINK("https://satoriz-comboire.bio/collections/epicerie-sucree/products/ma1213","28.0")</f>
        <v>28.0</v>
      </c>
      <c r="I200" s="8" t="s">
        <v>437</v>
      </c>
      <c r="J200" s="9" t="str">
        <f>HYPERLINK("https://www.greenweez.com/produit/tablette-chocolat-noir-orange-100g/1EURO0003","27.0")</f>
        <v>27.0</v>
      </c>
      <c r="K200" s="8" t="s">
        <v>155</v>
      </c>
    </row>
    <row r="201" spans="1:12" x14ac:dyDescent="0.3">
      <c r="A201" s="5" t="s">
        <v>438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2" x14ac:dyDescent="0.3">
      <c r="A202" t="s">
        <v>439</v>
      </c>
      <c r="B202" s="7" t="str">
        <f>HYPERLINK("https://lafourche.fr/products/sojade-so-soja-dessert-vanille-uht-bio-0-53kg","4.32")</f>
        <v>4.32</v>
      </c>
      <c r="C202" s="8" t="s">
        <v>278</v>
      </c>
      <c r="D202" s="9" t="str">
        <f>HYPERLINK("https://www.biocoop.fr/so-soja-vanille-ti3031-000.html","4.72")</f>
        <v>4.72</v>
      </c>
      <c r="E202" t="s">
        <v>15</v>
      </c>
      <c r="F202" s="9" t="str">
        <f>HYPERLINK("https://www.biocoop.fr/so-soja-vanille-ti3031-000.html","4.72")</f>
        <v>4.72</v>
      </c>
      <c r="H202" s="9" t="str">
        <f>HYPERLINK("https://satoriz-comboire.bio/collections/epicerie-sucree/products/fr18736","4.62")</f>
        <v>4.62</v>
      </c>
      <c r="I202" s="8" t="s">
        <v>440</v>
      </c>
      <c r="J202" s="9" t="str">
        <f>HYPERLINK("https://www.greenweez.com/","888888")</f>
        <v>888888</v>
      </c>
      <c r="K202" s="11" t="s">
        <v>99</v>
      </c>
    </row>
    <row r="203" spans="1:12" x14ac:dyDescent="0.3">
      <c r="A203" s="5" t="s">
        <v>246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2" x14ac:dyDescent="0.3">
      <c r="A204" t="s">
        <v>441</v>
      </c>
      <c r="B204" s="7" t="str">
        <f>HYPERLINK("https://lafourche.fr/products/la-fourche-puree-pommes-bio-0-915kg","3.99")</f>
        <v>3.99</v>
      </c>
      <c r="C204" t="s">
        <v>15</v>
      </c>
      <c r="D204" s="9" t="str">
        <f>HYPERLINK("https://www.biocoop.fr/puree-pomme-pr5264-000.html","4.51")</f>
        <v>4.51</v>
      </c>
      <c r="E204" t="s">
        <v>15</v>
      </c>
      <c r="F204" s="9" t="str">
        <f>HYPERLINK("https://www.biocoop.fr/puree-pomme-pr5264-000.html","4.51")</f>
        <v>4.51</v>
      </c>
      <c r="H204" s="9" t="str">
        <f>HYPERLINK("https://satoriz-comboire.bio/collections/epicerie-sucree/products/cn0849","4.74")</f>
        <v>4.74</v>
      </c>
      <c r="I204" s="10" t="s">
        <v>442</v>
      </c>
      <c r="J204" s="9" t="str">
        <f>HYPERLINK("https://www.greenweez.com/produit/puree-de-pommes-bio-700g/2WEEZ0536","4.84")</f>
        <v>4.84</v>
      </c>
      <c r="K204" t="s">
        <v>15</v>
      </c>
    </row>
    <row r="205" spans="1:12" x14ac:dyDescent="0.3">
      <c r="A205" t="s">
        <v>443</v>
      </c>
      <c r="B205" s="7" t="str">
        <f>HYPERLINK("https://lafourche.fr/products/la-fourche-puree-pommes-poires-bio-0-915kg","4.54")</f>
        <v>4.54</v>
      </c>
      <c r="C205" t="s">
        <v>15</v>
      </c>
      <c r="D205" s="9" t="str">
        <f>HYPERLINK("https://www.biocoop.fr/puree-pomme-poire-he2002-000.html","6.12")</f>
        <v>6.12</v>
      </c>
      <c r="E205" t="s">
        <v>15</v>
      </c>
      <c r="F205" s="9" t="str">
        <f>HYPERLINK("https://www.biocoop.fr/puree-pomme-poire-1-05kg-dn1113-000.html","6.48")</f>
        <v>6.48</v>
      </c>
      <c r="H205" s="9" t="str">
        <f>HYPERLINK("https://satoriz-comboire.bio/products/ar00021?_pos=2&amp;_psq=pomme%20poire&amp;_ss=e&amp;_v=1.0","5.35")</f>
        <v>5.35</v>
      </c>
      <c r="I205" s="10" t="s">
        <v>444</v>
      </c>
      <c r="J205" s="9" t="str">
        <f>HYPERLINK("https://www.greenweez.com/produit/puree-pomme-poire-bio-700g/2WEEZ0538","5.41")</f>
        <v>5.41</v>
      </c>
      <c r="K205" t="s">
        <v>15</v>
      </c>
    </row>
    <row r="206" spans="1:12" x14ac:dyDescent="0.3">
      <c r="A206" t="s">
        <v>445</v>
      </c>
      <c r="B206" s="7" t="str">
        <f>HYPERLINK("https://lafourche.fr/products/compote-danival-dani-pom-pomme-banane-1-05kg-bio","5.01")</f>
        <v>5.01</v>
      </c>
      <c r="C206" t="s">
        <v>15</v>
      </c>
      <c r="D206" s="9" t="str">
        <f>HYPERLINK("https://www.biocoop.fr/puree-de-pommes-et-bananes-cn0219-000.html","6.2")</f>
        <v>6.2</v>
      </c>
      <c r="E206" t="s">
        <v>15</v>
      </c>
      <c r="F206" s="9" t="str">
        <f>HYPERLINK("https://www.biocoop.fr/puree-de-pommes-et-bananes-cn0219-000.html","6.2")</f>
        <v>6.2</v>
      </c>
      <c r="H206" s="9" t="str">
        <f>HYPERLINK("https://satoriz-comboire.bio/products/da01440?_pos=2&amp;_psq=pomme%20banane&amp;_ss=e&amp;_v=1.0","5.62")</f>
        <v>5.62</v>
      </c>
      <c r="I206" s="8" t="s">
        <v>446</v>
      </c>
      <c r="J206" s="9" t="str">
        <f>HYPERLINK("https://www.greenweez.com/produit/dessert-pomme-banane-1-05kg/1DANI0190","5.88")</f>
        <v>5.88</v>
      </c>
      <c r="K206" s="8" t="s">
        <v>447</v>
      </c>
    </row>
    <row r="207" spans="1:12" x14ac:dyDescent="0.3">
      <c r="A207" t="s">
        <v>448</v>
      </c>
      <c r="B207" s="7" t="str">
        <f>HYPERLINK("https://lafourche.fr/products/sojade-so-soja-dessert-chocolat-uht-bio-0-53kg","4.32")</f>
        <v>4.32</v>
      </c>
      <c r="C207" s="8" t="s">
        <v>278</v>
      </c>
      <c r="D207" s="9" t="str">
        <f>HYPERLINK("https://www.biocoop.fr/so-soja-chocolat-ti3030-000.html","5.94")</f>
        <v>5.94</v>
      </c>
      <c r="E207" t="s">
        <v>15</v>
      </c>
      <c r="F207" s="9" t="str">
        <f>HYPERLINK("https://www.biocoop.fr/so-soja-chocolat-ti3030-000.html","5.0")</f>
        <v>5.0</v>
      </c>
      <c r="H207" s="9" t="str">
        <f>HYPERLINK("https://satoriz-comboire.bio/collections/epicerie-sucree/products/fr18734","4.62")</f>
        <v>4.62</v>
      </c>
      <c r="I207" s="8" t="s">
        <v>440</v>
      </c>
      <c r="J207" s="9" t="str">
        <f>HYPERLINK("https://www.greenweez.com/","888888")</f>
        <v>888888</v>
      </c>
      <c r="K207" s="11" t="s">
        <v>99</v>
      </c>
    </row>
    <row r="208" spans="1:12" x14ac:dyDescent="0.3">
      <c r="A208" s="5" t="s">
        <v>449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2" x14ac:dyDescent="0.3">
      <c r="A209" t="s">
        <v>450</v>
      </c>
      <c r="B209" s="9" t="str">
        <f>HYPERLINK("https://lafourche.fr/products/elibio-cereales-fourrees-tout-chocolat-bio-375g","9.92")</f>
        <v>9.92</v>
      </c>
      <c r="C209" s="8" t="s">
        <v>451</v>
      </c>
      <c r="D209" s="9" t="str">
        <f>HYPERLINK("https://www.biocoop.fr/ka-re-fourres-chocolat-noisettes-bio-lg2005-000.html","10.9")</f>
        <v>10.9</v>
      </c>
      <c r="E209" s="10" t="s">
        <v>452</v>
      </c>
      <c r="F209" s="7" t="str">
        <f>HYPERLINK("https://www.biocoop.fr/ka-re-fourres-chocolat-noisettes-bio-lg2005-000.html","9.6")</f>
        <v>9.6</v>
      </c>
      <c r="H209" s="9" t="str">
        <f>HYPERLINK("https://satoriz-comboire.bio/collections/vrac/products/gr554","10.7")</f>
        <v>10.7</v>
      </c>
      <c r="I209" s="10" t="s">
        <v>453</v>
      </c>
      <c r="J209" s="9" t="str">
        <f>HYPERLINK("https://www.greenweez.com/produit/cereales-kare-fourrees-chocolat-noisettes-500g/1GRIL0036","13.04")</f>
        <v>13.04</v>
      </c>
      <c r="K209" s="8" t="s">
        <v>454</v>
      </c>
    </row>
    <row r="210" spans="1:12" x14ac:dyDescent="0.3">
      <c r="A210" t="s">
        <v>455</v>
      </c>
      <c r="B210" s="9" t="str">
        <f>HYPERLINK("https://lafourche.fr/products/grillon-dor-chocolune-bio-0-375kg","9.44")</f>
        <v>9.44</v>
      </c>
      <c r="C210" s="8" t="s">
        <v>456</v>
      </c>
      <c r="D210" s="9" t="str">
        <f>HYPERLINK("https://www.biocoop.fr/crosti-griffs-choco-10kg-bio-pr5170-000.html","8.99")</f>
        <v>8.99</v>
      </c>
      <c r="E210" t="s">
        <v>15</v>
      </c>
      <c r="F210" s="9" t="str">
        <f>HYPERLINK("https://www.biocoop.fr/crosti-griffs-choco-10kg-bio-pr5170-000.html","8.99")</f>
        <v>8.99</v>
      </c>
      <c r="H210" s="7" t="str">
        <f>HYPERLINK("https://satoriz-comboire.bio/collections/vrac/products/grexch","8.1")</f>
        <v>8.1</v>
      </c>
      <c r="I210" s="10" t="s">
        <v>457</v>
      </c>
      <c r="J210" s="9" t="str">
        <f>HYPERLINK("https://www.greenweez.com/produit/cereales-chocolune-375g/1GRIL0051","11.33")</f>
        <v>11.33</v>
      </c>
      <c r="K210" s="8" t="s">
        <v>221</v>
      </c>
    </row>
    <row r="211" spans="1:12" x14ac:dyDescent="0.3">
      <c r="A211" t="s">
        <v>458</v>
      </c>
      <c r="B211" s="9" t="str">
        <f>HYPERLINK("https://lafourche.fr/products/cereales-mops-au-miel","9.63")</f>
        <v>9.63</v>
      </c>
      <c r="C211" s="8" t="s">
        <v>14</v>
      </c>
      <c r="D211" s="9" t="str">
        <f>HYPERLINK("https://www.biocoop.fr/mops-miel-lg2066-000.html","11.0")</f>
        <v>11.0</v>
      </c>
      <c r="E211" t="s">
        <v>15</v>
      </c>
      <c r="F211" s="9" t="str">
        <f>HYPERLINK("https://www.biocoop.fr/mops-miel-lg2066-000.html","11.0")</f>
        <v>11.0</v>
      </c>
      <c r="H211" s="7" t="str">
        <f>HYPERLINK("https://satoriz-comboire.bio/collections/vrac/products/gr2944","8.8")</f>
        <v>8.8</v>
      </c>
      <c r="I211" s="10" t="s">
        <v>459</v>
      </c>
      <c r="J211" s="9" t="str">
        <f>HYPERLINK("https://www.greenweez.com/produit/cereales-mops-miel-300g/1GRIL0172","10.5")</f>
        <v>10.5</v>
      </c>
      <c r="K211" s="10" t="s">
        <v>140</v>
      </c>
    </row>
    <row r="212" spans="1:12" x14ac:dyDescent="0.3">
      <c r="A212" t="s">
        <v>460</v>
      </c>
      <c r="B212" s="7" t="str">
        <f>HYPERLINK("https://lafourche.fr/products/la-fourche-1kg-de-petits-flocons-d-avoine-en-vrac-france-bio","2.5")</f>
        <v>2.5</v>
      </c>
      <c r="C212" t="s">
        <v>15</v>
      </c>
      <c r="D212" s="9" t="str">
        <f>HYPERLINK("https://www.biocoop.fr/flocons-d-avoine-petits-non-toastes-bio-pr5344-000.html","2.85")</f>
        <v>2.85</v>
      </c>
      <c r="E212" t="s">
        <v>15</v>
      </c>
      <c r="F212" s="9" t="str">
        <f>HYPERLINK("https://www.biocoop.fr/flocons-d-avoine-petits-non-toastes-bio-pr5344-000.html","2.85")</f>
        <v>2.85</v>
      </c>
      <c r="H212" s="9" t="str">
        <f>HYPERLINK("https://satoriz-comboire.bio/products/cefap25?_pos=5&amp;_sid=da63f8fb6&amp;_ss=r","3.05")</f>
        <v>3.05</v>
      </c>
      <c r="I212" s="10" t="s">
        <v>461</v>
      </c>
      <c r="J212" s="9" t="str">
        <f>HYPERLINK("https://www.greenweez.com/produit/flocons-davoine-petit-bio-1-5kg/2WEEZ0129","2.93")</f>
        <v>2.93</v>
      </c>
      <c r="K212" s="8" t="s">
        <v>462</v>
      </c>
      <c r="L212">
        <v>0.1</v>
      </c>
    </row>
    <row r="213" spans="1:12" x14ac:dyDescent="0.3">
      <c r="A213" t="s">
        <v>463</v>
      </c>
      <c r="B213" s="7" t="str">
        <f>HYPERLINK("https://lafourche.fr/products/la-fourche-1kg-de-gros-flocons-davoine-bio-en-vrac","2.5")</f>
        <v>2.5</v>
      </c>
      <c r="C213" t="s">
        <v>15</v>
      </c>
      <c r="D213" s="9" t="str">
        <f>HYPERLINK("https://www.biocoop.fr/flocons-d-avoine-gros-bio-lg2061-000.html","3.95")</f>
        <v>3.95</v>
      </c>
      <c r="E213" t="s">
        <v>15</v>
      </c>
      <c r="F213" s="9" t="str">
        <f>HYPERLINK("https://www.biocoop.fr/flocons-d-avoine-gros-bio-lg2061-000.html","3.9")</f>
        <v>3.9</v>
      </c>
      <c r="H213" s="9" t="str">
        <f>HYPERLINK("https://satoriz-comboire.bio/products/cefag-10?_pos=14&amp;_sid=da63f8fb6&amp;_ss=r","3.05")</f>
        <v>3.05</v>
      </c>
      <c r="I213" s="10" t="s">
        <v>464</v>
      </c>
      <c r="J213" s="9" t="str">
        <f>HYPERLINK("https://www.greenweez.com/produit/flocons-davoine-gros-bio-1-5kg/2WEEZ0531","2.85")</f>
        <v>2.85</v>
      </c>
      <c r="K213" t="s">
        <v>15</v>
      </c>
    </row>
    <row r="214" spans="1:12" x14ac:dyDescent="0.3">
      <c r="A214" t="s">
        <v>465</v>
      </c>
      <c r="B214" s="37" t="str">
        <f>HYPERLINK("https://lafourche.fr/products/la-fourche-1kg-de-muesli-5-cereales-en-vrac-bio","4.5")</f>
        <v>4.5</v>
      </c>
      <c r="D214" s="42" t="str">
        <f>HYPERLINK("https://www.biocoop.fr/magasin-biocoop_champollion/muesli-graines-et-fruits-secs-1kg-lg1713-000.html","7.37")</f>
        <v>7.37</v>
      </c>
      <c r="F214" s="42" t="str">
        <f>HYPERLINK("https://www.biocoop.fr/magasin-biocoop_fontaine/muesli-graines-et-fruits-secs-1kg-lg1713-000.html","7.35")</f>
        <v>7.35</v>
      </c>
      <c r="H214" s="42" t="str">
        <f>HYPERLINK("https://satoriz-comboire.bio/products/ce25b?_pos=1&amp;_sid=67fc15be8&amp;_ss=r","5.8")</f>
        <v>5.8</v>
      </c>
      <c r="J214" s="42" t="str">
        <f>HYPERLINK("https://www.greenweez.com/produit/muesli-5-cereales-500g/1CELN0029","6.92")</f>
        <v>6.92</v>
      </c>
    </row>
    <row r="215" spans="1:12" x14ac:dyDescent="0.3">
      <c r="A215" t="s">
        <v>466</v>
      </c>
      <c r="B215" s="42" t="str">
        <f>HYPERLINK("https://lafourche.fr/products/grillon-mueslifruits-1kg","5.46")</f>
        <v>5.46</v>
      </c>
      <c r="D215" s="42" t="str">
        <f>HYPERLINK("https://www.biocoop.fr/magasin-biocoop_champollion/muesli-aux-fruits-bio-pr5343-000.html","5.35")</f>
        <v>5.35</v>
      </c>
      <c r="F215" s="37" t="str">
        <f>HYPERLINK("https://www.biocoop.fr/magasin-biocoop_fontaine/muesli-aux-fruits-bio-pr5343-000.html","4.7")</f>
        <v>4.7</v>
      </c>
      <c r="H215" s="42" t="str">
        <f>HYPERLINK("https://satoriz-comboire.bio/products/ce0990?_pos=1&amp;_sid=93dc83ac9&amp;_ss=r","4.95")</f>
        <v>4.95</v>
      </c>
      <c r="J215" s="42" t="str">
        <f>HYPERLINK("https://www.greenweez.com/produit/muesli-fruits-1kg/1GRIL0001","6.26")</f>
        <v>6.26</v>
      </c>
    </row>
    <row r="216" spans="1:12" x14ac:dyDescent="0.3">
      <c r="A216" t="s">
        <v>467</v>
      </c>
      <c r="B216" s="37" t="str">
        <f>HYPERLINK("https://lafourche.fr/products/la-fourche-muesli-croustillant-nature-bio-1kg","4.79")</f>
        <v>4.79</v>
      </c>
      <c r="D216" s="42" t="str">
        <f>HYPERLINK("https://www.biocoop.fr/magasin-biocoop_champollion/muesli-croustillant-essentiel-1kg-aa0122-000.html","6.95")</f>
        <v>6.95</v>
      </c>
      <c r="F216" s="42" t="str">
        <f>HYPERLINK("https://www.biocoop.fr/magasin-biocoop_fontaine/krounchy-nature-lg2007-000.html","7.0")</f>
        <v>7.0</v>
      </c>
      <c r="H216" s="42" t="str">
        <f>HYPERLINK("https://satoriz-comboire.bio/products/gr2953?_pos=2&amp;_sid=b5ee3b45c&amp;_ss=r","5.15")</f>
        <v>5.15</v>
      </c>
      <c r="J216" s="42" t="str">
        <f>HYPERLINK("https://www.greenweez.com/produit/krounchy-nature-1kg/1GRIL0018","5.05")</f>
        <v>5.05</v>
      </c>
    </row>
    <row r="217" spans="1:12" x14ac:dyDescent="0.3">
      <c r="A217" t="s">
        <v>468</v>
      </c>
      <c r="B217" s="37" t="str">
        <f>HYPERLINK("https://lafourche.fr/products/la-fourche-muesli-croustillant-duo-choco-bio-1kg","5.95")</f>
        <v>5.95</v>
      </c>
      <c r="D217" s="42" t="str">
        <f>HYPERLINK("https://www.biocoop.fr/magasin-biocoop_champollion/krounchy-epeautre-chocolat-noir-lg1932-000.html","8.7")</f>
        <v>8.7</v>
      </c>
      <c r="F217" s="42" t="str">
        <f>HYPERLINK("https://www.biocoop.fr/magasin-biocoop_fontaine/krounchy-epeautre-chocolat-noir-lg1932-000.html","8.7")</f>
        <v>8.7</v>
      </c>
      <c r="H217" s="42" t="str">
        <f>HYPERLINK("https://satoriz-comboire.bio/products/grceee?_pos=1&amp;_sid=b5ee3b45c&amp;_ss=r","6.85")</f>
        <v>6.85</v>
      </c>
      <c r="J217" s="42" t="str">
        <f>HYPERLINK("https://www.greenweez.com/produit/krounchy-chocolat-1kg/1GRIL0020","6.94")</f>
        <v>6.94</v>
      </c>
    </row>
    <row r="218" spans="1:12" x14ac:dyDescent="0.3">
      <c r="A218" t="s">
        <v>469</v>
      </c>
      <c r="B218" s="42" t="str">
        <f>HYPERLINK("https://lafourche.fr/products/grillon-krounchy-fruits-rouges-500g","11.98")</f>
        <v>11.98</v>
      </c>
      <c r="D218" s="42" t="str">
        <f>HYPERLINK("https://www.biocoop.fr/magasin-biocoop_champollion/krounchy-fruits-rouges-lg0966-000.html","14.9")</f>
        <v>14.9</v>
      </c>
      <c r="F218" s="42" t="str">
        <f>HYPERLINK("https://www.biocoop.fr/magasin-biocoop_fontaine/krounchy-fruits-rouges-lg0966-000.html","14.9")</f>
        <v>14.9</v>
      </c>
      <c r="H218" s="42" t="str">
        <f>HYPERLINK("https://satoriz-comboire.bio/products/grcrufr?_pos=13&amp;_sid=b5ee3b45c&amp;_ss=r","14.4")</f>
        <v>14.4</v>
      </c>
      <c r="J218" s="37" t="str">
        <f>HYPERLINK("https://www.greenweez.com/produit/crunchy-fruits-rouges-bio-500g/5GREE0216","9.9")</f>
        <v>9.9</v>
      </c>
    </row>
    <row r="219" spans="1:12" x14ac:dyDescent="0.3">
      <c r="A219" s="5" t="s">
        <v>470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2" x14ac:dyDescent="0.3">
      <c r="A220" t="s">
        <v>471</v>
      </c>
      <c r="B220" s="9" t="str">
        <f>HYPERLINK("https://lafourche.fr/products/la-fourche-500g-amandes-decortiquees-en-vrac-bio","13.06")</f>
        <v>13.06</v>
      </c>
      <c r="C220" s="10" t="s">
        <v>472</v>
      </c>
      <c r="D220" s="9" t="str">
        <f>HYPERLINK("https://www.biocoop.fr/amandes-completes-bio-ag3005-000.html","15.9")</f>
        <v>15.9</v>
      </c>
      <c r="E220" s="10" t="s">
        <v>473</v>
      </c>
      <c r="F220" s="9" t="str">
        <f>HYPERLINK("https://www.biocoop.fr/amande-complete-italie-bio-bc5507-000.html","14.95")</f>
        <v>14.95</v>
      </c>
      <c r="H220" s="7" t="str">
        <f>HYPERLINK("https://satoriz-comboire.bio/collections/vrac/products/ag0417","13.05")</f>
        <v>13.05</v>
      </c>
      <c r="I220" s="10" t="s">
        <v>474</v>
      </c>
      <c r="J220" s="9" t="str">
        <f>HYPERLINK("https://www.greenweez.com/produit/amandes-decortiquees-1kg/2WEEZ0354","14.95")</f>
        <v>14.95</v>
      </c>
      <c r="K220" s="10" t="s">
        <v>475</v>
      </c>
    </row>
    <row r="221" spans="1:12" x14ac:dyDescent="0.3">
      <c r="A221" t="s">
        <v>476</v>
      </c>
      <c r="B221" s="7" t="str">
        <f>HYPERLINK("https://lafourche.fr/products/la-fourche-noisettes-bio-2-5kg","14.98")</f>
        <v>14.98</v>
      </c>
      <c r="C221" s="10" t="s">
        <v>82</v>
      </c>
      <c r="D221" s="9" t="str">
        <f>HYPERLINK("https://www.biocoop.fr/noisettes-bio-bc5500-000.html","18.5")</f>
        <v>18.5</v>
      </c>
      <c r="E221" s="10" t="s">
        <v>477</v>
      </c>
      <c r="F221" s="9" t="str">
        <f>HYPERLINK("https://www.biocoop.fr/noisettes-bio-bc5500-000.html","20.9")</f>
        <v>20.9</v>
      </c>
      <c r="H221" s="9" t="str">
        <f>HYPERLINK("https://satoriz-comboire.bio/collections/vrac/products/ag0394","16.65")</f>
        <v>16.65</v>
      </c>
      <c r="I221" s="8" t="s">
        <v>478</v>
      </c>
      <c r="J221" s="9" t="str">
        <f>HYPERLINK("https://www.greenweez.com/produit/noisettes-decortiquees-2-5kg/2WEEZ0386","15.98")</f>
        <v>15.98</v>
      </c>
      <c r="K221" s="8" t="s">
        <v>479</v>
      </c>
    </row>
    <row r="222" spans="1:12" x14ac:dyDescent="0.3">
      <c r="A222" t="s">
        <v>480</v>
      </c>
      <c r="B222" s="9" t="str">
        <f>HYPERLINK("https://lafourche.fr/products/la-fourche-500g-de-noix-de-cajou-bio-en-vrac","16.7")</f>
        <v>16.7</v>
      </c>
      <c r="C222" s="10" t="s">
        <v>481</v>
      </c>
      <c r="D222" s="9" t="str">
        <f>HYPERLINK("https://www.biocoop.fr/noix-de-cajou-bio-ag3057-000.html","21.99")</f>
        <v>21.99</v>
      </c>
      <c r="E222" t="s">
        <v>15</v>
      </c>
      <c r="F222" s="9" t="str">
        <f>HYPERLINK("https://www.biocoop.fr/noix-de-cajou-bio-ag3057-000.html","19.9")</f>
        <v>19.9</v>
      </c>
      <c r="H222" s="9" t="str">
        <f>HYPERLINK("https://satoriz-comboire.bio/collections/vrac/products/ag0585","16.7")</f>
        <v>16.7</v>
      </c>
      <c r="I222" s="10" t="s">
        <v>482</v>
      </c>
      <c r="J222" s="7" t="str">
        <f>HYPERLINK("https://www.greenweez.com/produit/noix-de-cajou-crues-2-5kg/2WEEZ0391","15.16")</f>
        <v>15.16</v>
      </c>
      <c r="K222" t="s">
        <v>15</v>
      </c>
    </row>
    <row r="223" spans="1:12" x14ac:dyDescent="0.3">
      <c r="A223" t="s">
        <v>483</v>
      </c>
      <c r="B223" s="7" t="str">
        <f>HYPERLINK("https://lafourche.fr/products/la-fourche-raisins-secs-sultanine-bio-2-5kg","7.2")</f>
        <v>7.2</v>
      </c>
      <c r="C223" s="8" t="s">
        <v>484</v>
      </c>
      <c r="D223" s="9" t="str">
        <f>HYPERLINK("https://www.biocoop.fr/raisins-sultanine-n-9-bio-ag3030-000.html","7.95")</f>
        <v>7.95</v>
      </c>
      <c r="E223" s="8" t="s">
        <v>485</v>
      </c>
      <c r="F223" s="9" t="str">
        <f>HYPERLINK("https://www.biocoop.fr/raisins-sultanine-n-9-bio-ag3030-000.html","7.95")</f>
        <v>7.95</v>
      </c>
      <c r="H223" s="7" t="str">
        <f>HYPERLINK("https://satoriz-comboire.bio/collections/vrac/products/ag0387","7.2")</f>
        <v>7.2</v>
      </c>
      <c r="I223" s="8" t="s">
        <v>486</v>
      </c>
      <c r="J223" s="9" t="str">
        <f>HYPERLINK("https://www.greenweez.com/produit/lot-de-2-raisins-sultanines-bio-500g/1PACK3586","9.8")</f>
        <v>9.8</v>
      </c>
      <c r="K223" t="s">
        <v>15</v>
      </c>
    </row>
    <row r="224" spans="1:12" ht="18.75" customHeight="1" x14ac:dyDescent="0.3">
      <c r="A224" t="s">
        <v>487</v>
      </c>
      <c r="B224" s="7" t="str">
        <f>HYPERLINK("https://lafourche.fr/products/la-fourche-250g-de-cranberries-en-vrac-bio","14.36")</f>
        <v>14.36</v>
      </c>
      <c r="C224" s="10" t="s">
        <v>488</v>
      </c>
      <c r="D224" s="9" t="str">
        <f>HYPERLINK("https://www.biocoop.fr/cranberry-sechee-canada-bio-ag3039-000.html","15.5")</f>
        <v>15.5</v>
      </c>
      <c r="E224" s="10" t="s">
        <v>489</v>
      </c>
      <c r="F224" s="9" t="str">
        <f>HYPERLINK("https://www.biocoop.fr/cranberry-sechee-canada-bio-ag3039-000.html","15.5")</f>
        <v>15.5</v>
      </c>
      <c r="H224" s="9" t="str">
        <f>HYPERLINK("https://satoriz-comboire.bio/collections/vrac/products/ag0479","15.2")</f>
        <v>15.2</v>
      </c>
      <c r="I224" s="10" t="s">
        <v>490</v>
      </c>
      <c r="J224" s="9" t="str">
        <f>HYPERLINK("https://www.greenweez.com/produit/cranberries-demies-bio-500g/2WEEZ0368","888888")</f>
        <v>888888</v>
      </c>
      <c r="K224" s="11" t="s">
        <v>99</v>
      </c>
    </row>
    <row r="225" spans="1:12" x14ac:dyDescent="0.3">
      <c r="A225" s="5" t="s">
        <v>491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2" x14ac:dyDescent="0.3">
      <c r="A226" t="s">
        <v>492</v>
      </c>
      <c r="B226" s="9" t="str">
        <f>HYPERLINK("https://lafourche.fr/products/la-fourche-sirop-d-agave-bio-0-5l","9.98")</f>
        <v>9.98</v>
      </c>
      <c r="C226" s="8" t="s">
        <v>493</v>
      </c>
      <c r="D226" s="9" t="str">
        <f>HYPERLINK("https://www.biocoop.fr/sirop-agave-690g-na6021-000.html","10.13")</f>
        <v>10.13</v>
      </c>
      <c r="E226" t="s">
        <v>15</v>
      </c>
      <c r="F226" s="9" t="str">
        <f>HYPERLINK("https://www.biocoop.fr/sirop-agave-690g-na6021-000.html","10.13")</f>
        <v>10.13</v>
      </c>
      <c r="H226" s="7" t="str">
        <f>HYPERLINK("https://satoriz-comboire.bio/collections/epicerie-sucree/products/re39977","8.48")</f>
        <v>8.48</v>
      </c>
      <c r="I226" s="10" t="s">
        <v>238</v>
      </c>
      <c r="J226" s="9" t="str">
        <f>HYPERLINK("https://www.greenweez.com/produit/sirop-dagave-330g-1/1MKAL0163","11.03")</f>
        <v>11.03</v>
      </c>
      <c r="K226" s="8" t="s">
        <v>494</v>
      </c>
    </row>
    <row r="227" spans="1:12" x14ac:dyDescent="0.3">
      <c r="A227" s="5" t="s">
        <v>495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2" x14ac:dyDescent="0.3">
      <c r="A228" t="s">
        <v>496</v>
      </c>
      <c r="B228" s="7" t="str">
        <f>HYPERLINK("https://lafourche.fr/products/la-fourche-farine-de-ble-bio-t65-2-5kg","1.29")</f>
        <v>1.29</v>
      </c>
      <c r="C228" s="10" t="s">
        <v>497</v>
      </c>
      <c r="D228" s="9" t="str">
        <f>HYPERLINK("https://www.biocoop.fr/farine-de-ble-t65-bio-dm3003-000.html","1.75")</f>
        <v>1.75</v>
      </c>
      <c r="E228" t="s">
        <v>15</v>
      </c>
      <c r="F228" s="9" t="str">
        <f>HYPERLINK("https://www.biocoop.fr/farine-de-ble-t65-2-5kg-dm3002-000.html","1.58")</f>
        <v>1.58</v>
      </c>
      <c r="H228" s="9" t="str">
        <f>HYPERLINK("https://satoriz-comboire.bio/collections/epicerie-salee/products/pi65","1.85")</f>
        <v>1.85</v>
      </c>
      <c r="I228" t="s">
        <v>15</v>
      </c>
      <c r="J228" s="9" t="str">
        <f>HYPERLINK("https://www.greenweez.com/produit/farine-de-ble-t65-meule-france-bio-2-5kg/2WEEZ0239","1.89")</f>
        <v>1.89</v>
      </c>
      <c r="L228">
        <v>1</v>
      </c>
    </row>
    <row r="229" spans="1:12" x14ac:dyDescent="0.3">
      <c r="A229" t="s">
        <v>498</v>
      </c>
      <c r="B229" s="7" t="str">
        <f>HYPERLINK("https://lafourche.fr/products/la-fourche-farine-de-ble-t110-bio-2-5kg","1.59")</f>
        <v>1.59</v>
      </c>
      <c r="C229" s="8" t="s">
        <v>499</v>
      </c>
      <c r="D229" s="9" t="str">
        <f>HYPERLINK("https://www.biocoop.fr/farine-de-ble-t110-1kg-br0212-000.html","2.8")</f>
        <v>2.8</v>
      </c>
      <c r="E229" t="s">
        <v>15</v>
      </c>
      <c r="F229" s="9" t="str">
        <f>HYPERLINK("https://www.biocoop.fr/farine-de-ble-t110-1kg-br0212-000.html","2.79")</f>
        <v>2.79</v>
      </c>
      <c r="H229" s="9" t="str">
        <f>HYPERLINK("https://satoriz-comboire.bio/collections/epicerie-salee/products/pi110","1.9")</f>
        <v>1.9</v>
      </c>
      <c r="I229" t="s">
        <v>15</v>
      </c>
      <c r="J229" s="9" t="str">
        <f>HYPERLINK("https://www.greenweez.com/produit/farine-de-ble-demi-complete-t110-2-5kg/1MOUL0318","2.13")</f>
        <v>2.13</v>
      </c>
      <c r="K229" s="10" t="s">
        <v>80</v>
      </c>
    </row>
    <row r="230" spans="1:12" x14ac:dyDescent="0.3">
      <c r="A230" t="s">
        <v>500</v>
      </c>
      <c r="B230" s="9" t="str">
        <f>HYPERLINK("https://lafourche.fr/products/celnat-farine-de-seigle-t130-bio-1kg","2.17")</f>
        <v>2.17</v>
      </c>
      <c r="C230" t="s">
        <v>15</v>
      </c>
      <c r="D230" s="9" t="str">
        <f>HYPERLINK("https://www.biocoop.fr/farine-de-seigle-t130-1kg-br0213-000.html","2.83")</f>
        <v>2.83</v>
      </c>
      <c r="E230" t="s">
        <v>15</v>
      </c>
      <c r="F230" s="9" t="str">
        <f>HYPERLINK("https://www.biocoop.fr/farine-de-seigle-t130-1kg-br0213-000.html","2.85")</f>
        <v>2.85</v>
      </c>
      <c r="H230" s="9" t="str">
        <f>HYPERLINK("https://satoriz-comboire.bio/collections/epicerie-salee/products/seix1","2.05")</f>
        <v>2.05</v>
      </c>
      <c r="I230" t="s">
        <v>15</v>
      </c>
      <c r="J230" s="7" t="str">
        <f>HYPERLINK("https://www.greenweez.com/produit/farine-de-seigle-t130-bio-france-2-5kg/2WEEZ0238","1.94")</f>
        <v>1.94</v>
      </c>
      <c r="K230" s="10" t="s">
        <v>501</v>
      </c>
    </row>
    <row r="231" spans="1:12" x14ac:dyDescent="0.3">
      <c r="A231" t="s">
        <v>502</v>
      </c>
      <c r="B231" s="7" t="str">
        <f>HYPERLINK("https://lafourche.fr/products/celnat-farine-5-cereales-1kg","2.92")</f>
        <v>2.92</v>
      </c>
      <c r="C231" t="s">
        <v>15</v>
      </c>
      <c r="D231" s="9" t="str">
        <f>HYPERLINK("https://www.biocoop.fr/farine-de-5-cereales-t130-1kg-br0219-000.html","3.2")</f>
        <v>3.2</v>
      </c>
      <c r="E231" s="8" t="s">
        <v>503</v>
      </c>
      <c r="F231" s="9" t="str">
        <f>HYPERLINK("https://www.biocoop.fr/farine-de-5-cereales-t130-1kg-br0219-000.html","3.2")</f>
        <v>3.2</v>
      </c>
      <c r="H231" s="9" t="str">
        <f>HYPERLINK("https://satoriz-comboire.bio/collections/epicerie-salee/products/cei03003","3.4")</f>
        <v>3.4</v>
      </c>
      <c r="I231" s="10" t="s">
        <v>504</v>
      </c>
      <c r="J231" s="9" t="str">
        <f>HYPERLINK("https://www.greenweez.com/produit/farine-complete-5-cereales-bio-3kg/5GREE0146","2.98")</f>
        <v>2.98</v>
      </c>
      <c r="K231" s="10" t="s">
        <v>80</v>
      </c>
    </row>
    <row r="232" spans="1:12" x14ac:dyDescent="0.3">
      <c r="A232" t="s">
        <v>505</v>
      </c>
      <c r="B232" s="9" t="str">
        <f>HYPERLINK("https://lafourche.fr/products/la-fourche-1kg-de-sucre-blond-bio-en-vrac","2.7")</f>
        <v>2.7</v>
      </c>
      <c r="C232" s="10" t="s">
        <v>506</v>
      </c>
      <c r="D232" s="9" t="str">
        <f>HYPERLINK("https://www.biocoop.fr/sucre-de-canne-roux-morceaux-irregulier-bio-ne0106-000.html","5.15")</f>
        <v>5.15</v>
      </c>
      <c r="E232" s="8" t="s">
        <v>507</v>
      </c>
      <c r="F232" s="9" t="str">
        <f>HYPERLINK("https://www.biocoop.fr/sucre-canne-blond-bio-ne0107-000.html","3.45")</f>
        <v>3.45</v>
      </c>
      <c r="H232" s="7" t="str">
        <f>HYPERLINK("https://satoriz-comboire.bio/collections/vrac/products/eu3133","1.95")</f>
        <v>1.95</v>
      </c>
      <c r="I232" t="s">
        <v>15</v>
      </c>
      <c r="J232" s="9" t="str">
        <f>HYPERLINK("https://www.greenweez.com/produit/sucre-brun-de-canne-5kg/1MKAL0177","3.79")</f>
        <v>3.79</v>
      </c>
      <c r="K232" s="10" t="s">
        <v>508</v>
      </c>
      <c r="L232">
        <v>0.5</v>
      </c>
    </row>
    <row r="233" spans="1:12" x14ac:dyDescent="0.3">
      <c r="A233" t="s">
        <v>509</v>
      </c>
      <c r="B233" s="9" t="str">
        <f>HYPERLINK("https://lafourche.fr/products/la-fourche-1kg-de-sucre-de-canne-complet-dulcita-bio-en-vrac","3.99")</f>
        <v>3.99</v>
      </c>
      <c r="C233" t="s">
        <v>15</v>
      </c>
      <c r="D233" s="9" t="str">
        <f>HYPERLINK("https://www.biocoop.fr/epicerie-sucree/farines-sucres-aides-a-la-patisserie/sucres.html","13.98")</f>
        <v>13.98</v>
      </c>
      <c r="E233" t="s">
        <v>15</v>
      </c>
      <c r="F233" s="9" t="str">
        <f>HYPERLINK("https://www.biocoop.fr/sucre-canne-complet-dulcita-1kg-sm0393-000.html","6.1")</f>
        <v>6.1</v>
      </c>
      <c r="H233" s="7" t="str">
        <f>HYPERLINK("https://satoriz-comboire.bio/collections/vrac/products/eu10092","2.75")</f>
        <v>2.75</v>
      </c>
      <c r="I233" s="8" t="s">
        <v>510</v>
      </c>
      <c r="J233" s="9" t="str">
        <f>HYPERLINK("https://www.greenweez.com/produit/sucre-de-canne-complet-bio-500g/2WEEZ0261","5.36")</f>
        <v>5.36</v>
      </c>
      <c r="K233" s="10" t="s">
        <v>511</v>
      </c>
    </row>
    <row r="234" spans="1:12" x14ac:dyDescent="0.3">
      <c r="A234" s="5" t="s">
        <v>512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2" x14ac:dyDescent="0.3">
      <c r="A235" t="s">
        <v>513</v>
      </c>
      <c r="B235" s="9" t="str">
        <f>HYPERLINK("https://lafourche.fr/products/la-fourche-pate-a-tartiner-chocolat-noisettes-bio-700g","9.64")</f>
        <v>9.64</v>
      </c>
      <c r="D235" s="9" t="str">
        <f>HYPERLINK("https://www.biocoop.fr/pate-a-tartiner-noisette-cacao-600g-lg3150-000.html","10.83")</f>
        <v>10.83</v>
      </c>
      <c r="F235" s="9" t="str">
        <f>HYPERLINK("https://www.biocoop.fr/pate-a-tartiner-noisette-cacao-600g-lg3150-000.html","10.83")</f>
        <v>10.83</v>
      </c>
      <c r="H235" s="9" t="str">
        <f>HYPERLINK("https://satoriz-comboire.bio/collections/epicerie-sucree/products/re40699","11.6")</f>
        <v>11.6</v>
      </c>
      <c r="J235" s="7" t="str">
        <f>HYPERLINK("https://www.greenweez.com/produit/pate-a-tartiner-noisettes-et-cacao-bio-600g/2WEEZ0443","8.92")</f>
        <v>8.92</v>
      </c>
      <c r="L235">
        <v>0.5</v>
      </c>
    </row>
    <row r="236" spans="1:12" x14ac:dyDescent="0.3">
      <c r="A236" t="s">
        <v>514</v>
      </c>
      <c r="B236" s="7" t="str">
        <f>HYPERLINK("https://lafourche.fr/products/la-fourche-pate-a-tartiner-chocolat-noisette-bio-0-7kg","9.93")</f>
        <v>9.93</v>
      </c>
      <c r="C236" t="s">
        <v>15</v>
      </c>
      <c r="D236" s="9" t="str">
        <f>HYPERLINK("https://www.biocoop.fr/pate-a-tartiner-chokenut-700g-np0036-000.html","23.79")</f>
        <v>23.79</v>
      </c>
      <c r="E236" s="8" t="s">
        <v>515</v>
      </c>
      <c r="F236" s="9" t="str">
        <f>HYPERLINK("https://www.biocoop.fr/pate-a-tartiner-chocolade-sans-lait-350g-he0779-000.html","29.14")</f>
        <v>29.14</v>
      </c>
      <c r="H236" s="9" t="str">
        <f>HYPERLINK("https://satoriz-comboire.bio/collections/epicerie-sucree/products/re43701","12.69")</f>
        <v>12.69</v>
      </c>
      <c r="I236" t="s">
        <v>15</v>
      </c>
      <c r="J236" s="9" t="str">
        <f>HYPERLINK("https://www.greenweez.com/produit/pate-a-tartiner-nocciolata-sans-lait-650g/1NOCC0005","11.49")</f>
        <v>11.49</v>
      </c>
      <c r="K236" s="8" t="s">
        <v>516</v>
      </c>
    </row>
    <row r="237" spans="1:12" x14ac:dyDescent="0.3">
      <c r="A237" t="s">
        <v>517</v>
      </c>
      <c r="B237" s="7" t="str">
        <f>HYPERLINK("https://lafourche.fr/products/natur-avenir-creme-de-marrons-d-ardeche-aop-bio-0-325kg","11.29")</f>
        <v>11.29</v>
      </c>
      <c r="C237" s="8" t="s">
        <v>518</v>
      </c>
      <c r="D237" s="9" t="str">
        <f>HYPERLINK("https://www.biocoop.fr/creme-de-chataigne-360g-dm0709-000.html","13.86")</f>
        <v>13.86</v>
      </c>
      <c r="E237" s="8" t="s">
        <v>519</v>
      </c>
      <c r="F237" s="9" t="str">
        <f>HYPERLINK("https://www.biocoop.fr/creme-de-chataigne-360g-dm0709-000.html","15.56")</f>
        <v>15.56</v>
      </c>
      <c r="H237" s="9" t="str">
        <f>HYPERLINK("https://satoriz-comboire.bio/products/re42052?_pos=2&amp;_sid=75640a58e&amp;_ss=r","12.62")</f>
        <v>12.62</v>
      </c>
      <c r="I237" s="8" t="s">
        <v>520</v>
      </c>
      <c r="J237" s="9" t="str">
        <f>HYPERLINK("https://www.greenweez.com/produit/creme-de-marrons-bio-55-320g/2WEEZ0462","12.13")</f>
        <v>12.13</v>
      </c>
      <c r="K237" s="8" t="s">
        <v>521</v>
      </c>
    </row>
    <row r="238" spans="1:12" x14ac:dyDescent="0.3">
      <c r="A238" t="s">
        <v>522</v>
      </c>
      <c r="B238" s="7" t="str">
        <f>HYPERLINK("https://lafourche.fr/products/la-fourche-miel-bio-toutes-fleurs-origine-bulgarie-1kg","10.6")</f>
        <v>10.6</v>
      </c>
      <c r="C238" t="s">
        <v>15</v>
      </c>
      <c r="D238" s="9" t="str">
        <f>HYPERLINK("https://www.biocoop.fr/miel-toutes-fleurs-1kg-mz2000-000.html","15.2")</f>
        <v>15.2</v>
      </c>
      <c r="E238" s="8" t="s">
        <v>523</v>
      </c>
      <c r="F238" s="9" t="str">
        <f>HYPERLINK("https://www.biocoop.fr/miel-toutes-fleurs-1kg-mz2000-000.html","16.55")</f>
        <v>16.55</v>
      </c>
      <c r="H238" s="9" t="str">
        <f>HYPERLINK("https://satoriz-comboire.bio/collections/epicerie-sucree/products/rc1","18.5")</f>
        <v>18.5</v>
      </c>
      <c r="I238" s="10" t="s">
        <v>477</v>
      </c>
      <c r="J238" s="9" t="str">
        <f>HYPERLINK("https://www.greenweez.com/produit/miel-toutes-fleurs-liquide-origine-ue-1kg/4TERR0044","17.95")</f>
        <v>17.95</v>
      </c>
      <c r="K238" s="8" t="s">
        <v>524</v>
      </c>
    </row>
    <row r="239" spans="1:12" x14ac:dyDescent="0.3">
      <c r="A239" t="s">
        <v>525</v>
      </c>
      <c r="B239" s="9" t="str">
        <f>HYPERLINK("https://lafourche.fr/products/la-fourche-miel-de-montagne-bio-0-25kg","22")</f>
        <v>22</v>
      </c>
      <c r="C239" t="s">
        <v>15</v>
      </c>
      <c r="D239">
        <v>888888</v>
      </c>
      <c r="E239" s="11" t="s">
        <v>99</v>
      </c>
      <c r="F239">
        <v>888888</v>
      </c>
      <c r="H239" s="9" t="str">
        <f>HYPERLINK("https://satoriz-comboire.bio/collections/epicerie-sucree/products/ver052","22.4")</f>
        <v>22.4</v>
      </c>
      <c r="I239" s="8" t="s">
        <v>526</v>
      </c>
      <c r="J239" s="7" t="str">
        <f>HYPERLINK("https://www.greenweez.com/produit/miel-de-montagne-bio-espagne-500g/2WEEZ0036","17.9")</f>
        <v>17.9</v>
      </c>
      <c r="K239" s="8" t="s">
        <v>527</v>
      </c>
    </row>
    <row r="240" spans="1:12" x14ac:dyDescent="0.3">
      <c r="A240" t="s">
        <v>528</v>
      </c>
      <c r="B240" s="7" t="str">
        <f>HYPERLINK("https://lafourche.fr/products/la-fourche-puree-100-cacahuetes-bio-0-5kg","9.98")</f>
        <v>9.98</v>
      </c>
      <c r="C240" t="s">
        <v>15</v>
      </c>
      <c r="D240" s="9" t="str">
        <f>HYPERLINK("https://www.biocoop.fr/beurre-de-cacahuetes-500g-ra0617-000.html","13.2")</f>
        <v>13.2</v>
      </c>
      <c r="E240" t="s">
        <v>15</v>
      </c>
      <c r="F240" s="9" t="str">
        <f>HYPERLINK("https://www.biocoop.fr/beurre-de-cacahuetes-500g-ra0617-000.html","13.2")</f>
        <v>13.2</v>
      </c>
      <c r="H240" s="9" t="str">
        <f>HYPERLINK("https://satoriz-comboire.bio/collections/epicerie-sucree/products/ag001216","10.46")</f>
        <v>10.46</v>
      </c>
      <c r="I240" s="8" t="s">
        <v>529</v>
      </c>
      <c r="J240" s="9" t="str">
        <f>HYPERLINK("https://www.greenweez.com/produit/beurre-de-cacahuetes-280g/1PERL0131","888888")</f>
        <v>888888</v>
      </c>
      <c r="K240" s="11" t="s">
        <v>99</v>
      </c>
    </row>
    <row r="241" spans="1:11" x14ac:dyDescent="0.3">
      <c r="A241" t="s">
        <v>530</v>
      </c>
      <c r="B241" s="9" t="str">
        <f>HYPERLINK("https://lafourche.fr/products/la-fourche-tahin-100-sesame-demi-complet-bio-0-5kg","12.18")</f>
        <v>12.18</v>
      </c>
      <c r="C241" s="8" t="s">
        <v>531</v>
      </c>
      <c r="D241" s="9" t="str">
        <f>HYPERLINK("https://www.biocoop.fr/puree-de-sesame-1-2-complet-350g-he0860-000.html","20.43")</f>
        <v>20.43</v>
      </c>
      <c r="E241" s="8" t="s">
        <v>532</v>
      </c>
      <c r="F241" s="9" t="str">
        <f>HYPERLINK("https://www.biocoop.fr/epicerie-sucree/petit-dejeuner/purees-d-oleagineux.html?product_list_order=price_ref_asc","11.64")</f>
        <v>11.64</v>
      </c>
      <c r="H241" s="9" t="str">
        <f>HYPERLINK("https://satoriz-comboire.bio/collections/epicerie-sucree/products/per1240","18.93")</f>
        <v>18.93</v>
      </c>
      <c r="I241" s="8" t="s">
        <v>533</v>
      </c>
      <c r="J241" s="7" t="str">
        <f>HYPERLINK("https://www.greenweez.com/produit/puree-de-sesame-complet-bio-700g/2WEEZ0504","11.34")</f>
        <v>11.34</v>
      </c>
    </row>
    <row r="242" spans="1:11" x14ac:dyDescent="0.3">
      <c r="A242" t="s">
        <v>534</v>
      </c>
      <c r="B242" s="7" t="str">
        <f>HYPERLINK("https://lafourche.fr/products/la-fourche-puree-100-amandes-completes-bio-0-5kg","20.98")</f>
        <v>20.98</v>
      </c>
      <c r="C242" s="10" t="s">
        <v>535</v>
      </c>
      <c r="D242" s="9" t="str">
        <f>HYPERLINK("https://www.biocoop.fr/puree-d-amande-complete-non-toastee-275g-da8051-000.html","32.69")</f>
        <v>32.69</v>
      </c>
      <c r="E242" t="s">
        <v>15</v>
      </c>
      <c r="F242" s="9" t="str">
        <f>HYPERLINK("https://www.biocoop.fr/puree-d-amande-complete-grillee-750g-da8074-000.html","28.6")</f>
        <v>28.6</v>
      </c>
      <c r="H242" s="9" t="str">
        <f>HYPERLINK("https://satoriz-comboire.bio/collections/epicerie-sucree/products/ag001043","21.77")</f>
        <v>21.77</v>
      </c>
      <c r="I242" s="8" t="s">
        <v>536</v>
      </c>
      <c r="J242" s="9" t="str">
        <f>HYPERLINK("https://www.greenweez.com/produit/puree-damandes-completes-bio-700g/2WEEZ0283","22.77")</f>
        <v>22.77</v>
      </c>
      <c r="K242" s="8" t="s">
        <v>537</v>
      </c>
    </row>
    <row r="243" spans="1:11" x14ac:dyDescent="0.3">
      <c r="A243" t="s">
        <v>538</v>
      </c>
      <c r="B243" s="7" t="str">
        <f>HYPERLINK("https://lafourche.fr/products/la-fourche-puree-100-noix-de-cajou-bio-0-5kg","21.98")</f>
        <v>21.98</v>
      </c>
      <c r="C243" s="8" t="s">
        <v>204</v>
      </c>
      <c r="D243" s="9" t="str">
        <f>HYPERLINK("https://www.biocoop.fr/puree-de-noix-de-cajou-crue-300g-pd0107-000.html","32.4")</f>
        <v>32.4</v>
      </c>
      <c r="E243" t="s">
        <v>15</v>
      </c>
      <c r="F243" s="9" t="str">
        <f>HYPERLINK("https://www.biocoop.fr/puree-de-noix-de-cajou-350g-he0751-000.html","31.14")</f>
        <v>31.14</v>
      </c>
      <c r="H243" s="9" t="str">
        <f>HYPERLINK("https://satoriz-comboire.bio/collections/epicerie-sucree/products/per1435","26.5")</f>
        <v>26.5</v>
      </c>
      <c r="I243" s="8" t="s">
        <v>499</v>
      </c>
      <c r="J243" s="9" t="str">
        <f>HYPERLINK("https://www.greenweez.com/produit/puree-de-noix-de-cajou-bio-350g/2WEEZ0285","24.23")</f>
        <v>24.23</v>
      </c>
      <c r="K243" s="8" t="s">
        <v>539</v>
      </c>
    </row>
    <row r="244" spans="1:11" x14ac:dyDescent="0.3">
      <c r="A244" t="s">
        <v>540</v>
      </c>
      <c r="B244" s="9" t="str">
        <f>HYPERLINK("https://lafourche.fr/products/la-fourche-puree-100-noisettes-bio-0-5kg","23.98")</f>
        <v>23.98</v>
      </c>
      <c r="C244" s="8" t="s">
        <v>541</v>
      </c>
      <c r="D244" s="9" t="str">
        <f>HYPERLINK("https://www.biocoop.fr/puree-de-noisette-700g-he0702-000.html","33.14")</f>
        <v>33.14</v>
      </c>
      <c r="E244" s="8" t="s">
        <v>542</v>
      </c>
      <c r="F244" s="9" t="str">
        <f>HYPERLINK("https://www.biocoop.fr/puree-de-noisette-700g-he0702-000.html","32.14")</f>
        <v>32.14</v>
      </c>
      <c r="H244" s="9" t="str">
        <f>HYPERLINK("https://satoriz-comboire.bio/collections/epicerie-sucree/products/ag001044","26.0")</f>
        <v>26.0</v>
      </c>
      <c r="I244" s="8" t="s">
        <v>543</v>
      </c>
      <c r="J244" s="7" t="str">
        <f>HYPERLINK("https://www.greenweez.com/produit/puree-de-noisettes-bio-700g/2WEEZ0289","22.36")</f>
        <v>22.36</v>
      </c>
      <c r="K244" s="8" t="s">
        <v>544</v>
      </c>
    </row>
    <row r="245" spans="1:11" x14ac:dyDescent="0.3">
      <c r="A245" s="5" t="s">
        <v>545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3">
      <c r="A246" t="s">
        <v>546</v>
      </c>
      <c r="B246" s="7" t="str">
        <f>HYPERLINK("https://lafourche.fr/products/borsa-biscottes-completes-bio-0-3kg","8.83")</f>
        <v>8.83</v>
      </c>
      <c r="C246" t="s">
        <v>15</v>
      </c>
      <c r="D246" s="7" t="str">
        <f>HYPERLINK("https://www.biocoop.fr/biscottes-a-la-farine-complete-300g-bo1013-000.html","8.83")</f>
        <v>8.83</v>
      </c>
      <c r="E246" t="s">
        <v>15</v>
      </c>
      <c r="F246" s="7" t="str">
        <f>HYPERLINK("https://www.biocoop.fr/biscottes-a-la-farine-complete-300g-bo1013-000.html","8.83")</f>
        <v>8.83</v>
      </c>
      <c r="H246" s="9" t="str">
        <f>HYPERLINK("https://satoriz-comboire.bio/collections/boulangerie/products/ma3424","9.17")</f>
        <v>9.17</v>
      </c>
      <c r="I246" s="8" t="s">
        <v>547</v>
      </c>
      <c r="J246" s="9" t="str">
        <f>HYPERLINK("https://www.greenweez.com/produit/biscottes-a-la-farine-complete-300g/1BORS0001","11.6")</f>
        <v>11.6</v>
      </c>
      <c r="K246" s="10" t="s">
        <v>548</v>
      </c>
    </row>
    <row r="247" spans="1:11" x14ac:dyDescent="0.3">
      <c r="A247" t="s">
        <v>549</v>
      </c>
      <c r="B247" s="9" t="str">
        <f>HYPERLINK("https://lafourche.fr/products/lima-galettes-de-riz-100g","8.5")</f>
        <v>8.5</v>
      </c>
      <c r="C247" s="8" t="s">
        <v>550</v>
      </c>
      <c r="D247" s="9" t="str">
        <f>HYPERLINK("https://www.biocoop.fr/galettes-de-riz-de-camargue-complet-130g-bo0159-000.html","9.23")</f>
        <v>9.23</v>
      </c>
      <c r="E247" s="10" t="s">
        <v>551</v>
      </c>
      <c r="F247" s="9" t="str">
        <f>HYPERLINK("https://www.biocoop.fr/galettes-de-riz-de-camargue-complet-130g-bo0159-000.html","9.23")</f>
        <v>9.23</v>
      </c>
      <c r="H247" s="9" t="str">
        <f>HYPERLINK("https://satoriz-comboire.bio/collections/boulangerie/products/pu7840009","10.5")</f>
        <v>10.5</v>
      </c>
      <c r="I247" s="8" t="s">
        <v>552</v>
      </c>
      <c r="J247" s="7" t="str">
        <f>HYPERLINK("https://www.greenweez.com/produit/galettes-riz-de-camargue-sans-sel-100-france-130g/1PRIM0474","6.91")</f>
        <v>6.91</v>
      </c>
      <c r="K247" s="10" t="s">
        <v>553</v>
      </c>
    </row>
    <row r="248" spans="1:11" x14ac:dyDescent="0.3">
      <c r="A248" t="s">
        <v>554</v>
      </c>
      <c r="B248" s="7" t="str">
        <f>HYPERLINK("https://lafourche.fr/products/lima-galettes-de-riz-au-chocolat-noir-bio-0-1kg","21.6")</f>
        <v>21.6</v>
      </c>
      <c r="C248" t="s">
        <v>15</v>
      </c>
      <c r="D248" s="9" t="str">
        <f>HYPERLINK("https://www.biocoop.fr/galette-riz-complet-choco-noir-8-100g-cf5007-000.html","23.0")</f>
        <v>23.0</v>
      </c>
      <c r="E248" t="s">
        <v>15</v>
      </c>
      <c r="F248" s="9" t="str">
        <f>HYPERLINK("https://www.biocoop.fr/galette-riz-complet-choco-noir-8-100g-cf5007-000.html","23.0")</f>
        <v>23.0</v>
      </c>
      <c r="H248" s="9" t="str">
        <f>HYPERLINK("https://satoriz-comboire.bio/collections/boulangerie/products/pu7840085","25.5")</f>
        <v>25.5</v>
      </c>
      <c r="I248" s="8" t="s">
        <v>555</v>
      </c>
      <c r="J248" s="9" t="str">
        <f>HYPERLINK("https://www.greenweez.com/produit/galettes-de-riz-au-chocolat-noir-100g/1MKAL0059","888888")</f>
        <v>888888</v>
      </c>
      <c r="K248" s="11" t="s">
        <v>99</v>
      </c>
    </row>
    <row r="249" spans="1:11" x14ac:dyDescent="0.3">
      <c r="A249" t="s">
        <v>556</v>
      </c>
      <c r="B249" s="9" t="str">
        <f>HYPERLINK("https://lafourche.fr/products/pivert-pain-grille-250g","11")</f>
        <v>11</v>
      </c>
      <c r="C249" t="s">
        <v>15</v>
      </c>
      <c r="D249" s="7" t="str">
        <f>HYPERLINK("https://www.biocoop.fr/epicerie-sucree/pains-galettes-biscottes/biscottes-pains-grilles.html?product_list_order=price_ref_asc","8.67")</f>
        <v>8.67</v>
      </c>
      <c r="E249" t="s">
        <v>15</v>
      </c>
      <c r="F249">
        <v>888888</v>
      </c>
      <c r="H249" s="9" t="str">
        <f>HYPERLINK("https://satoriz-comboire.bio/collections/boulangerie/products/ma1521","10.2")</f>
        <v>10.2</v>
      </c>
      <c r="I249" s="8" t="s">
        <v>135</v>
      </c>
      <c r="J249" s="9" t="str">
        <f>HYPERLINK("https://www.greenweez.com/produit/pain-grille-a-la-farine-complete-250g/1BORS0008","11.36")</f>
        <v>11.36</v>
      </c>
      <c r="K249" s="10" t="s">
        <v>557</v>
      </c>
    </row>
    <row r="250" spans="1:11" x14ac:dyDescent="0.3">
      <c r="A250" t="s">
        <v>558</v>
      </c>
      <c r="B250" s="9" t="str">
        <f>HYPERLINK("https://lafourche.fr/products/pivert-petits-pains-grilles-graines-et-cereales-225g","13.29")</f>
        <v>13.29</v>
      </c>
      <c r="C250" s="10" t="s">
        <v>106</v>
      </c>
      <c r="D250" s="9" t="str">
        <f>HYPERLINK("https://www.biocoop.fr/petit-grille-aux-graines-170g-al3052-000.html","26.47")</f>
        <v>26.47</v>
      </c>
      <c r="E250" t="s">
        <v>15</v>
      </c>
      <c r="F250" s="7" t="str">
        <f>HYPERLINK("https://www.biocoop.fr/petit-pain-grille-cereales-graines-225g-bo1016-000.html","10.89")</f>
        <v>10.89</v>
      </c>
      <c r="H250" s="9" t="str">
        <f>HYPERLINK("https://satoriz-comboire.bio/collections/boulangerie/products/mpi120268","13.11")</f>
        <v>13.11</v>
      </c>
      <c r="I250" s="10" t="s">
        <v>559</v>
      </c>
      <c r="J250" s="9" t="str">
        <f>HYPERLINK("https://www.greenweez.com/produit/petits-pains-grilles-cereales-et-graines-225g/1BORS0005","13.96")</f>
        <v>13.96</v>
      </c>
      <c r="K250" s="10" t="s">
        <v>560</v>
      </c>
    </row>
    <row r="252" spans="1:11" ht="18.75" customHeight="1" x14ac:dyDescent="0.35">
      <c r="A252" s="3" t="s">
        <v>561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x14ac:dyDescent="0.3">
      <c r="A253" s="5" t="s">
        <v>562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x14ac:dyDescent="0.3">
      <c r="A254" t="s">
        <v>563</v>
      </c>
      <c r="B254" s="7" t="str">
        <f>HYPERLINK("https://lafourche.fr/products/la-fourche-pommes-candine-bio-origine-france-1-kg","2.58")</f>
        <v>2.58</v>
      </c>
      <c r="D254">
        <v>888888</v>
      </c>
      <c r="F254" s="9" t="str">
        <f>HYPERLINK("https://www.biocoop.fr/pomme-bicolore-fel4194-000-france.html","2.95")</f>
        <v>2.95</v>
      </c>
      <c r="H254" s="9" t="str">
        <f>HYPERLINK("https://satoriz-comboire.bio/collections/fruits-et-legumes/products/fru716","2.9")</f>
        <v>2.9</v>
      </c>
      <c r="J254" s="9" t="str">
        <f>HYPERLINK("https://www.greenweez.com/produit/pomme-regal-you-candine/1VRAC0415","2.99")</f>
        <v>2.99</v>
      </c>
    </row>
    <row r="255" spans="1:11" x14ac:dyDescent="0.3">
      <c r="A255" t="s">
        <v>564</v>
      </c>
      <c r="B255">
        <v>888888</v>
      </c>
      <c r="D255" s="7" t="str">
        <f>HYPERLINK("https://www.biocoop.fr/banane-cavendish-fel4011-000-dominicaine-republique-.html","2.09")</f>
        <v>2.09</v>
      </c>
      <c r="F255">
        <v>888888</v>
      </c>
      <c r="H255" s="9" t="str">
        <f>HYPERLINK("https://satoriz-comboire.bio/collections/fruits-et-legumes/products/fru140","2.1")</f>
        <v>2.1</v>
      </c>
      <c r="J255" s="9" t="str">
        <f>HYPERLINK("https://www.greenweez.com/produit/bananes-jaunes/1VRAC0018","2.29")</f>
        <v>2.29</v>
      </c>
    </row>
    <row r="256" spans="1:11" ht="18.75" customHeight="1" x14ac:dyDescent="0.3">
      <c r="A256" t="s">
        <v>565</v>
      </c>
      <c r="B256" s="7" t="str">
        <f>HYPERLINK("https://lafourche.fr/products/la-fourche-clementines-bio-origine-espagne-1kg","2.98")</f>
        <v>2.98</v>
      </c>
      <c r="D256">
        <v>888888</v>
      </c>
      <c r="F256">
        <v>888888</v>
      </c>
      <c r="H256" s="9" t="str">
        <f>HYPERLINK("https://satoriz-comboire.bio/collections/fruits-et-legumes/products/fru210","888888")</f>
        <v>888888</v>
      </c>
      <c r="J256" s="9" t="str">
        <f>HYPERLINK("https://www.greenweez.com/produit/clementines-espagne-1/1VRAC0019","888888")</f>
        <v>888888</v>
      </c>
    </row>
    <row r="257" spans="1:11" x14ac:dyDescent="0.3">
      <c r="A257" t="s">
        <v>566</v>
      </c>
      <c r="B257" s="7" t="str">
        <f>HYPERLINK("https://lafourche.fr/products/la-fourche-kiwis-bio-origine-france-0-5kg","4.6")</f>
        <v>4.6</v>
      </c>
      <c r="D257">
        <v>888888</v>
      </c>
      <c r="F257" s="9" t="str">
        <f>HYPERLINK("https://www.biocoop.fr/kiwi-vert-fel4030-000-italie.html","6.0")</f>
        <v>6.0</v>
      </c>
      <c r="H257" s="9" t="str">
        <f>HYPERLINK("https://satoriz-comboire.bio/collections/fruits-et-legumes/products/fru300","5.5")</f>
        <v>5.5</v>
      </c>
      <c r="J257" s="9" t="str">
        <f>HYPERLINK("https://www.greenweez.com/produit/kiwi-hayward-italie-1/1VRAC0014","888888")</f>
        <v>888888</v>
      </c>
    </row>
    <row r="258" spans="1:11" x14ac:dyDescent="0.3">
      <c r="A258" t="s">
        <v>567</v>
      </c>
      <c r="B258" s="37" t="str">
        <f>HYPERLINK("https://lafourche.fr/products/la-fourche-poires-conference-bio-origine-france-0-5kg","888888")</f>
        <v>888888</v>
      </c>
      <c r="D258" s="41">
        <v>888888</v>
      </c>
      <c r="F258" s="41">
        <v>888888</v>
      </c>
      <c r="H258" s="37" t="str">
        <f>HYPERLINK("https://satoriz-comboire.bio/collections/fruits-et-legumes/products/fru604","888888")</f>
        <v>888888</v>
      </c>
      <c r="J258" s="37" t="str">
        <f>HYPERLINK("https://www.greenweez.com/produit/poire-conference-france-1/1VRAC0015","888888")</f>
        <v>888888</v>
      </c>
    </row>
    <row r="259" spans="1:11" x14ac:dyDescent="0.3">
      <c r="A259" t="s">
        <v>568</v>
      </c>
      <c r="B259" s="9" t="str">
        <f>HYPERLINK("https://lafourche.fr/products/la-fourche-oranges-bio-origine-espagne-kg-1","888888")</f>
        <v>888888</v>
      </c>
      <c r="D259">
        <v>888888</v>
      </c>
      <c r="F259" s="7" t="str">
        <f>HYPERLINK("https://www.biocoop.fr/orange-blonde-navel.html","2.2")</f>
        <v>2.2</v>
      </c>
      <c r="H259" s="9" t="str">
        <f>HYPERLINK("https://satoriz-comboire.bio/collections/fruits-et-legumes/products/fru450","2.3")</f>
        <v>2.3</v>
      </c>
      <c r="J259" s="9" t="str">
        <f>HYPERLINK("https://www.greenweez.com/produit/orange-de-table-espagne-1/1VRAC0009","2.82")</f>
        <v>2.82</v>
      </c>
    </row>
    <row r="260" spans="1:11" x14ac:dyDescent="0.3">
      <c r="A260" t="s">
        <v>569</v>
      </c>
      <c r="B260" s="7" t="str">
        <f>HYPERLINK("https://lafourche.fr/products/la-fourche-citron-bio-origine-italie-kg-0-5-2","2.3")</f>
        <v>2.3</v>
      </c>
      <c r="D260" s="9" t="str">
        <f>HYPERLINK("https://www.biocoop.fr/citron-jaune.html","2.75")</f>
        <v>2.75</v>
      </c>
      <c r="F260" s="9" t="str">
        <f>HYPERLINK("https://www.biocoop.fr/citron-jaune.html","2.5")</f>
        <v>2.5</v>
      </c>
      <c r="H260" s="9" t="str">
        <f>HYPERLINK("https://satoriz-comboire.bio/collections/fruits-et-legumes/products/fru202","3.6")</f>
        <v>3.6</v>
      </c>
      <c r="J260" s="9" t="str">
        <f>HYPERLINK("https://www.greenweez.com/produit/citron-jaune-espagne-1/1VRAC0011","3.12")</f>
        <v>3.12</v>
      </c>
    </row>
    <row r="261" spans="1:11" x14ac:dyDescent="0.3">
      <c r="A261" s="5" t="s">
        <v>570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x14ac:dyDescent="0.3">
      <c r="A262" t="s">
        <v>571</v>
      </c>
      <c r="B262" s="9" t="str">
        <f>HYPERLINK("https://lafourche.fr/products/la-fourche-ail-bio-origine-france-0-3kg","13.3")</f>
        <v>13.3</v>
      </c>
      <c r="D262">
        <v>888888</v>
      </c>
      <c r="F262" s="9" t="str">
        <f>HYPERLINK("https://www.biocoop.fr/ail-sec-blanc.html","15.0")</f>
        <v>15.0</v>
      </c>
      <c r="H262" s="9" t="str">
        <f>HYPERLINK("https://satoriz-comboire.bio/collections/fruits-et-legumes/products/lgu105","13.0")</f>
        <v>13.0</v>
      </c>
      <c r="J262" s="7" t="str">
        <f>HYPERLINK("https://www.greenweez.com/produit/ail-blanc-violet-sec-espagne-1/1VRAC0299","11.15")</f>
        <v>11.15</v>
      </c>
    </row>
    <row r="263" spans="1:11" ht="18.75" customHeight="1" x14ac:dyDescent="0.3">
      <c r="A263" t="s">
        <v>572</v>
      </c>
      <c r="B263" s="9" t="str">
        <f>HYPERLINK("https://lafourche.fr/products/la-fourche-oignons-jaunes-bio-origine-france-1kg","2.35")</f>
        <v>2.35</v>
      </c>
      <c r="D263">
        <v>888888</v>
      </c>
      <c r="F263" s="9" t="str">
        <f>HYPERLINK("https://www.biocoop.fr/oignon-vrac-jaune.html","2.9")</f>
        <v>2.9</v>
      </c>
      <c r="H263" s="7" t="str">
        <f>HYPERLINK("https://satoriz-comboire.bio/collections/fruits-et-legumes/products/lgu608","2.2")</f>
        <v>2.2</v>
      </c>
      <c r="J263" s="9" t="str">
        <f>HYPERLINK("https://www.greenweez.com/produit/oignon-jaune-cal-40-80-france/1VRAC0533","2.82")</f>
        <v>2.82</v>
      </c>
    </row>
    <row r="264" spans="1:11" x14ac:dyDescent="0.3">
      <c r="A264" t="s">
        <v>573</v>
      </c>
      <c r="B264" s="9" t="str">
        <f>HYPERLINK("https://lafourche.fr/products/la-fourche-oignons-rouges-bio-origine-france-1kg","3.19")</f>
        <v>3.19</v>
      </c>
      <c r="D264" s="9" t="str">
        <f>HYPERLINK("https://www.biocoop.fr/oignon-vrac-rouge.html","3.5")</f>
        <v>3.5</v>
      </c>
      <c r="F264" s="9" t="str">
        <f>HYPERLINK("https://www.biocoop.fr/oignon-vrac-rouge.html","3.5")</f>
        <v>3.5</v>
      </c>
      <c r="H264" s="7" t="str">
        <f>HYPERLINK("https://satoriz-comboire.bio/collections/fruits-et-legumes/products/oignon-rouge","3.12")</f>
        <v>3.12</v>
      </c>
      <c r="J264">
        <v>888888</v>
      </c>
    </row>
    <row r="265" spans="1:11" x14ac:dyDescent="0.3">
      <c r="A265" t="s">
        <v>574</v>
      </c>
      <c r="B265">
        <v>888888</v>
      </c>
      <c r="D265">
        <v>888888</v>
      </c>
      <c r="F265" s="9" t="str">
        <f>HYPERLINK("https://www.biocoop.fr/betterave-rouge.html","2.95")</f>
        <v>2.95</v>
      </c>
      <c r="H265" s="7" t="str">
        <f>HYPERLINK("https://satoriz-comboire.bio/collections/fruits-et-legumes/products/lgu210-1","2.7")</f>
        <v>2.7</v>
      </c>
      <c r="J265" s="9" t="str">
        <f>HYPERLINK("https://www.greenweez.com/produit/betterave-rouge-france-2/1VRAC0023","3.12")</f>
        <v>3.12</v>
      </c>
    </row>
    <row r="266" spans="1:11" x14ac:dyDescent="0.3">
      <c r="A266" t="s">
        <v>575</v>
      </c>
      <c r="B266">
        <v>888888</v>
      </c>
      <c r="D266" s="9" t="str">
        <f>HYPERLINK("https://www.biocoop.fr/blette-pied.html","3.95")</f>
        <v>3.95</v>
      </c>
      <c r="F266">
        <v>888888</v>
      </c>
      <c r="H266" s="7" t="str">
        <f>HYPERLINK("https://satoriz-comboire.bio/collections/fruits-et-legumes/products/lgu222","3.76")</f>
        <v>3.76</v>
      </c>
      <c r="J266">
        <v>888888</v>
      </c>
    </row>
    <row r="267" spans="1:11" x14ac:dyDescent="0.3">
      <c r="A267" t="s">
        <v>576</v>
      </c>
      <c r="B267">
        <v>888888</v>
      </c>
      <c r="D267">
        <v>888888</v>
      </c>
      <c r="F267" s="7" t="str">
        <f>HYPERLINK("https://www.biocoop.fr/chou-brocoli.html","4.9")</f>
        <v>4.9</v>
      </c>
      <c r="H267" s="9" t="str">
        <f>HYPERLINK("https://satoriz-comboire.bio/collections/fruits-et-legumes/products/lgu230","4.96")</f>
        <v>4.96</v>
      </c>
      <c r="J267" s="7" t="str">
        <f>HYPERLINK("https://www.greenweez.com/produit/brocoli-france/1VRAC0033","4.9")</f>
        <v>4.9</v>
      </c>
    </row>
    <row r="268" spans="1:11" x14ac:dyDescent="0.3">
      <c r="A268" t="s">
        <v>577</v>
      </c>
      <c r="B268" s="7" t="str">
        <f>HYPERLINK("https://lafourche.fr/products/la-fourche-carottes-bio-origine-france-2-kg-2","2.25")</f>
        <v>2.25</v>
      </c>
      <c r="D268" s="9" t="str">
        <f>HYPERLINK("https://www.biocoop.fr/carotte-lavee.html","2.5")</f>
        <v>2.5</v>
      </c>
      <c r="F268" s="9" t="str">
        <f>HYPERLINK("https://www.biocoop.fr/carotte-lavee.html","2.6")</f>
        <v>2.6</v>
      </c>
      <c r="H268" s="9" t="str">
        <f>HYPERLINK("https://satoriz-comboire.bio/collections/fruits-et-legumes/products/lgu250","2.8")</f>
        <v>2.8</v>
      </c>
      <c r="J268" s="9" t="str">
        <f>HYPERLINK("https://www.greenweez.com/produit/carottes-lavees-france-2/1VRAC0034","2.92")</f>
        <v>2.92</v>
      </c>
    </row>
    <row r="269" spans="1:11" x14ac:dyDescent="0.3">
      <c r="A269" t="s">
        <v>578</v>
      </c>
      <c r="B269">
        <v>888888</v>
      </c>
      <c r="D269">
        <v>888888</v>
      </c>
      <c r="F269">
        <v>888888</v>
      </c>
      <c r="H269" s="7" t="str">
        <f>HYPERLINK("https://satoriz-comboire.bio/collections/fruits-et-legumes/products/lgu300","3.36")</f>
        <v>3.36</v>
      </c>
      <c r="J269" s="9" t="str">
        <f>HYPERLINK("https://www.greenweez.com/produit/celeri-rave/1VRAC0422","888888")</f>
        <v>888888</v>
      </c>
    </row>
    <row r="270" spans="1:11" x14ac:dyDescent="0.3">
      <c r="A270" t="s">
        <v>579</v>
      </c>
      <c r="B270" s="9" t="str">
        <f>HYPERLINK("https://lafourche.fr/products/la-fourche-celeri-branche-bio-0-5kg","3.6")</f>
        <v>3.6</v>
      </c>
      <c r="D270" s="9" t="str">
        <f>HYPERLINK("https://www.biocoop.fr/celeri-branche.html","2.75")</f>
        <v>2.75</v>
      </c>
      <c r="F270" s="9" t="str">
        <f>HYPERLINK("https://www.biocoop.fr/celeri-branche.html","3.9")</f>
        <v>3.9</v>
      </c>
      <c r="H270" s="7" t="str">
        <f>HYPERLINK("https://satoriz-comboire.bio/collections/fruits-et-legumes/products/lgu301","2.56")</f>
        <v>2.56</v>
      </c>
      <c r="J270" s="9" t="str">
        <f>HYPERLINK("https://www.greenweez.com/produit/celeri-branche/1VRAC0040","3.76")</f>
        <v>3.76</v>
      </c>
    </row>
    <row r="271" spans="1:11" x14ac:dyDescent="0.3">
      <c r="A271" t="s">
        <v>580</v>
      </c>
      <c r="B271" s="7" t="str">
        <f>HYPERLINK("https://lafourche.fr/products/la-fourche-champignons-de-paris-bio-origine-france-0-5-kg-2","9.8")</f>
        <v>9.8</v>
      </c>
      <c r="D271">
        <v>888888</v>
      </c>
      <c r="F271" s="9" t="str">
        <f>HYPERLINK("https://www.biocoop.fr/champignon-blond.html","9.9")</f>
        <v>9.9</v>
      </c>
      <c r="H271" s="9" t="str">
        <f>HYPERLINK("https://satoriz-comboire.bio/collections/fruits-et-legumes/products/lgu321","12.7")</f>
        <v>12.7</v>
      </c>
      <c r="J271" s="9" t="str">
        <f>HYPERLINK("https://www.greenweez.com/produit/champignons-blancs/1VRAC0150","888888")</f>
        <v>888888</v>
      </c>
    </row>
    <row r="272" spans="1:11" x14ac:dyDescent="0.3">
      <c r="A272" t="s">
        <v>581</v>
      </c>
      <c r="B272" s="9" t="str">
        <f>HYPERLINK("https://lafourche.fr/products/la-fourche-champignons-pleurotes-bio-origine-france-0-25-kg","888888")</f>
        <v>888888</v>
      </c>
      <c r="D272">
        <v>888888</v>
      </c>
      <c r="F272">
        <v>888888</v>
      </c>
      <c r="H272" s="7" t="str">
        <f>HYPERLINK("https://satoriz-comboire.bio/collections/fruits-et-legumes/products/lgu325","14.5")</f>
        <v>14.5</v>
      </c>
      <c r="J272" s="9" t="str">
        <f>HYPERLINK("https://www.greenweez.com/produit/champignon-pleurote-ile-de-france-1/1VRAC0311","888888")</f>
        <v>888888</v>
      </c>
    </row>
    <row r="273" spans="1:11" x14ac:dyDescent="0.3">
      <c r="A273" t="s">
        <v>582</v>
      </c>
      <c r="B273" s="9" t="str">
        <f>HYPERLINK("https://lafourche.fr/products/la-fourche-choux-de-bruxelles-origine-france-0-25kg","11.72")</f>
        <v>11.72</v>
      </c>
      <c r="D273">
        <v>888888</v>
      </c>
      <c r="F273">
        <v>888888</v>
      </c>
      <c r="H273" s="7" t="str">
        <f>HYPERLINK("https://satoriz-comboire.bio/collections/fruits-et-legumes/products/lgu338","10.96")</f>
        <v>10.96</v>
      </c>
      <c r="J273">
        <v>888888</v>
      </c>
    </row>
    <row r="274" spans="1:11" x14ac:dyDescent="0.3">
      <c r="A274" t="s">
        <v>583</v>
      </c>
      <c r="B274">
        <v>888888</v>
      </c>
      <c r="D274" s="9" t="str">
        <f>HYPERLINK("https://www.biocoop.fr/chou-rouge-fel1980-000-france.html","2.75")</f>
        <v>2.75</v>
      </c>
      <c r="F274">
        <v>888888</v>
      </c>
      <c r="H274" s="7" t="str">
        <f>HYPERLINK("https://satoriz-comboire.bio/collections/fruits-et-legumes/products/lgu343","2.5")</f>
        <v>2.5</v>
      </c>
      <c r="J274">
        <v>888888</v>
      </c>
    </row>
    <row r="275" spans="1:11" x14ac:dyDescent="0.3">
      <c r="A275" t="s">
        <v>584</v>
      </c>
      <c r="B275">
        <v>888888</v>
      </c>
      <c r="D275" s="9" t="str">
        <f>HYPERLINK("https://www.biocoop.fr/courge-butternut-fel4759-000-france.html","2.95")</f>
        <v>2.95</v>
      </c>
      <c r="F275" s="9" t="str">
        <f>HYPERLINK("https://www.biocoop.fr/courge-butternut-fel4759-000-france.html","2.95")</f>
        <v>2.95</v>
      </c>
      <c r="H275" s="7" t="str">
        <f>HYPERLINK("https://satoriz-comboire.bio/collections/fruits-et-legumes/products/lgu401","2.1")</f>
        <v>2.1</v>
      </c>
      <c r="J275" s="9" t="str">
        <f>HYPERLINK("https://www.greenweez.com/produit/courge-butternut-france-2-5kg/1VRAC0036","2.51")</f>
        <v>2.51</v>
      </c>
    </row>
    <row r="276" spans="1:11" x14ac:dyDescent="0.3">
      <c r="A276" t="s">
        <v>585</v>
      </c>
      <c r="B276" s="9" t="str">
        <f>HYPERLINK("https://lafourche.fr/products/la-fourche-echalotes-bio-origine-france-0-5kg","3.98")</f>
        <v>3.98</v>
      </c>
      <c r="D276" s="7" t="str">
        <f>HYPERLINK("https://www.biocoop.fr/echalote-vrac.html","3.75")</f>
        <v>3.75</v>
      </c>
      <c r="F276" s="9" t="str">
        <f>HYPERLINK("https://www.biocoop.fr/echalote-vrac.html","4.5")</f>
        <v>4.5</v>
      </c>
      <c r="H276" s="9" t="str">
        <f>HYPERLINK("https://satoriz-comboire.bio/collections/fruits-et-legumes/products/lgu420","4.0")</f>
        <v>4.0</v>
      </c>
      <c r="J276" s="9" t="str">
        <f>HYPERLINK("https://www.greenweez.com/produit/echalote-nouvelle/1VRAC0053","4.18")</f>
        <v>4.18</v>
      </c>
    </row>
    <row r="277" spans="1:11" x14ac:dyDescent="0.3">
      <c r="A277" t="s">
        <v>586</v>
      </c>
      <c r="B277" s="9" t="str">
        <f>HYPERLINK("https://lafourche.fr/products/la-fourche-endives-bio-origine-france-0-5kg","7.7")</f>
        <v>7.7</v>
      </c>
      <c r="D277">
        <v>888888</v>
      </c>
      <c r="F277">
        <v>888888</v>
      </c>
      <c r="H277" s="7" t="str">
        <f>HYPERLINK("https://satoriz-comboire.bio/collections/fruits-et-legumes/products/lgu422","5.3")</f>
        <v>5.3</v>
      </c>
      <c r="J277" s="9" t="str">
        <f>HYPERLINK("https://www.greenweez.com/produit/endive-france-4/1VRAC0047","8.66")</f>
        <v>8.66</v>
      </c>
    </row>
    <row r="278" spans="1:11" x14ac:dyDescent="0.3">
      <c r="A278" t="s">
        <v>587</v>
      </c>
      <c r="B278">
        <v>888888</v>
      </c>
      <c r="D278">
        <v>888888</v>
      </c>
      <c r="F278">
        <v>888888</v>
      </c>
      <c r="H278" s="7" t="str">
        <f>HYPERLINK("https://satoriz-comboire.bio/collections/fruits-et-legumes/products/lgu440","4.6")</f>
        <v>4.6</v>
      </c>
      <c r="J278" s="9" t="str">
        <f>HYPERLINK("https://www.greenweez.com/produit/epinards/1VRAC0083","888888")</f>
        <v>888888</v>
      </c>
    </row>
    <row r="279" spans="1:11" x14ac:dyDescent="0.3">
      <c r="A279" t="s">
        <v>588</v>
      </c>
      <c r="B279">
        <v>888888</v>
      </c>
      <c r="D279" s="9" t="str">
        <f>HYPERLINK("https://www.biocoop.fr/fenouil-fel4515-000-france.html","4.5")</f>
        <v>4.5</v>
      </c>
      <c r="F279" s="9" t="str">
        <f>HYPERLINK("https://www.biocoop.fr/fenouil-fel4515-000-france.html","4.9")</f>
        <v>4.9</v>
      </c>
      <c r="H279" s="7" t="str">
        <f>HYPERLINK("https://satoriz-comboire.bio/collections/fruits-et-legumes/products/lgu460","3.8")</f>
        <v>3.8</v>
      </c>
      <c r="J279">
        <v>888888</v>
      </c>
    </row>
    <row r="280" spans="1:11" x14ac:dyDescent="0.3">
      <c r="A280" t="s">
        <v>589</v>
      </c>
      <c r="B280" s="7" t="str">
        <f>HYPERLINK("https://lafourche.fr/products/la-fourche-panais-bio-origine-france-0-5kg","3.98")</f>
        <v>3.98</v>
      </c>
      <c r="D280">
        <v>888888</v>
      </c>
      <c r="F280">
        <v>888888</v>
      </c>
      <c r="H280" s="9" t="str">
        <f>HYPERLINK("https://satoriz-comboire.bio/collections/fruits-et-legumes/products/lgu620","4.2")</f>
        <v>4.2</v>
      </c>
      <c r="J280" s="9" t="str">
        <f>HYPERLINK("https://www.greenweez.com/produit/panais-1/1VRAC0031","4.9")</f>
        <v>4.9</v>
      </c>
    </row>
    <row r="281" spans="1:11" x14ac:dyDescent="0.3">
      <c r="A281" t="s">
        <v>590</v>
      </c>
      <c r="B281">
        <v>888888</v>
      </c>
      <c r="D281" s="9" t="str">
        <f>HYPERLINK("https://www.biocoop.fr/patate-douce-fel4074-000-france.html","4.25")</f>
        <v>4.25</v>
      </c>
      <c r="F281" s="9" t="str">
        <f>HYPERLINK("https://www.biocoop.fr/patate-douce-fel4074-000-france.html","4.5")</f>
        <v>4.5</v>
      </c>
      <c r="H281" s="7" t="str">
        <f>HYPERLINK("https://satoriz-comboire.bio/collections/fruits-et-legumes/products/lgu631","2.5")</f>
        <v>2.5</v>
      </c>
      <c r="J281" s="9" t="str">
        <f>HYPERLINK("https://www.greenweez.com/produit/patate-douce-france-2/1VRAC0048","4.27")</f>
        <v>4.27</v>
      </c>
    </row>
    <row r="282" spans="1:11" x14ac:dyDescent="0.3">
      <c r="A282" t="s">
        <v>591</v>
      </c>
      <c r="B282" s="7" t="str">
        <f>HYPERLINK("https://lafourche.fr/products/la-fourche-poireaux-bio-origine-france-0-5kg","3.9")</f>
        <v>3.9</v>
      </c>
      <c r="D282">
        <v>888888</v>
      </c>
      <c r="F282" s="7" t="str">
        <f>HYPERLINK("https://www.biocoop.fr/poireau.html","3.9")</f>
        <v>3.9</v>
      </c>
      <c r="H282" s="9" t="str">
        <f>HYPERLINK("https://satoriz-comboire.bio/collections/fruits-et-legumes/products/lgu710","4.4")</f>
        <v>4.4</v>
      </c>
      <c r="J282" s="9" t="str">
        <f>HYPERLINK("https://www.greenweez.com/produit/poireau-france-2/1VRAC0024","3.96")</f>
        <v>3.96</v>
      </c>
    </row>
    <row r="283" spans="1:11" x14ac:dyDescent="0.3">
      <c r="A283" t="s">
        <v>592</v>
      </c>
      <c r="B283" s="9" t="str">
        <f>HYPERLINK("https://lafourche.fr/products/la-fourche-pommes-de-terre-allians-bio-origine-france-2-kg","2.2")</f>
        <v>2.2</v>
      </c>
      <c r="D283">
        <v>888888</v>
      </c>
      <c r="F283">
        <v>888888</v>
      </c>
      <c r="H283" s="7" t="str">
        <f>HYPERLINK("https://satoriz-comboire.bio/collections/fruits-et-legumes/products/lgu761","1.8")</f>
        <v>1.8</v>
      </c>
      <c r="J283" s="9" t="str">
        <f>HYPERLINK("https://www.greenweez.com/produit/pomme-de-terre-charlotte/1VRAC0032","2.5")</f>
        <v>2.5</v>
      </c>
    </row>
    <row r="285" spans="1:11" ht="18.75" customHeight="1" x14ac:dyDescent="0.35">
      <c r="A285" s="3" t="s">
        <v>593</v>
      </c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x14ac:dyDescent="0.3">
      <c r="A286" s="5" t="s">
        <v>594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3">
      <c r="A287" t="s">
        <v>595</v>
      </c>
      <c r="B287" s="7" t="str">
        <f>HYPERLINK("https://lafourche.fr/products/cosmo-naturel-shampoing-solide-cuir-chevelu-sensible-amande-douce-bio-0-085kg","73.29")</f>
        <v>73.29</v>
      </c>
      <c r="C287" s="8" t="s">
        <v>596</v>
      </c>
      <c r="D287" s="9" t="str">
        <f>HYPERLINK("https://www.biocoop.fr/shampooing-solide-amande-douce-85g-lg5128-000.html","88.24")</f>
        <v>88.24</v>
      </c>
      <c r="E287" s="8" t="s">
        <v>597</v>
      </c>
      <c r="F287" s="9" t="str">
        <f>HYPERLINK("https://www.biocoop.fr/shampooing-solide-cheveux-gras-85g-lg5104-000.html","82.24")</f>
        <v>82.24</v>
      </c>
      <c r="H287" s="9" t="str">
        <f>HYPERLINK("https://satoriz-comboire.bio/collections/soins-beaute/products/lgco6317","90.0")</f>
        <v>90.0</v>
      </c>
      <c r="I287" s="10" t="s">
        <v>598</v>
      </c>
      <c r="J287" s="9" t="str">
        <f>HYPERLINK("https://www.greenweez.com/produit/shampoing-solide-cuir-chevelu-sensible-85g/1COSM0217","76.24")</f>
        <v>76.24</v>
      </c>
      <c r="K287" s="8" t="s">
        <v>599</v>
      </c>
    </row>
    <row r="288" spans="1:11" x14ac:dyDescent="0.3">
      <c r="A288" s="5" t="s">
        <v>600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x14ac:dyDescent="0.3">
      <c r="A289" t="s">
        <v>601</v>
      </c>
      <c r="B289" s="9" t="str">
        <f>HYPERLINK("https://lafourche.fr/products/najel-savon-d-alep-40prct-huile-de-baies-de-laurier-185g-ecologique","30.54")</f>
        <v>30.54</v>
      </c>
      <c r="C289" t="s">
        <v>15</v>
      </c>
      <c r="D289" s="9" t="str">
        <f>HYPERLINK("https://www.biocoop.fr/savon-d-alep-40-nj1017-000.html","41.08")</f>
        <v>41.08</v>
      </c>
      <c r="E289" s="10" t="s">
        <v>602</v>
      </c>
      <c r="F289" s="9" t="str">
        <f>HYPERLINK("https://www.biocoop.fr/savon-d-alep-40-nj1017-000.html","41.89")</f>
        <v>41.89</v>
      </c>
      <c r="H289" s="9" t="str">
        <f>HYPERLINK("https://satoriz-comboire.bio/collections/soins-beaute/products/l30035","48.67")</f>
        <v>48.67</v>
      </c>
      <c r="I289" s="8" t="s">
        <v>603</v>
      </c>
      <c r="J289" s="7" t="str">
        <f>HYPERLINK("https://www.greenweez.com/produit/savon-dalep-traditionnel-40-200g/1LAUR0009","23.0")</f>
        <v>23.0</v>
      </c>
      <c r="K289" s="8" t="s">
        <v>604</v>
      </c>
    </row>
    <row r="290" spans="1:11" x14ac:dyDescent="0.3">
      <c r="A290" t="s">
        <v>605</v>
      </c>
      <c r="B290" s="37" t="str">
        <f>HYPERLINK("https://lafourche.fr/products/la-fourche-cube-de-marseille-600g","7.17")</f>
        <v>7.17</v>
      </c>
      <c r="D290">
        <v>888888</v>
      </c>
      <c r="F290">
        <v>888888</v>
      </c>
      <c r="H290" s="42" t="str">
        <f>HYPERLINK("https://satoriz-comboire.bio/products/lc20?_pos=6&amp;_sid=8deb37f9d&amp;_ss=r","12.4")</f>
        <v>12.4</v>
      </c>
      <c r="J290" s="42" t="str">
        <f>HYPERLINK("https://www.greenweez.com/produit/savon-de-marseille-cube-vegetal-600g/1FERA0006","12.08")</f>
        <v>12.08</v>
      </c>
    </row>
    <row r="291" spans="1:11" x14ac:dyDescent="0.3">
      <c r="A291" s="35" t="s">
        <v>606</v>
      </c>
      <c r="B291" s="36"/>
      <c r="C291" s="36"/>
      <c r="D291" s="36"/>
      <c r="E291" s="36"/>
      <c r="F291" s="36"/>
      <c r="G291" s="36"/>
      <c r="H291" s="36"/>
      <c r="I291" s="36"/>
      <c r="J291" s="36"/>
      <c r="K291" s="36"/>
    </row>
    <row r="292" spans="1:11" x14ac:dyDescent="0.3">
      <c r="A292" t="s">
        <v>607</v>
      </c>
      <c r="B292" s="37" t="str">
        <f>HYPERLINK("https://lafourche.fr/products/tadam-serviettes-dermo-sensitives-maxi-normal-18unite","0.14")</f>
        <v>0.14</v>
      </c>
      <c r="D292" s="42" t="str">
        <f>HYPERLINK("https://www.biocoop.fr/magasin-biocoop_champollion/serviettes-ultra-regular-14-bo2111-000.html","0.23")</f>
        <v>0.23</v>
      </c>
      <c r="F292" s="42" t="str">
        <f>HYPERLINK("https://www.biocoop.fr/magasin-biocoop_fontaine/serviettes-ultra-regular-14-bo2111-000.html","0.23")</f>
        <v>0.23</v>
      </c>
      <c r="H292" s="42" t="str">
        <f>HYPERLINK("https://satoriz-comboire.bio/collections/soins-beaute/products/pu627","0.24")</f>
        <v>0.24</v>
      </c>
      <c r="J292" s="42" t="str">
        <f>HYPERLINK("https://www.greenweez.com/produit/14-serviettes-normales-hypoallergeniques-0-ultra-avec-ailette/2LOVE0028","0.21")</f>
        <v>0.21</v>
      </c>
    </row>
    <row r="293" spans="1:11" x14ac:dyDescent="0.3">
      <c r="A293" t="s">
        <v>608</v>
      </c>
      <c r="B293" s="42" t="str">
        <f>HYPERLINK("https://lafourche.fr/products/tadam-serviettes-dermo-sensitives-ultra-nuit-plus-10unite","0.25")</f>
        <v>0.25</v>
      </c>
      <c r="D293">
        <v>888888</v>
      </c>
      <c r="F293">
        <v>888888</v>
      </c>
      <c r="H293" s="42" t="str">
        <f>HYPERLINK("https://satoriz-comboire.bio/collections/soins-beaute/products/pu6210","0.43")</f>
        <v>0.43</v>
      </c>
      <c r="J293" s="45" t="str">
        <f>HYPERLINK("https://www.greenweez.com/produit/serviettes-maxi-nuit-hypoallergeniques-pliees-x12/2LOVE0059","0.25")</f>
        <v>0.25</v>
      </c>
    </row>
    <row r="294" spans="1:11" x14ac:dyDescent="0.3">
      <c r="A294" t="s">
        <v>609</v>
      </c>
      <c r="B294" s="42" t="str">
        <f>HYPERLINK("https://lafourche.fr/products/tadam-protege-lingerie-dermo-sensitif-normal-24unite","0.1")</f>
        <v>0.1</v>
      </c>
      <c r="D294">
        <v>888888</v>
      </c>
      <c r="F294">
        <v>888888</v>
      </c>
      <c r="H294" s="42" t="str">
        <f>HYPERLINK("https://satoriz-comboire.bio/collections/soins-beaute/products/eu5844","0.16")</f>
        <v>0.16</v>
      </c>
      <c r="J294" s="45" t="str">
        <f>HYPERLINK("https://www.greenweez.com/produit/30-protege-slips-hypoallergeniques-0/2LOVE0027","0.10")</f>
        <v>0.10</v>
      </c>
    </row>
    <row r="295" spans="1:11" x14ac:dyDescent="0.3">
      <c r="A295" t="s">
        <v>610</v>
      </c>
      <c r="B295" s="37" t="str">
        <f>HYPERLINK("https://lafourche.fr/products/tadam-serviettes-dermo-sensitives-ultra-super-plus-12unite","0.21")</f>
        <v>0.21</v>
      </c>
      <c r="D295" s="42" t="str">
        <f>HYPERLINK("https://www.biocoop.fr/magasin-biocoop_champollion/serviettes-ultra-super-12-bo2116-000.html","0.29")</f>
        <v>0.29</v>
      </c>
      <c r="F295" s="42" t="str">
        <f>HYPERLINK("https://www.biocoop.fr/magasin-biocoop_fontaine/serviettes-ultra-super-12-bo2116-000.html","0.3")</f>
        <v>0.3</v>
      </c>
      <c r="H295" s="42" t="str">
        <f>HYPERLINK("https://satoriz-comboire.bio/collections/soins-beaute/products/pu628","0.28")</f>
        <v>0.28</v>
      </c>
      <c r="J295" s="45" t="str">
        <f>HYPERLINK("https://www.greenweez.com/produit/serviettes-hypoallergeniques-maxi-super-x14-sans-ailettes/2LOVE0070","0.23")</f>
        <v>0.23</v>
      </c>
    </row>
    <row r="296" spans="1:11" x14ac:dyDescent="0.3">
      <c r="A296" t="s">
        <v>611</v>
      </c>
      <c r="B296" s="37" t="str">
        <f>HYPERLINK("https://lafourche.fr/products/tampon-normal-avec-applicateur-x16","0.25")</f>
        <v>0.25</v>
      </c>
      <c r="D296" s="42" t="str">
        <f>HYPERLINK("https://www.biocoop.fr/magasin-biocoop_champollion/tampons-regular-avec-applicateur-16-bo2103-000.html","0.3")</f>
        <v>0.3</v>
      </c>
      <c r="F296" s="42" t="str">
        <f>HYPERLINK("https://www.biocoop.fr/magasin-biocoop_fontaine/tampons-regular-avec-applicateur-16-bo2103-000.html","0.32")</f>
        <v>0.32</v>
      </c>
      <c r="H296" s="42" t="str">
        <f>HYPERLINK("https://satoriz-comboire.bio/collections/soins-beaute/products/pu624","0.31")</f>
        <v>0.31</v>
      </c>
      <c r="J296" s="45" t="str">
        <f>HYPERLINK("https://www.greenweez.com/produit/tampons-normal-avec-applicateur-x16/1NATR0018","0.27")</f>
        <v>0.27</v>
      </c>
    </row>
    <row r="297" spans="1:11" x14ac:dyDescent="0.3">
      <c r="A297" t="s">
        <v>612</v>
      </c>
      <c r="B297" s="37" t="str">
        <f>HYPERLINK("https://lafourche.fr/products/natracare-tampon-normal-en-coton-bio-sans-applicateur-x20","0.17")</f>
        <v>0.17</v>
      </c>
      <c r="D297" s="42" t="str">
        <f>HYPERLINK("https://www.biocoop.fr/magasin-biocoop_champollion/tampons-regular-sans-applicateur-20-bo2100-000.html","0.19")</f>
        <v>0.19</v>
      </c>
      <c r="F297" s="42" t="str">
        <f>HYPERLINK("https://www.biocoop.fr/magasin-biocoop_fontaine/tampons-regular-sans-applicateur-20-bo2100-000.html","0.19")</f>
        <v>0.19</v>
      </c>
      <c r="H297" s="42" t="str">
        <f>HYPERLINK("https://satoriz-comboire.bio/collections/soins-beaute/products/pu6213","0.2")</f>
        <v>0.2</v>
      </c>
      <c r="J297" s="42" t="str">
        <f>HYPERLINK("https://www.greenweez.com/produit/tampons-normal-sans-applicateur-x20/1NATR0016","0.18")</f>
        <v>0.18</v>
      </c>
    </row>
    <row r="298" spans="1:11" x14ac:dyDescent="0.3">
      <c r="A298" t="s">
        <v>613</v>
      </c>
      <c r="B298" s="37" t="str">
        <f>HYPERLINK("https://lafourche.fr/products/tampon-super-avec-applicateur-x16","0.27")</f>
        <v>0.27</v>
      </c>
      <c r="D298">
        <v>888888</v>
      </c>
      <c r="F298">
        <v>888888</v>
      </c>
      <c r="H298" s="42" t="str">
        <f>HYPERLINK("https://satoriz-comboire.bio/collections/soins-beaute/products/eu5847","0.41")</f>
        <v>0.41</v>
      </c>
      <c r="J298" s="45" t="str">
        <f>HYPERLINK("https://www.greenweez.com/produit/tampons-super-avec-applicateur-x16/1NATR0020","0.28")</f>
        <v>0.28</v>
      </c>
    </row>
    <row r="299" spans="1:11" x14ac:dyDescent="0.3">
      <c r="A299" t="s">
        <v>614</v>
      </c>
      <c r="B299" s="37" t="str">
        <f>HYPERLINK("https://lafourche.fr/products/natracare-tampon-super-en-coton-bio-sans-applicateur-x20","0.18")</f>
        <v>0.18</v>
      </c>
      <c r="D299" s="42" t="str">
        <f>HYPERLINK("https://www.biocoop.fr/magasin-biocoop_champollion/tampon-super-20-bo2101-000.html","888888")</f>
        <v>888888</v>
      </c>
      <c r="F299" s="42" t="str">
        <f>HYPERLINK("https://www.biocoop.fr/magasin-biocoop_fontaine/tampon-super-20-bo2101-000.html","0.24")</f>
        <v>0.24</v>
      </c>
      <c r="H299" s="42" t="str">
        <f>HYPERLINK("https://satoriz-comboire.bio/collections/soins-beaute/products/eu5850","0.28")</f>
        <v>0.28</v>
      </c>
      <c r="J299" s="42" t="str">
        <f>HYPERLINK("https://www.greenweez.com/produit/tampons-super-sans-applicateur-x20/1NATR0019","0.19")</f>
        <v>0.19</v>
      </c>
    </row>
    <row r="301" spans="1:11" ht="18.75" customHeight="1" x14ac:dyDescent="0.35">
      <c r="A301" s="3" t="s">
        <v>615</v>
      </c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x14ac:dyDescent="0.3">
      <c r="A302" s="5" t="s">
        <v>616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x14ac:dyDescent="0.3">
      <c r="A303" t="s">
        <v>617</v>
      </c>
      <c r="B303" s="9" t="str">
        <f>HYPERLINK("https://lafourche.fr/products/la-fourche-vinaigre-blanc-12-5l","1.8")</f>
        <v>1.8</v>
      </c>
      <c r="C303" t="s">
        <v>15</v>
      </c>
      <c r="D303" s="9" t="str">
        <f>HYPERLINK("https://www.biocoop.fr/vinaigre-d-alcool-8-se4010-000.html","2.15")</f>
        <v>2.15</v>
      </c>
      <c r="E303" t="s">
        <v>15</v>
      </c>
      <c r="F303" s="9" t="str">
        <f>HYPERLINK("https://www.biocoop.fr/vinaigre-d-alcool-8-se4010-000.html","2.15")</f>
        <v>2.15</v>
      </c>
      <c r="H303" s="7" t="str">
        <f>HYPERLINK("https://satoriz-comboire.bio/collections/maison/products/cb4405","1.59")</f>
        <v>1.59</v>
      </c>
      <c r="I303" s="10" t="s">
        <v>618</v>
      </c>
      <c r="J303" s="45" t="str">
        <f>HYPERLINK("https://www.greenweez.com/produit/vinaigre-blanc-9-5deg-5l/2WEEZ0344","1.79")</f>
        <v>1.79</v>
      </c>
      <c r="K303" s="11" t="s">
        <v>99</v>
      </c>
    </row>
    <row r="304" spans="1:11" x14ac:dyDescent="0.3">
      <c r="A304" t="s">
        <v>619</v>
      </c>
      <c r="B304" s="9" t="str">
        <f>HYPERLINK("https://lafourche.fr/products/bicarbonate-la-fourche-2kg","3.4")</f>
        <v>3.4</v>
      </c>
      <c r="C304" s="10" t="s">
        <v>620</v>
      </c>
      <c r="D304" s="9" t="str">
        <f>HYPERLINK("https://www.biocoop.fr/bicarbonate-de-soude-se4001-000.html","4.9")</f>
        <v>4.9</v>
      </c>
      <c r="E304" t="s">
        <v>15</v>
      </c>
      <c r="F304" s="9" t="str">
        <f>HYPERLINK("https://www.biocoop.fr/bicarbonate-soude-se4066-000.html","3.1")</f>
        <v>3.1</v>
      </c>
      <c r="H304" s="7" t="str">
        <f>HYPERLINK("https://satoriz-comboire.bio/collections/maison/products/ls2","2.6")</f>
        <v>2.6</v>
      </c>
      <c r="I304" s="10" t="s">
        <v>621</v>
      </c>
      <c r="J304" s="9" t="str">
        <f>HYPERLINK("https://www.greenweez.com/produit/bicarbonate-de-soude-technique-2-5kg/2ECOD0552","3.21")</f>
        <v>3.21</v>
      </c>
      <c r="K304" s="8" t="s">
        <v>622</v>
      </c>
    </row>
    <row r="305" spans="1:12" x14ac:dyDescent="0.3">
      <c r="A305" t="s">
        <v>623</v>
      </c>
      <c r="B305" s="9" t="str">
        <f>HYPERLINK("https://lafourche.fr/products/cristaux-de-soude-la-fourche-1kg","4.1")</f>
        <v>4.1</v>
      </c>
      <c r="C305" t="s">
        <v>15</v>
      </c>
      <c r="D305" s="9" t="str">
        <f>HYPERLINK("https://www.biocoop.fr/soude-en-cristaux-500g-se4005-000.html","5.8")</f>
        <v>5.8</v>
      </c>
      <c r="E305" t="s">
        <v>15</v>
      </c>
      <c r="F305" s="9" t="str">
        <f>HYPERLINK("https://www.biocoop.fr/soude-en-cristaux-500g-se4005-000.html","6.2")</f>
        <v>6.2</v>
      </c>
      <c r="H305" s="9" t="str">
        <f>HYPERLINK("https://satoriz-comboire.bio/collections/maison/products/eu7667","6.3")</f>
        <v>6.3</v>
      </c>
      <c r="I305" s="8" t="s">
        <v>624</v>
      </c>
      <c r="J305" s="7" t="str">
        <f>HYPERLINK("https://www.greenweez.com/produit/lot-de-2-soude-en-cristaux-1kg/1PACK1039","3.81")</f>
        <v>3.81</v>
      </c>
      <c r="K305" s="8" t="s">
        <v>625</v>
      </c>
    </row>
    <row r="306" spans="1:12" x14ac:dyDescent="0.3">
      <c r="A306" t="s">
        <v>626</v>
      </c>
      <c r="B306" s="7" t="str">
        <f>HYPERLINK("https://lafourche.fr/products/percarbonate-2kg-la-fourche","4.64")</f>
        <v>4.64</v>
      </c>
      <c r="C306" s="10" t="s">
        <v>627</v>
      </c>
      <c r="D306" s="9" t="str">
        <f>HYPERLINK("https://www.biocoop.fr/percarbonate-de-soude-1kg-se4004-000.html","6.15")</f>
        <v>6.15</v>
      </c>
      <c r="E306" t="s">
        <v>15</v>
      </c>
      <c r="F306" s="9" t="str">
        <f>HYPERLINK("https://www.biocoop.fr/percarbonate-de-soude-1kg-se4004-000.html","5.99")</f>
        <v>5.99</v>
      </c>
      <c r="H306" s="9" t="str">
        <f>HYPERLINK("https://satoriz-comboire.bio/collections/maison/products/eco014","5.6")</f>
        <v>5.6</v>
      </c>
      <c r="I306" s="8" t="s">
        <v>628</v>
      </c>
      <c r="J306" s="9" t="str">
        <f>HYPERLINK("https://www.greenweez.com/produit/percarbonate-de-soude-1kg-2/2WEEZ0347","5.48")</f>
        <v>5.48</v>
      </c>
      <c r="K306" t="s">
        <v>15</v>
      </c>
    </row>
    <row r="307" spans="1:12" x14ac:dyDescent="0.3">
      <c r="A307" t="s">
        <v>629</v>
      </c>
      <c r="B307" s="7" t="str">
        <f>HYPERLINK("https://lafourche.fr/products/artisan-savonnier-blanc-de-meudon-500g","5.7")</f>
        <v>5.7</v>
      </c>
      <c r="C307" s="8" t="s">
        <v>630</v>
      </c>
      <c r="D307" s="9" t="str">
        <f>HYPERLINK("https://www.biocoop.fr/blanc-de-meudon-500g-se4075-000.html","7.4")</f>
        <v>7.4</v>
      </c>
      <c r="E307" s="8" t="s">
        <v>631</v>
      </c>
      <c r="F307" s="9" t="str">
        <f>HYPERLINK("https://www.biocoop.fr/blanc-de-meudon-500g-se4075-000.html","7.7")</f>
        <v>7.7</v>
      </c>
      <c r="H307" s="9" t="str">
        <f>HYPERLINK("https://satoriz-comboire.bio/collections/maison/products/ecod008","7.3")</f>
        <v>7.3</v>
      </c>
      <c r="I307" s="10" t="s">
        <v>632</v>
      </c>
      <c r="J307" s="9" t="str">
        <f>HYPERLINK("https://www.greenweez.com/produit/blanc-de-meudon-diy-500g/1ARTI0062","6.58")</f>
        <v>6.58</v>
      </c>
      <c r="K307" s="8" t="s">
        <v>633</v>
      </c>
    </row>
    <row r="308" spans="1:12" x14ac:dyDescent="0.3">
      <c r="A308" t="s">
        <v>634</v>
      </c>
      <c r="B308" s="9" t="str">
        <f>HYPERLINK("https://lafourche.fr/products/etamine-du-lys-savon-noir-5l","5.86")</f>
        <v>5.86</v>
      </c>
      <c r="C308" s="8" t="s">
        <v>635</v>
      </c>
      <c r="D308" s="9" t="str">
        <f>HYPERLINK("https://www.biocoop.fr/savon-noir-liquide-olive-se4041-000.html","9.05")</f>
        <v>9.05</v>
      </c>
      <c r="E308" t="s">
        <v>15</v>
      </c>
      <c r="F308" s="9" t="str">
        <f>HYPERLINK("https://www.biocoop.fr/savon-noir-liquide-olive-se4041-000.html","9.55")</f>
        <v>9.55</v>
      </c>
      <c r="H308" s="9" t="str">
        <f>HYPERLINK("https://satoriz-comboire.bio/collections/maison/products/eu9721","5.55")</f>
        <v>5.55</v>
      </c>
      <c r="I308" s="8" t="s">
        <v>636</v>
      </c>
      <c r="J308" s="7" t="str">
        <f>HYPERLINK("https://www.greenweez.com/produit/savon-noir-maison-5l-1/2WEEZ0042","4.58")</f>
        <v>4.58</v>
      </c>
      <c r="K308" t="s">
        <v>15</v>
      </c>
    </row>
    <row r="309" spans="1:12" x14ac:dyDescent="0.3">
      <c r="A309" t="s">
        <v>637</v>
      </c>
      <c r="B309" s="7" t="str">
        <f>HYPERLINK("https://lafourche.fr/products/acide-citrique-la-fourche-1kg","7.45")</f>
        <v>7.45</v>
      </c>
      <c r="C309" s="10" t="s">
        <v>638</v>
      </c>
      <c r="D309" s="9" t="str">
        <f>HYPERLINK("https://www.biocoop.fr/acide-citrique-1kg-se4000-000.html","10.55")</f>
        <v>10.55</v>
      </c>
      <c r="E309" t="s">
        <v>15</v>
      </c>
      <c r="F309" s="9" t="str">
        <f>HYPERLINK("https://www.biocoop.fr/acide-citrique-1kg-se4000-000.html","9.65")</f>
        <v>9.65</v>
      </c>
      <c r="H309" s="9" t="str">
        <f>HYPERLINK("https://satoriz-comboire.bio/collections/maison/products/eco012","8.05")</f>
        <v>8.05</v>
      </c>
      <c r="I309" s="10" t="s">
        <v>639</v>
      </c>
      <c r="J309" s="9" t="str">
        <f>HYPERLINK("https://www.greenweez.com/produit/lot-de-2-acide-citrique-1kg/1PACK0470","8.96")</f>
        <v>8.96</v>
      </c>
      <c r="K309" s="8" t="s">
        <v>640</v>
      </c>
    </row>
    <row r="310" spans="1:12" x14ac:dyDescent="0.3">
      <c r="A310" t="s">
        <v>641</v>
      </c>
      <c r="B310" s="9" t="str">
        <f>HYPERLINK("https://lafourche.fr/products/la-fourche-mon-savon-de-marseille-en-copeaux-1kg","9.95")</f>
        <v>9.95</v>
      </c>
      <c r="C310" t="s">
        <v>15</v>
      </c>
      <c r="D310" s="9" t="str">
        <f>HYPERLINK("https://www.biocoop.fr/paillettes-de-savon-1kg-se4009-000.html","12.25")</f>
        <v>12.25</v>
      </c>
      <c r="E310" s="8" t="s">
        <v>642</v>
      </c>
      <c r="F310" s="9" t="str">
        <f>HYPERLINK("https://www.biocoop.fr/paillettes-de-savon-1kg-se4009-000.html","10.6")</f>
        <v>10.6</v>
      </c>
      <c r="H310" s="9" t="str">
        <f>HYPERLINK("https://satoriz-comboire.bio/collections/maison/products/sle8163","12.85")</f>
        <v>12.85</v>
      </c>
      <c r="I310" s="8" t="s">
        <v>191</v>
      </c>
      <c r="J310" s="7" t="str">
        <f>HYPERLINK("https://www.greenweez.com/produit/lot-de-2-paillettes-de-savon-bio-1kg/1PACK1072","9.69")</f>
        <v>9.69</v>
      </c>
      <c r="K310" t="s">
        <v>15</v>
      </c>
    </row>
    <row r="311" spans="1:12" x14ac:dyDescent="0.3">
      <c r="A311" s="5" t="s">
        <v>643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2" x14ac:dyDescent="0.3">
      <c r="A312" t="s">
        <v>644</v>
      </c>
      <c r="B312" s="7" t="str">
        <f>HYPERLINK("https://lafourche.fr/products/la-fourche-lessive-liquide-5l","2.6")</f>
        <v>2.6</v>
      </c>
      <c r="C312" t="s">
        <v>15</v>
      </c>
      <c r="D312" s="9" t="str">
        <f>HYPERLINK("https://www.biocoop.fr/lessive-liquide-lavande-lg1104-000.html","4.25")</f>
        <v>4.25</v>
      </c>
      <c r="E312" t="s">
        <v>15</v>
      </c>
      <c r="F312" s="9" t="str">
        <f>HYPERLINK("https://www.biocoop.fr/lessive-liquide-lavande-lg1103-000.html","4.99")</f>
        <v>4.99</v>
      </c>
      <c r="H312" s="9" t="str">
        <f>HYPERLINK("https://satoriz-comboire.bio/collections/maison/products/lgase3606","3.63")</f>
        <v>3.63</v>
      </c>
      <c r="I312" s="8" t="s">
        <v>645</v>
      </c>
      <c r="J312" s="9" t="str">
        <f>HYPERLINK("https://www.greenweez.com/produit/lessive-ecologique-savon-de-marseille-250g/1WRAP0007","2.99")</f>
        <v>2.99</v>
      </c>
      <c r="K312" t="s">
        <v>15</v>
      </c>
    </row>
    <row r="313" spans="1:12" x14ac:dyDescent="0.3">
      <c r="A313" t="s">
        <v>646</v>
      </c>
      <c r="B313" s="7" t="str">
        <f>HYPERLINK("https://lafourche.fr/products/la-fourche-lessive-en-poudre-blanc-et-couleurs-certifiee-ecodetergent-1kg","7.35")</f>
        <v>7.35</v>
      </c>
      <c r="D313" s="9" t="str">
        <f>HYPERLINK("https://www.biocoop.fr/lessive-poudre-ultra-concentree-800g-se4057-000.html","12.44")</f>
        <v>12.44</v>
      </c>
      <c r="F313" s="9" t="str">
        <f>HYPERLINK("https://www.biocoop.fr/lessive-poudre-ultra-concentree-800g-se4057-000.html","12.69")</f>
        <v>12.69</v>
      </c>
      <c r="H313" s="9" t="str">
        <f>HYPERLINK("https://satoriz-comboire.bio/products/ecdo430?_pos=1&amp;_sid=1e5552213&amp;_ss=r","11.0")</f>
        <v>11.0</v>
      </c>
      <c r="J313" s="9" t="str">
        <f>HYPERLINK("https://www.greenweez.com/produit/4-mois-de-lessive-en-poudre-ecologique-1kg/2WEEZ0229","888888")</f>
        <v>888888</v>
      </c>
    </row>
    <row r="314" spans="1:12" x14ac:dyDescent="0.3">
      <c r="A314" t="s">
        <v>647</v>
      </c>
      <c r="B314" s="7" t="str">
        <f>HYPERLINK("https://lafourche.fr/products/lartisan-savonnier-assouplissant-concentre-a-la-lavande-bio-5l","2.8")</f>
        <v>2.8</v>
      </c>
      <c r="C314" s="8" t="s">
        <v>648</v>
      </c>
      <c r="D314" s="9" t="str">
        <f>HYPERLINK("https://www.biocoop.fr/assouplissant-lavande-lg1030-000.html","3.9")</f>
        <v>3.9</v>
      </c>
      <c r="E314" s="8" t="s">
        <v>649</v>
      </c>
      <c r="F314" s="9" t="str">
        <f>HYPERLINK("https://www.biocoop.fr/assouplissant-lavande-lg1030-000.html","3.9")</f>
        <v>3.9</v>
      </c>
      <c r="H314" s="9" t="str">
        <f>HYPERLINK("https://satoriz-comboire.bio/collections/maison/products/lgase3619","3.37")</f>
        <v>3.37</v>
      </c>
      <c r="I314" s="8" t="s">
        <v>650</v>
      </c>
      <c r="J314" s="9" t="str">
        <f>HYPERLINK("https://www.greenweez.com/produit/assouplissant-concentre-lavande-1-5l/1LERU0042","3.47")</f>
        <v>3.47</v>
      </c>
      <c r="K314" s="8" t="s">
        <v>651</v>
      </c>
    </row>
    <row r="315" spans="1:12" x14ac:dyDescent="0.3">
      <c r="A315" s="5" t="s">
        <v>652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2" x14ac:dyDescent="0.3">
      <c r="A316" t="s">
        <v>653</v>
      </c>
      <c r="B316" s="7" t="str">
        <f>HYPERLINK("https://lafourche.fr/products/la-fourche-liquide-vaisselle-certifie-ecodetergent-5l","1.98")</f>
        <v>1.98</v>
      </c>
      <c r="C316" t="s">
        <v>15</v>
      </c>
      <c r="D316" s="9" t="str">
        <f>HYPERLINK("https://www.biocoop.fr/liquide-vaisselle-citron-lg1002-000.html","2.75")</f>
        <v>2.75</v>
      </c>
      <c r="E316" t="s">
        <v>15</v>
      </c>
      <c r="F316" s="9" t="str">
        <f>HYPERLINK("https://www.biocoop.fr/vaisselle-liquide-sans-parfum-1l-lg1122-000.html","3.2")</f>
        <v>3.2</v>
      </c>
      <c r="H316" s="9" t="str">
        <f>HYPERLINK("https://satoriz-comboire.bio/collections/maison/products/lgase3608","2.75")</f>
        <v>2.75</v>
      </c>
      <c r="I316" s="8" t="s">
        <v>529</v>
      </c>
      <c r="J316" s="9" t="str">
        <f>HYPERLINK("https://www.greenweez.com/produit/liquide-vaisselle-citron-ecologique-5l/2WEEZ0511","2.58")</f>
        <v>2.58</v>
      </c>
      <c r="K316" t="s">
        <v>15</v>
      </c>
    </row>
    <row r="317" spans="1:12" x14ac:dyDescent="0.3">
      <c r="A317" t="s">
        <v>654</v>
      </c>
      <c r="B317" s="9" t="str">
        <f>HYPERLINK("https://lafourche.fr/products/la-fourche-savon-vaisselle-200g","11.25")</f>
        <v>11.25</v>
      </c>
      <c r="C317" t="s">
        <v>15</v>
      </c>
      <c r="D317" s="7" t="str">
        <f>HYPERLINK("https://www.biocoop.fr/savon-solide-vaisselle-aloe-vera-200g-cm0103-000.html","3.99")</f>
        <v>3.99</v>
      </c>
      <c r="E317" s="10" t="s">
        <v>80</v>
      </c>
      <c r="F317" s="9" t="str">
        <f>HYPERLINK("https://www.biocoop.fr/savon-solide-vaisselle-aloe-vera-200g-cm0103-000.html","4.15")</f>
        <v>4.15</v>
      </c>
      <c r="H317" s="9" t="str">
        <f>HYPERLINK("https://satoriz-comboire.bio/collections/maison/products/lc6","18.75")</f>
        <v>18.75</v>
      </c>
      <c r="I317" s="10" t="s">
        <v>317</v>
      </c>
      <c r="J317" s="9" t="str">
        <f>HYPERLINK("https://www.greenweez.com/produit/savon-vaisselle-ecologique-solide-romarin-200g/1WRAP0009","24.63")</f>
        <v>24.63</v>
      </c>
      <c r="K317" s="10" t="s">
        <v>655</v>
      </c>
    </row>
    <row r="320" spans="1:12" x14ac:dyDescent="0.3">
      <c r="A320" t="s">
        <v>656</v>
      </c>
      <c r="B320" t="e">
        <f>SUMPRODUCT($L5:$L319*B5:B319)</f>
        <v>#VALUE!</v>
      </c>
      <c r="D320" t="e">
        <f>SUMPRODUCT($L5:$L319*D5:D319)</f>
        <v>#VALUE!</v>
      </c>
      <c r="F320" t="e">
        <f>SUMPRODUCT($L5:$L319*F5:F319)</f>
        <v>#VALUE!</v>
      </c>
      <c r="H320" t="e">
        <f>SUMPRODUCT($L5:$L319*H5:H319)</f>
        <v>#VALUE!</v>
      </c>
      <c r="J320" t="e">
        <f>SUMPRODUCT($L5:$L319*J5:J319)</f>
        <v>#VALUE!</v>
      </c>
      <c r="L320" s="43">
        <f>SUM(L5:L318)</f>
        <v>22.86999999999999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>
      <selection activeCell="A6" sqref="A6"/>
    </sheetView>
  </sheetViews>
  <sheetFormatPr baseColWidth="10" defaultColWidth="8.88671875" defaultRowHeight="14.4" x14ac:dyDescent="0.3"/>
  <sheetData>
    <row r="1" spans="1:2" ht="15.75" customHeight="1" thickBot="1" x14ac:dyDescent="0.35">
      <c r="A1" s="1" t="s">
        <v>657</v>
      </c>
      <c r="B1" s="2" t="s">
        <v>658</v>
      </c>
    </row>
    <row r="2" spans="1:2" ht="15.75" customHeight="1" thickBot="1" x14ac:dyDescent="0.35">
      <c r="A2" s="1" t="s">
        <v>659</v>
      </c>
      <c r="B2" s="2" t="s">
        <v>658</v>
      </c>
    </row>
    <row r="3" spans="1:2" ht="15.75" customHeight="1" thickBot="1" x14ac:dyDescent="0.35">
      <c r="A3" s="1" t="s">
        <v>660</v>
      </c>
      <c r="B3" s="2" t="s">
        <v>661</v>
      </c>
    </row>
    <row r="4" spans="1:2" ht="15.75" customHeight="1" thickBot="1" x14ac:dyDescent="0.35">
      <c r="A4" s="1" t="s">
        <v>662</v>
      </c>
      <c r="B4" s="2" t="s">
        <v>658</v>
      </c>
    </row>
    <row r="5" spans="1:2" ht="15.75" customHeight="1" thickBot="1" x14ac:dyDescent="0.35">
      <c r="A5" s="1" t="s">
        <v>663</v>
      </c>
      <c r="B5" s="2" t="s">
        <v>664</v>
      </c>
    </row>
    <row r="6" spans="1:2" ht="15.75" customHeight="1" thickBot="1" x14ac:dyDescent="0.35">
      <c r="A6" s="1" t="s">
        <v>665</v>
      </c>
      <c r="B6" s="2" t="s">
        <v>666</v>
      </c>
    </row>
    <row r="7" spans="1:2" ht="15.75" customHeight="1" thickBot="1" x14ac:dyDescent="0.35">
      <c r="A7" s="1" t="s">
        <v>667</v>
      </c>
      <c r="B7" s="2" t="s">
        <v>664</v>
      </c>
    </row>
    <row r="8" spans="1:2" ht="27" customHeight="1" thickBot="1" x14ac:dyDescent="0.35">
      <c r="A8" s="1" t="s">
        <v>668</v>
      </c>
      <c r="B8" s="2" t="s">
        <v>669</v>
      </c>
    </row>
    <row r="9" spans="1:2" ht="15.75" customHeight="1" thickBot="1" x14ac:dyDescent="0.35">
      <c r="A9" s="1" t="s">
        <v>670</v>
      </c>
      <c r="B9" s="2" t="s">
        <v>658</v>
      </c>
    </row>
    <row r="10" spans="1:2" ht="15.75" customHeight="1" thickBot="1" x14ac:dyDescent="0.35">
      <c r="A10" s="1" t="s">
        <v>671</v>
      </c>
      <c r="B10" s="2" t="s">
        <v>672</v>
      </c>
    </row>
    <row r="11" spans="1:2" ht="15.75" customHeight="1" thickBot="1" x14ac:dyDescent="0.35">
      <c r="A11" s="1" t="s">
        <v>673</v>
      </c>
      <c r="B11" s="2" t="s">
        <v>664</v>
      </c>
    </row>
    <row r="12" spans="1:2" ht="15.75" customHeight="1" thickBot="1" x14ac:dyDescent="0.35">
      <c r="A12" s="1" t="s">
        <v>674</v>
      </c>
      <c r="B12" s="2" t="s">
        <v>675</v>
      </c>
    </row>
    <row r="13" spans="1:2" ht="15.75" customHeight="1" thickBot="1" x14ac:dyDescent="0.35">
      <c r="A13" s="1" t="s">
        <v>676</v>
      </c>
      <c r="B13" s="2" t="s">
        <v>677</v>
      </c>
    </row>
    <row r="14" spans="1:2" ht="27" customHeight="1" thickBot="1" x14ac:dyDescent="0.35">
      <c r="A14" s="1" t="s">
        <v>678</v>
      </c>
      <c r="B14" s="2" t="s">
        <v>669</v>
      </c>
    </row>
    <row r="15" spans="1:2" ht="15.75" customHeight="1" thickBot="1" x14ac:dyDescent="0.35">
      <c r="A15" s="1" t="s">
        <v>679</v>
      </c>
      <c r="B15" s="2" t="s">
        <v>658</v>
      </c>
    </row>
    <row r="16" spans="1:2" ht="15.75" customHeight="1" thickBot="1" x14ac:dyDescent="0.35">
      <c r="A16" s="1" t="s">
        <v>680</v>
      </c>
      <c r="B16" s="2" t="s">
        <v>658</v>
      </c>
    </row>
    <row r="17" spans="1:2" ht="15.75" customHeight="1" thickBot="1" x14ac:dyDescent="0.35">
      <c r="A17" s="1" t="s">
        <v>681</v>
      </c>
      <c r="B17" s="2" t="s">
        <v>658</v>
      </c>
    </row>
    <row r="18" spans="1:2" ht="27" customHeight="1" thickBot="1" x14ac:dyDescent="0.35">
      <c r="A18" s="1" t="s">
        <v>682</v>
      </c>
      <c r="B18" s="2" t="s">
        <v>683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6"/>
  <sheetViews>
    <sheetView topLeftCell="A238" workbookViewId="0">
      <selection activeCell="J249" sqref="J249"/>
    </sheetView>
  </sheetViews>
  <sheetFormatPr baseColWidth="10" defaultColWidth="8.88671875" defaultRowHeight="14.4" x14ac:dyDescent="0.3"/>
  <cols>
    <col min="1" max="1" width="28.5546875" style="44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2" ht="18.75" customHeight="1" x14ac:dyDescent="0.35">
      <c r="A3" s="3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2" x14ac:dyDescent="0.3">
      <c r="A4" s="5" t="s">
        <v>12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2" x14ac:dyDescent="0.3">
      <c r="A5" t="s">
        <v>13</v>
      </c>
      <c r="B5" s="7" t="str">
        <f>HYPERLINK("https://lafourche.fr/products/la-fourche-boisson-avoine-bio-1l","1.59")</f>
        <v>1.59</v>
      </c>
      <c r="C5" s="8" t="s">
        <v>14</v>
      </c>
      <c r="D5" s="9" t="str">
        <f>HYPERLINK("https://www.biocoop.fr/boisson-avoine-naturel-1l-tb0026-000.html","2.21")</f>
        <v>2.21</v>
      </c>
      <c r="E5" t="s">
        <v>15</v>
      </c>
      <c r="F5" s="9" t="str">
        <f>HYPERLINK("https://www.biocoop.fr/boisson-avoine-naturel-1l-tb0026-000.html","2.15")</f>
        <v>2.15</v>
      </c>
      <c r="H5" s="9" t="str">
        <f>HYPERLINK("https://satoriz-comboire.bio/collections/boissons-sans-alcools/sous-famille-boissons-vegetales_boissons-avoine","1.65")</f>
        <v>1.65</v>
      </c>
      <c r="I5" t="s">
        <v>15</v>
      </c>
      <c r="J5" s="9" t="str">
        <f>HYPERLINK("https://www.greenweez.com/produit/boisson-vegetale-avoine-sans-sucres-1l/3EVER0147","1.69")</f>
        <v>1.69</v>
      </c>
      <c r="K5" t="s">
        <v>15</v>
      </c>
      <c r="L5">
        <v>2</v>
      </c>
    </row>
    <row r="6" spans="1:12" x14ac:dyDescent="0.3">
      <c r="A6" t="s">
        <v>16</v>
      </c>
      <c r="B6" s="7" t="str">
        <f>HYPERLINK("https://lafourche.fr/products/la-fourche-boisson-riz-bio-1l","1.54")</f>
        <v>1.54</v>
      </c>
      <c r="C6" t="s">
        <v>15</v>
      </c>
      <c r="D6" s="9" t="str">
        <f>HYPERLINK("https://www.biocoop.fr/boisson-de-riz-naturel-1l-tb0036-000.html","1.85")</f>
        <v>1.85</v>
      </c>
      <c r="E6" t="s">
        <v>15</v>
      </c>
      <c r="F6" s="9" t="str">
        <f>HYPERLINK("https://www.biocoop.fr/boisson-riz-nature-1l-tb0038-000.html","1.85")</f>
        <v>1.85</v>
      </c>
      <c r="H6" s="9" t="str">
        <f>HYPERLINK("https://satoriz-comboire.bio/collections/boissons-sans-alcools/products/in1","1.55")</f>
        <v>1.55</v>
      </c>
      <c r="I6" t="s">
        <v>15</v>
      </c>
      <c r="J6" s="9" t="str">
        <f>HYPERLINK("https://www.greenweez.com/produit/lot-de-6-boissons-vegetales-riz-sans-sucre-1l/1PACK3637","1.57")</f>
        <v>1.57</v>
      </c>
      <c r="K6" t="s">
        <v>15</v>
      </c>
      <c r="L6">
        <v>2</v>
      </c>
    </row>
    <row r="7" spans="1:12" x14ac:dyDescent="0.3">
      <c r="A7" t="s">
        <v>17</v>
      </c>
      <c r="B7" s="9" t="str">
        <f>HYPERLINK("https://lafourche.fr/products/la-fourche-boisson-a-lamande-intense-bio-1l","2.75")</f>
        <v>2.75</v>
      </c>
      <c r="C7" t="s">
        <v>15</v>
      </c>
      <c r="D7" s="9" t="str">
        <f>HYPERLINK("https://www.biocoop.fr/boisson-de-riz-amande-1l-tb0028-000.html","2.55")</f>
        <v>2.55</v>
      </c>
      <c r="E7" t="s">
        <v>15</v>
      </c>
      <c r="F7" s="9" t="str">
        <f>HYPERLINK("https://www.biocoop.fr/boisson-amande-intense-1l-hm1044-000.html","2.85")</f>
        <v>2.85</v>
      </c>
      <c r="H7" s="9" t="str">
        <f>HYPERLINK("https://satoriz-comboire.bio/collections/boissons-sans-alcools/products/lbt235","2.95")</f>
        <v>2.95</v>
      </c>
      <c r="I7" t="s">
        <v>15</v>
      </c>
      <c r="J7" s="7" t="str">
        <f>HYPERLINK("https://www.greenweez.com/produit/lot-de-6-boissons-vegetales-amande-sans-sucre-1l/1PACK3639","1.93")</f>
        <v>1.93</v>
      </c>
      <c r="K7" t="s">
        <v>15</v>
      </c>
    </row>
    <row r="8" spans="1:12" x14ac:dyDescent="0.3">
      <c r="A8" t="s">
        <v>18</v>
      </c>
      <c r="B8" s="7" t="str">
        <f>HYPERLINK("https://lafourche.fr/products/la-fourche-boisson-soja-bio-1l","1.29")</f>
        <v>1.29</v>
      </c>
      <c r="C8" t="s">
        <v>15</v>
      </c>
      <c r="D8" s="9" t="str">
        <f>HYPERLINK("https://www.biocoop.fr/boissons/boissons-vegetales.html","1.85")</f>
        <v>1.85</v>
      </c>
      <c r="E8" s="10" t="s">
        <v>19</v>
      </c>
      <c r="F8" s="9" t="str">
        <f>HYPERLINK("https://www.biocoop.fr/boisson-soja-nature-1l-sy1723-000.html","2.5")</f>
        <v>2.5</v>
      </c>
      <c r="H8" s="9" t="str">
        <f>HYPERLINK("https://satoriz-comboire.bio/collections/boissons-sans-alcools/products/re42896","1.45")</f>
        <v>1.45</v>
      </c>
      <c r="I8" t="s">
        <v>15</v>
      </c>
      <c r="J8" s="9" t="str">
        <f>HYPERLINK("https://www.greenweez.com/produit/boisson-vegetale-soja-nature-1l/1BTER0574","1.99")</f>
        <v>1.99</v>
      </c>
      <c r="K8" s="8" t="s">
        <v>20</v>
      </c>
    </row>
    <row r="9" spans="1:12" x14ac:dyDescent="0.3">
      <c r="A9" s="5" t="s">
        <v>21</v>
      </c>
      <c r="B9" s="6"/>
      <c r="C9" s="6"/>
      <c r="D9" s="6"/>
      <c r="E9" s="6"/>
      <c r="F9" s="6"/>
      <c r="G9" s="6"/>
      <c r="H9" s="6"/>
      <c r="I9" s="6"/>
      <c r="J9" s="6"/>
      <c r="K9" s="6"/>
    </row>
    <row r="10" spans="1:12" x14ac:dyDescent="0.3">
      <c r="A10" t="s">
        <v>22</v>
      </c>
      <c r="B10" s="9" t="str">
        <f>HYPERLINK("https://lafourche.fr/products/pur-jus-de-pomme","2.65")</f>
        <v>2.65</v>
      </c>
      <c r="C10" s="8" t="s">
        <v>23</v>
      </c>
      <c r="D10" s="9" t="str">
        <f>HYPERLINK("https://www.biocoop.fr/jus-de-pomme-tetra-1l-ls4001-000.html","2.72")</f>
        <v>2.72</v>
      </c>
      <c r="E10" s="8" t="s">
        <v>24</v>
      </c>
      <c r="F10" s="7" t="str">
        <f>HYPERLINK("https://www.biocoop.fr/jus-de-pomme-tetra-1l-ls4001-000.html","2.55")</f>
        <v>2.55</v>
      </c>
      <c r="H10" s="9" t="str">
        <f>HYPERLINK("https://satoriz-comboire.bio/collections/boissons-sans-alcools/products/vt4310292","2.9")</f>
        <v>2.9</v>
      </c>
      <c r="I10" s="8" t="s">
        <v>25</v>
      </c>
      <c r="J10" s="9" t="str">
        <f>HYPERLINK("https://www.greenweez.com/produit/lot-de-3-jus-de-pomme-bio-1l/1PACK3598","2.66")</f>
        <v>2.66</v>
      </c>
      <c r="K10" t="s">
        <v>15</v>
      </c>
      <c r="L10">
        <v>2</v>
      </c>
    </row>
    <row r="11" spans="1:12" x14ac:dyDescent="0.3">
      <c r="A11" t="s">
        <v>26</v>
      </c>
      <c r="B11" s="9" t="str">
        <f>HYPERLINK("https://lafourche.fr/products/pur-jus-dorange","3.99")</f>
        <v>3.99</v>
      </c>
      <c r="C11" s="8" t="s">
        <v>27</v>
      </c>
      <c r="D11" s="9" t="str">
        <f>HYPERLINK("https://www.biocoop.fr/jus-orange-tetra-2l-em1007-000.html","3.4")</f>
        <v>3.4</v>
      </c>
      <c r="E11" s="8" t="s">
        <v>28</v>
      </c>
      <c r="F11" s="9" t="str">
        <f>HYPERLINK("https://www.biocoop.fr/jus-orange-tetra-2l-em1007-000.html","3.4")</f>
        <v>3.4</v>
      </c>
      <c r="H11" s="9" t="str">
        <f>HYPERLINK("https://satoriz-comboire.bio/collections/boissons-sans-alcools/products/re39815","3.4")</f>
        <v>3.4</v>
      </c>
      <c r="I11" s="10" t="s">
        <v>29</v>
      </c>
      <c r="J11" s="7" t="str">
        <f>HYPERLINK("https://www.greenweez.com/produit/lot-de-3-jus-dorange-bio-1l/1PACK3600","2.92")</f>
        <v>2.92</v>
      </c>
      <c r="K11" t="s">
        <v>15</v>
      </c>
      <c r="L11">
        <v>2</v>
      </c>
    </row>
    <row r="12" spans="1:12" x14ac:dyDescent="0.3">
      <c r="A12" t="s">
        <v>30</v>
      </c>
      <c r="B12" s="9" t="str">
        <f>HYPERLINK("https://lafourche.fr/products/vitamont-cocktail-kids-junior-bio-1l","3.36")</f>
        <v>3.36</v>
      </c>
      <c r="C12" s="8" t="s">
        <v>31</v>
      </c>
      <c r="D12" s="9" t="str">
        <f>HYPERLINK("https://www.biocoop.fr/jus-d-orange-mandarine-raisin-1l-ls4004-000.html","3.7")</f>
        <v>3.7</v>
      </c>
      <c r="E12" s="8" t="s">
        <v>32</v>
      </c>
      <c r="F12" s="9" t="str">
        <f>HYPERLINK("https://www.biocoop.fr/cocktail-5-fruits-1l-vt4728-000.html","4.4")</f>
        <v>4.4</v>
      </c>
      <c r="H12" s="9" t="str">
        <f>HYPERLINK("https://satoriz-comboire.bio/collections/boissons-sans-alcools/products/re39816","3.6")</f>
        <v>3.6</v>
      </c>
      <c r="I12" s="8" t="s">
        <v>33</v>
      </c>
      <c r="J12" s="7" t="str">
        <f>HYPERLINK("https://www.greenweez.com/produit/lot-de-3-jus-multifruits-bio-1l/1PACK3599","3.26")</f>
        <v>3.26</v>
      </c>
      <c r="K12" t="s">
        <v>15</v>
      </c>
      <c r="L12">
        <v>2</v>
      </c>
    </row>
    <row r="13" spans="1:12" x14ac:dyDescent="0.3">
      <c r="A13" t="s">
        <v>34</v>
      </c>
      <c r="B13" s="9" t="str">
        <f>HYPERLINK("https://lafourche.fr/products/vitamont-jus-matin-tonique-orange-sanguine-et-pamplemousse-1l-bio","3.61")</f>
        <v>3.61</v>
      </c>
      <c r="C13" s="8" t="s">
        <v>35</v>
      </c>
      <c r="D13" s="7" t="str">
        <f>HYPERLINK("https://www.biocoop.fr/jus-de-raisin-rouge-1l-ls4005-000.html","3.2")</f>
        <v>3.2</v>
      </c>
      <c r="E13" s="8" t="s">
        <v>36</v>
      </c>
      <c r="F13" s="45" t="str">
        <f>HYPERLINK("https://www.biocoop.fr/jus-de-raisin-rouge-1l-ls4005-000.html","888888")</f>
        <v>888888</v>
      </c>
      <c r="H13" s="9" t="str">
        <f>HYPERLINK("https://satoriz-comboire.bio/products/vt4310042?_pos=1&amp;_sid=4d862041b&amp;_ss=r","3.9")</f>
        <v>3.9</v>
      </c>
      <c r="I13" t="s">
        <v>15</v>
      </c>
      <c r="J13" s="9" t="str">
        <f>HYPERLINK("https://www.greenweez.com/produit/pur-jus-de-raisin-bio-tetra-pak-1l/5VITA0126","3.94")</f>
        <v>3.94</v>
      </c>
      <c r="K13" s="8" t="s">
        <v>37</v>
      </c>
    </row>
    <row r="14" spans="1:12" x14ac:dyDescent="0.3">
      <c r="A14" s="5" t="s">
        <v>38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2" x14ac:dyDescent="0.3">
      <c r="A15" t="s">
        <v>39</v>
      </c>
      <c r="B15" s="7" t="str">
        <f>HYPERLINK("https://lafourche.fr/products/la-fourche-lait-demi-ecreme-bio-et-equitable-6x1l-6l","1.11")</f>
        <v>1.11</v>
      </c>
      <c r="C15" t="s">
        <v>15</v>
      </c>
      <c r="D15" s="9" t="str">
        <f>HYPERLINK("https://www.biocoop.fr/lait-demi-ecreme-sterilise-uht-ad6922-000.html","1.25")</f>
        <v>1.25</v>
      </c>
      <c r="E15" t="s">
        <v>15</v>
      </c>
      <c r="F15" s="45" t="str">
        <f>HYPERLINK("https://www.biocoop.fr/lait-demi-ecreme-sterilise-uht-ad6922-000.html","1.15")</f>
        <v>1.15</v>
      </c>
      <c r="H15" s="9" t="str">
        <f>HYPERLINK("https://satoriz-comboire.bio/collections/produits-frais/products/cbvi6916","1.2")</f>
        <v>1.2</v>
      </c>
      <c r="I15" t="s">
        <v>15</v>
      </c>
      <c r="J15" s="9" t="str">
        <f>HYPERLINK("https://www.greenweez.com/produit/lait-sterilise-uht-demi-ecreme-1l/1BTER0554","1.55")</f>
        <v>1.55</v>
      </c>
      <c r="K15" s="8" t="s">
        <v>40</v>
      </c>
      <c r="L15">
        <v>6</v>
      </c>
    </row>
    <row r="16" spans="1:12" x14ac:dyDescent="0.3">
      <c r="A16" s="5" t="s">
        <v>53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2" x14ac:dyDescent="0.3">
      <c r="A17" t="s">
        <v>58</v>
      </c>
      <c r="B17" s="9" t="str">
        <f>HYPERLINK("https://lafourche.fr/products/biodyssee-poudre-chocolatee-32-bio-800g","8.44")</f>
        <v>8.44</v>
      </c>
      <c r="C17" s="8" t="s">
        <v>59</v>
      </c>
      <c r="D17" s="9" t="str">
        <f>HYPERLINK("https://www.biocoop.fr/poudre-cacaotee-pour-le-petit-dejeuner-jk1001-000.html","7.49")</f>
        <v>7.49</v>
      </c>
      <c r="E17" t="s">
        <v>15</v>
      </c>
      <c r="F17" s="9" t="str">
        <f>HYPERLINK("https://www.biocoop.fr/poudre-cacaotee-pour-le-petit-dejeuner-jk1001-000.html","7.49")</f>
        <v>7.49</v>
      </c>
      <c r="H17" s="7" t="str">
        <f>HYPERLINK("https://satoriz-comboire.bio/collections/epicerie-sucree/products/re47003","6.5")</f>
        <v>6.5</v>
      </c>
      <c r="I17" s="10" t="s">
        <v>60</v>
      </c>
      <c r="J17" s="9" t="str">
        <f>HYPERLINK("https://www.greenweez.com/produit/preparation-en-poudre-cacao-cool-matin-500g/1VITA0049","13.8")</f>
        <v>13.8</v>
      </c>
      <c r="K17" s="8" t="s">
        <v>61</v>
      </c>
      <c r="L17">
        <v>0.2</v>
      </c>
    </row>
    <row r="18" spans="1:12" x14ac:dyDescent="0.3">
      <c r="A18" t="s">
        <v>62</v>
      </c>
      <c r="B18" s="9" t="str">
        <f>HYPERLINK("https://lafourche.fr/products/biodyssee-poudre-de-cacao-maigre-10-12-mg-250g","11.96")</f>
        <v>11.96</v>
      </c>
      <c r="C18" s="8" t="s">
        <v>63</v>
      </c>
      <c r="D18" s="9" t="str">
        <f>HYPERLINK("https://www.biocoop.fr/poudre-cacao-pur-250g-jk1000-000.html","21.4")</f>
        <v>21.4</v>
      </c>
      <c r="E18" t="s">
        <v>15</v>
      </c>
      <c r="F18" s="9" t="str">
        <f>HYPERLINK("https://www.biocoop.fr/poudre-cacao-pur-250g-jk1000-000.html","19.96")</f>
        <v>19.96</v>
      </c>
      <c r="H18" s="9" t="str">
        <f>HYPERLINK("https://satoriz-comboire.bio/collections/epicerie-sucree/products/ma9011","14.8")</f>
        <v>14.8</v>
      </c>
      <c r="I18" s="10" t="s">
        <v>64</v>
      </c>
      <c r="J18" s="7" t="str">
        <f>HYPERLINK("https://www.greenweez.com/produit/poudre-de-cacao-bio-500g/2WEEZ0158","10.98")</f>
        <v>10.98</v>
      </c>
      <c r="K18" s="8" t="s">
        <v>65</v>
      </c>
    </row>
    <row r="20" spans="1:12" ht="18.75" customHeight="1" x14ac:dyDescent="0.35">
      <c r="A20" s="3" t="s">
        <v>76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2" x14ac:dyDescent="0.3">
      <c r="A21" s="5" t="s">
        <v>77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2" x14ac:dyDescent="0.3">
      <c r="A22" t="s">
        <v>78</v>
      </c>
      <c r="B22" s="9" t="str">
        <f>HYPERLINK("https://lafourche.fr/products/hipp-lait-1-pour-nourrissons-combiotic-0-6-mois-0-8kg","22.24")</f>
        <v>22.24</v>
      </c>
      <c r="C22" s="8" t="s">
        <v>79</v>
      </c>
      <c r="D22" s="9" t="str">
        <f>HYPERLINK("https://www.biocoop.fr/lait-infantile-1er-age-800g-nt2000-000.html","19.7")</f>
        <v>19.7</v>
      </c>
      <c r="E22" s="10" t="s">
        <v>80</v>
      </c>
      <c r="F22" s="7" t="str">
        <f>HYPERLINK("https://www.biocoop.fr/lait-infantile-1er-age-800g-nt2000-000.html","18.9")</f>
        <v>18.9</v>
      </c>
      <c r="H22" s="9" t="str">
        <f>HYPERLINK("https://satoriz-comboire.bio/collections/bebe/products/pu660168808","22.88")</f>
        <v>22.88</v>
      </c>
      <c r="I22" s="8" t="s">
        <v>81</v>
      </c>
      <c r="J22" s="9" t="str">
        <f>HYPERLINK("https://www.greenweez.com/produit/lot-de-3-lait-1-combiotic-r-pour-nourrissons-de-0-a-6-mois/1PACK3439","22.01")</f>
        <v>22.01</v>
      </c>
      <c r="K22" s="10" t="s">
        <v>82</v>
      </c>
    </row>
    <row r="23" spans="1:12" x14ac:dyDescent="0.3">
      <c r="A23" t="s">
        <v>83</v>
      </c>
      <c r="B23" s="9" t="str">
        <f>HYPERLINK("https://lafourche.fr/products/hipp-lait-2-de-suite-combiotic-des-6-mois-0-8kg","21.61")</f>
        <v>21.61</v>
      </c>
      <c r="C23" s="8" t="s">
        <v>84</v>
      </c>
      <c r="D23" s="9" t="str">
        <f>HYPERLINK("https://www.biocoop.fr/lait-infantile-2eme-age-800g-nt2001-000.html","19.99")</f>
        <v>19.99</v>
      </c>
      <c r="E23" s="10" t="s">
        <v>80</v>
      </c>
      <c r="F23" s="7" t="str">
        <f>HYPERLINK("https://www.biocoop.fr/lait-infantile-2eme-age-800g-nt2001-000.html","17.9")</f>
        <v>17.9</v>
      </c>
      <c r="H23" s="9" t="str">
        <f>HYPERLINK("https://satoriz-comboire.bio/collections/bebe/products/pu660154208","22.25")</f>
        <v>22.25</v>
      </c>
      <c r="I23" s="8" t="s">
        <v>85</v>
      </c>
      <c r="J23" s="9" t="str">
        <f>HYPERLINK("https://www.greenweez.com/produit/lot-de-3-x-lait-infantile-2eme-age-900g-de-6-a-12-mois/1PACK3351","19.91")</f>
        <v>19.91</v>
      </c>
      <c r="K23" t="s">
        <v>15</v>
      </c>
    </row>
    <row r="24" spans="1:12" x14ac:dyDescent="0.3">
      <c r="A24" t="s">
        <v>86</v>
      </c>
      <c r="B24" s="9" t="str">
        <f>HYPERLINK("https://lafourche.fr/products/hipp-lait-3-de-croissance-combiotic-des-10-mois-0-8kg","19.74")</f>
        <v>19.74</v>
      </c>
      <c r="C24" s="8" t="s">
        <v>87</v>
      </c>
      <c r="D24" s="9" t="str">
        <f>HYPERLINK("https://www.biocoop.fr/lait-infantile-3eme-age-800g-nt2002-000.html","18.9")</f>
        <v>18.9</v>
      </c>
      <c r="E24" s="10" t="s">
        <v>80</v>
      </c>
      <c r="F24" s="9" t="str">
        <f>HYPERLINK("https://www.biocoop.fr/lait-infantile-3eme-age-800g-nt2002-000.html","18.5")</f>
        <v>18.5</v>
      </c>
      <c r="H24" s="9" t="str">
        <f>HYPERLINK("https://satoriz-comboire.bio/collections/bebe/products/pu660154308","20.92")</f>
        <v>20.92</v>
      </c>
      <c r="I24" s="8" t="s">
        <v>88</v>
      </c>
      <c r="J24" s="7" t="str">
        <f>HYPERLINK("https://www.greenweez.com/produit/lot-de-3-laits-de-suite-3-demeter-600g-des-10-mois/1PACK3673","17.9")</f>
        <v>17.9</v>
      </c>
      <c r="K24" t="s">
        <v>15</v>
      </c>
    </row>
    <row r="26" spans="1:12" ht="18.75" customHeight="1" x14ac:dyDescent="0.35">
      <c r="A26" s="3" t="s">
        <v>90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2" x14ac:dyDescent="0.3">
      <c r="A27" s="5" t="s">
        <v>91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2" x14ac:dyDescent="0.3">
      <c r="A28" t="s">
        <v>92</v>
      </c>
      <c r="B28" s="7" t="str">
        <f>HYPERLINK("https://lafourche.fr/products/lazzaretti-gressin-rubata-a-l-huile-d-olive-bio-0-16kg","11.19")</f>
        <v>11.19</v>
      </c>
      <c r="D28" s="9" t="str">
        <f>HYPERLINK("https://www.biocoop.fr/gressins-a-l-huile-d-olive-vierge-sd2008-000.html","38.0")</f>
        <v>38.0</v>
      </c>
      <c r="F28" s="9" t="str">
        <f>HYPERLINK("https://www.biocoop.fr/gressin-nature-150g-gr4007-000.html","12.67")</f>
        <v>12.67</v>
      </c>
      <c r="H28" s="9" t="str">
        <f>HYPERLINK("https://satoriz-comboire.bio/collections/epicerie-salee/products/tgc01","12.67")</f>
        <v>12.67</v>
      </c>
      <c r="J28" s="9" t="str">
        <f>HYPERLINK("https://www.greenweez.com/produit/gressins-au-sesame-160g/1LAZZ0072","13.13")</f>
        <v>13.13</v>
      </c>
    </row>
    <row r="29" spans="1:12" x14ac:dyDescent="0.3">
      <c r="A29" t="s">
        <v>93</v>
      </c>
      <c r="B29" s="7" t="str">
        <f>HYPERLINK("https://lafourche.fr/products/moulin-des-moines-sticks-depeautre-200g-bio","9.95")</f>
        <v>9.95</v>
      </c>
      <c r="D29" s="9" t="str">
        <f>HYPERLINK("https://www.biocoop.fr/sticks-epeautre-pur-200g-ml1211-000.html","888888")</f>
        <v>888888</v>
      </c>
      <c r="F29" s="9" t="str">
        <f>HYPERLINK("https://www.biocoop.fr/sticks-epeautre-pur-200g-ml1211-000.html","10.95")</f>
        <v>10.95</v>
      </c>
      <c r="H29">
        <v>888888</v>
      </c>
      <c r="J29" s="9" t="str">
        <f>HYPERLINK("https://www.greenweez.com/produit/sticks-depeautre-a-lhuile-dolive-200g/1MOUL0035","888888")</f>
        <v>888888</v>
      </c>
    </row>
    <row r="30" spans="1:12" x14ac:dyDescent="0.3">
      <c r="A30" t="s">
        <v>94</v>
      </c>
      <c r="B30" s="9" t="str">
        <f>HYPERLINK("https://lafourche.fr/products/moulin-des-moines-bretzels-depeautre-150g-bio","11.53")</f>
        <v>11.53</v>
      </c>
      <c r="D30" s="9" t="str">
        <f>HYPERLINK("https://www.biocoop.fr/bretzel-epeautre-bio-ml1218-000.html","9.95")</f>
        <v>9.95</v>
      </c>
      <c r="F30" s="7" t="str">
        <f>HYPERLINK("https://www.biocoop.fr/bretzel-epeautre-bio-ml1218-000.html","9.0")</f>
        <v>9.0</v>
      </c>
      <c r="H30" s="9" t="str">
        <f>HYPERLINK("https://satoriz-comboire.bio/products/eu1740?_pos=1&amp;_psq=bretzel&amp;_ss=e&amp;_v=1.0","16.0")</f>
        <v>16.0</v>
      </c>
      <c r="J30" s="9" t="str">
        <f>HYPERLINK("https://www.greenweez.com/produit/bretzels-epeautre-sesame-et-huile-dolive-150g/1MOUL0033","11.67")</f>
        <v>11.67</v>
      </c>
    </row>
    <row r="31" spans="1:12" x14ac:dyDescent="0.3">
      <c r="A31" t="s">
        <v>95</v>
      </c>
      <c r="B31" s="7" t="str">
        <f>HYPERLINK("https://lafourche.fr/products/pural-chips-au-mais-nature-bio-0-2kg","10.9")</f>
        <v>10.9</v>
      </c>
      <c r="D31" s="9" t="str">
        <f>HYPERLINK("https://www.biocoop.fr/tortilla-chips-mais-natures-200g-ap0010-000.html","12.5")</f>
        <v>12.5</v>
      </c>
      <c r="F31" s="9" t="str">
        <f>HYPERLINK("https://www.biocoop.fr/tortilla-chips-mais-natures-200g-ap0010-000.html","12.5")</f>
        <v>12.5</v>
      </c>
      <c r="H31" s="9" t="str">
        <f>HYPERLINK("https://satoriz-comboire.bio/collections/epicerie-salee/products/po10","11.5")</f>
        <v>11.5</v>
      </c>
      <c r="J31" s="9" t="str">
        <f>HYPERLINK("https://www.greenweez.com/produit/chips-de-mais-nature-125g/1PURA0072","13.52")</f>
        <v>13.52</v>
      </c>
    </row>
    <row r="32" spans="1:12" x14ac:dyDescent="0.3">
      <c r="A32" t="s">
        <v>96</v>
      </c>
      <c r="B32" s="7" t="str">
        <f>HYPERLINK("https://lafourche.fr/products/trafo-chips-salees-125g","14.4")</f>
        <v>14.4</v>
      </c>
      <c r="D32" s="9" t="str">
        <f>HYPERLINK("https://www.biocoop.fr/chips-pdt-natures-100g-cs5010-000.html","27.0")</f>
        <v>27.0</v>
      </c>
      <c r="F32" s="9" t="str">
        <f>HYPERLINK("https://www.biocoop.fr/chips-pdt-natures-200g-ao4005-000.html","19.95")</f>
        <v>19.95</v>
      </c>
      <c r="H32" s="9" t="str">
        <f>HYPERLINK("https://satoriz-comboire.bio/collections/epicerie-salee/products/ma5776","15.6")</f>
        <v>15.6</v>
      </c>
      <c r="J32" s="9" t="str">
        <f>HYPERLINK("https://www.greenweez.com/produit/chips-nature-format-familial-220g/1APER0002","18.39")</f>
        <v>18.39</v>
      </c>
    </row>
    <row r="33" spans="1:12" x14ac:dyDescent="0.3">
      <c r="A33" t="s">
        <v>97</v>
      </c>
      <c r="B33" s="7" t="str">
        <f>HYPERLINK("https://lafourche.fr/products/la-fourche-250g-de-pistaches-en-coque-grillees-salees-en-vrac-bio","23.2")</f>
        <v>23.2</v>
      </c>
      <c r="C33" t="s">
        <v>15</v>
      </c>
      <c r="D33" s="9" t="str">
        <f>HYPERLINK("https://www.biocoop.fr/pistaches-coques-grillees-salees-bio-ag3041-000.html","32.39")</f>
        <v>32.39</v>
      </c>
      <c r="E33" t="s">
        <v>15</v>
      </c>
      <c r="F33" s="9" t="str">
        <f>HYPERLINK("https://www.biocoop.fr/pistaches-coques-grillees-salees-bio-ag3041-000.html","888888")</f>
        <v>888888</v>
      </c>
      <c r="H33" s="9" t="str">
        <f>HYPERLINK("https://satoriz-comboire.bio/collections/vrac/products/ag0653","24.9")</f>
        <v>24.9</v>
      </c>
      <c r="I33" s="10" t="s">
        <v>98</v>
      </c>
      <c r="J33" s="9" t="str">
        <f>HYPERLINK("https://www.greenweez.com/produit/pistaches-en-coques-grillees-salees-500g/2WEEZ0404","888888")</f>
        <v>888888</v>
      </c>
      <c r="K33" s="11" t="s">
        <v>99</v>
      </c>
      <c r="L33">
        <v>0</v>
      </c>
    </row>
    <row r="34" spans="1:12" x14ac:dyDescent="0.3">
      <c r="A34" t="s">
        <v>100</v>
      </c>
      <c r="B34" s="7" t="str">
        <f>HYPERLINK("https://lafourche.fr/products/la-fourche-cacahuetes-grillees-salees-bio-en-vrac-0-5kg","7.7")</f>
        <v>7.7</v>
      </c>
      <c r="D34" s="9" t="str">
        <f>HYPERLINK("https://www.biocoop.fr/arachide-grillee-nature-bio-ag3062-000.html","10.8")</f>
        <v>10.8</v>
      </c>
      <c r="F34" s="9" t="str">
        <f>HYPERLINK("https://www.biocoop.fr/arachides-grillees-et-salees-egypte-bio-ag3063-000.html","11.8")</f>
        <v>11.8</v>
      </c>
      <c r="H34" s="9" t="str">
        <f>HYPERLINK("https://satoriz-comboire.bio/collections/vrac/products/bof3707","8.15")</f>
        <v>8.15</v>
      </c>
      <c r="J34" s="9" t="str">
        <f>HYPERLINK("https://www.greenweez.com/produit/arachides-decortiquees-grillees-nature-500g/2WEEZ0360","11.88")</f>
        <v>11.88</v>
      </c>
      <c r="L34">
        <v>0.25</v>
      </c>
    </row>
    <row r="35" spans="1:12" x14ac:dyDescent="0.3">
      <c r="A35" s="5" t="s">
        <v>101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2" x14ac:dyDescent="0.3">
      <c r="A36" t="s">
        <v>102</v>
      </c>
      <c r="B36" s="7" t="str">
        <f>HYPERLINK("https://lafourche.fr/products/philia-bouillon-de-legumes-cubes-66g-bio","15")</f>
        <v>15</v>
      </c>
      <c r="C36" t="s">
        <v>15</v>
      </c>
      <c r="D36" s="9" t="str">
        <f>HYPERLINK("https://www.biocoop.fr/epicerie-salee/condiments-sauces-aides-culinaires/bouillons.html?product_list_order=price_ref_asc","22.16")</f>
        <v>22.16</v>
      </c>
      <c r="E36" t="s">
        <v>15</v>
      </c>
      <c r="F36" s="9" t="str">
        <f>HYPERLINK("https://www.biocoop.fr/bouillon-de-legumes-en-cube-hl1004-000.html","22.16")</f>
        <v>22.16</v>
      </c>
      <c r="H36" s="9" t="str">
        <f>HYPERLINK("https://satoriz-comboire.bio/products/ralegplu?_pos=9&amp;_sid=deed539af&amp;_ss=r","16.4")</f>
        <v>16.4</v>
      </c>
      <c r="I36" s="10" t="s">
        <v>103</v>
      </c>
      <c r="J36" s="9" t="str">
        <f>HYPERLINK("https://www.greenweez.com/produit/bouillon-de-legumes-en-poudre-sans-levure-500g/1RAPU0182","16.8")</f>
        <v>16.8</v>
      </c>
      <c r="K36" t="s">
        <v>15</v>
      </c>
    </row>
    <row r="37" spans="1:12" x14ac:dyDescent="0.3">
      <c r="A37" t="s">
        <v>104</v>
      </c>
      <c r="B37" s="7" t="str">
        <f>HYPERLINK("https://lafourche.fr/products/danival-cube-miso-bio-8x10g-bio","40.75")</f>
        <v>40.75</v>
      </c>
      <c r="C37" s="8" t="s">
        <v>105</v>
      </c>
      <c r="D37" s="9" t="str">
        <f>HYPERLINK("https://www.biocoop.fr/miso-cube-original-8-80g-dn1090-000.html","888888")</f>
        <v>888888</v>
      </c>
      <c r="E37" s="11" t="s">
        <v>99</v>
      </c>
      <c r="F37" s="9" t="str">
        <f>HYPERLINK("https://www.biocoop.fr/miso-cube-original-8-80g-dn1090-000.html","49.88")</f>
        <v>49.88</v>
      </c>
      <c r="H37" s="9" t="str">
        <f>HYPERLINK("https://satoriz-comboire.bio/products/da2889?_pos=3&amp;_sid=9469a6a77&amp;_ss=r","45.63")</f>
        <v>45.63</v>
      </c>
      <c r="I37" s="10" t="s">
        <v>106</v>
      </c>
      <c r="J37" s="9" t="str">
        <f>HYPERLINK("https://www.greenweez.com/produit/miso-en-cubes-original-8x10g/1DANI0197","46.63")</f>
        <v>46.63</v>
      </c>
      <c r="K37" s="8" t="s">
        <v>107</v>
      </c>
    </row>
    <row r="38" spans="1:12" x14ac:dyDescent="0.3">
      <c r="A38" t="s">
        <v>108</v>
      </c>
      <c r="B38" s="7" t="str">
        <f>HYPERLINK("https://lafourche.fr/products/danival-miso-riz-bio-0-39kg","17.87")</f>
        <v>17.87</v>
      </c>
      <c r="C38" t="s">
        <v>15</v>
      </c>
      <c r="D38" s="9" t="str">
        <f>HYPERLINK("https://www.biocoop.fr/miso-riz-200g-dn0733-000.html","24.95")</f>
        <v>24.95</v>
      </c>
      <c r="E38" t="s">
        <v>15</v>
      </c>
      <c r="F38" s="9" t="str">
        <f>HYPERLINK("https://www.biocoop.fr/miso-riz-200g-dn0733-000.html","24.95")</f>
        <v>24.95</v>
      </c>
      <c r="H38" s="9" t="str">
        <f>HYPERLINK("https://satoriz-comboire.bio/products/re2573?_pos=8&amp;_sid=9469a6a77&amp;_ss=r","20.38")</f>
        <v>20.38</v>
      </c>
      <c r="I38" s="8" t="s">
        <v>109</v>
      </c>
      <c r="J38" s="9" t="str">
        <f>HYPERLINK("https://www.greenweez.com/produit/miso-de-riz-390g/1DANI0048","20.67")</f>
        <v>20.67</v>
      </c>
      <c r="K38" s="8" t="s">
        <v>110</v>
      </c>
    </row>
    <row r="39" spans="1:12" x14ac:dyDescent="0.3">
      <c r="A39" t="s">
        <v>111</v>
      </c>
      <c r="B39" s="7" t="str">
        <f>HYPERLINK("https://lafourche.fr/products/la-fourche-gomasio-bio-0-5kg","9.98")</f>
        <v>9.98</v>
      </c>
      <c r="C39" s="8" t="s">
        <v>112</v>
      </c>
      <c r="D39" s="9" t="str">
        <f>HYPERLINK("https://www.biocoop.fr/gomasio-300g-he0775-000.html","20.17")</f>
        <v>20.17</v>
      </c>
      <c r="E39" s="8" t="s">
        <v>33</v>
      </c>
      <c r="F39" s="9" t="str">
        <f>HYPERLINK("https://www.biocoop.fr/gomasio-300g-he0775-000.html","20.33")</f>
        <v>20.33</v>
      </c>
      <c r="H39" s="9" t="str">
        <f>HYPERLINK("https://satoriz-comboire.bio/products/go300?_pos=3&amp;_sid=8c4a51e31&amp;_ss=r","19.5")</f>
        <v>19.5</v>
      </c>
      <c r="I39" s="8" t="s">
        <v>113</v>
      </c>
      <c r="J39" s="9" t="str">
        <f>HYPERLINK("https://www.greenweez.com/produit/gomasio-loriginal-500g/1SENF0012","12.98")</f>
        <v>12.98</v>
      </c>
      <c r="K39" s="8" t="s">
        <v>114</v>
      </c>
    </row>
    <row r="40" spans="1:12" x14ac:dyDescent="0.3">
      <c r="A40" t="s">
        <v>115</v>
      </c>
      <c r="B40" s="9" t="str">
        <f>HYPERLINK("https://lafourche.fr/products/la-fourche-curcuma-moulu-bio-0-25kg","14.76")</f>
        <v>14.76</v>
      </c>
      <c r="C40" s="8" t="s">
        <v>116</v>
      </c>
      <c r="D40" s="9" t="str">
        <f>HYPERLINK("https://www.biocoop.fr/curcuma-en-poudre-racine-bio-ck2048-000.html","19.7")</f>
        <v>19.7</v>
      </c>
      <c r="E40" t="s">
        <v>15</v>
      </c>
      <c r="F40" s="9" t="str">
        <f>HYPERLINK("https://www.biocoop.fr/curcuma-moulu-80g-ck1415-000.html","45.63")</f>
        <v>45.63</v>
      </c>
      <c r="H40" s="9" t="str">
        <f>HYPERLINK("https://satoriz-comboire.bio/products/cocurcrapc500?_pos=5&amp;_sid=0aacfc20c&amp;_ss=r","23.7")</f>
        <v>23.7</v>
      </c>
      <c r="I40" s="10" t="s">
        <v>117</v>
      </c>
      <c r="J40" s="7" t="str">
        <f>HYPERLINK("https://www.greenweez.com/produit/curcuma-poudre-bio-250g/2WEEZ0074","14.36")</f>
        <v>14.36</v>
      </c>
      <c r="K40" t="s">
        <v>15</v>
      </c>
    </row>
    <row r="41" spans="1:12" x14ac:dyDescent="0.3">
      <c r="A41" t="s">
        <v>118</v>
      </c>
      <c r="B41" s="9" t="str">
        <f>HYPERLINK("https://lafourche.fr/products/la-fourche-curry-jaune-moulu-bio-0-15kg","30.6")</f>
        <v>30.6</v>
      </c>
      <c r="C41" t="s">
        <v>15</v>
      </c>
      <c r="D41" s="7" t="str">
        <f>HYPERLINK("https://www.biocoop.fr/curry-poudre-bio-ck2049-000.html","29.5")</f>
        <v>29.5</v>
      </c>
      <c r="E41" t="s">
        <v>15</v>
      </c>
      <c r="F41" s="9" t="str">
        <f>HYPERLINK("https://www.biocoop.fr/curry-en-poudre-80g-ck1414-000.html","56.25")</f>
        <v>56.25</v>
      </c>
      <c r="H41" s="9" t="str">
        <f>HYPERLINK("https://satoriz-comboire.bio/collections/epicerie-salee/products/cocurry1","51.25")</f>
        <v>51.25</v>
      </c>
      <c r="I41" s="8" t="s">
        <v>119</v>
      </c>
      <c r="J41" s="9" t="str">
        <f>HYPERLINK("https://www.greenweez.com/produit/curry-en-poudre-bio-150g/2WEEZ0162","31.2")</f>
        <v>31.2</v>
      </c>
      <c r="K41" t="s">
        <v>15</v>
      </c>
      <c r="L41">
        <v>0.02</v>
      </c>
    </row>
    <row r="42" spans="1:12" x14ac:dyDescent="0.3">
      <c r="A42" t="s">
        <v>120</v>
      </c>
      <c r="B42" s="9" t="str">
        <f>HYPERLINK("https://lafourche.fr/products/la-fourche-cannelle-moulue-bio-0-15kg","26.6")</f>
        <v>26.6</v>
      </c>
      <c r="C42" s="8" t="s">
        <v>121</v>
      </c>
      <c r="D42" s="9" t="str">
        <f>HYPERLINK("https://www.biocoop.fr/cannelle-moulue-80g-ck2037-000.html","57.5")</f>
        <v>57.5</v>
      </c>
      <c r="E42" t="s">
        <v>15</v>
      </c>
      <c r="F42" s="9" t="str">
        <f>HYPERLINK("https://www.biocoop.fr/cannelle-moulue-80g-ck2037-000.html","57.5")</f>
        <v>57.5</v>
      </c>
      <c r="H42" s="7" t="str">
        <f>HYPERLINK("https://satoriz-comboire.bio/products/cocannegpc?_pos=2&amp;_sid=a0e00fe60&amp;_ss=r","26.1")</f>
        <v>26.1</v>
      </c>
      <c r="I42" s="10" t="s">
        <v>122</v>
      </c>
      <c r="J42" s="9" t="str">
        <f>HYPERLINK("https://www.greenweez.com/produit/cannelle-de-ceylan-en-poudre-500g/1COOK0184","29.42")</f>
        <v>29.42</v>
      </c>
      <c r="K42" s="10" t="s">
        <v>123</v>
      </c>
    </row>
    <row r="43" spans="1:12" x14ac:dyDescent="0.3">
      <c r="A43" t="s">
        <v>124</v>
      </c>
      <c r="B43" s="9" t="str">
        <f>HYPERLINK("https://lafourche.fr/products/la-fourche-paprika-doux-bio-0-15kg","27.93")</f>
        <v>27.93</v>
      </c>
      <c r="C43" s="8" t="s">
        <v>125</v>
      </c>
      <c r="D43" s="9" t="str">
        <f>HYPERLINK("https://www.biocoop.fr/paprika-doux-de-hongrie-40g-ck0922-000.html","88.75")</f>
        <v>88.75</v>
      </c>
      <c r="E43" s="8" t="s">
        <v>126</v>
      </c>
      <c r="F43" s="9" t="str">
        <f>HYPERLINK("https://www.biocoop.fr/paprika-doux-de-hongrie-40g-ck0922-000.html","87.5")</f>
        <v>87.5</v>
      </c>
      <c r="H43" s="9" t="str">
        <f>HYPERLINK("https://satoriz-comboire.bio/products/copapdfr?_pos=2&amp;_sid=444323c97&amp;_ss=r","72.5")</f>
        <v>72.5</v>
      </c>
      <c r="I43" s="8" t="s">
        <v>127</v>
      </c>
      <c r="J43" s="7" t="str">
        <f>HYPERLINK("https://www.greenweez.com/produit/paprika-doux-en-poudre-bio-150g/2WEEZ0165","27.2")</f>
        <v>27.2</v>
      </c>
      <c r="K43" t="s">
        <v>15</v>
      </c>
      <c r="L43">
        <v>0.02</v>
      </c>
    </row>
    <row r="44" spans="1:12" x14ac:dyDescent="0.3">
      <c r="A44" t="s">
        <v>128</v>
      </c>
      <c r="B44" s="9" t="str">
        <f>HYPERLINK("https://lafourche.fr/products/la-fourche-paprika-fume-bio-0-15kg","33.27")</f>
        <v>33.27</v>
      </c>
      <c r="C44" t="s">
        <v>15</v>
      </c>
      <c r="D44" s="9" t="str">
        <f>HYPERLINK("https://www.biocoop.fr/paprika-fume-fl1217-000.html","77.5")</f>
        <v>77.5</v>
      </c>
      <c r="E44" t="s">
        <v>15</v>
      </c>
      <c r="F44" s="9" t="str">
        <f>HYPERLINK("https://www.biocoop.fr/paprika-fume-fl1217-000.html","888888")</f>
        <v>888888</v>
      </c>
      <c r="H44" s="9" t="str">
        <f>HYPERLINK("https://satoriz-comboire.bio/products/emhbe58b?_pos=2&amp;_sid=3ef3d1d3c&amp;_ss=r","53.33")</f>
        <v>53.33</v>
      </c>
      <c r="I44" s="10" t="s">
        <v>129</v>
      </c>
      <c r="J44" s="7" t="str">
        <f>HYPERLINK("https://www.greenweez.com/produit/paprika-fume-sachet-recharge-250g/1ECOI0084","31.04")</f>
        <v>31.04</v>
      </c>
      <c r="K44" s="8" t="s">
        <v>130</v>
      </c>
    </row>
    <row r="45" spans="1:12" x14ac:dyDescent="0.3">
      <c r="A45" t="s">
        <v>131</v>
      </c>
      <c r="B45" s="9" t="str">
        <f>HYPERLINK("https://lafourche.fr/products/la-fourche-paprika-doux-bio-0-15kg","27.93")</f>
        <v>27.93</v>
      </c>
      <c r="C45" s="8" t="s">
        <v>125</v>
      </c>
      <c r="D45" s="9" t="str">
        <f>HYPERLINK("https://www.biocoop.fr/gingembre-racine-poudre-bio-ck2051-000.html","33.65")</f>
        <v>33.65</v>
      </c>
      <c r="E45" t="s">
        <v>15</v>
      </c>
      <c r="F45" s="9" t="str">
        <f>HYPERLINK("https://www.biocoop.fr/gingembre-moulu-80g-ck2062-000.html","67.5")</f>
        <v>67.5</v>
      </c>
      <c r="H45" s="9" t="str">
        <f>HYPERLINK("https://satoriz-comboire.bio/products/cogingpp?_pos=2&amp;_sid=eb2485dcf&amp;_ss=r","56.88")</f>
        <v>56.88</v>
      </c>
      <c r="I45" t="s">
        <v>15</v>
      </c>
      <c r="J45" s="7" t="str">
        <f>HYPERLINK("https://www.greenweez.com/produit/gingembre-en-poudre-bio-200g/2WEEZ0161","27.2")</f>
        <v>27.2</v>
      </c>
      <c r="K45" t="s">
        <v>15</v>
      </c>
      <c r="L45">
        <v>0.02</v>
      </c>
    </row>
    <row r="46" spans="1:12" x14ac:dyDescent="0.3">
      <c r="A46" t="s">
        <v>132</v>
      </c>
      <c r="B46" s="7" t="str">
        <f>HYPERLINK("https://lafourche.fr/products/biodyssee-coriandre-en-poudre-bio-0-035kg","44")</f>
        <v>44</v>
      </c>
      <c r="C46" s="8" t="s">
        <v>133</v>
      </c>
      <c r="D46" s="9" t="str">
        <f>HYPERLINK("https://www.biocoop.fr/coriandre-moulue-30g-ck0925-000.html","71.67")</f>
        <v>71.67</v>
      </c>
      <c r="E46" t="s">
        <v>15</v>
      </c>
      <c r="F46" s="9" t="str">
        <f>HYPERLINK("https://www.biocoop.fr/coriandre-moulue-30g-ck0925-000.html","75.0")</f>
        <v>75.0</v>
      </c>
      <c r="H46" s="9" t="str">
        <f>HYPERLINK("https://satoriz-comboire.bio/collections/epicerie-salee/products/cocorpc","65.0")</f>
        <v>65.0</v>
      </c>
      <c r="I46" s="8" t="s">
        <v>134</v>
      </c>
      <c r="J46" s="9" t="str">
        <f>HYPERLINK("https://www.greenweez.com/produit/poudre-de-graines-de-coriandre-35g/2BIOD0049","58.29")</f>
        <v>58.29</v>
      </c>
      <c r="K46" s="8" t="s">
        <v>135</v>
      </c>
    </row>
    <row r="47" spans="1:12" x14ac:dyDescent="0.3">
      <c r="A47" t="s">
        <v>136</v>
      </c>
      <c r="B47" s="7" t="str">
        <f>HYPERLINK("https://lafourche.fr/products/cook-fenugrec-poudre-55g","37.82")</f>
        <v>37.82</v>
      </c>
      <c r="C47" s="8" t="s">
        <v>137</v>
      </c>
      <c r="D47" s="9" t="str">
        <f>HYPERLINK("https://www.biocoop.fr/fenugrec-moulu-55g-ck1209-000.html","47.27")</f>
        <v>47.27</v>
      </c>
      <c r="E47" t="s">
        <v>15</v>
      </c>
      <c r="F47" s="9" t="str">
        <f>HYPERLINK("https://www.biocoop.fr/fenugrec-moulu-55g-ck1209-000.html","888888")</f>
        <v>888888</v>
      </c>
      <c r="H47" s="9" t="str">
        <f>HYPERLINK("https://satoriz-comboire.bio/products/cofenuc?_pos=1&amp;_sid=a8a199e11&amp;_ss=r","41.82")</f>
        <v>41.82</v>
      </c>
      <c r="I47" t="s">
        <v>15</v>
      </c>
      <c r="J47" s="9" t="str">
        <f>HYPERLINK("https://www.greenweez.com/produit/fenugrec-poudre-bio-50g/1COOK0022","47.4")</f>
        <v>47.4</v>
      </c>
      <c r="K47" s="8" t="s">
        <v>138</v>
      </c>
    </row>
    <row r="48" spans="1:12" x14ac:dyDescent="0.3">
      <c r="A48" t="s">
        <v>139</v>
      </c>
      <c r="B48" s="7" t="str">
        <f>HYPERLINK("https://lafourche.fr/products/la-fourche-ras-el-hanout-bio-0-15kg","46.6")</f>
        <v>46.6</v>
      </c>
      <c r="C48" t="s">
        <v>15</v>
      </c>
      <c r="D48" s="9" t="str">
        <f>HYPERLINK("https://www.biocoop.fr/ras-el-hanout-35g-ar0215-000.html","94.86")</f>
        <v>94.86</v>
      </c>
      <c r="E48" t="s">
        <v>15</v>
      </c>
      <c r="F48" s="9" t="str">
        <f>HYPERLINK("https://www.biocoop.fr/ras-el-hanout-35g-ar0215-000.html","102.86")</f>
        <v>102.86</v>
      </c>
      <c r="H48" s="9" t="str">
        <f>HYPERLINK("https://satoriz-comboire.bio/products/corasec?_pos=3&amp;_sid=7032da4b7&amp;_ss=r","88.57")</f>
        <v>88.57</v>
      </c>
      <c r="I48" s="10" t="s">
        <v>140</v>
      </c>
      <c r="J48" s="9" t="str">
        <f>HYPERLINK("https://www.greenweez.com/produit/melange-ras-el-hanout-bio-35g/1COOK0072","98.57")</f>
        <v>98.57</v>
      </c>
      <c r="K48" s="10" t="s">
        <v>141</v>
      </c>
    </row>
    <row r="49" spans="1:12" x14ac:dyDescent="0.3">
      <c r="A49" t="s">
        <v>142</v>
      </c>
      <c r="B49" s="9" t="str">
        <f>HYPERLINK("https://lafourche.fr/products/la-fourche-herbes-de-provence-bio-0-2kg","47.5")</f>
        <v>47.5</v>
      </c>
      <c r="C49" t="s">
        <v>15</v>
      </c>
      <c r="D49" s="9" t="str">
        <f>HYPERLINK("https://www.biocoop.fr/herbes-de-provence-50g-ar0035-000.html","66.0")</f>
        <v>66.0</v>
      </c>
      <c r="E49" t="s">
        <v>15</v>
      </c>
      <c r="F49" s="7" t="str">
        <f>HYPERLINK("https://www.biocoop.fr/herbes-de-provence-sans-marjolaine-bio-ck2106-000.html","34.0")</f>
        <v>34.0</v>
      </c>
      <c r="H49" s="9" t="str">
        <f>HYPERLINK("https://satoriz-comboire.bio/products/coherb1?_pos=1&amp;_sid=64d9c02ce&amp;_ss=r","88.75")</f>
        <v>88.75</v>
      </c>
      <c r="I49" t="s">
        <v>15</v>
      </c>
      <c r="J49" s="9" t="str">
        <f>HYPERLINK("https://www.greenweez.com/produit/herbes-de-provence-60g/2BIOD0053","65.17")</f>
        <v>65.17</v>
      </c>
      <c r="K49" s="8" t="s">
        <v>143</v>
      </c>
      <c r="L49">
        <v>0.02</v>
      </c>
    </row>
    <row r="50" spans="1:12" x14ac:dyDescent="0.3">
      <c r="A50" t="s">
        <v>144</v>
      </c>
      <c r="B50" s="7" t="str">
        <f>HYPERLINK("https://lafourche.fr/products/la-fourche-cumin-graines-bio-0-15kg","59")</f>
        <v>59</v>
      </c>
      <c r="C50" s="8" t="s">
        <v>145</v>
      </c>
      <c r="D50" s="9" t="str">
        <f>HYPERLINK("https://www.biocoop.fr/cumin-graines-40g-ck0924-000.html","96.25")</f>
        <v>96.25</v>
      </c>
      <c r="E50" s="8" t="s">
        <v>146</v>
      </c>
      <c r="F50" s="9" t="str">
        <f>HYPERLINK("https://www.biocoop.fr/cumin-graines-40g-ck0924-000.html","95.0")</f>
        <v>95.0</v>
      </c>
      <c r="H50" s="9" t="str">
        <f>HYPERLINK("https://satoriz-comboire.bio/products/cocum?_pos=1&amp;_sid=d9ea7a39f&amp;_ss=r","87.5")</f>
        <v>87.5</v>
      </c>
      <c r="I50" s="8" t="s">
        <v>147</v>
      </c>
      <c r="J50" s="9" t="str">
        <f>HYPERLINK("https://www.greenweez.com/produit/graines-de-cumin-eco-recharge-40g/1COOK0177","78.25")</f>
        <v>78.25</v>
      </c>
      <c r="K50" s="8" t="s">
        <v>148</v>
      </c>
    </row>
    <row r="51" spans="1:12" x14ac:dyDescent="0.3">
      <c r="A51" t="s">
        <v>149</v>
      </c>
      <c r="B51" s="9" t="str">
        <f>HYPERLINK("https://lafourche.fr/products/la-fourche-cumin-moulu-bio-0-15kg","58.6")</f>
        <v>58.6</v>
      </c>
      <c r="C51" s="8" t="s">
        <v>150</v>
      </c>
      <c r="D51" s="9" t="str">
        <f>HYPERLINK("https://www.biocoop.fr/cumin-moulu-80g-ck2038-000.html","87.38")</f>
        <v>87.38</v>
      </c>
      <c r="E51" s="8" t="s">
        <v>151</v>
      </c>
      <c r="F51" s="7" t="str">
        <f>HYPERLINK("https://www.biocoop.fr/graines-de-cumin-en-poudre-bio-ck2050-000.html","29.9")</f>
        <v>29.9</v>
      </c>
      <c r="H51" s="9" t="str">
        <f>HYPERLINK("https://satoriz-comboire.bio/collections/epicerie-salee/products/cocumigrpr","80.0")</f>
        <v>80.0</v>
      </c>
      <c r="I51" s="8" t="s">
        <v>152</v>
      </c>
      <c r="J51" s="9" t="str">
        <f>HYPERLINK("https://www.greenweez.com/produit/cumin-poudre-bio-80g/1COOK0138","92.63")</f>
        <v>92.63</v>
      </c>
      <c r="K51" s="8" t="s">
        <v>153</v>
      </c>
      <c r="L51">
        <v>0.02</v>
      </c>
    </row>
    <row r="52" spans="1:12" x14ac:dyDescent="0.3">
      <c r="A52" t="s">
        <v>154</v>
      </c>
      <c r="B52" s="7" t="str">
        <f>HYPERLINK("https://lafourche.fr/products/biodyssee-noix-de-muscade-moulue-bio-0-05kg","64.8")</f>
        <v>64.8</v>
      </c>
      <c r="C52" s="8" t="s">
        <v>155</v>
      </c>
      <c r="D52" s="9" t="str">
        <f>HYPERLINK("https://www.biocoop.fr/muscade-moulue-35g-ck0926-000.html","142.57")</f>
        <v>142.57</v>
      </c>
      <c r="E52" t="s">
        <v>15</v>
      </c>
      <c r="F52" s="9" t="str">
        <f>HYPERLINK("https://www.biocoop.fr/muscade-moulue-35g-ck0926-000.html","142.57")</f>
        <v>142.57</v>
      </c>
      <c r="H52" s="9" t="str">
        <f>HYPERLINK("https://satoriz-comboire.bio/products/comusmou?_pos=1&amp;_sid=e5cb2307e&amp;_ss=r","120.0")</f>
        <v>120.0</v>
      </c>
      <c r="I52" s="8" t="s">
        <v>156</v>
      </c>
      <c r="J52" s="9" t="str">
        <f>HYPERLINK("https://www.greenweez.com/produit/noix-de-muscade-moulue-50g/2BIOD0044","83.0")</f>
        <v>83.0</v>
      </c>
      <c r="K52" s="8" t="s">
        <v>157</v>
      </c>
    </row>
    <row r="53" spans="1:12" x14ac:dyDescent="0.3">
      <c r="A53" t="s">
        <v>158</v>
      </c>
      <c r="B53" s="7" t="str">
        <f>HYPERLINK("https://lafourche.fr/products/cook-colombo-poudre-35g","57.14")</f>
        <v>57.14</v>
      </c>
      <c r="C53" s="8" t="s">
        <v>159</v>
      </c>
      <c r="D53" s="9" t="str">
        <f>HYPERLINK("https://www.biocoop.fr/melange-epices-colombo-35g-ck0947-000.html","67.14")</f>
        <v>67.14</v>
      </c>
      <c r="E53" t="s">
        <v>15</v>
      </c>
      <c r="F53" s="9" t="str">
        <f>HYPERLINK("https://www.biocoop.fr/melange-epices-colombo-35g-ck0947-000.html","888888")</f>
        <v>888888</v>
      </c>
      <c r="H53" s="9" t="str">
        <f>HYPERLINK("https://satoriz-comboire.bio/products/coloc?_pos=7&amp;_sid=0aacfc20c&amp;_ss=r","62.86")</f>
        <v>62.86</v>
      </c>
      <c r="I53" t="s">
        <v>15</v>
      </c>
      <c r="J53" s="9" t="str">
        <f>HYPERLINK("https://www.greenweez.com/produit/colombo-bio-50g/1LACA0042","888888")</f>
        <v>888888</v>
      </c>
      <c r="K53" s="11" t="s">
        <v>99</v>
      </c>
    </row>
    <row r="54" spans="1:12" x14ac:dyDescent="0.3">
      <c r="A54" t="s">
        <v>160</v>
      </c>
      <c r="B54" s="7" t="str">
        <f>HYPERLINK("https://lafourche.fr/products/cook-piment-doux-40g","65.5")</f>
        <v>65.5</v>
      </c>
      <c r="C54" s="8" t="s">
        <v>161</v>
      </c>
      <c r="D54" s="9" t="str">
        <f>HYPERLINK("https://www.biocoop.fr/piment-doux-d-espagne-40g-ck0940-000.html","81.25")</f>
        <v>81.25</v>
      </c>
      <c r="E54" t="s">
        <v>15</v>
      </c>
      <c r="F54" s="9" t="str">
        <f>HYPERLINK("https://www.biocoop.fr/piment-doux-d-espagne-40g-ck0940-000.html","81.25")</f>
        <v>81.25</v>
      </c>
      <c r="H54" s="9" t="str">
        <f>HYPERLINK("https://satoriz-comboire.bio/products/copimdou?_pos=2&amp;_sid=da3bb6d2d&amp;_ss=r","72.5")</f>
        <v>72.5</v>
      </c>
      <c r="I54" s="8" t="s">
        <v>127</v>
      </c>
      <c r="J54" s="9" t="str">
        <f>HYPERLINK("https://www.greenweez.com/produit/piment-doux-despagne-bio-40g/1COOK0038","81.0")</f>
        <v>81.0</v>
      </c>
      <c r="K54" s="8" t="s">
        <v>162</v>
      </c>
    </row>
    <row r="55" spans="1:12" x14ac:dyDescent="0.3">
      <c r="A55" t="s">
        <v>163</v>
      </c>
      <c r="B55" s="7" t="str">
        <f>HYPERLINK("https://lafourche.fr/products/cook-melange-pour-chili-35g","79.71")</f>
        <v>79.71</v>
      </c>
      <c r="C55" s="8" t="s">
        <v>164</v>
      </c>
      <c r="D55" s="9" t="str">
        <f>HYPERLINK("https://www.biocoop.fr/melange-epices-du-chili-35g-ck2014-000.html","100.0")</f>
        <v>100.0</v>
      </c>
      <c r="E55" s="8" t="s">
        <v>165</v>
      </c>
      <c r="F55" s="9" t="str">
        <f>HYPERLINK("https://www.biocoop.fr/melange-epices-du-chili-35g-ck2014-000.html","888888")</f>
        <v>888888</v>
      </c>
      <c r="H55" s="9" t="str">
        <f>HYPERLINK("https://satoriz-comboire.bio/products/cochilc?_pos=1&amp;_sid=6e691e7ce&amp;_ss=r","88.57")</f>
        <v>88.57</v>
      </c>
      <c r="I55" s="8" t="s">
        <v>166</v>
      </c>
      <c r="J55" s="9" t="str">
        <f>HYPERLINK("https://www.greenweez.com/produit/melange-bio-chili-35g/1COOK0075","91.43")</f>
        <v>91.43</v>
      </c>
      <c r="K55" s="10" t="s">
        <v>167</v>
      </c>
    </row>
    <row r="56" spans="1:12" x14ac:dyDescent="0.3">
      <c r="A56" t="s">
        <v>168</v>
      </c>
      <c r="B56" s="7" t="str">
        <f>HYPERLINK("https://lafourche.fr/products/garam-masala","84.57")</f>
        <v>84.57</v>
      </c>
      <c r="C56" t="s">
        <v>15</v>
      </c>
      <c r="D56" s="9" t="str">
        <f>HYPERLINK("https://www.biocoop.fr/garam-masala-35g-ck2059-000.html","110.0")</f>
        <v>110.0</v>
      </c>
      <c r="E56" t="s">
        <v>15</v>
      </c>
      <c r="F56" s="9" t="str">
        <f>HYPERLINK("https://www.biocoop.fr/garam-masala-35g-ck2059-000.html","110.0")</f>
        <v>110.0</v>
      </c>
      <c r="H56" s="9" t="str">
        <f>HYPERLINK("https://satoriz-comboire.bio/products/map2garp?_pos=1&amp;_sid=a1f143f38&amp;_ss=r","94.29")</f>
        <v>94.29</v>
      </c>
      <c r="I56" s="10" t="s">
        <v>169</v>
      </c>
      <c r="J56" s="9" t="str">
        <f>HYPERLINK("https://www.greenweez.com/produit/melange-garam-masala-bio-35g/1COOK0071","110.86")</f>
        <v>110.86</v>
      </c>
      <c r="K56" t="s">
        <v>15</v>
      </c>
    </row>
    <row r="57" spans="1:12" x14ac:dyDescent="0.3">
      <c r="A57" t="s">
        <v>170</v>
      </c>
      <c r="B57" s="7" t="str">
        <f>HYPERLINK("https://lafourche.fr/products/la-fourche-origan-bio-0-15kg","84.67")</f>
        <v>84.67</v>
      </c>
      <c r="C57" t="s">
        <v>15</v>
      </c>
      <c r="D57" s="9" t="str">
        <f>HYPERLINK("https://www.biocoop.fr/feuille-coupees-d-origan-13g-ck1216-000.html","160.0")</f>
        <v>160.0</v>
      </c>
      <c r="E57" s="8" t="s">
        <v>171</v>
      </c>
      <c r="F57" s="9" t="str">
        <f>HYPERLINK("https://www.biocoop.fr/feuille-coupees-d-origan-13g-ck1216-000.html","170.0")</f>
        <v>170.0</v>
      </c>
      <c r="H57" s="9" t="str">
        <f>HYPERLINK("https://satoriz-comboire.bio/collections/epicerie-salee/products/coorigfeer","119.23")</f>
        <v>119.23</v>
      </c>
      <c r="I57" s="10" t="s">
        <v>172</v>
      </c>
      <c r="J57" s="9" t="str">
        <f>HYPERLINK("https://www.greenweez.com/produit/origan-12g/2BIOD0050","115.0")</f>
        <v>115.0</v>
      </c>
      <c r="K57" t="s">
        <v>15</v>
      </c>
    </row>
    <row r="58" spans="1:12" x14ac:dyDescent="0.3">
      <c r="A58" t="s">
        <v>173</v>
      </c>
      <c r="B58" s="9" t="str">
        <f>HYPERLINK("https://lafourche.fr/products/cook-thym-feuilles-bio-45g","84.67")</f>
        <v>84.67</v>
      </c>
      <c r="C58" s="8" t="s">
        <v>174</v>
      </c>
      <c r="D58" s="9" t="str">
        <f>HYPERLINK("https://www.biocoop.fr/feuilles-de-thym-15g-ck1239-000.html","180.0")</f>
        <v>180.0</v>
      </c>
      <c r="E58" t="s">
        <v>15</v>
      </c>
      <c r="F58" s="9" t="str">
        <f>HYPERLINK("https://www.biocoop.fr/feuilles-de-thym-15g-ck1239-000.html","183.33")</f>
        <v>183.33</v>
      </c>
      <c r="H58" s="7" t="str">
        <f>HYPERLINK("https://satoriz-comboire.bio/products/cothym?_pos=1&amp;_psq=thym%20feuille&amp;_ss=e&amp;_v=1.0","68.0")</f>
        <v>68.0</v>
      </c>
      <c r="I58" s="10" t="s">
        <v>175</v>
      </c>
      <c r="J58" s="9" t="str">
        <f>HYPERLINK("https://www.greenweez.com/produit/thym-feuilles-bio-45-g/1COOK0085","111.11")</f>
        <v>111.11</v>
      </c>
      <c r="K58" s="8" t="s">
        <v>176</v>
      </c>
    </row>
    <row r="59" spans="1:12" x14ac:dyDescent="0.3">
      <c r="A59" t="s">
        <v>177</v>
      </c>
      <c r="B59" s="9" t="str">
        <f>HYPERLINK("https://lafourche.fr/products/cook-moutarde-jaune-graines-60g","34.67")</f>
        <v>34.67</v>
      </c>
      <c r="C59" s="8" t="s">
        <v>178</v>
      </c>
      <c r="D59" s="7" t="str">
        <f>HYPERLINK("https://www.biocoop.fr/epicerie-salee/condiments-sauces-aides-culinaires/epices-poivres.html?product_list_order=price_ref_asc","19.7")</f>
        <v>19.7</v>
      </c>
      <c r="E59" t="s">
        <v>15</v>
      </c>
      <c r="F59" s="9" t="str">
        <f>HYPERLINK("https://www.biocoop.fr/moutarde-jaune-graines-60g-ck0928-000.html","41.67")</f>
        <v>41.67</v>
      </c>
      <c r="H59" s="9" t="str">
        <f>HYPERLINK("https://satoriz-comboire.bio/products/comoutc?_pos=1&amp;_psq=moutarde%20jaune&amp;_ss=e&amp;_v=1.0","38.33")</f>
        <v>38.33</v>
      </c>
      <c r="I59" t="s">
        <v>15</v>
      </c>
      <c r="J59" s="9" t="str">
        <f>HYPERLINK("https://www.greenweez.com/produit/moutarde-jaune-graine-bio-55g/1LACA0026","888888")</f>
        <v>888888</v>
      </c>
      <c r="K59" s="11" t="s">
        <v>99</v>
      </c>
    </row>
    <row r="60" spans="1:12" x14ac:dyDescent="0.3">
      <c r="A60" t="s">
        <v>179</v>
      </c>
      <c r="B60" s="7" t="str">
        <f>HYPERLINK("https://lafourche.fr/products/cook-nigelle-graines-50g","59.8")</f>
        <v>59.8</v>
      </c>
      <c r="C60" s="8" t="s">
        <v>180</v>
      </c>
      <c r="D60" s="9" t="str">
        <f>HYPERLINK("https://www.biocoop.fr/nigelle-graines-50g-ck2033-000.html","73.0")</f>
        <v>73.0</v>
      </c>
      <c r="E60" s="8" t="s">
        <v>181</v>
      </c>
      <c r="F60" s="9" t="str">
        <f>HYPERLINK("https://www.biocoop.fr/nigelle-graines-50g-ck2033-000.html","74.0")</f>
        <v>74.0</v>
      </c>
      <c r="H60" s="9" t="str">
        <f>HYPERLINK("https://satoriz-comboire.bio/products/conig?_pos=2&amp;_sid=d9ea7a39f&amp;_ss=r","68.0")</f>
        <v>68.0</v>
      </c>
      <c r="I60" t="s">
        <v>15</v>
      </c>
      <c r="J60" s="9" t="str">
        <f>HYPERLINK("https://www.greenweez.com/produit/nigelle-graines-bio-50g/1COOK0120","75.8")</f>
        <v>75.8</v>
      </c>
      <c r="K60" s="8" t="s">
        <v>182</v>
      </c>
    </row>
    <row r="61" spans="1:12" x14ac:dyDescent="0.3">
      <c r="A61" t="s">
        <v>183</v>
      </c>
      <c r="B61" s="7" t="str">
        <f>HYPERLINK("https://lafourche.fr/products/cook-curry-madras-35g","71.43")</f>
        <v>71.43</v>
      </c>
      <c r="C61" s="8" t="s">
        <v>184</v>
      </c>
      <c r="D61" s="9" t="str">
        <f>HYPERLINK("https://www.biocoop.fr/curry-madras-35g-ck2053-000.html","90.0")</f>
        <v>90.0</v>
      </c>
      <c r="E61" s="8" t="s">
        <v>185</v>
      </c>
      <c r="F61" s="9" t="str">
        <f>HYPERLINK("https://www.biocoop.fr/curry-madras-35g-ck2053-000.html","888888")</f>
        <v>888888</v>
      </c>
      <c r="H61" s="9" t="str">
        <f>HYPERLINK("https://satoriz-comboire.bio/products/cocumac?_pos=2&amp;_sid=f282e7faa&amp;_ss=r","78.57")</f>
        <v>78.57</v>
      </c>
      <c r="I61" s="8" t="s">
        <v>186</v>
      </c>
      <c r="J61" s="9" t="str">
        <f>HYPERLINK("https://www.greenweez.com/produit/curry-de-madras-poudre-bio-35g/1COOK0128","81.14")</f>
        <v>81.14</v>
      </c>
      <c r="K61" s="10" t="s">
        <v>187</v>
      </c>
    </row>
    <row r="62" spans="1:12" x14ac:dyDescent="0.3">
      <c r="A62" t="s">
        <v>188</v>
      </c>
      <c r="B62" s="7" t="str">
        <f>HYPERLINK("https://lafourche.fr/products/cook-melange-4-epices-bio-35g","87.14")</f>
        <v>87.14</v>
      </c>
      <c r="C62" t="s">
        <v>15</v>
      </c>
      <c r="D62" s="9" t="str">
        <f>HYPERLINK("https://www.biocoop.fr/melange-4-epices-35g-ck1237-000.html","100.0")</f>
        <v>100.0</v>
      </c>
      <c r="E62" t="s">
        <v>15</v>
      </c>
      <c r="F62" s="9" t="str">
        <f>HYPERLINK("https://www.biocoop.fr/melange-4-epices-35g-ck1237-000.html","100.0")</f>
        <v>100.0</v>
      </c>
      <c r="H62" s="9" t="str">
        <f>HYPERLINK("https://satoriz-comboire.bio/","888888")</f>
        <v>888888</v>
      </c>
      <c r="I62" s="11" t="s">
        <v>99</v>
      </c>
      <c r="J62" s="9" t="str">
        <f>HYPERLINK("https://www.greenweez.com/produit/quatre-epices-bio-50g/1LACA0043","888888")</f>
        <v>888888</v>
      </c>
      <c r="K62" s="11" t="s">
        <v>99</v>
      </c>
    </row>
    <row r="63" spans="1:12" x14ac:dyDescent="0.3">
      <c r="A63" t="s">
        <v>189</v>
      </c>
      <c r="B63" s="7" t="str">
        <f>HYPERLINK("https://lafourche.fr/products/cook-piment-cayenne-poudre-40g","111.25")</f>
        <v>111.25</v>
      </c>
      <c r="C63" s="8" t="s">
        <v>190</v>
      </c>
      <c r="D63" s="9" t="str">
        <f>HYPERLINK("https://www.biocoop.fr/piment-de-cayenne-poudre-40g-ck0910-000.html","128.75")</f>
        <v>128.75</v>
      </c>
      <c r="E63" s="8" t="s">
        <v>191</v>
      </c>
      <c r="F63" s="9" t="str">
        <f>HYPERLINK("https://www.biocoop.fr/piment-de-cayenne-poudre-40g-ck0910-000.html","130.0")</f>
        <v>130.0</v>
      </c>
      <c r="H63" s="9" t="str">
        <f>HYPERLINK("https://satoriz-comboire.bio/products/copimpc?_pos=1&amp;_psq=cook%20piment&amp;_ss=e&amp;_v=1.0","116.25")</f>
        <v>116.25</v>
      </c>
      <c r="I63" t="s">
        <v>15</v>
      </c>
      <c r="J63" s="9" t="str">
        <f>HYPERLINK("https://www.greenweez.com/produit/piment-de-cayenne-poudre-bio-40g/1COOK0040","127.25")</f>
        <v>127.25</v>
      </c>
      <c r="K63" s="8" t="s">
        <v>192</v>
      </c>
    </row>
    <row r="64" spans="1:12" x14ac:dyDescent="0.3">
      <c r="A64" t="s">
        <v>193</v>
      </c>
      <c r="B64" s="9" t="str">
        <f>HYPERLINK("https://lafourche.fr/products/cook-cardamome-moulue-35g","157.14")</f>
        <v>157.14</v>
      </c>
      <c r="C64" t="s">
        <v>15</v>
      </c>
      <c r="D64" s="9" t="str">
        <f>HYPERLINK("https://www.biocoop.fr/cardamome-moulue-35g-ck0900-000.html","161.43")</f>
        <v>161.43</v>
      </c>
      <c r="E64" s="8" t="s">
        <v>194</v>
      </c>
      <c r="F64" s="9" t="str">
        <f>HYPERLINK("https://www.biocoop.fr/cardamome-moulue-35g-ck0900-000.html","160.0")</f>
        <v>160.0</v>
      </c>
      <c r="H64" s="7" t="str">
        <f>HYPERLINK("https://satoriz-comboire.bio/products/cocard?_pos=4&amp;_sid=d84ba935d&amp;_ss=r","154.29")</f>
        <v>154.29</v>
      </c>
      <c r="I64" s="10" t="s">
        <v>195</v>
      </c>
      <c r="J64" s="9" t="str">
        <f>HYPERLINK("https://www.greenweez.com/produit/cardamome-poudre-bio-35g/1COOK0010","169.71")</f>
        <v>169.71</v>
      </c>
      <c r="K64" t="s">
        <v>15</v>
      </c>
    </row>
    <row r="65" spans="1:12" x14ac:dyDescent="0.3">
      <c r="A65" t="s">
        <v>196</v>
      </c>
      <c r="B65" s="9" t="str">
        <f>HYPERLINK("https://lafourche.fr/products/cook-safran-poudre-1g","10380")</f>
        <v>10380</v>
      </c>
      <c r="C65" s="8" t="s">
        <v>197</v>
      </c>
      <c r="D65" s="9" t="str">
        <f>HYPERLINK("https://www.biocoop.fr/safran-stigmates-entiers-1g-ck0945-000.html","11350.0")</f>
        <v>11350.0</v>
      </c>
      <c r="E65" s="8" t="s">
        <v>198</v>
      </c>
      <c r="F65" s="9" t="str">
        <f>HYPERLINK("https://www.biocoop.fr/safran-stigmates-entiers-1g-ck0945-000.html","11850.0")</f>
        <v>11850.0</v>
      </c>
      <c r="H65" s="7" t="str">
        <f>HYPERLINK("https://satoriz-comboire.bio/products/map2safs?_pos=1&amp;_sid=cd322a73f&amp;_ss=r","8600.0")</f>
        <v>8600.0</v>
      </c>
      <c r="I65" s="10" t="s">
        <v>199</v>
      </c>
      <c r="J65" s="9" t="str">
        <f>HYPERLINK("https://www.greenweez.com/produit/safran-stigmates-bio-1g/1COOK0052","11980.0")</f>
        <v>11980.0</v>
      </c>
      <c r="K65" s="8" t="s">
        <v>200</v>
      </c>
    </row>
    <row r="66" spans="1:12" x14ac:dyDescent="0.3">
      <c r="A66" t="s">
        <v>684</v>
      </c>
      <c r="B66" s="45" t="str">
        <f>HYPERLINK("https://lafourche.fr/products/cook-melange-pour-grillades-bio-35g","888888")</f>
        <v>888888</v>
      </c>
      <c r="C66" s="11" t="s">
        <v>99</v>
      </c>
      <c r="D66" s="7" t="str">
        <f>HYPERLINK("https://www.biocoop.fr/melange-epices-grillade-70g-ck2017-000.html","65.71")</f>
        <v>65.71</v>
      </c>
      <c r="E66" t="s">
        <v>15</v>
      </c>
      <c r="F66" s="9" t="str">
        <f>HYPERLINK("https://www.biocoop.fr/melange-epices-grillade-70g-ck2017-000.html","888888")</f>
        <v>888888</v>
      </c>
      <c r="H66" s="9" t="str">
        <f>HYPERLINK("https://satoriz-comboire.bio/products/cogrilc?_pos=1&amp;_psq=m%C3%A9lange%20grillades&amp;_ss=e&amp;_v=1.0","75.71")</f>
        <v>75.71</v>
      </c>
      <c r="I66" t="s">
        <v>15</v>
      </c>
      <c r="J66" s="45" t="str">
        <f>HYPERLINK("https://www.greenweez.com/produit/grillade-bio-50g/1LACA0054","888888")</f>
        <v>888888</v>
      </c>
      <c r="K66" s="11" t="s">
        <v>99</v>
      </c>
    </row>
    <row r="67" spans="1:12" x14ac:dyDescent="0.3">
      <c r="A67" t="s">
        <v>201</v>
      </c>
      <c r="B67" s="9" t="str">
        <f>HYPERLINK("https://lafourche.fr/products/cook-ail-des-ours-coupe-16g","121.88")</f>
        <v>121.88</v>
      </c>
      <c r="C67" s="8" t="s">
        <v>202</v>
      </c>
      <c r="D67" s="9" t="str">
        <f>HYPERLINK("https://www.biocoop.fr/ail-des-ours-feuille-coupes-16g-ck2032-000.html","168.75")</f>
        <v>168.75</v>
      </c>
      <c r="E67" t="s">
        <v>15</v>
      </c>
      <c r="F67" s="7" t="str">
        <f>HYPERLINK("https://www.biocoop.fr/ail-des-ours-en-poudre-ec2115-000.html","98.0")</f>
        <v>98.0</v>
      </c>
      <c r="H67" s="9" t="str">
        <f>HYPERLINK("https://satoriz-comboire.bio/products/coailo?_pos=2&amp;_psq=ail%20des%20ours&amp;_ss=e&amp;_v=1.0","143.75")</f>
        <v>143.75</v>
      </c>
      <c r="I67" s="8" t="s">
        <v>203</v>
      </c>
      <c r="J67" s="9" t="str">
        <f>HYPERLINK("https://www.greenweez.com/produit/ail-des-ours-feuille-coupes-bio-16g/1COOK0110","152.5")</f>
        <v>152.5</v>
      </c>
      <c r="K67" s="8" t="s">
        <v>204</v>
      </c>
    </row>
    <row r="68" spans="1:12" x14ac:dyDescent="0.3">
      <c r="A68" t="s">
        <v>206</v>
      </c>
      <c r="B68" s="9" t="str">
        <f>HYPERLINK("https://lafourche.fr/products/celiane-fecule-de-pomme-de-terre-sans-gluten-500g","888888")</f>
        <v>888888</v>
      </c>
      <c r="D68" s="9" t="str">
        <f>HYPERLINK("https://www.biocoop.fr/fecule-de-pomme-de-terre-500g-al3026-000.html","8.84")</f>
        <v>8.84</v>
      </c>
      <c r="F68" s="9" t="str">
        <f>HYPERLINK("https://www.biocoop.fr/fecule-de-pomme-de-terre-500g-al3026-000.html","8.8")</f>
        <v>8.8</v>
      </c>
      <c r="H68" s="9" t="str">
        <f>HYPERLINK("https://satoriz-comboire.bio/products/ma5005?_pos=1&amp;_sid=7918f591f&amp;_ss=r","6.3")</f>
        <v>6.3</v>
      </c>
      <c r="J68" s="7" t="str">
        <f>HYPERLINK("https://www.greenweez.com/produit/fecule-de-pomme-de-terre-500g-1/1MKAL0230","6.14")</f>
        <v>6.14</v>
      </c>
    </row>
    <row r="69" spans="1:12" x14ac:dyDescent="0.3">
      <c r="A69" t="s">
        <v>207</v>
      </c>
      <c r="B69" s="9" t="str">
        <f>HYPERLINK("https://lafourche.fr/products/celnat-tapioca-250g","9.68")</f>
        <v>9.68</v>
      </c>
      <c r="C69" t="s">
        <v>15</v>
      </c>
      <c r="D69">
        <v>888888</v>
      </c>
      <c r="E69" s="11" t="s">
        <v>99</v>
      </c>
      <c r="F69">
        <v>888888</v>
      </c>
      <c r="H69" s="7" t="str">
        <f>HYPERLINK("https://satoriz-comboire.bio/products/eu7671?_pos=3&amp;_sid=7918f591f&amp;_ss=r","9.4")</f>
        <v>9.4</v>
      </c>
      <c r="I69" s="8" t="s">
        <v>208</v>
      </c>
      <c r="J69" s="9" t="str">
        <f>HYPERLINK("https://www.greenweez.com/produit/fecule-de-tapioca-500g/1MAVI0037","9.8")</f>
        <v>9.8</v>
      </c>
      <c r="K69" s="8" t="s">
        <v>105</v>
      </c>
    </row>
    <row r="70" spans="1:12" x14ac:dyDescent="0.3">
      <c r="A70" t="s">
        <v>209</v>
      </c>
      <c r="B70" s="9" t="str">
        <f>HYPERLINK("https://lafourche.fr/products/joannusmolen-maizena-250g","11.96")</f>
        <v>11.96</v>
      </c>
      <c r="C70" s="8" t="s">
        <v>210</v>
      </c>
      <c r="D70" s="9" t="str">
        <f>HYPERLINK("https://www.biocoop.fr/amidon-de-mais-250g-jm1111-000.html","888888")</f>
        <v>888888</v>
      </c>
      <c r="E70" s="11" t="s">
        <v>99</v>
      </c>
      <c r="F70" s="9" t="str">
        <f>HYPERLINK("https://www.biocoop.fr/amidon-de-mais-250g-jm1111-000.html","14.8")</f>
        <v>14.8</v>
      </c>
      <c r="H70" s="9" t="str">
        <f>HYPERLINK("https://satoriz-comboire.bio/products/eu2350?_pos=2&amp;_sid=7918f591f&amp;_ss=r","13.4")</f>
        <v>13.4</v>
      </c>
      <c r="I70" s="8" t="s">
        <v>211</v>
      </c>
      <c r="J70" s="7" t="str">
        <f>HYPERLINK("https://www.greenweez.com/produit/amidon-de-mais-sans-gluten-bio-500g/2WEEZ0207","8.56")</f>
        <v>8.56</v>
      </c>
      <c r="K70" s="8" t="s">
        <v>212</v>
      </c>
    </row>
    <row r="71" spans="1:12" x14ac:dyDescent="0.3">
      <c r="A71" t="s">
        <v>213</v>
      </c>
      <c r="B71" s="7" t="str">
        <f>HYPERLINK("https://lafourche.fr/products/la-fourche-tomates-sechees-a-lhuile-bio-0-28kg","12.11")</f>
        <v>12.11</v>
      </c>
      <c r="D71" s="9" t="str">
        <f>HYPERLINK("https://www.biocoop.fr/tomates-sechees-a-l-huile-190g-oi5058-000.html","888888")</f>
        <v>888888</v>
      </c>
      <c r="F71" s="9" t="str">
        <f>HYPERLINK("https://www.biocoop.fr/tomates-sechees-a-l-huile-190g-oi5058-000.html","21.0")</f>
        <v>21.0</v>
      </c>
      <c r="H71" s="9" t="str">
        <f>HYPERLINK("https://satoriz-comboire.bio/products/igpose06?_pos=3&amp;_sid=2863f3a20&amp;_ss=r","15.53")</f>
        <v>15.53</v>
      </c>
      <c r="J71" s="9" t="str">
        <f>HYPERLINK("https://www.greenweez.com/produit/tomates-sechees-a-lhuile-190g-3/1BIOO0004","25.79")</f>
        <v>25.79</v>
      </c>
    </row>
    <row r="72" spans="1:12" x14ac:dyDescent="0.3">
      <c r="A72" t="s">
        <v>214</v>
      </c>
      <c r="B72" s="9" t="str">
        <f>HYPERLINK("https://lafourche.fr/products/la-fourche-poivrons-grilles-a-lhuile-bio-0-19kg","15.53")</f>
        <v>15.53</v>
      </c>
      <c r="D72" s="9" t="str">
        <f>HYPERLINK("https://www.biocoop.fr/poivrons-grilles-a-l-huile-190g-oi5057-000.html","888888")</f>
        <v>888888</v>
      </c>
      <c r="F72" s="9" t="str">
        <f>HYPERLINK("https://www.biocoop.fr/poivrons-grilles-a-l-huile-190g-oi5057-000.html","17.89")</f>
        <v>17.89</v>
      </c>
      <c r="H72" s="9" t="str">
        <f>HYPERLINK("https://satoriz-comboire.bio/products/ig23?_pos=1&amp;_sid=bd3227372&amp;_ss=r","14.21")</f>
        <v>14.21</v>
      </c>
      <c r="J72" s="7" t="str">
        <f>HYPERLINK("https://www.greenweez.com/produit/poivrons-rouges-grilles-en-saumure-310g/1RAPU0184","9.65")</f>
        <v>9.65</v>
      </c>
    </row>
    <row r="73" spans="1:12" x14ac:dyDescent="0.3">
      <c r="A73" t="s">
        <v>215</v>
      </c>
      <c r="B73" s="7" t="str">
        <f>HYPERLINK("https://lafourche.fr/products/la-fourche-artichauts-grilles-a-lhuile-bio-0-19kg","15.74")</f>
        <v>15.74</v>
      </c>
      <c r="D73" s="9" t="str">
        <f>HYPERLINK("https://www.biocoop.fr/artichaut-grille-a-l-huile-190g-oi5055-000.html","888888")</f>
        <v>888888</v>
      </c>
      <c r="F73" s="9" t="str">
        <f>HYPERLINK("https://www.biocoop.fr/artichaut-grille-a-l-huile-190g-oi5055-000.html","23.42")</f>
        <v>23.42</v>
      </c>
      <c r="H73" s="9" t="str">
        <f>HYPERLINK("https://satoriz-comboire.bio/products/iggrca03?_pos=1&amp;_sid=a6f336c8a&amp;_ss=r","18.95")</f>
        <v>18.95</v>
      </c>
      <c r="J73" s="9" t="str">
        <f>HYPERLINK("https://www.greenweez.com/produit/artichauts-grilles-a-lhuile-190g/1BIOO0006","27.84")</f>
        <v>27.84</v>
      </c>
    </row>
    <row r="74" spans="1:12" x14ac:dyDescent="0.3">
      <c r="A74" t="s">
        <v>216</v>
      </c>
      <c r="B74" s="9" t="str">
        <f>HYPERLINK("https://lafourche.fr/products/philia-olives-vertes-entiere-bio-0-35kg","12.47")</f>
        <v>12.47</v>
      </c>
      <c r="D74" s="9" t="str">
        <f>HYPERLINK("https://www.biocoop.fr/olive-verte-nature-500g-net-egoutte-pm0931-000.html","888888")</f>
        <v>888888</v>
      </c>
      <c r="F74" s="9" t="str">
        <f>HYPERLINK("https://www.biocoop.fr/olive-verte-nature-500g-net-egoutte-pm0931-000.html","13.1")</f>
        <v>13.1</v>
      </c>
      <c r="H74" s="9" t="str">
        <f>HYPERLINK("https://satoriz-comboire.bio/products/re39209?_pos=8&amp;_sid=06b61fa87&amp;_ss=r","14.21")</f>
        <v>14.21</v>
      </c>
      <c r="J74" s="7" t="str">
        <f>HYPERLINK("https://www.greenweez.com/produit/olives-vertes-550g/1BIOO0015","11.04")</f>
        <v>11.04</v>
      </c>
    </row>
    <row r="75" spans="1:12" x14ac:dyDescent="0.3">
      <c r="A75" t="s">
        <v>217</v>
      </c>
      <c r="B75" s="9" t="str">
        <f>HYPERLINK("https://lafourche.fr/products/philia-olives-noires-kalamata-entieres-bio-0-35kg","14")</f>
        <v>14</v>
      </c>
      <c r="D75" s="9" t="str">
        <f>HYPERLINK("https://www.biocoop.fr/olive-noire-nature-410g-net-egoutte-oi5062-000.html","11.95")</f>
        <v>11.95</v>
      </c>
      <c r="F75" s="7" t="str">
        <f>HYPERLINK("https://www.biocoop.fr/olive-noire-nature-410g-net-egoutte-oi5062-000.html","10.61")</f>
        <v>10.61</v>
      </c>
      <c r="H75" s="9" t="str">
        <f>HYPERLINK("https://satoriz-comboire.bio/products/re44555?_pos=1&amp;_sid=add1402fc&amp;_ss=r","10.7")</f>
        <v>10.7</v>
      </c>
      <c r="J75" s="9" t="str">
        <f>HYPERLINK("https://www.greenweez.com/produit/olives-noires-au-naturel-500g/2EMIL0096","13.82")</f>
        <v>13.82</v>
      </c>
    </row>
    <row r="76" spans="1:12" x14ac:dyDescent="0.3">
      <c r="A76" t="s">
        <v>218</v>
      </c>
      <c r="B76" s="9" t="str">
        <f>HYPERLINK("https://lafourche.fr/products/nefeli-olives-vertes-denoyautees-bio-0-98kg","15.37")</f>
        <v>15.37</v>
      </c>
      <c r="D76" s="9" t="str">
        <f>HYPERLINK("https://www.biocoop.fr/olive-noire-denoyautee-370g-net-egoutte-oi5060-000.html","888888")</f>
        <v>888888</v>
      </c>
      <c r="F76" s="9" t="str">
        <f>HYPERLINK("https://www.biocoop.fr/olive-noire-denoyautee-370g-net-egoutte-oi5060-000.html","15.68")</f>
        <v>15.68</v>
      </c>
      <c r="H76" s="9" t="str">
        <f>HYPERLINK("https://satoriz-comboire.bio/products/igovsd01?_pos=1&amp;_sid=06b61fa87&amp;_ss=r","16.67")</f>
        <v>16.67</v>
      </c>
      <c r="J76" s="7" t="str">
        <f>HYPERLINK("https://www.greenweez.com/produit/olives-vertes-denoyautees-au-naturel-bio-de-grece-160g/2WEEZ0541","8.51")</f>
        <v>8.51</v>
      </c>
    </row>
    <row r="77" spans="1:12" x14ac:dyDescent="0.3">
      <c r="A77" t="s">
        <v>219</v>
      </c>
      <c r="B77" s="9" t="str">
        <f>HYPERLINK("https://lafourche.fr/products/nefeli-olives-kalamata-denoyautes-bio-0-97kg","17.22")</f>
        <v>17.22</v>
      </c>
      <c r="D77" s="9" t="str">
        <f>HYPERLINK("https://www.biocoop.fr/olive-verte-denoyautee-370g-net-egoutte-oi5066-000.html","888888")</f>
        <v>888888</v>
      </c>
      <c r="F77" s="9" t="str">
        <f>HYPERLINK("https://www.biocoop.fr/olive-verte-denoyautee-370g-net-egoutte-oi5066-000.html","18.11")</f>
        <v>18.11</v>
      </c>
      <c r="H77" s="9" t="str">
        <f>HYPERLINK("https://satoriz-comboire.bio/products/igondevo02?_pos=14&amp;_sid=add1402fc&amp;_ss=r","15.0")</f>
        <v>15.0</v>
      </c>
      <c r="J77" s="7" t="str">
        <f>HYPERLINK("https://www.greenweez.com/produit/olives-noires-kalamata-denoyautees-bio-de-grece-160g/2WEEZ0540","8.78")</f>
        <v>8.78</v>
      </c>
    </row>
    <row r="78" spans="1:12" x14ac:dyDescent="0.3">
      <c r="A78" t="s">
        <v>220</v>
      </c>
      <c r="B78" s="9" t="str">
        <f>HYPERLINK("https://lafourche.fr/products/la-fourche-cornichons-aigre-doux-bio-0-36kg","11.08")</f>
        <v>11.08</v>
      </c>
      <c r="C78" s="8" t="s">
        <v>221</v>
      </c>
      <c r="D78" s="9" t="str">
        <f>HYPERLINK("https://www.biocoop.fr/cornichons-mi-fins-180g-net-egoutte-bs4006-000.html","18.61")</f>
        <v>18.61</v>
      </c>
      <c r="E78" t="s">
        <v>15</v>
      </c>
      <c r="F78" s="9" t="str">
        <f>HYPERLINK("https://www.biocoop.fr/cornichon-aigre-doux-aneth-360g-net-egoutte-ch0048-000.html","18.19")</f>
        <v>18.19</v>
      </c>
      <c r="H78" s="9" t="str">
        <f>HYPERLINK("https://satoriz-comboire.bio/products/re22746?_pos=5&amp;_sid=847aca358&amp;_ss=r","13.75")</f>
        <v>13.75</v>
      </c>
      <c r="I78" s="8" t="s">
        <v>222</v>
      </c>
      <c r="J78" s="7" t="str">
        <f>HYPERLINK("https://www.greenweez.com/produit/cornichons-aigres-doux-bio-entiers-72cl/2WEEZ0494","6.1")</f>
        <v>6.1</v>
      </c>
      <c r="K78" t="s">
        <v>15</v>
      </c>
    </row>
    <row r="79" spans="1:12" x14ac:dyDescent="0.3">
      <c r="A79" t="s">
        <v>223</v>
      </c>
      <c r="B79" s="9" t="str">
        <f>HYPERLINK("https://lafourche.fr/products/philia-capres-bio-au-vinaigre-90g","24.44")</f>
        <v>24.44</v>
      </c>
      <c r="C79" s="8" t="s">
        <v>157</v>
      </c>
      <c r="D79" s="9" t="str">
        <f>HYPERLINK("https://www.biocoop.fr/capres-huile-d-olive-oi5030-000.html","29.44")</f>
        <v>29.44</v>
      </c>
      <c r="E79" s="10" t="s">
        <v>224</v>
      </c>
      <c r="F79" s="9" t="str">
        <f>HYPERLINK("https://www.biocoop.fr/capres-au-vinaigre-90g-net-egoutte-oi5002-000.html","32.22")</f>
        <v>32.22</v>
      </c>
      <c r="H79" s="9" t="str">
        <f>HYPERLINK("https://satoriz-comboire.bio/products/igcaac06?_pos=1&amp;_sid=f306db1db&amp;_ss=r","21.67")</f>
        <v>21.67</v>
      </c>
      <c r="I79" t="s">
        <v>15</v>
      </c>
      <c r="J79" s="7" t="str">
        <f>HYPERLINK("https://www.greenweez.com/produit/capres-surfines-a-lestragon-22-8cl/1BRAV0002","15.53")</f>
        <v>15.53</v>
      </c>
      <c r="K79" t="s">
        <v>15</v>
      </c>
    </row>
    <row r="80" spans="1:12" x14ac:dyDescent="0.3">
      <c r="A80" t="s">
        <v>225</v>
      </c>
      <c r="B80" s="7" t="str">
        <f>HYPERLINK("https://lafourche.fr/products/biodyssee-poivre-noir-moulu-bio-0-5kg","25.82")</f>
        <v>25.82</v>
      </c>
      <c r="C80" s="8" t="s">
        <v>226</v>
      </c>
      <c r="D80" s="9" t="str">
        <f>HYPERLINK("https://www.biocoop.fr/poivre-noir-moulu-45g-ck1425-000.html","87.78")</f>
        <v>87.78</v>
      </c>
      <c r="E80" s="10" t="s">
        <v>227</v>
      </c>
      <c r="F80" s="9" t="str">
        <f>HYPERLINK("https://www.biocoop.fr/poivre-noir-poudre-bio-ck2103-000.html","36.35")</f>
        <v>36.35</v>
      </c>
      <c r="H80" s="9" t="str">
        <f>HYPERLINK("https://satoriz-comboire.bio/products/copoimpf?_pos=1&amp;_sid=858b36494&amp;_ss=r","45.23")</f>
        <v>45.23</v>
      </c>
      <c r="I80" s="10" t="s">
        <v>228</v>
      </c>
      <c r="J80" s="9" t="str">
        <f>HYPERLINK("https://www.greenweez.com/produit/poivre-noir-moulu-220g/1COOK0090","49.45")</f>
        <v>49.45</v>
      </c>
      <c r="K80" s="10" t="s">
        <v>229</v>
      </c>
      <c r="L80">
        <v>0.02</v>
      </c>
    </row>
    <row r="81" spans="1:12" x14ac:dyDescent="0.3">
      <c r="A81" t="s">
        <v>230</v>
      </c>
      <c r="B81" s="7" t="str">
        <f>HYPERLINK("https://lafourche.fr/products/la-fourche-poivre-noir-en-grains-bio-0-5kg","27.98")</f>
        <v>27.98</v>
      </c>
      <c r="C81" t="s">
        <v>15</v>
      </c>
      <c r="D81" s="9" t="str">
        <f>HYPERLINK("https://www.biocoop.fr/poivre-noir-en-grains-200g-ck1402-000.html","61.25")</f>
        <v>61.25</v>
      </c>
      <c r="E81" t="s">
        <v>15</v>
      </c>
      <c r="F81" s="9" t="str">
        <f>HYPERLINK("https://www.biocoop.fr/poivre-noir-en-grains-200g-ck1402-000.html","56.25")</f>
        <v>56.25</v>
      </c>
      <c r="H81" s="9" t="str">
        <f>HYPERLINK("https://satoriz-comboire.bio/products/copovngrec?_pos=4&amp;_sid=62a891f1e&amp;_ss=r","33.9")</f>
        <v>33.9</v>
      </c>
      <c r="I81" s="10" t="s">
        <v>231</v>
      </c>
      <c r="J81" s="9" t="str">
        <f>HYPERLINK("https://www.greenweez.com/produit/poivre-noir-entier-500g/2BIOD0103","31.0")</f>
        <v>31.0</v>
      </c>
      <c r="K81" s="8" t="s">
        <v>232</v>
      </c>
    </row>
    <row r="82" spans="1:12" x14ac:dyDescent="0.3">
      <c r="A82" t="s">
        <v>233</v>
      </c>
      <c r="B82" s="9" t="str">
        <f>HYPERLINK("https://lafourche.fr/products/cook-poivre-blanc-en-grains-bio-0-05kg","100.4")</f>
        <v>100.4</v>
      </c>
      <c r="C82" s="10" t="s">
        <v>234</v>
      </c>
      <c r="D82" s="9" t="str">
        <f>HYPERLINK("https://www.biocoop.fr/poivre-blanc-moulin-50g-sm0364-000.html","99.8")</f>
        <v>99.8</v>
      </c>
      <c r="E82" t="s">
        <v>15</v>
      </c>
      <c r="F82" s="9" t="str">
        <f>HYPERLINK("https://www.biocoop.fr/poivre-blanc-moulin-50g-sm0364-000.html","888888")</f>
        <v>888888</v>
      </c>
      <c r="H82" s="9" t="str">
        <f>HYPERLINK("https://satoriz-comboire.bio/products/copobgc?_pos=1&amp;_sid=62a891f1e&amp;_ss=r","113.0")</f>
        <v>113.0</v>
      </c>
      <c r="I82" s="10" t="s">
        <v>235</v>
      </c>
      <c r="J82" s="7" t="str">
        <f>HYPERLINK("https://www.greenweez.com/produit/poivre-blanc-entier-moulin-rechargeable-50g/2BIOD0036","91.0")</f>
        <v>91.0</v>
      </c>
      <c r="K82" s="8" t="s">
        <v>236</v>
      </c>
    </row>
    <row r="83" spans="1:12" x14ac:dyDescent="0.3">
      <c r="A83" t="s">
        <v>237</v>
      </c>
      <c r="B83" s="9" t="str">
        <f>HYPERLINK("https://lafourche.fr/products/cook-melange-3-baies-bio-45g","107.78")</f>
        <v>107.78</v>
      </c>
      <c r="C83" s="10" t="s">
        <v>238</v>
      </c>
      <c r="D83" s="9" t="str">
        <f>HYPERLINK("https://www.biocoop.fr/poivre-melange-3-baies-45g-ck1224-000.html","127.78")</f>
        <v>127.78</v>
      </c>
      <c r="E83" t="s">
        <v>15</v>
      </c>
      <c r="F83" s="9" t="str">
        <f>HYPERLINK("https://www.biocoop.fr/poivre-melange-3-baies-45g-ck1224-000.html","127.78")</f>
        <v>127.78</v>
      </c>
      <c r="H83" s="9" t="str">
        <f>HYPERLINK("https://satoriz-comboire.bio/products/co3b?_pos=2&amp;_sid=7800f3f38&amp;_ss=r","106.67")</f>
        <v>106.67</v>
      </c>
      <c r="I83" s="10" t="s">
        <v>239</v>
      </c>
      <c r="J83" s="7" t="str">
        <f>HYPERLINK("https://www.greenweez.com/produit/melange-de-poivres-50g/1LEBE0023","68.0")</f>
        <v>68.0</v>
      </c>
      <c r="K83" t="s">
        <v>15</v>
      </c>
    </row>
    <row r="84" spans="1:12" x14ac:dyDescent="0.3">
      <c r="A84" t="s">
        <v>240</v>
      </c>
      <c r="B84" s="7" t="str">
        <f>HYPERLINK("https://lafourche.fr/products/cook-baies-de-genievre-bio-0-025kg","93.2")</f>
        <v>93.2</v>
      </c>
      <c r="C84" s="8" t="s">
        <v>127</v>
      </c>
      <c r="D84" s="9" t="str">
        <f>HYPERLINK("https://www.biocoop.fr/baies-de-genievre-25g-ck1210-000.html","104.0")</f>
        <v>104.0</v>
      </c>
      <c r="E84" t="s">
        <v>15</v>
      </c>
      <c r="F84" s="9" t="str">
        <f>HYPERLINK("https://www.biocoop.fr/baies-de-genievre-25g-ck1210-000.html","110.0")</f>
        <v>110.0</v>
      </c>
      <c r="H84" s="9" t="str">
        <f>HYPERLINK("https://satoriz-comboire.bio/products/cogen?_pos=1&amp;_sid=7910a3a2a&amp;_ss=r","102.0")</f>
        <v>102.0</v>
      </c>
      <c r="I84" t="s">
        <v>15</v>
      </c>
      <c r="J84" s="9" t="str">
        <f>HYPERLINK("https://www.greenweez.com/produit/genievre-baies-bio-50g/1LACA0017","888888")</f>
        <v>888888</v>
      </c>
      <c r="K84" s="11" t="s">
        <v>99</v>
      </c>
    </row>
    <row r="85" spans="1:12" x14ac:dyDescent="0.3">
      <c r="A85" t="s">
        <v>241</v>
      </c>
      <c r="B85" s="7" t="str">
        <f>HYPERLINK("https://lafourche.fr/products/danival-sel-gros-atlantique-1kg","1.49")</f>
        <v>1.49</v>
      </c>
      <c r="C85" t="s">
        <v>15</v>
      </c>
      <c r="D85" s="9" t="str">
        <f>HYPERLINK("https://www.biocoop.fr/gros-sel-de-guerande-gu0133-000.html","2.7")</f>
        <v>2.7</v>
      </c>
      <c r="E85" t="s">
        <v>15</v>
      </c>
      <c r="F85" s="9" t="str">
        <f>HYPERLINK("https://www.biocoop.fr/gros-sel-de-guerande-gu0133-000.html","2.7")</f>
        <v>2.7</v>
      </c>
      <c r="H85" s="9" t="str">
        <f>HYPERLINK("https://satoriz-comboire.bio/collections/epicerie-salee/products/da0052","1.55")</f>
        <v>1.55</v>
      </c>
      <c r="I85" s="8" t="s">
        <v>242</v>
      </c>
      <c r="J85" s="9" t="str">
        <f>HYPERLINK("https://www.greenweez.com/produit/sel-gros-de-latlantique-1kg/1DANI0333","1.62")</f>
        <v>1.62</v>
      </c>
      <c r="K85" s="8" t="s">
        <v>198</v>
      </c>
    </row>
    <row r="86" spans="1:12" x14ac:dyDescent="0.3">
      <c r="A86" t="s">
        <v>243</v>
      </c>
      <c r="B86" s="7" t="str">
        <f>HYPERLINK("https://lafourche.fr/products/danival-sel-fin-atlantique-1kg","1.75")</f>
        <v>1.75</v>
      </c>
      <c r="C86" t="s">
        <v>15</v>
      </c>
      <c r="D86" s="9" t="str">
        <f>HYPERLINK("https://www.biocoop.fr/sel-fin-de-guerande-gu0105-000.html","5.0")</f>
        <v>5.0</v>
      </c>
      <c r="E86" t="s">
        <v>15</v>
      </c>
      <c r="F86" s="9" t="str">
        <f>HYPERLINK("https://www.biocoop.fr/sel-fin-de-guerande-gu0105-000.html","5.0")</f>
        <v>5.0</v>
      </c>
      <c r="H86" s="9" t="str">
        <f>HYPERLINK("https://satoriz-comboire.bio/collections/epicerie-salee/products/da0021","1.85")</f>
        <v>1.85</v>
      </c>
      <c r="I86" s="8" t="s">
        <v>244</v>
      </c>
      <c r="J86" s="9" t="str">
        <f>HYPERLINK("https://www.greenweez.com/produit/sel-fin-de-guerande-500g/1LEGU0004","7.08")</f>
        <v>7.08</v>
      </c>
      <c r="K86" s="8" t="s">
        <v>245</v>
      </c>
    </row>
    <row r="87" spans="1:12" x14ac:dyDescent="0.3">
      <c r="A87" s="5" t="s">
        <v>246</v>
      </c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2" x14ac:dyDescent="0.3">
      <c r="A88" t="s">
        <v>247</v>
      </c>
      <c r="B88" s="7" t="str">
        <f>HYPERLINK("https://lafourche.fr/products/prosain-couscous-aux-7-legumes-bio-1kg","5.98")</f>
        <v>5.98</v>
      </c>
      <c r="D88" s="9" t="str">
        <f>HYPERLINK("https://www.biocoop.fr/couscous-7-legumes-pr5174-000.html","5.99")</f>
        <v>5.99</v>
      </c>
      <c r="F88" s="9" t="str">
        <f>HYPERLINK("https://www.biocoop.fr/couscous-7-legumes-pr5174-000.html","5.99")</f>
        <v>5.99</v>
      </c>
      <c r="H88" s="9" t="str">
        <f>HYPERLINK("https://satoriz-comboire.bio/products/fd000623?_pos=2&amp;_sid=7511bf09f&amp;_ss=r","7.15")</f>
        <v>7.15</v>
      </c>
      <c r="J88" s="9" t="str">
        <f>HYPERLINK("https://www.greenweez.com/produit/couscous-aux-7-legumes-1kg/1PROS0058","7.75")</f>
        <v>7.75</v>
      </c>
    </row>
    <row r="89" spans="1:12" x14ac:dyDescent="0.3">
      <c r="A89" t="s">
        <v>248</v>
      </c>
      <c r="B89" s="7" t="str">
        <f>HYPERLINK("https://lafourche.fr/products/elibio-petits-pois-bio-400g","5.32")</f>
        <v>5.32</v>
      </c>
      <c r="D89" s="9" t="str">
        <f>HYPERLINK("https://www.biocoop.fr/petits-pois-extra-fins-sans-sel-240g-net-egoutte-pr5177-000.html","15.0")</f>
        <v>15.0</v>
      </c>
      <c r="F89" s="9" t="str">
        <f>HYPERLINK("https://www.biocoop.fr/petits-pois-530g-net-egoutte-mg5035-000.html","7.17")</f>
        <v>7.17</v>
      </c>
      <c r="H89" s="9" t="str">
        <f>HYPERLINK("https://satoriz-comboire.bio/products/re44454?_pos=6&amp;_sid=dd8a0af67&amp;_ss=r","6.25")</f>
        <v>6.25</v>
      </c>
      <c r="J89" s="9" t="str">
        <f>HYPERLINK("https://www.greenweez.com/produit/petits-pois-a-letuvee-400g/1LUCE0019","6.58")</f>
        <v>6.58</v>
      </c>
    </row>
    <row r="90" spans="1:12" x14ac:dyDescent="0.3">
      <c r="A90" t="s">
        <v>249</v>
      </c>
      <c r="B90" s="7" t="str">
        <f>HYPERLINK("https://lafourche.fr/products/elibio-mais-doux-bio-300g","5.23")</f>
        <v>5.23</v>
      </c>
      <c r="D90" s="9" t="str">
        <f>HYPERLINK("https://www.biocoop.fr/mais-doux-285g-net-egoutte-cf7000-000.html","6.32")</f>
        <v>6.32</v>
      </c>
      <c r="F90" s="9" t="str">
        <f>HYPERLINK("https://www.biocoop.fr/mais-doux-285g-net-egoutte-cf7000-000.html","6.32")</f>
        <v>6.32</v>
      </c>
      <c r="H90" s="9" t="str">
        <f>HYPERLINK("https://satoriz-comboire.bio/products/re44453?_pos=1&amp;_sid=648b2db9d&amp;_ss=r","5.96")</f>
        <v>5.96</v>
      </c>
      <c r="J90" s="9" t="str">
        <f>HYPERLINK("https://www.greenweez.com/produit/lot-de-3-mais-bio-origine-france-300g/1PACK3606","5.57")</f>
        <v>5.57</v>
      </c>
    </row>
    <row r="91" spans="1:12" x14ac:dyDescent="0.3">
      <c r="A91" t="s">
        <v>250</v>
      </c>
      <c r="B91" s="9" t="str">
        <f>HYPERLINK("https://lafourche.fr/products/elibio-haricots-verts-bio-800g","5.39")</f>
        <v>5.39</v>
      </c>
      <c r="D91" s="9" t="str">
        <f>HYPERLINK("https://www.biocoop.fr/haricots-verts-extra-fins-220g-net-egoutte-cf7001-000.html","10.91")</f>
        <v>10.91</v>
      </c>
      <c r="F91" s="9" t="str">
        <f>HYPERLINK("https://www.biocoop.fr/haricots-verts-extra-fins-440g-net-egoutte-mg5033-000.html","8.87")</f>
        <v>8.87</v>
      </c>
      <c r="H91" s="9" t="str">
        <f>HYPERLINK("https://satoriz-comboire.bio/products/re44456?_pos=4&amp;_sid=de1e57aee&amp;_ss=r","6.36")</f>
        <v>6.36</v>
      </c>
      <c r="J91" s="7" t="str">
        <f>HYPERLINK("https://www.greenweez.com/produit/lot-de-2-haricots-verts-bio-origine-france-800g/1PACK3593","2.78")</f>
        <v>2.78</v>
      </c>
    </row>
    <row r="92" spans="1:12" x14ac:dyDescent="0.3">
      <c r="A92" t="s">
        <v>685</v>
      </c>
      <c r="B92" s="9" t="str">
        <f>HYPERLINK("https://lafourche.fr/products/macedoine","11.09")</f>
        <v>11.09</v>
      </c>
      <c r="D92" s="9" t="str">
        <f>HYPERLINK("https://www.biocoop.fr/macedoine-de-legumes-445g-rc0863-000.html","8.43")</f>
        <v>8.43</v>
      </c>
      <c r="F92" s="9" t="str">
        <f>HYPERLINK("https://www.biocoop.fr/macedoine-de-legumes-240g-net-egoutte-rc0864-000.html","12.46")</f>
        <v>12.46</v>
      </c>
      <c r="H92" s="7" t="str">
        <f>HYPERLINK("https://satoriz-comboire.bio/products/ch720?_pos=1&amp;_psq=mac%C3%A9doine&amp;_ss=e&amp;_v=1.0","7.64")</f>
        <v>7.64</v>
      </c>
      <c r="J92" s="9" t="str">
        <f>HYPERLINK("https://www.greenweez.com/produit/macedoine-de-legumes-370ml/1PRIM0832","8.94")</f>
        <v>8.94</v>
      </c>
    </row>
    <row r="93" spans="1:12" x14ac:dyDescent="0.3">
      <c r="A93" s="5" t="s">
        <v>252</v>
      </c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2" x14ac:dyDescent="0.3">
      <c r="A94" t="s">
        <v>253</v>
      </c>
      <c r="B94" s="9" t="str">
        <f>HYPERLINK("https://lafourche.fr/products/la-fourche-huile-dolive-vierge-extra-origine-espagne-bio-3l","11.89")</f>
        <v>11.89</v>
      </c>
      <c r="C94" s="8" t="s">
        <v>254</v>
      </c>
      <c r="D94" s="7" t="str">
        <f>HYPERLINK("https://www.biocoop.fr/huile-d-olive-vierge-extra-1l-mg1090-000.html","8.95")</f>
        <v>8.95</v>
      </c>
      <c r="E94" t="s">
        <v>15</v>
      </c>
      <c r="F94" s="9" t="str">
        <f>HYPERLINK("https://www.biocoop.fr/huile-d-olive-1l-co7008-000.html","10.99")</f>
        <v>10.99</v>
      </c>
      <c r="H94" s="9" t="str">
        <f>HYPERLINK("https://satoriz-comboire.bio/collections/epicerie-salee/products/vo1","15.35")</f>
        <v>15.35</v>
      </c>
      <c r="I94" s="8" t="s">
        <v>255</v>
      </c>
      <c r="J94" s="9" t="str">
        <f>HYPERLINK("https://www.greenweez.com/produit/huile-dolive-vierge-extra-1l-1/1LUCE0020","15.96")</f>
        <v>15.96</v>
      </c>
      <c r="K94" s="8" t="s">
        <v>256</v>
      </c>
      <c r="L94">
        <v>0.5</v>
      </c>
    </row>
    <row r="95" spans="1:12" x14ac:dyDescent="0.3">
      <c r="A95" t="s">
        <v>257</v>
      </c>
      <c r="B95" s="7" t="str">
        <f>HYPERLINK("https://lafourche.fr/products/la-fourche-huile-de-tournesol-vierge-origine-france-bio-3l","3.5")</f>
        <v>3.5</v>
      </c>
      <c r="C95" s="10" t="s">
        <v>258</v>
      </c>
      <c r="D95" s="9" t="str">
        <f>HYPERLINK("https://www.biocoop.fr/huile-de-tournesol-france-1l-mg1154-000.html","4.72")</f>
        <v>4.72</v>
      </c>
      <c r="E95" s="10" t="s">
        <v>259</v>
      </c>
      <c r="F95" s="9" t="str">
        <f>HYPERLINK("https://www.biocoop.fr/huile-de-tournesol-france-1l-mg1154-000.html","4.46")</f>
        <v>4.46</v>
      </c>
      <c r="H95" s="9" t="str">
        <f>HYPERLINK("https://satoriz-comboire.bio/collections/epicerie-salee/products/re38671","3.8")</f>
        <v>3.8</v>
      </c>
      <c r="I95" s="10" t="s">
        <v>260</v>
      </c>
      <c r="J95" s="9" t="str">
        <f>HYPERLINK("https://www.greenweez.com/produit/huile-de-tournesol-vierge-3l/1OILI0003","5.65")</f>
        <v>5.65</v>
      </c>
      <c r="K95" s="10" t="s">
        <v>261</v>
      </c>
      <c r="L95">
        <v>0.5</v>
      </c>
    </row>
    <row r="96" spans="1:12" x14ac:dyDescent="0.3">
      <c r="A96" t="s">
        <v>262</v>
      </c>
      <c r="B96" s="7" t="str">
        <f>HYPERLINK("https://lafourche.fr/products/la-fourche-huile-de-colza-vierge-bio-3l","4.65")</f>
        <v>4.65</v>
      </c>
      <c r="C96" t="s">
        <v>15</v>
      </c>
      <c r="D96" s="9" t="str">
        <f>HYPERLINK("https://www.biocoop.fr/huile-colza-1l-co7002-000.html","7.05")</f>
        <v>7.05</v>
      </c>
      <c r="E96" s="8" t="s">
        <v>263</v>
      </c>
      <c r="F96" s="9" t="str">
        <f>HYPERLINK("https://www.biocoop.fr/huile-colza-1l-co7002-000.html","6.45")</f>
        <v>6.45</v>
      </c>
      <c r="H96" s="9" t="str">
        <f>HYPERLINK("https://satoriz-comboire.bio/collections/epicerie-salee/products/re42186","5.65")</f>
        <v>5.65</v>
      </c>
      <c r="I96" s="10" t="s">
        <v>264</v>
      </c>
      <c r="J96" s="9" t="str">
        <f>HYPERLINK("https://www.greenweez.com/produit/huile-de-colza-vierge-bio-1l/2WEEZ0242","6.49")</f>
        <v>6.49</v>
      </c>
      <c r="K96" t="s">
        <v>15</v>
      </c>
    </row>
    <row r="97" spans="1:12" x14ac:dyDescent="0.3">
      <c r="A97" t="s">
        <v>265</v>
      </c>
      <c r="B97" s="7" t="str">
        <f>HYPERLINK("https://lafourche.fr/products/la-fourche-huile-de-coco-desodorisee-bio-et-equitable-1l","8.99")</f>
        <v>8.99</v>
      </c>
      <c r="C97" s="10" t="s">
        <v>231</v>
      </c>
      <c r="D97" s="9" t="str">
        <f>HYPERLINK("https://www.biocoop.fr/huile-de-coco-desodorisee-950ml-mg1141-000.html","14.89")</f>
        <v>14.89</v>
      </c>
      <c r="E97" s="8" t="s">
        <v>266</v>
      </c>
      <c r="F97" s="9" t="str">
        <f>HYPERLINK("https://www.biocoop.fr/huile-de-coco-desodorisee-950ml-mg1141-000.html","12.89")</f>
        <v>12.89</v>
      </c>
      <c r="H97" s="9" t="str">
        <f>HYPERLINK("https://satoriz-comboire.bio/collections/epicerie-salee/products/pr1424","11.7")</f>
        <v>11.7</v>
      </c>
      <c r="I97" t="s">
        <v>15</v>
      </c>
      <c r="J97" s="9" t="str">
        <f>HYPERLINK("https://www.greenweez.com/produit/huile-de-coco-du-sri-lanka-1l/1BASE0016","9.1")</f>
        <v>9.1</v>
      </c>
      <c r="K97" s="10" t="s">
        <v>267</v>
      </c>
    </row>
    <row r="98" spans="1:12" x14ac:dyDescent="0.3">
      <c r="A98" t="s">
        <v>269</v>
      </c>
      <c r="B98" s="7" t="str">
        <f>HYPERLINK("https://lafourche.fr/products/la-fourche-vinaigre-de-cidre-bio-1l","2.70")</f>
        <v>2.70</v>
      </c>
      <c r="C98" s="11" t="s">
        <v>99</v>
      </c>
      <c r="D98" s="9" t="str">
        <f>HYPERLINK("https://www.biocoop.fr/vinaigre-de-cidre-75cl-cn0222-000.html","4.33")</f>
        <v>4.33</v>
      </c>
      <c r="E98" t="s">
        <v>15</v>
      </c>
      <c r="F98" s="9" t="str">
        <f>HYPERLINK("https://www.biocoop.fr/vinaigre-de-cidre-75cl-cn0222-000.html","4.33")</f>
        <v>4.33</v>
      </c>
      <c r="H98" s="9" t="str">
        <f>HYPERLINK("https://satoriz-comboire.bio/collections/epicerie-salee/products/re38988","3.4")</f>
        <v>3.4</v>
      </c>
      <c r="I98" s="8" t="s">
        <v>270</v>
      </c>
      <c r="J98" s="9" t="str">
        <f>HYPERLINK("https://www.greenweez.com/produit/vinaigre-de-cidre-bio-75cl/2WEEZ0409","3.44")</f>
        <v>3.44</v>
      </c>
      <c r="K98" t="s">
        <v>15</v>
      </c>
      <c r="L98">
        <v>0.2</v>
      </c>
    </row>
    <row r="99" spans="1:12" x14ac:dyDescent="0.3">
      <c r="A99" t="s">
        <v>271</v>
      </c>
      <c r="B99" s="7" t="str">
        <f>HYPERLINK("https://lafourche.fr/products/la-fourche-vinaigre-balsamique-de-modene-bio-1l","5.95")</f>
        <v>5.95</v>
      </c>
      <c r="C99" t="s">
        <v>15</v>
      </c>
      <c r="D99" s="9" t="str">
        <f>HYPERLINK("https://www.biocoop.fr/vinaigre-balsamique-de-modene-50cl-po2022-000.html","888888")</f>
        <v>888888</v>
      </c>
      <c r="E99" s="11" t="s">
        <v>99</v>
      </c>
      <c r="F99" s="9" t="str">
        <f>HYPERLINK("https://www.biocoop.fr/vinaigre-balsamique-de-modene-50cl-po2022-000.html","9.1")</f>
        <v>9.1</v>
      </c>
      <c r="H99" s="9" t="str">
        <f>HYPERLINK("https://satoriz-comboire.bio/collections/epicerie-salee/products/re38990","7.27")</f>
        <v>7.27</v>
      </c>
      <c r="I99" s="8" t="s">
        <v>272</v>
      </c>
      <c r="J99" s="9" t="str">
        <f>HYPERLINK("https://www.greenweez.com/produit/vinaigre-balsamique-de-modene-bio-50cl/2WEEZ0408","6.96")</f>
        <v>6.96</v>
      </c>
      <c r="K99" t="s">
        <v>15</v>
      </c>
    </row>
    <row r="100" spans="1:12" x14ac:dyDescent="0.3">
      <c r="A100" t="s">
        <v>273</v>
      </c>
      <c r="B100" s="9" t="str">
        <f>HYPERLINK("https://lafourche.fr/products/laselva-vinaigre-balsamique-blanc-500ml-bio","9")</f>
        <v>9</v>
      </c>
      <c r="C100" t="s">
        <v>15</v>
      </c>
      <c r="D100">
        <v>888888</v>
      </c>
      <c r="E100" s="11" t="s">
        <v>99</v>
      </c>
      <c r="F100">
        <v>888888</v>
      </c>
      <c r="H100" s="7" t="str">
        <f>HYPERLINK("https://satoriz-comboire.bio/collections/epicerie-salee/products/sd09327118331","6.6")</f>
        <v>6.6</v>
      </c>
      <c r="I100" s="10" t="s">
        <v>274</v>
      </c>
      <c r="J100" s="9" t="str">
        <f>HYPERLINK("https://www.greenweez.com/produit/vinaigre-balsamique-blanc-500ml/1SELV0040","11.2")</f>
        <v>11.2</v>
      </c>
      <c r="K100" t="s">
        <v>15</v>
      </c>
    </row>
    <row r="101" spans="1:12" x14ac:dyDescent="0.3">
      <c r="A101" s="5" t="s">
        <v>275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2" x14ac:dyDescent="0.3">
      <c r="A102" t="s">
        <v>276</v>
      </c>
      <c r="B102" s="7" t="str">
        <f>HYPERLINK("https://lafourche.fr/products/la-fourche-petit-epeautre-bio-en-vrac-1kg","4.29")</f>
        <v>4.29</v>
      </c>
      <c r="C102" s="8" t="s">
        <v>277</v>
      </c>
      <c r="D102" s="9" t="str">
        <f>HYPERLINK("https://www.biocoop.fr/petit-epeautre-decortique-500g-br0273-000.html","6.9")</f>
        <v>6.9</v>
      </c>
      <c r="E102" t="s">
        <v>15</v>
      </c>
      <c r="F102" s="9" t="str">
        <f>HYPERLINK("https://www.biocoop.fr/petit-epeautre-decortique-500g-br0273-000.html","888888")</f>
        <v>888888</v>
      </c>
      <c r="H102" s="9" t="str">
        <f>HYPERLINK("https://satoriz-comboire.bio/collections/vrac/products/re42050","4.55")</f>
        <v>4.55</v>
      </c>
      <c r="I102" s="8" t="s">
        <v>278</v>
      </c>
      <c r="J102" s="9" t="str">
        <f>HYPERLINK("https://www.greenweez.com/produit/petit-epeautre-500g/1MKAL0113","5.12")</f>
        <v>5.12</v>
      </c>
      <c r="K102" s="10" t="s">
        <v>279</v>
      </c>
      <c r="L102">
        <v>0</v>
      </c>
    </row>
    <row r="103" spans="1:12" x14ac:dyDescent="0.3">
      <c r="A103" t="s">
        <v>280</v>
      </c>
      <c r="B103" s="7" t="str">
        <f>HYPERLINK("https://lafourche.fr/products/la-fourche-graines-tournesol-bio-en-vrac-1kg","4.3")</f>
        <v>4.3</v>
      </c>
      <c r="C103" t="s">
        <v>15</v>
      </c>
      <c r="D103" s="9" t="str">
        <f>HYPERLINK("https://www.biocoop.fr/sarrasin-decortique-bio-ra6027-000.html","5.99")</f>
        <v>5.99</v>
      </c>
      <c r="E103" t="s">
        <v>15</v>
      </c>
      <c r="F103" s="9" t="str">
        <f>HYPERLINK("https://www.biocoop.fr/sarrasin-decortique-bio-ra6027-000.html","6.99")</f>
        <v>6.99</v>
      </c>
      <c r="H103" s="9" t="str">
        <f>HYPERLINK("https://satoriz-comboire.bio/collections/vrac/products/eco759","7.05")</f>
        <v>7.05</v>
      </c>
      <c r="I103" s="8" t="s">
        <v>281</v>
      </c>
      <c r="J103" s="9" t="str">
        <f>HYPERLINK("https://www.greenweez.com/produit/sarrasin-decortique-3kg/5GREE0100","5.33")</f>
        <v>5.33</v>
      </c>
      <c r="K103" t="s">
        <v>15</v>
      </c>
      <c r="L103">
        <v>0.5</v>
      </c>
    </row>
    <row r="104" spans="1:12" x14ac:dyDescent="0.3">
      <c r="A104" t="s">
        <v>282</v>
      </c>
      <c r="B104" s="7" t="str">
        <f>HYPERLINK("https://lafourche.fr/products/solid-food-1kg-de-quinoa-blanc-en-vrac-bio","6.3")</f>
        <v>6.3</v>
      </c>
      <c r="C104" t="s">
        <v>15</v>
      </c>
      <c r="D104" s="9" t="str">
        <f>HYPERLINK("https://www.biocoop.fr/quinoa-france-bio-br0263-000.html","8.4")</f>
        <v>8.4</v>
      </c>
      <c r="E104" s="10" t="s">
        <v>283</v>
      </c>
      <c r="F104" s="9" t="str">
        <f>HYPERLINK("https://www.biocoop.fr/quinoa-france-bio-br0263-000.html","8.4")</f>
        <v>8.4</v>
      </c>
      <c r="H104" s="9" t="str">
        <f>HYPERLINK("https://satoriz-comboire.bio/collections/vrac/products/bg1","8.8")</f>
        <v>8.8</v>
      </c>
      <c r="I104" s="10" t="s">
        <v>274</v>
      </c>
      <c r="J104" s="9" t="str">
        <f>HYPERLINK("https://www.greenweez.com/produit/quinoa-real-blanc-1kg/1MKAL0120","9.12")</f>
        <v>9.12</v>
      </c>
      <c r="K104" s="8" t="s">
        <v>284</v>
      </c>
      <c r="L104">
        <v>0.5</v>
      </c>
    </row>
    <row r="105" spans="1:12" x14ac:dyDescent="0.3">
      <c r="A105" t="s">
        <v>285</v>
      </c>
      <c r="B105" s="7" t="str">
        <f>HYPERLINK("https://lafourche.fr/products/la-fourche-quinoa-tricolore-bio-en-vrac-1kg","6.95")</f>
        <v>6.95</v>
      </c>
      <c r="C105" t="s">
        <v>15</v>
      </c>
      <c r="D105" s="9" t="str">
        <f>HYPERLINK("https://www.biocoop.fr/quinoa-real-bolivie-3-couleurs-bio-sm0366-000.html","8.9")</f>
        <v>8.9</v>
      </c>
      <c r="E105" t="s">
        <v>15</v>
      </c>
      <c r="F105" s="9" t="str">
        <f>HYPERLINK("https://www.biocoop.fr/quinoa-real-bolivie-3-couleurs-bio-sm0366-000.html","8.6")</f>
        <v>8.6</v>
      </c>
      <c r="H105" s="9" t="str">
        <f>HYPERLINK("https://satoriz-comboire.bio/products/eu7921?_pos=2&amp;_sid=f28a0cca6&amp;_ss=r","7.2")</f>
        <v>7.2</v>
      </c>
      <c r="I105" s="8" t="s">
        <v>286</v>
      </c>
      <c r="J105" s="9" t="str">
        <f>HYPERLINK("https://www.greenweez.com/produit/quinoa-tricolore-bio-500g/2WEEZ0157","9.9")</f>
        <v>9.9</v>
      </c>
      <c r="K105" s="8" t="s">
        <v>287</v>
      </c>
      <c r="L105">
        <v>0.5</v>
      </c>
    </row>
    <row r="106" spans="1:12" x14ac:dyDescent="0.3">
      <c r="A106" t="s">
        <v>288</v>
      </c>
      <c r="B106" s="7" t="str">
        <f>HYPERLINK("https://lafourche.fr/products/la-fourche-1kg-de-boulgour-gros-bio-en-vrac","2.79")</f>
        <v>2.79</v>
      </c>
      <c r="C106" s="8" t="s">
        <v>242</v>
      </c>
      <c r="D106" s="9" t="str">
        <f>HYPERLINK("https://www.biocoop.fr/boulgour-ble-gros-france-1kg-ma8005-000.html","3.99")</f>
        <v>3.99</v>
      </c>
      <c r="E106" t="s">
        <v>15</v>
      </c>
      <c r="F106" s="9" t="str">
        <f>HYPERLINK("https://www.biocoop.fr/boulgour-ble-gros-france-1kg-ma8005-000.html","3.6")</f>
        <v>3.6</v>
      </c>
      <c r="H106" s="9" t="str">
        <f>HYPERLINK("https://satoriz-comboire.bio/collections/vrac/products/ma11050","3.5")</f>
        <v>3.5</v>
      </c>
      <c r="I106" s="10" t="s">
        <v>289</v>
      </c>
      <c r="J106" s="9" t="str">
        <f>HYPERLINK("https://www.greenweez.com/produit/boulgour-traditionnel-bio-2-5kg/2WEEZ0215","3.58")</f>
        <v>3.58</v>
      </c>
      <c r="K106" s="8" t="s">
        <v>290</v>
      </c>
      <c r="L106">
        <v>0.2</v>
      </c>
    </row>
    <row r="107" spans="1:12" x14ac:dyDescent="0.3">
      <c r="A107" t="s">
        <v>291</v>
      </c>
      <c r="B107" s="7" t="str">
        <f>HYPERLINK("https://lafourche.fr/products/la-fourche-1kg-de-graines-de-millet-bio-en-vrac","3.5")</f>
        <v>3.5</v>
      </c>
      <c r="C107" s="8" t="s">
        <v>292</v>
      </c>
      <c r="D107" s="9" t="str">
        <f>HYPERLINK("https://www.biocoop.fr/millet-decortique-bio-md1001-000.html","4.3")</f>
        <v>4.3</v>
      </c>
      <c r="E107" s="8" t="s">
        <v>293</v>
      </c>
      <c r="F107" s="9" t="str">
        <f>HYPERLINK("https://www.biocoop.fr/millet-decortique-france-500g-al8046-000.html","5.8")</f>
        <v>5.8</v>
      </c>
      <c r="H107" s="7" t="str">
        <f>HYPERLINK("https://satoriz-comboire.bio/collections/vrac/products/re39809","3.5")</f>
        <v>3.5</v>
      </c>
      <c r="I107" s="8" t="s">
        <v>294</v>
      </c>
      <c r="J107" s="9" t="str">
        <f>HYPERLINK("https://www.greenweez.com/produit/millet-bio-2-5kg/2WEEZ0528","3.56")</f>
        <v>3.56</v>
      </c>
      <c r="K107" t="s">
        <v>15</v>
      </c>
    </row>
    <row r="108" spans="1:12" x14ac:dyDescent="0.3">
      <c r="A108" t="s">
        <v>295</v>
      </c>
      <c r="B108" s="7" t="str">
        <f>HYPERLINK("https://lafourche.fr/products/la-fourche-1kg-de-couscous-complet-bio-en-vrac","2.3")</f>
        <v>2.3</v>
      </c>
      <c r="C108" s="10" t="s">
        <v>296</v>
      </c>
      <c r="D108" s="9" t="str">
        <f>HYPERLINK("https://www.biocoop.fr/couscous-ble-dur-complet-bio-bi9030-000.html","3.25")</f>
        <v>3.25</v>
      </c>
      <c r="E108" t="s">
        <v>15</v>
      </c>
      <c r="F108" s="9" t="str">
        <f>HYPERLINK("https://www.biocoop.fr/couscous-ble-dur-complet-500g-bi9019-000.html","4.4")</f>
        <v>4.4</v>
      </c>
      <c r="H108" s="9" t="str">
        <f>HYPERLINK("https://satoriz-comboire.bio/collections/vrac/products/re40833","2.55")</f>
        <v>2.55</v>
      </c>
      <c r="I108" s="8" t="s">
        <v>297</v>
      </c>
      <c r="J108" s="9" t="str">
        <f>HYPERLINK("https://www.greenweez.com/produit/couscous-complet-bio-2-5kg/2WEEZ0216","3.79")</f>
        <v>3.79</v>
      </c>
      <c r="K108" t="s">
        <v>15</v>
      </c>
    </row>
    <row r="109" spans="1:12" x14ac:dyDescent="0.3">
      <c r="A109" t="s">
        <v>298</v>
      </c>
      <c r="B109" s="7" t="str">
        <f>HYPERLINK("https://lafourche.fr/products/la-fourche-ble-tendre-complet-bio-en-vrac-1kg","1.59")</f>
        <v>1.59</v>
      </c>
      <c r="C109" t="s">
        <v>15</v>
      </c>
      <c r="D109">
        <v>888888</v>
      </c>
      <c r="E109" s="11" t="s">
        <v>99</v>
      </c>
      <c r="F109">
        <v>888888</v>
      </c>
      <c r="H109" s="9" t="str">
        <f>HYPERLINK("https://satoriz-comboire.bio/products/eco608?_pos=3&amp;_sid=c145f4454&amp;_ss=r","1.65")</f>
        <v>1.65</v>
      </c>
      <c r="I109" s="8" t="s">
        <v>299</v>
      </c>
      <c r="J109" s="9" t="str">
        <f>HYPERLINK("https://www.greenweez.com/produit/ble-tendre-complet-500g/1MKAL0007","2.56")</f>
        <v>2.56</v>
      </c>
      <c r="K109" s="10" t="s">
        <v>300</v>
      </c>
    </row>
    <row r="110" spans="1:12" x14ac:dyDescent="0.3">
      <c r="A110" t="s">
        <v>301</v>
      </c>
      <c r="B110" s="9" t="str">
        <f>HYPERLINK("https://lafourche.fr/products/la-fourche-polenta-bio-en-vrac-1kg","3.55")</f>
        <v>3.55</v>
      </c>
      <c r="C110" s="10" t="s">
        <v>302</v>
      </c>
      <c r="D110" s="9" t="str">
        <f>HYPERLINK("https://www.biocoop.fr/semoule-de-mais-instantanee-polenta-bio-ma8079-000.html","3.85")</f>
        <v>3.85</v>
      </c>
      <c r="E110" t="s">
        <v>15</v>
      </c>
      <c r="F110" s="9" t="str">
        <f>HYPERLINK("https://www.biocoop.fr/semoule-de-mais-instantanee-polenta-bio-ma8079-000.html","3.6")</f>
        <v>3.6</v>
      </c>
      <c r="H110" s="9" t="str">
        <f>HYPERLINK("https://satoriz-comboire.bio/products/ma71051?_pos=5&amp;_sid=36154f2e5&amp;_ss=r","3.6")</f>
        <v>3.6</v>
      </c>
      <c r="I110" s="10" t="s">
        <v>303</v>
      </c>
      <c r="J110" s="7" t="str">
        <f>HYPERLINK("https://www.greenweez.com/produit/semoule-mais-fine-1kg/1MKAL0272","3.43")</f>
        <v>3.43</v>
      </c>
      <c r="K110" s="10" t="s">
        <v>304</v>
      </c>
    </row>
    <row r="111" spans="1:12" x14ac:dyDescent="0.3">
      <c r="A111" t="s">
        <v>305</v>
      </c>
      <c r="B111" s="7" t="str">
        <f>HYPERLINK("https://lafourche.fr/products/la-fourche-500g-de-graines-de-tournesol-en-vrac-bio","3.7")</f>
        <v>3.7</v>
      </c>
      <c r="C111" t="s">
        <v>15</v>
      </c>
      <c r="D111" s="9" t="str">
        <f>HYPERLINK("https://www.biocoop.fr/tournesol-decortique-bio-al8034-000.html","10.35")</f>
        <v>10.35</v>
      </c>
      <c r="E111" t="s">
        <v>15</v>
      </c>
      <c r="F111" s="45" t="str">
        <f>HYPERLINK("https://www.biocoop.fr/tournesol-decortique-250g-al8033-000.html","11.96")</f>
        <v>11.96</v>
      </c>
      <c r="H111" s="9" t="str">
        <f>HYPERLINK("https://satoriz-comboire.bio/products/re39556?_pos=3&amp;_sid=9a1745164&amp;_ss=r","7.7")</f>
        <v>7.7</v>
      </c>
      <c r="I111" s="8" t="s">
        <v>306</v>
      </c>
      <c r="J111" s="9" t="str">
        <f>HYPERLINK("https://www.greenweez.com/produit/graines-de-tournesol-decortiquees-bio-500g/2WEEZ0020","5.36")</f>
        <v>5.36</v>
      </c>
      <c r="K111" t="s">
        <v>15</v>
      </c>
      <c r="L111">
        <v>0.1</v>
      </c>
    </row>
    <row r="112" spans="1:12" x14ac:dyDescent="0.3">
      <c r="A112" t="s">
        <v>307</v>
      </c>
      <c r="B112" s="9" t="str">
        <f>HYPERLINK("https://lafourche.fr/products/la-fourche-500g-de-graines-de-lin-brun-bio-en-vrac","4.76")</f>
        <v>4.76</v>
      </c>
      <c r="C112" s="8" t="s">
        <v>308</v>
      </c>
      <c r="D112" s="9" t="str">
        <f>HYPERLINK("https://www.biocoop.fr/graine-de-lin-brun-bio-br0236-000.html","5.53")</f>
        <v>5.53</v>
      </c>
      <c r="E112" s="10" t="s">
        <v>309</v>
      </c>
      <c r="F112" s="9" t="str">
        <f>HYPERLINK("https://www.biocoop.fr/graine-de-lin-brun-bio-br0236-000.html","5.8")</f>
        <v>5.8</v>
      </c>
      <c r="H112" s="7" t="str">
        <f>HYPERLINK("https://satoriz-comboire.bio/products/re39808?_pos=9&amp;_sid=2d728524c&amp;_ss=r","4.75")</f>
        <v>4.75</v>
      </c>
      <c r="I112" s="8" t="s">
        <v>310</v>
      </c>
      <c r="J112" s="9" t="str">
        <f>HYPERLINK("https://www.greenweez.com/produit/graines-de-lin-brun-bio-500g/2WEEZ0019","4.76")</f>
        <v>4.76</v>
      </c>
      <c r="K112" t="s">
        <v>15</v>
      </c>
      <c r="L112">
        <v>0.1</v>
      </c>
    </row>
    <row r="113" spans="1:12" x14ac:dyDescent="0.3">
      <c r="A113" t="s">
        <v>311</v>
      </c>
      <c r="B113" s="7" t="str">
        <f>HYPERLINK("https://lafourche.fr/products/la-fourche-500g-de-graines-de-sesames-bio-en-vrac","5.4")</f>
        <v>5.4</v>
      </c>
      <c r="C113" t="s">
        <v>15</v>
      </c>
      <c r="D113">
        <v>888888</v>
      </c>
      <c r="E113" s="11" t="s">
        <v>99</v>
      </c>
      <c r="F113">
        <v>888888</v>
      </c>
      <c r="H113" s="9" t="str">
        <f>HYPERLINK("https://satoriz-comboire.bio/products/eu203?_pos=5&amp;_sid=2bd1fd04d&amp;_ss=r","5.95")</f>
        <v>5.95</v>
      </c>
      <c r="I113" s="8" t="s">
        <v>312</v>
      </c>
      <c r="J113" s="9" t="str">
        <f>HYPERLINK("https://www.greenweez.com/produit/sesame-complet-bio-500g/2WEEZ0028","7.9")</f>
        <v>7.9</v>
      </c>
      <c r="K113" s="8" t="s">
        <v>313</v>
      </c>
    </row>
    <row r="114" spans="1:12" x14ac:dyDescent="0.3">
      <c r="A114" t="s">
        <v>314</v>
      </c>
      <c r="B114" s="7" t="str">
        <f>HYPERLINK("https://lafourche.fr/products/la-fourche-500g-de-graines-de-chia-bio-en-vrac","6.8")</f>
        <v>6.8</v>
      </c>
      <c r="C114" s="10" t="s">
        <v>315</v>
      </c>
      <c r="D114" s="9" t="str">
        <f>HYPERLINK("https://www.biocoop.fr/graines-de-chia-qu1026-000.html","888888")</f>
        <v>888888</v>
      </c>
      <c r="E114" s="11" t="s">
        <v>99</v>
      </c>
      <c r="F114" s="9" t="str">
        <f>HYPERLINK("https://www.biocoop.fr/graines-de-chia-qu1026-000.html","888888")</f>
        <v>888888</v>
      </c>
      <c r="H114" s="7" t="str">
        <f>HYPERLINK("https://satoriz-comboire.bio/products/bofchia?_pos=6&amp;_sid=c84fead2c&amp;_ss=r","6.8")</f>
        <v>6.8</v>
      </c>
      <c r="I114" s="10" t="s">
        <v>29</v>
      </c>
      <c r="J114" s="9" t="str">
        <f>HYPERLINK("https://www.greenweez.com/produit/graines-de-chia-bio-500g/2WEEZ0337","9.96")</f>
        <v>9.96</v>
      </c>
      <c r="K114" t="s">
        <v>15</v>
      </c>
    </row>
    <row r="115" spans="1:12" x14ac:dyDescent="0.3">
      <c r="A115" t="s">
        <v>316</v>
      </c>
      <c r="B115" s="9" t="str">
        <f>HYPERLINK("https://lafourche.fr/products/la-fourche-500g-de-graines-de-courge-en-vrac-bio","12.6")</f>
        <v>12.6</v>
      </c>
      <c r="C115" t="s">
        <v>15</v>
      </c>
      <c r="D115">
        <v>888888</v>
      </c>
      <c r="E115" s="11" t="s">
        <v>99</v>
      </c>
      <c r="F115" s="45" t="str">
        <f>HYPERLINK("https://www.biocoop.fr/graine-de-courge-france-250g-al8045-000.html","20.80")</f>
        <v>20.80</v>
      </c>
      <c r="H115" s="9" t="str">
        <f>HYPERLINK("https://satoriz-comboire.bio/products/ec008?_pos=3&amp;_sid=8f28a5498&amp;_ss=r","14.95")</f>
        <v>14.95</v>
      </c>
      <c r="I115" s="10" t="s">
        <v>317</v>
      </c>
      <c r="J115" s="7" t="str">
        <f>HYPERLINK("https://www.greenweez.com/produit/graines-de-courge-bio-500g/2WEEZ0530","11.88")</f>
        <v>11.88</v>
      </c>
      <c r="K115" t="s">
        <v>15</v>
      </c>
    </row>
    <row r="116" spans="1:12" x14ac:dyDescent="0.3">
      <c r="A116" t="s">
        <v>318</v>
      </c>
      <c r="B116" s="9" t="str">
        <f>HYPERLINK("https://lafourche.fr/products/la-fourche-250g-de-pignons-de-cedre-en-vrac-bio","43.6")</f>
        <v>43.6</v>
      </c>
      <c r="C116" t="s">
        <v>15</v>
      </c>
      <c r="D116">
        <v>888888</v>
      </c>
      <c r="E116" s="11" t="s">
        <v>99</v>
      </c>
      <c r="F116">
        <v>888888</v>
      </c>
      <c r="H116" s="7" t="str">
        <f>HYPERLINK("https://satoriz-comboire.bio/products/bof3007?_pos=1&amp;_sid=3170df032&amp;_ss=r","41.4")</f>
        <v>41.4</v>
      </c>
      <c r="I116" s="10" t="s">
        <v>319</v>
      </c>
      <c r="J116" s="9" t="str">
        <f>HYPERLINK("https://www.greenweez.com/produit/pignons-de-cedre-500g/2WEEZ0403","47.9")</f>
        <v>47.9</v>
      </c>
      <c r="K116" s="10" t="s">
        <v>320</v>
      </c>
    </row>
    <row r="117" spans="1:12" x14ac:dyDescent="0.3">
      <c r="A117" t="s">
        <v>321</v>
      </c>
      <c r="B117" s="7" t="str">
        <f>HYPERLINK("https://lafourche.fr/products/la-fourche-pignons-de-pin-bio-0-25kg","57.92")</f>
        <v>57.92</v>
      </c>
      <c r="C117" s="10" t="s">
        <v>322</v>
      </c>
      <c r="D117">
        <v>888888</v>
      </c>
      <c r="E117" s="11" t="s">
        <v>99</v>
      </c>
      <c r="F117">
        <v>888888</v>
      </c>
      <c r="H117" s="9" t="str">
        <f>HYPERLINK("https://satoriz-comboire.bio/products/ag639?_pos=2&amp;_sid=265828df9&amp;_ss=r","94.8")</f>
        <v>94.8</v>
      </c>
      <c r="I117" s="10" t="s">
        <v>323</v>
      </c>
      <c r="J117" s="9" t="str">
        <f>HYPERLINK("https://www.greenweez.com/produit/pignons-de-pin-bio-125g/1DPFS0044","102.0")</f>
        <v>102.0</v>
      </c>
      <c r="K117" s="10" t="s">
        <v>324</v>
      </c>
    </row>
    <row r="118" spans="1:12" x14ac:dyDescent="0.3">
      <c r="A118" t="s">
        <v>325</v>
      </c>
      <c r="B118" s="7" t="str">
        <f>HYPERLINK("https://lafourche.fr/products/la-fourche-1kg-de-pois-chiches-en-vrac-bio","3.61")</f>
        <v>3.61</v>
      </c>
      <c r="C118" s="8" t="s">
        <v>326</v>
      </c>
      <c r="D118" s="9" t="str">
        <f>HYPERLINK("https://www.biocoop.fr/pois-chiches-bio-al8031-000.html","4.95")</f>
        <v>4.95</v>
      </c>
      <c r="E118" t="s">
        <v>15</v>
      </c>
      <c r="F118" s="9" t="str">
        <f>HYPERLINK("https://www.biocoop.fr/pois-chiches-bio-al8031-000.html","4.5")</f>
        <v>4.5</v>
      </c>
      <c r="H118" s="9" t="str">
        <f>HYPERLINK("https://satoriz-comboire.bio/collections/vrac/products/re40037","3.7")</f>
        <v>3.7</v>
      </c>
      <c r="I118" t="s">
        <v>15</v>
      </c>
      <c r="J118" s="9" t="str">
        <f>HYPERLINK("https://www.greenweez.com/produit/pois-chiches-origine-france-3kg/5GREE0125","4.65")</f>
        <v>4.65</v>
      </c>
      <c r="K118" s="8" t="s">
        <v>327</v>
      </c>
      <c r="L118">
        <v>0.2</v>
      </c>
    </row>
    <row r="119" spans="1:12" x14ac:dyDescent="0.3">
      <c r="A119" t="s">
        <v>328</v>
      </c>
      <c r="B119" s="7" t="str">
        <f>HYPERLINK("https://lafourche.fr/products/la-fourche-1kg-de-lentilles-corail-bio-en-vrac","3.3")</f>
        <v>3.3</v>
      </c>
      <c r="C119" s="10" t="s">
        <v>329</v>
      </c>
      <c r="D119" s="9" t="str">
        <f>HYPERLINK("https://www.biocoop.fr/lentilles-corail-500g-al8038-000.html","8.7")</f>
        <v>8.7</v>
      </c>
      <c r="E119" t="s">
        <v>15</v>
      </c>
      <c r="F119" s="9" t="str">
        <f>HYPERLINK("https://www.biocoop.fr/lentilles-corail-500g-al8038-000.html","8.4")</f>
        <v>8.4</v>
      </c>
      <c r="H119" s="7" t="str">
        <f>HYPERLINK("https://satoriz-comboire.bio/collections/vrac/products/eu1380","3.3")</f>
        <v>3.3</v>
      </c>
      <c r="I119" s="8" t="s">
        <v>330</v>
      </c>
      <c r="J119" s="9" t="str">
        <f>HYPERLINK("https://www.greenweez.com/produit/lentilles-corail-3kg/5GREE0154","4.0")</f>
        <v>4.0</v>
      </c>
      <c r="K119" s="8" t="s">
        <v>331</v>
      </c>
      <c r="L119">
        <v>0.5</v>
      </c>
    </row>
    <row r="120" spans="1:12" x14ac:dyDescent="0.3">
      <c r="A120" t="s">
        <v>332</v>
      </c>
      <c r="B120" s="7" t="str">
        <f>HYPERLINK("https://lafourche.fr/products/la-fourche-1kg-de-pois-casses-bio-en-vrac","3.99")</f>
        <v>3.99</v>
      </c>
      <c r="C120" t="s">
        <v>15</v>
      </c>
      <c r="D120" s="9" t="str">
        <f>HYPERLINK("https://www.biocoop.fr/pois-casses-france-cuisson-rapide-250g-sa1122-000.html","8.32")</f>
        <v>8.32</v>
      </c>
      <c r="E120" t="s">
        <v>15</v>
      </c>
      <c r="F120" s="9" t="str">
        <f>HYPERLINK("https://www.biocoop.fr/pois-casses-france-500g-al8048-000.html","4.94")</f>
        <v>4.94</v>
      </c>
      <c r="H120" s="9" t="str">
        <f>HYPERLINK("https://satoriz-comboire.bio/collections/vrac/products/eu1363","4.2")</f>
        <v>4.2</v>
      </c>
      <c r="I120" s="10" t="s">
        <v>333</v>
      </c>
      <c r="J120" s="7" t="str">
        <f>HYPERLINK("https://www.greenweez.com/produit/pois-casses-verts-3kg/5GREE0169","3.99")</f>
        <v>3.99</v>
      </c>
      <c r="K120" s="8" t="s">
        <v>334</v>
      </c>
      <c r="L120">
        <v>0.2</v>
      </c>
    </row>
    <row r="121" spans="1:12" x14ac:dyDescent="0.3">
      <c r="A121" t="s">
        <v>335</v>
      </c>
      <c r="B121" s="7" t="str">
        <f>HYPERLINK("https://lafourche.fr/products/la-fourche-1kg-de-lentilles-vertes-bio-en-vrac","4.56")</f>
        <v>4.56</v>
      </c>
      <c r="C121" s="8" t="s">
        <v>336</v>
      </c>
      <c r="D121" s="9" t="str">
        <f>HYPERLINK("https://www.biocoop.fr/lentilles-vertes-bio-br0278-000.html","5.25")</f>
        <v>5.25</v>
      </c>
      <c r="E121" s="10" t="s">
        <v>337</v>
      </c>
      <c r="F121" s="9" t="str">
        <f>HYPERLINK("https://www.biocoop.fr/lentilles-vertes-bio-br0278-000.html","5.3")</f>
        <v>5.3</v>
      </c>
      <c r="H121" s="9" t="str">
        <f>HYPERLINK("https://satoriz-comboire.bio/collections/vrac/products/re39341","4.8")</f>
        <v>4.8</v>
      </c>
      <c r="I121" t="s">
        <v>15</v>
      </c>
      <c r="J121" s="9" t="str">
        <f>HYPERLINK("https://www.greenweez.com/produit/lentilles-vertes-bio-france-2-5kg/2WEEZ0296","5.38")</f>
        <v>5.38</v>
      </c>
      <c r="K121" t="s">
        <v>15</v>
      </c>
      <c r="L121">
        <v>0.5</v>
      </c>
    </row>
    <row r="122" spans="1:12" x14ac:dyDescent="0.3">
      <c r="A122" t="s">
        <v>338</v>
      </c>
      <c r="B122" s="7" t="str">
        <f>HYPERLINK("https://lafourche.fr/products/celnat-haricots-blancs-lingots-de-vendee-500g","6.52")</f>
        <v>6.52</v>
      </c>
      <c r="D122" s="9" t="str">
        <f>HYPERLINK("https://www.biocoop.fr/haricots-blancs-lingots-500g-fc1002-000.html","8.4")</f>
        <v>8.4</v>
      </c>
      <c r="F122" s="45" t="str">
        <f>HYPERLINK("https://www.biocoop.fr/magasin-biocoop_fontaine/haricots-blancs-lingots-bio-al8036-000.html","6.90")</f>
        <v>6.90</v>
      </c>
      <c r="H122" s="9" t="str">
        <f>HYPERLINK("https://satoriz-comboire.bio/products/ra1?_pos=1&amp;_sid=ae7e90580&amp;_ss=r","6.95")</f>
        <v>6.95</v>
      </c>
      <c r="J122">
        <v>888888</v>
      </c>
    </row>
    <row r="123" spans="1:12" x14ac:dyDescent="0.3">
      <c r="A123" t="s">
        <v>339</v>
      </c>
      <c r="B123" s="7" t="str">
        <f>HYPERLINK("https://lafourche.fr/products/la-fourche-penne-complete-bio-en-vrac-1kg","2.2")</f>
        <v>2.2</v>
      </c>
      <c r="C123" s="10" t="s">
        <v>340</v>
      </c>
      <c r="D123" s="9" t="str">
        <f>HYPERLINK("https://www.biocoop.fr/pennes-complet-bio-al0143-000.html","3.05")</f>
        <v>3.05</v>
      </c>
      <c r="E123" t="s">
        <v>15</v>
      </c>
      <c r="F123" s="9" t="str">
        <f>HYPERLINK("https://www.biocoop.fr/penne-completes-500g-al0137-000.html","3.0")</f>
        <v>3.0</v>
      </c>
      <c r="H123" s="9" t="str">
        <f>HYPERLINK("https://satoriz-comboire.bio/collections/vrac/products/eu1054","2.8")</f>
        <v>2.8</v>
      </c>
      <c r="I123" t="s">
        <v>15</v>
      </c>
      <c r="J123" s="9" t="str">
        <f>HYPERLINK("https://www.greenweez.com/produit/penne-bio-semi-complete-500g/2WEEZ0490","2.98")</f>
        <v>2.98</v>
      </c>
      <c r="K123" t="s">
        <v>15</v>
      </c>
      <c r="L123">
        <v>0.5</v>
      </c>
    </row>
    <row r="124" spans="1:12" x14ac:dyDescent="0.3">
      <c r="A124" t="s">
        <v>341</v>
      </c>
      <c r="B124" s="7" t="str">
        <f>HYPERLINK("https://lafourche.fr/products/la-fourche-coquillettes-completes-bio-en-vrac-1kg","1.99")</f>
        <v>1.99</v>
      </c>
      <c r="C124" s="10" t="s">
        <v>342</v>
      </c>
      <c r="D124" s="9" t="str">
        <f>HYPERLINK("https://www.biocoop.fr/coquillettes-1-2-completes-bio-al0060-000.html","2.2")</f>
        <v>2.2</v>
      </c>
      <c r="E124" s="10" t="s">
        <v>343</v>
      </c>
      <c r="F124" s="9" t="str">
        <f>HYPERLINK("https://www.biocoop.fr/coquillettes-completes-500g-al0028-000.html","3.2")</f>
        <v>3.2</v>
      </c>
      <c r="H124" s="9" t="str">
        <f>HYPERLINK("https://satoriz-comboire.bio/collections/vrac/products/eu1053","2.8")</f>
        <v>2.8</v>
      </c>
      <c r="I124" t="s">
        <v>15</v>
      </c>
      <c r="J124" s="9" t="str">
        <f>HYPERLINK("https://www.greenweez.com/produit/coquillettes-demi-completes-1kg/1PRIM0788","2.87")</f>
        <v>2.87</v>
      </c>
      <c r="K124" s="8" t="s">
        <v>344</v>
      </c>
      <c r="L124">
        <v>0.5</v>
      </c>
    </row>
    <row r="125" spans="1:12" x14ac:dyDescent="0.3">
      <c r="A125" t="s">
        <v>345</v>
      </c>
      <c r="B125" s="9" t="str">
        <f>HYPERLINK("https://lafourche.fr/products/bio-pour-tous-spaghetti-complets-bio-500g","2.4")</f>
        <v>2.4</v>
      </c>
      <c r="D125" s="9" t="str">
        <f>HYPERLINK("https://www.biocoop.fr/spaghettis-complets-500g-al0001-000.html","3.14")</f>
        <v>3.14</v>
      </c>
      <c r="F125" s="9" t="str">
        <f>HYPERLINK("https://www.biocoop.fr/spaghettis-complets-500g-al0001-000.html","2.9")</f>
        <v>2.9</v>
      </c>
      <c r="H125" s="7" t="str">
        <f>HYPERLINK("https://satoriz-comboire.bio/products/re44650?_pos=5&amp;_sid=376ef8b42&amp;_ss=r","2.15")</f>
        <v>2.15</v>
      </c>
      <c r="J125" s="9" t="str">
        <f>HYPERLINK("https://www.greenweez.com/produit/spaghettis-complets-bio-italie-500g/2WEEZ0029","3.38")</f>
        <v>3.38</v>
      </c>
    </row>
    <row r="126" spans="1:12" x14ac:dyDescent="0.3">
      <c r="A126" t="s">
        <v>346</v>
      </c>
      <c r="B126" s="9" t="str">
        <f>HYPERLINK("https://lafourche.fr/products/bio-pour-tous-fusilli-integrales-bio-500g","2.52")</f>
        <v>2.52</v>
      </c>
      <c r="D126" s="9" t="str">
        <f>HYPERLINK("https://www.biocoop.fr/spirales-completes-500g-al0025-000.html","3.24")</f>
        <v>3.24</v>
      </c>
      <c r="F126" s="9" t="str">
        <f>HYPERLINK("https://www.biocoop.fr/spirales-completes-500g-al0025-000.html","3.2")</f>
        <v>3.2</v>
      </c>
      <c r="H126" s="7" t="str">
        <f>HYPERLINK("https://satoriz-comboire.bio/products/re39052?_pos=1&amp;_sid=2d3ebab7a&amp;_ss=r","2.3")</f>
        <v>2.3</v>
      </c>
      <c r="J126" s="9" t="str">
        <f>HYPERLINK("https://www.greenweez.com/produit/torsades-completes-bio-italie-500g/2WEEZ0024","3.38")</f>
        <v>3.38</v>
      </c>
    </row>
    <row r="127" spans="1:12" x14ac:dyDescent="0.3">
      <c r="A127" t="s">
        <v>347</v>
      </c>
      <c r="B127" s="7" t="str">
        <f>HYPERLINK("https://lafourche.fr/products/la-fourche-1kg-de-riz-basmati-complet-en-vrac-bio","3.5")</f>
        <v>3.5</v>
      </c>
      <c r="C127" s="10" t="s">
        <v>348</v>
      </c>
      <c r="D127" s="9" t="str">
        <f>HYPERLINK("https://www.biocoop.fr/riz-basmati-complet-bio-mf0081-000.html","4.4")</f>
        <v>4.4</v>
      </c>
      <c r="E127" s="10" t="s">
        <v>349</v>
      </c>
      <c r="F127" s="9" t="str">
        <f>HYPERLINK("https://www.biocoop.fr/riz-basmati-complet-mf0014-000.html","6.2")</f>
        <v>6.2</v>
      </c>
      <c r="H127" s="9" t="str">
        <f>HYPERLINK("https://satoriz-comboire.bio/collections/vrac/products/eu2292","3.7")</f>
        <v>3.7</v>
      </c>
      <c r="I127" s="8" t="s">
        <v>350</v>
      </c>
      <c r="J127" s="9" t="str">
        <f>HYPERLINK("https://www.greenweez.com/produit/riz-basmati-complet-bio-2-5kg/2WEEZ0124","4.38")</f>
        <v>4.38</v>
      </c>
      <c r="K127" s="8" t="s">
        <v>119</v>
      </c>
    </row>
    <row r="128" spans="1:12" x14ac:dyDescent="0.3">
      <c r="A128" t="s">
        <v>351</v>
      </c>
      <c r="B128" s="9" t="str">
        <f>HYPERLINK("https://lafourche.fr/products/la-fourche-3kg-de-riz-long-complet-en-vrac-bio-gros-format","4.27")</f>
        <v>4.27</v>
      </c>
      <c r="C128" t="s">
        <v>15</v>
      </c>
      <c r="D128" s="9" t="str">
        <f>HYPERLINK("https://www.biocoop.fr/riz-long-complet-camargue-1kg-bo0100-000.html","4.61")</f>
        <v>4.61</v>
      </c>
      <c r="E128" t="s">
        <v>15</v>
      </c>
      <c r="F128" s="9" t="str">
        <f>HYPERLINK("https://www.biocoop.fr/riz-long-complet-camargue-1kg-bo0100-000.html","4.8")</f>
        <v>4.8</v>
      </c>
      <c r="H128" s="7" t="str">
        <f>HYPERLINK("https://satoriz-comboire.bio/collections/vrac/products/eu629","3.1")</f>
        <v>3.1</v>
      </c>
      <c r="I128" s="10" t="s">
        <v>352</v>
      </c>
      <c r="J128" s="9" t="str">
        <f>HYPERLINK("https://www.greenweez.com/produit/riz-long-brun-bio-2-5kg/2WEEZ0472","3.88")</f>
        <v>3.88</v>
      </c>
      <c r="K128" t="s">
        <v>15</v>
      </c>
      <c r="L128">
        <v>0.5</v>
      </c>
    </row>
    <row r="129" spans="1:12" x14ac:dyDescent="0.3">
      <c r="A129" t="s">
        <v>353</v>
      </c>
      <c r="B129" s="9" t="str">
        <f>HYPERLINK("https://lafourche.fr/products/celnat-riz-rond-complet-de-camargue-igp-bio-0-5kg","5.54")</f>
        <v>5.54</v>
      </c>
      <c r="C129" t="s">
        <v>15</v>
      </c>
      <c r="D129" s="9" t="str">
        <f>HYPERLINK("https://www.biocoop.fr/riz-de-camargue-rond-1-2-complet-1kg-bo0106-000.html","5.25")</f>
        <v>5.25</v>
      </c>
      <c r="E129" s="8" t="s">
        <v>354</v>
      </c>
      <c r="F129" s="9" t="str">
        <f>HYPERLINK("https://www.biocoop.fr/riz-de-camargue-rond-1-2-complet-1kg-bo0106-000.html","4.95")</f>
        <v>4.95</v>
      </c>
      <c r="H129" s="7" t="str">
        <f>HYPERLINK("https://satoriz-comboire.bio/collections/vrac/products/eu624","3.3")</f>
        <v>3.3</v>
      </c>
      <c r="I129" t="s">
        <v>15</v>
      </c>
      <c r="J129" s="9" t="str">
        <f>HYPERLINK("https://www.greenweez.com/produit/riz-rond-complet-bio-2-5kg/2WEEZ0126","4.38")</f>
        <v>4.38</v>
      </c>
      <c r="K129" s="8" t="s">
        <v>355</v>
      </c>
    </row>
    <row r="130" spans="1:12" x14ac:dyDescent="0.3">
      <c r="A130" s="5" t="s">
        <v>356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2" x14ac:dyDescent="0.3">
      <c r="A131" t="s">
        <v>358</v>
      </c>
      <c r="B131" s="9" t="str">
        <f>HYPERLINK("https://lafourche.fr/products/la-fourche-lait-de-coco-bio-0-4l","4.25")</f>
        <v>4.25</v>
      </c>
      <c r="C131" s="9" t="s">
        <v>15</v>
      </c>
      <c r="D131" s="9" t="str">
        <f>HYPERLINK("https://www.biocoop.fr/lait-coco-a-cuisiner-17-mg-tetra-1l-bc9029-000.html","5.14")</f>
        <v>5.14</v>
      </c>
      <c r="E131" s="9" t="s">
        <v>15</v>
      </c>
      <c r="F131" s="9" t="str">
        <f>HYPERLINK("https://www.biocoop.fr/lait-coco-40cl-mc0002-000.html","5.25")</f>
        <v>5.25</v>
      </c>
      <c r="G131" s="9"/>
      <c r="H131" s="12" t="str">
        <f>HYPERLINK("https://satoriz-comboire.bio/products/re41359","3.75")</f>
        <v>3.75</v>
      </c>
      <c r="I131" s="9" t="s">
        <v>99</v>
      </c>
      <c r="J131" s="9" t="str">
        <f>HYPERLINK("https://www.greenweez.com/produit/lait-de-coco-17-mg-400ml-equitable/2WEEZ0407","4.25")</f>
        <v>4.25</v>
      </c>
      <c r="K131" t="s">
        <v>15</v>
      </c>
      <c r="L131">
        <v>0</v>
      </c>
    </row>
    <row r="132" spans="1:12" x14ac:dyDescent="0.3">
      <c r="A132" t="s">
        <v>359</v>
      </c>
      <c r="B132" s="9" t="str">
        <f>HYPERLINK("https://lafourche.fr/products/la-fourche-creme-de-coco-22-de-mg-bio-et-equitable-0-4l","4.63")</f>
        <v>4.63</v>
      </c>
      <c r="C132" t="s">
        <v>15</v>
      </c>
      <c r="D132" s="9" t="str">
        <f>HYPERLINK("https://www.biocoop.fr/creme-coco-a-fouetter-400ml-bc9028-000.html","8.25")</f>
        <v>8.25</v>
      </c>
      <c r="E132" t="s">
        <v>15</v>
      </c>
      <c r="F132" s="9" t="str">
        <f>HYPERLINK("https://www.biocoop.fr/creme-de-coco-a-cuisiner-mc0003-000.html","5.75")</f>
        <v>5.75</v>
      </c>
      <c r="H132" s="7" t="str">
        <f>HYPERLINK("https://satoriz-comboire.bio/collections/produits-frais/products/re41360","4.13")</f>
        <v>4.13</v>
      </c>
      <c r="I132" s="10" t="s">
        <v>360</v>
      </c>
      <c r="J132" s="9" t="str">
        <f>HYPERLINK("https://www.greenweez.com/produit/creme-de-coco-22-mg-40cl/1BASE0009","5.15")</f>
        <v>5.15</v>
      </c>
      <c r="K132" s="8" t="s">
        <v>361</v>
      </c>
      <c r="L132">
        <v>0.3</v>
      </c>
    </row>
    <row r="133" spans="1:12" x14ac:dyDescent="0.3">
      <c r="A133" t="s">
        <v>362</v>
      </c>
      <c r="B133" s="7" t="str">
        <f>HYPERLINK("https://lafourche.fr/products/la-fourche-soja-cuisine-bio-3x20cl-0-6l","3.8")</f>
        <v>3.8</v>
      </c>
      <c r="C133" s="10" t="s">
        <v>363</v>
      </c>
      <c r="D133" s="9" t="str">
        <f>HYPERLINK("https://www.biocoop.fr/cuisine-soja-20cl-sy1605-000.html","7.65")</f>
        <v>7.65</v>
      </c>
      <c r="E133" t="s">
        <v>15</v>
      </c>
      <c r="F133" s="9" t="str">
        <f>HYPERLINK("https://www.biocoop.fr/cuisine-soja-20cl-so-soja-cuisine-ti3018-000.html","5.5")</f>
        <v>5.5</v>
      </c>
      <c r="H133" s="9" t="str">
        <f>HYPERLINK("https://satoriz-comboire.bio/collections/produits-frais/products/aa197367","4.8")</f>
        <v>4.8</v>
      </c>
      <c r="I133" s="8" t="s">
        <v>33</v>
      </c>
      <c r="J133" s="9" t="str">
        <f>HYPERLINK("https://www.greenweez.com/produit/lot-de-3-x-creme-soja-du-chef-25cl/1PACK3768","6.13")</f>
        <v>6.13</v>
      </c>
      <c r="K133" t="s">
        <v>15</v>
      </c>
      <c r="L133">
        <v>0.2</v>
      </c>
    </row>
    <row r="134" spans="1:12" x14ac:dyDescent="0.3">
      <c r="A134" t="s">
        <v>364</v>
      </c>
      <c r="B134" s="7" t="str">
        <f>HYPERLINK("https://lafourche.fr/products/lima-creme-cuisine-a-base-de-riz-bio-0-2kg","4.5")</f>
        <v>4.5</v>
      </c>
      <c r="C134" t="s">
        <v>15</v>
      </c>
      <c r="D134" s="9" t="str">
        <f>HYPERLINK("https://www.biocoop.fr/cuisine-riz-liquide-20cl-ab5020-000.html","4.95")</f>
        <v>4.95</v>
      </c>
      <c r="E134" t="s">
        <v>15</v>
      </c>
      <c r="F134" s="9" t="str">
        <f>HYPERLINK("https://www.biocoop.fr/cuisine-riz-liquide-20cl-ab5020-000.html","4.95")</f>
        <v>4.95</v>
      </c>
      <c r="H134" s="9" t="str">
        <f>HYPERLINK("https://satoriz-comboire.bio/collections/produits-frais/products/aa212388","4.9")</f>
        <v>4.9</v>
      </c>
      <c r="I134" s="8" t="s">
        <v>365</v>
      </c>
      <c r="J134" s="9" t="str">
        <f>HYPERLINK("https://www.greenweez.com/produit/preparation-de-riz-cuisine-200ml/1BRID0019","16.7")</f>
        <v>16.7</v>
      </c>
      <c r="K134" s="10" t="s">
        <v>80</v>
      </c>
      <c r="L134">
        <v>0.2</v>
      </c>
    </row>
    <row r="135" spans="1:12" x14ac:dyDescent="0.3">
      <c r="A135" t="s">
        <v>366</v>
      </c>
      <c r="B135" s="7" t="str">
        <f>HYPERLINK("https://lafourche.fr/products/lima-oat-avoine-cuisine-20cl","4.5")</f>
        <v>4.5</v>
      </c>
      <c r="C135" t="s">
        <v>15</v>
      </c>
      <c r="D135" s="7" t="str">
        <f>HYPERLINK("https://www.biocoop.fr/avoine-cuisine-20cl-tb0030-000.html","4.5")</f>
        <v>4.5</v>
      </c>
      <c r="E135" t="s">
        <v>15</v>
      </c>
      <c r="F135" s="7" t="str">
        <f>HYPERLINK("https://www.biocoop.fr/avoine-cuisine-20cl-tb0030-000.html","4.5")</f>
        <v>4.5</v>
      </c>
      <c r="H135" s="9" t="str">
        <f>HYPERLINK("https://satoriz-comboire.bio/collections/produits-frais/products/tb6","5.75")</f>
        <v>5.75</v>
      </c>
      <c r="I135" s="8" t="s">
        <v>367</v>
      </c>
      <c r="J135" s="9" t="str">
        <f>HYPERLINK("https://www.greenweez.com/produit/puree-davoine-cuisine-200ml/1LIMA0106","5.05")</f>
        <v>5.05</v>
      </c>
      <c r="K135" s="10" t="s">
        <v>368</v>
      </c>
      <c r="L135">
        <v>0.2</v>
      </c>
    </row>
    <row r="136" spans="1:12" x14ac:dyDescent="0.3">
      <c r="A136" t="s">
        <v>369</v>
      </c>
      <c r="B136" s="7" t="str">
        <f>HYPERLINK("https://lafourche.fr/products/lima-creme-cuisine-amande-bio-0-2l","4.9")</f>
        <v>4.9</v>
      </c>
      <c r="C136" t="s">
        <v>15</v>
      </c>
      <c r="D136" s="9" t="str">
        <f>HYPERLINK("https://www.biocoop.fr/cuisine-amande-20cl-hm1061-000.html","9.0")</f>
        <v>9.0</v>
      </c>
      <c r="E136" t="s">
        <v>15</v>
      </c>
      <c r="F136" s="9" t="str">
        <f>HYPERLINK("https://www.biocoop.fr/amande-cuisine-25cl-ma0021-000.html","8.8")</f>
        <v>8.8</v>
      </c>
      <c r="H136" s="9" t="str">
        <f>HYPERLINK("https://satoriz-comboire.bio/collections/produits-frais/products/pera6902a","9.5")</f>
        <v>9.5</v>
      </c>
      <c r="I136" s="8" t="s">
        <v>370</v>
      </c>
      <c r="J136" s="9" t="str">
        <f>HYPERLINK("https://www.greenweez.com/produit/amande-cuisine-20cl-1/1PERL0118","10.15")</f>
        <v>10.15</v>
      </c>
      <c r="K136" s="8" t="s">
        <v>371</v>
      </c>
    </row>
    <row r="137" spans="1:12" x14ac:dyDescent="0.3">
      <c r="A137" t="s">
        <v>372</v>
      </c>
      <c r="B137" s="7" t="str">
        <f>HYPERLINK("https://lafourche.fr/products/autour-du-riz-shoyu-sauce-soja-traditionnelle-bio-600ml","9.37")</f>
        <v>9.37</v>
      </c>
      <c r="C137" s="8" t="s">
        <v>373</v>
      </c>
      <c r="D137" s="9" t="str">
        <f>HYPERLINK("https://www.biocoop.fr/shoyu-traditionnel-sauce-soja-mf1139-000.html","9.92")</f>
        <v>9.92</v>
      </c>
      <c r="E137" t="s">
        <v>15</v>
      </c>
      <c r="F137" s="9" t="str">
        <f>HYPERLINK("https://www.biocoop.fr/shoyu-traditionnel-sauce-soja-mf1139-000.html","9.92")</f>
        <v>9.92</v>
      </c>
      <c r="H137" s="9" t="str">
        <f>HYPERLINK("https://satoriz-comboire.bio/collections/epicerie-salee/products/re2583","11.3")</f>
        <v>11.3</v>
      </c>
      <c r="I137" s="8" t="s">
        <v>374</v>
      </c>
      <c r="J137" s="9" t="str">
        <f>HYPERLINK("https://www.greenweez.com/produit/sauce-soja-shoyu-traditionnel-60cl/1FITN0063","11.23")</f>
        <v>11.23</v>
      </c>
      <c r="K137" s="8" t="s">
        <v>375</v>
      </c>
    </row>
    <row r="138" spans="1:12" x14ac:dyDescent="0.3">
      <c r="A138" t="s">
        <v>376</v>
      </c>
      <c r="B138" s="7" t="str">
        <f>HYPERLINK("https://lafourche.fr/products/autour-du-riz-veritable-sauce-tamari-bio-600ml","10.08")</f>
        <v>10.08</v>
      </c>
      <c r="C138" s="8" t="s">
        <v>377</v>
      </c>
      <c r="D138" s="9" t="str">
        <f>HYPERLINK("https://www.biocoop.fr/veritable-tamari-sauce-soja-mf1140-000.html","11.58")</f>
        <v>11.58</v>
      </c>
      <c r="E138" t="s">
        <v>15</v>
      </c>
      <c r="F138" s="9" t="str">
        <f>HYPERLINK("https://www.biocoop.fr/veritable-tamari-sauce-soja-mf1140-000.html","11.58")</f>
        <v>11.58</v>
      </c>
      <c r="H138" s="9" t="str">
        <f>HYPERLINK("https://satoriz-comboire.bio/products/da2810?_pos=1&amp;_sid=897b7d14d&amp;_ss=r","14.4")</f>
        <v>14.4</v>
      </c>
      <c r="I138" s="8" t="s">
        <v>286</v>
      </c>
      <c r="J138" s="9" t="str">
        <f>HYPERLINK("https://www.greenweez.com/produit/tamari-sauce-soja-60cl/1FITN0065","17.48")</f>
        <v>17.48</v>
      </c>
      <c r="K138" s="8" t="s">
        <v>378</v>
      </c>
    </row>
    <row r="139" spans="1:12" x14ac:dyDescent="0.3">
      <c r="A139" t="s">
        <v>379</v>
      </c>
      <c r="B139" s="9" t="str">
        <f>HYPERLINK("https://lafourche.fr/products/autour-du-riz-marinade-teriyaki-bio-200ml","17.45")</f>
        <v>17.45</v>
      </c>
      <c r="C139" s="8" t="s">
        <v>380</v>
      </c>
      <c r="D139" s="9" t="str">
        <f>HYPERLINK("https://www.biocoop.fr/marinade-teriyaki-sauce-soja-douce-200ml-mf1135-000.html","18.65")</f>
        <v>18.65</v>
      </c>
      <c r="E139" t="s">
        <v>15</v>
      </c>
      <c r="F139" s="9" t="str">
        <f>HYPERLINK("https://www.biocoop.fr/marinade-teriyaki-sauce-soja-douce-200ml-mf1135-000.html","888888")</f>
        <v>888888</v>
      </c>
      <c r="H139" s="7" t="str">
        <f>HYPERLINK("https://satoriz-comboire.bio/products/re31762?_pos=2&amp;_sid=a4310e210&amp;_ss=r","17.0")</f>
        <v>17.0</v>
      </c>
      <c r="I139" s="10" t="s">
        <v>381</v>
      </c>
      <c r="J139" s="9" t="str">
        <f>HYPERLINK("https://www.greenweez.com/produit/marinade-teriyaki-20cl/1FITN0068","19.7")</f>
        <v>19.7</v>
      </c>
      <c r="K139" s="8" t="s">
        <v>382</v>
      </c>
    </row>
    <row r="140" spans="1:12" x14ac:dyDescent="0.3">
      <c r="A140" t="s">
        <v>383</v>
      </c>
      <c r="B140" s="9" t="str">
        <f>HYPERLINK("https://lafourche.fr/products/prosain-coulis-de-tomates-du-sud-ouest-bio-425ml","3.51")</f>
        <v>3.51</v>
      </c>
      <c r="C140" t="s">
        <v>15</v>
      </c>
      <c r="D140" s="9" t="str">
        <f>HYPERLINK("https://www.biocoop.fr/coulis-de-tomates-pr5266-000.html","4.27")</f>
        <v>4.27</v>
      </c>
      <c r="E140" t="s">
        <v>15</v>
      </c>
      <c r="F140" s="9" t="str">
        <f>HYPERLINK("https://www.biocoop.fr/coulis-de-tomates-pr5266-000.html","4.27")</f>
        <v>4.27</v>
      </c>
      <c r="H140" s="9" t="str">
        <f>HYPERLINK("https://satoriz-comboire.bio/products/tdsppr5?_pos=4&amp;_sid=41218c552&amp;_ss=r","4.12")</f>
        <v>4.12</v>
      </c>
      <c r="I140" s="8" t="s">
        <v>384</v>
      </c>
      <c r="J140" s="7" t="str">
        <f>HYPERLINK("https://www.greenweez.com/produit/coulis-de-tomates-bio-500g/2WEEZ0415","2.42")</f>
        <v>2.42</v>
      </c>
      <c r="K140" t="s">
        <v>15</v>
      </c>
      <c r="L140">
        <v>0.5</v>
      </c>
    </row>
    <row r="141" spans="1:12" x14ac:dyDescent="0.3">
      <c r="A141" t="s">
        <v>385</v>
      </c>
      <c r="B141" s="9" t="str">
        <f>HYPERLINK("https://lafourche.fr/products/la-fourche-passata-bio-0-69kg","2.61")</f>
        <v>2.61</v>
      </c>
      <c r="C141" s="8" t="s">
        <v>386</v>
      </c>
      <c r="D141" s="9" t="str">
        <f>HYPERLINK("https://www.biocoop.fr/sauce-tomate-passata-rustique-510g-ts5102-000.html","5.86")</f>
        <v>5.86</v>
      </c>
      <c r="E141" s="8" t="s">
        <v>387</v>
      </c>
      <c r="F141" s="9" t="str">
        <f>HYPERLINK("https://www.biocoop.fr/sauce-tomate-passata-rustique-510g-ts5102-000.html","5.49")</f>
        <v>5.49</v>
      </c>
      <c r="H141" s="7" t="str">
        <f>HYPERLINK("https://satoriz-comboire.bio/products/re43264?_pos=1&amp;_sid=c9497427a&amp;_ss=r","2.28")</f>
        <v>2.28</v>
      </c>
      <c r="I141" t="s">
        <v>15</v>
      </c>
      <c r="J141" s="9" t="str">
        <f>HYPERLINK("https://www.greenweez.com/produit/sauce-tomate-passata-nature-690g-1/1LUCE0026","2.81")</f>
        <v>2.81</v>
      </c>
      <c r="K141" s="8" t="s">
        <v>388</v>
      </c>
    </row>
    <row r="142" spans="1:12" x14ac:dyDescent="0.3">
      <c r="A142" t="s">
        <v>389</v>
      </c>
      <c r="B142" s="9" t="str">
        <f>HYPERLINK("https://lafourche.fr/products/bio-pour-tous-passata-basilic-bio-0-68kg","2.5")</f>
        <v>2.5</v>
      </c>
      <c r="C142" s="8" t="s">
        <v>390</v>
      </c>
      <c r="D142" s="9" t="str">
        <f>HYPERLINK("https://www.biocoop.fr/sauce-tomate-basilic-300g-ts5100-000.html","7.0")</f>
        <v>7.0</v>
      </c>
      <c r="E142" s="8" t="s">
        <v>391</v>
      </c>
      <c r="F142" s="9" t="str">
        <f>HYPERLINK("https://www.biocoop.fr/passata-au-basilic-350g-ts5128-000.html","6.0")</f>
        <v>6.0</v>
      </c>
      <c r="H142" s="7" t="str">
        <f>HYPERLINK("https://satoriz-comboire.bio/collections/epicerie-salee/products/re43265","2.35")</f>
        <v>2.35</v>
      </c>
      <c r="I142" t="s">
        <v>15</v>
      </c>
      <c r="J142" s="9" t="str">
        <f>HYPERLINK("https://www.greenweez.com/produit/passata-basilic-680g/1LUCE0028","3.12")</f>
        <v>3.12</v>
      </c>
      <c r="K142" s="8" t="s">
        <v>392</v>
      </c>
    </row>
    <row r="143" spans="1:12" x14ac:dyDescent="0.3">
      <c r="A143" t="s">
        <v>393</v>
      </c>
      <c r="B143" s="7" t="str">
        <f>HYPERLINK("https://lafourche.fr/products/la-fourche-tomates-pelees-bio-800g-0-8kg","2.37")</f>
        <v>2.37</v>
      </c>
      <c r="C143" t="s">
        <v>15</v>
      </c>
      <c r="D143" s="45" t="str">
        <f>HYPERLINK("https://www.biocoop.fr/tomates-entieres-pelees-240g-net-egoutte-ca0004-000.html","8.17")</f>
        <v>8.17</v>
      </c>
      <c r="E143" s="11" t="s">
        <v>99</v>
      </c>
      <c r="F143" s="9" t="str">
        <f>HYPERLINK("https://www.biocoop.fr/tomates-entieres-pelees-480g-net-egoutte-ca0014-000.html","5.52")</f>
        <v>5.52</v>
      </c>
      <c r="H143" s="9" t="str">
        <f>HYPERLINK("https://satoriz-comboire.bio/products/re43269?_pos=1&amp;_sid=31eef6622&amp;_ss=r","4.27")</f>
        <v>4.27</v>
      </c>
      <c r="I143" s="8" t="s">
        <v>394</v>
      </c>
      <c r="J143" s="9" t="str">
        <f>HYPERLINK("https://www.greenweez.com/produit/tomates-pelees-format-familial-800g/1LUCE0032","3.35")</f>
        <v>3.35</v>
      </c>
      <c r="K143" s="8" t="s">
        <v>395</v>
      </c>
    </row>
    <row r="144" spans="1:12" x14ac:dyDescent="0.3">
      <c r="A144" t="s">
        <v>396</v>
      </c>
      <c r="B144" s="7" t="str">
        <f>HYPERLINK("https://lafourche.fr/products/la-fourche-tomates-concassees-bio-800g-0-8kg","2.44")</f>
        <v>2.44</v>
      </c>
      <c r="C144" t="s">
        <v>15</v>
      </c>
      <c r="D144" s="9" t="str">
        <f>HYPERLINK("https://www.biocoop.fr/tomates-concassees-400g-ca0006-000.html","4.45")</f>
        <v>4.45</v>
      </c>
      <c r="E144" t="s">
        <v>15</v>
      </c>
      <c r="F144" s="9" t="str">
        <f>HYPERLINK("https://www.biocoop.fr/tomates-concassees-400g-ca0006-000.html","3.5")</f>
        <v>3.5</v>
      </c>
      <c r="H144" s="9" t="str">
        <f>HYPERLINK("https://satoriz-comboire.bio/products/re43267?_pos=1&amp;_psq=Tomates%20concass%C3%A9e&amp;_ss=e&amp;_v=1.0","4.38")</f>
        <v>4.38</v>
      </c>
      <c r="I144" t="s">
        <v>15</v>
      </c>
      <c r="J144" s="9" t="str">
        <f>HYPERLINK("https://www.greenweez.com/produit/tomates-concassees-400g-1/1LUCE0025","4.1")</f>
        <v>4.1</v>
      </c>
      <c r="K144" s="8" t="s">
        <v>397</v>
      </c>
    </row>
    <row r="146" spans="1:12" ht="18.75" customHeight="1" x14ac:dyDescent="0.35">
      <c r="A146" s="3" t="s">
        <v>398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2" x14ac:dyDescent="0.3">
      <c r="A147" s="5" t="s">
        <v>408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2" x14ac:dyDescent="0.3">
      <c r="A148" t="s">
        <v>409</v>
      </c>
      <c r="B148" s="7" t="str">
        <f>HYPERLINK("https://lafourche.fr/products/la-fourche-cookies-gout-tout-choco-bio-0-175kg","11.37")</f>
        <v>11.37</v>
      </c>
      <c r="D148" s="9" t="str">
        <f>HYPERLINK("https://www.biocoop.fr/cookie-cacao-et-pepites-de-chocolat-12-200g-ba7001-000.html","12.25")</f>
        <v>12.25</v>
      </c>
      <c r="F148" s="9" t="str">
        <f>HYPERLINK("https://www.biocoop.fr/cookie-cacao-et-pepites-de-chocolat-12-200g-ba7001-000.html","12.25")</f>
        <v>12.25</v>
      </c>
      <c r="H148" s="9" t="str">
        <f>HYPERLINK("https://satoriz-comboire.bio/products/mpi1vr002?_pos=2&amp;_psq=cookies&amp;_ss=e&amp;_v=1.0","15.2")</f>
        <v>15.2</v>
      </c>
      <c r="J148" s="9" t="str">
        <f>HYPERLINK("https://www.greenweez.com/produit/cookies-tout-chocolat-1-5kg/2BELL0421","24.54")</f>
        <v>24.54</v>
      </c>
      <c r="L148">
        <v>0.2</v>
      </c>
    </row>
    <row r="149" spans="1:12" x14ac:dyDescent="0.3">
      <c r="A149" t="s">
        <v>410</v>
      </c>
      <c r="B149" s="7" t="str">
        <f>HYPERLINK("https://lafourche.fr/products/la-fourche-petits-beurres-bio-0-15kg","8.8")</f>
        <v>8.8</v>
      </c>
      <c r="D149" s="9" t="str">
        <f>HYPERLINK("https://www.biocoop.fr/biscuit-petit-beurre-ble-complet-15-140g-ba7000-000.html","11.43")</f>
        <v>11.43</v>
      </c>
      <c r="F149" s="9" t="str">
        <f>HYPERLINK("https://www.biocoop.fr/biscuit-petit-beurre-ble-complet-15-140g-ba7000-000.html","11.43")</f>
        <v>11.43</v>
      </c>
      <c r="H149" s="9" t="str">
        <f>HYPERLINK("https://satoriz-comboire.bio/products/eu279?_pos=1&amp;_sid=e4bdc4aa2&amp;_ss=r","15.33")</f>
        <v>15.33</v>
      </c>
      <c r="J149" s="9" t="str">
        <f>HYPERLINK("https://www.greenweez.com/produit/biscuits-ptit-beurre-155g/2MOUL0011","16.65")</f>
        <v>16.65</v>
      </c>
    </row>
    <row r="150" spans="1:12" x14ac:dyDescent="0.3">
      <c r="A150" t="s">
        <v>411</v>
      </c>
      <c r="B150" s="9" t="str">
        <f>HYPERLINK("https://lafourche.fr/products/bio-pour-tous-petits-beurres-chocolat-noir-bio-0-15kg","17.6")</f>
        <v>17.6</v>
      </c>
      <c r="D150" s="9" t="str">
        <f>HYPERLINK("https://www.biocoop.fr/biscuit-petit-beurre-chocolat-noir-150g-bv5002-000.html","19.67")</f>
        <v>19.67</v>
      </c>
      <c r="F150" s="9" t="str">
        <f>HYPERLINK("https://www.biocoop.fr/biscuit-petit-beurre-chocolat-noir-150g-bv5002-000.html","19.67")</f>
        <v>19.67</v>
      </c>
      <c r="H150" s="7" t="str">
        <f>HYPERLINK("https://satoriz-comboire.bio/products/re41657?_pos=7&amp;_sid=e4bdc4aa2&amp;_ss=r","16.0")</f>
        <v>16.0</v>
      </c>
      <c r="J150" s="9" t="str">
        <f>HYPERLINK("https://www.greenweez.com/produit/ptits-beurre-chocolat-noir-150g/1BTER0166","32.0")</f>
        <v>32.0</v>
      </c>
      <c r="L150">
        <v>0.2</v>
      </c>
    </row>
    <row r="151" spans="1:12" x14ac:dyDescent="0.3">
      <c r="A151" t="s">
        <v>412</v>
      </c>
      <c r="B151" s="7" t="str">
        <f>HYPERLINK("https://lafourche.fr/products/bonneterre-genoises-chocolat-coeur-orange-bio-0-15kg","19")</f>
        <v>19</v>
      </c>
      <c r="D151" s="9" t="str">
        <f>HYPERLINK("https://www.biocoop.fr/biscuit-nappe-orange-noir-tentation-130g-ca1141-000.html","28.46")</f>
        <v>28.46</v>
      </c>
      <c r="F151" s="9" t="str">
        <f>HYPERLINK("https://www.biocoop.fr/biscuit-nappe-orange-noir-tentation-130g-ca1141-000.html","888888")</f>
        <v>888888</v>
      </c>
      <c r="H151" s="9" t="str">
        <f>HYPERLINK("https://satoriz-comboire.bio/collections/epicerie-sucree/products/mpie006","25.77")</f>
        <v>25.77</v>
      </c>
      <c r="J151" s="9" t="str">
        <f>HYPERLINK("https://www.greenweez.com/produit/biscuits-tentation-orange-130g/2MOUL0007","888888")</f>
        <v>888888</v>
      </c>
    </row>
    <row r="152" spans="1:12" x14ac:dyDescent="0.3">
      <c r="A152" t="s">
        <v>413</v>
      </c>
      <c r="B152" s="9" t="str">
        <f>HYPERLINK("https://lafourche.fr/products/bio-pour-tous-gouters-fourres-ronds-chocolat-noir-bio-0-185kg","13.89")</f>
        <v>13.89</v>
      </c>
      <c r="D152" s="7" t="str">
        <f>HYPERLINK("https://www.biocoop.fr/biscuit-fourre-epeautre-cacao-15-pm1899-000.html","9.97")</f>
        <v>9.97</v>
      </c>
      <c r="F152" s="7" t="str">
        <f>HYPERLINK("https://www.biocoop.fr/biscuit-fourre-epeautre-cacao-15-pm1899-000.html","9.97")</f>
        <v>9.97</v>
      </c>
      <c r="H152" s="9" t="str">
        <f>HYPERLINK("https://satoriz-comboire.bio/collections/epicerie-sucree/products/re41660","12.97")</f>
        <v>12.97</v>
      </c>
      <c r="J152" s="9" t="str">
        <f>HYPERLINK("https://www.greenweez.com/produit/gouter-chocolat-noir-225g/3EVER0030","16.13")</f>
        <v>16.13</v>
      </c>
      <c r="L152">
        <v>0.2</v>
      </c>
    </row>
    <row r="153" spans="1:12" x14ac:dyDescent="0.3">
      <c r="A153" t="s">
        <v>414</v>
      </c>
      <c r="B153" s="7" t="str">
        <f>HYPERLINK("https://lafourche.fr/products/moulin-des-moines-boudoirs-princesse-bio-200g","9.95")</f>
        <v>9.95</v>
      </c>
      <c r="D153" s="9" t="str">
        <f>HYPERLINK("https://www.biocoop.fr/boudoirs-aux-oeufs-frais-30-175g-bv6000-000.html","14.0")</f>
        <v>14.0</v>
      </c>
      <c r="F153" s="9" t="str">
        <f>HYPERLINK("https://www.biocoop.fr/boudoirs-aux-oeufs-frais-30-175g-bv6000-000.html","14.0")</f>
        <v>14.0</v>
      </c>
      <c r="H153" s="9" t="str">
        <f>HYPERLINK("https://satoriz-comboire.bio/products/re41663?_pos=2&amp;_sid=8a641806d&amp;_ss=r","12.57")</f>
        <v>12.57</v>
      </c>
      <c r="J153" s="9" t="str">
        <f>HYPERLINK("https://www.greenweez.com/produit/boudoirs-200g/1MOUL0009","11.1")</f>
        <v>11.1</v>
      </c>
    </row>
    <row r="154" spans="1:12" x14ac:dyDescent="0.3">
      <c r="A154" t="s">
        <v>415</v>
      </c>
      <c r="B154" s="7" t="str">
        <f>HYPERLINK("https://lafourche.fr/products/la-fourche-biscuits-petit-dejeuner-choco-noisette-bio-0-2kg","12.4")</f>
        <v>12.4</v>
      </c>
      <c r="D154">
        <v>888888</v>
      </c>
      <c r="F154">
        <v>888888</v>
      </c>
      <c r="H154" s="9" t="str">
        <f>HYPERLINK("https://satoriz-comboire.bio/collections/epicerie-sucree/products/mpi0534","16.05")</f>
        <v>16.05</v>
      </c>
      <c r="J154" s="9" t="str">
        <f>HYPERLINK("https://www.greenweez.com/produit/ptit-dej-bio-cereales-chocolat-190g/2MOUL0024","16.79")</f>
        <v>16.79</v>
      </c>
    </row>
    <row r="155" spans="1:12" x14ac:dyDescent="0.3">
      <c r="A155" t="s">
        <v>416</v>
      </c>
      <c r="B155" s="7" t="str">
        <f>HYPERLINK("https://lafourche.fr/products/biscuits-ptit-dej-cereales-miel-et-chocolat","14.11")</f>
        <v>14.11</v>
      </c>
      <c r="D155" s="9" t="str">
        <f>HYPERLINK("https://www.biocoop.fr/biscuit-cereales-miel-chocolat-190g-ca1149-000.html","17.11")</f>
        <v>17.11</v>
      </c>
      <c r="F155" s="9" t="str">
        <f>HYPERLINK("https://www.biocoop.fr/biscuit-cereales-miel-chocolat-190g-ca1149-000.html","17.37")</f>
        <v>17.37</v>
      </c>
      <c r="H155" s="9" t="str">
        <f>HYPERLINK("https://satoriz-comboire.bio/collections/epicerie-sucree/products/mpi0534","16.05")</f>
        <v>16.05</v>
      </c>
      <c r="J155" s="9" t="str">
        <f>HYPERLINK("https://www.greenweez.com/produit/ptit-dej-bio-chocolat-miel-190g/2MOUL0025","16.79")</f>
        <v>16.79</v>
      </c>
      <c r="L155">
        <v>0.2</v>
      </c>
    </row>
    <row r="156" spans="1:12" x14ac:dyDescent="0.3">
      <c r="A156" s="5" t="s">
        <v>417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2" x14ac:dyDescent="0.3">
      <c r="A157" t="s">
        <v>418</v>
      </c>
      <c r="B157" s="7" t="str">
        <f>HYPERLINK("https://lafourche.fr/products/la-fourche-palets-de-chocolat-noir-50-equitables-et-bio-en-vrac-0-5kg","9.54")</f>
        <v>9.54</v>
      </c>
      <c r="C157" t="s">
        <v>15</v>
      </c>
      <c r="D157" s="9" t="str">
        <f>HYPERLINK("https://www.biocoop.fr/chocolat-noir-dessert-palets-58-bio-po0450-000.html","13.9")</f>
        <v>13.9</v>
      </c>
      <c r="E157" s="8" t="s">
        <v>419</v>
      </c>
      <c r="F157" s="9" t="str">
        <f>HYPERLINK("https://www.biocoop.fr/chocolat-noir-palet-54-bio-da9010-000.html","13.9")</f>
        <v>13.9</v>
      </c>
      <c r="H157" s="9" t="str">
        <f>HYPERLINK("https://satoriz-comboire.bio/collections/vrac/products/ma8069","15.2")</f>
        <v>15.2</v>
      </c>
      <c r="I157" s="8" t="s">
        <v>420</v>
      </c>
      <c r="J157" s="9" t="str">
        <f>HYPERLINK("https://www.greenweez.com/produit/palets-de-chocolat-noir-58-1kg/1KAOK0016","21.48")</f>
        <v>21.48</v>
      </c>
      <c r="K157" s="8" t="s">
        <v>421</v>
      </c>
    </row>
    <row r="158" spans="1:12" x14ac:dyDescent="0.3">
      <c r="A158" t="s">
        <v>422</v>
      </c>
      <c r="B158" s="9" t="str">
        <f>HYPERLINK("https://lafourche.fr/products/la-fourche-pepites-de-chocolat-noir-60-bio-equitable-2-5kg","15.41")</f>
        <v>15.41</v>
      </c>
      <c r="C158" s="8" t="s">
        <v>423</v>
      </c>
      <c r="D158" s="9" t="str">
        <f>HYPERLINK("https://www.biocoop.fr/chocolat-noir-pepites-60-by0943-000.html","24.8")</f>
        <v>24.8</v>
      </c>
      <c r="E158" t="s">
        <v>15</v>
      </c>
      <c r="F158" s="7" t="str">
        <f>HYPERLINK("https://www.biocoop.fr/chocolat-noir-pepites-60-bio-po0448-000.html","12.95")</f>
        <v>12.95</v>
      </c>
      <c r="H158" s="9" t="str">
        <f>HYPERLINK("https://satoriz-comboire.bio/collections/vrac/products/ma73001","15.4")</f>
        <v>15.4</v>
      </c>
      <c r="I158" s="8" t="s">
        <v>306</v>
      </c>
      <c r="J158" s="9" t="str">
        <f>HYPERLINK("https://www.greenweez.com/produit/pepites-de-chocolat-noir-60-de-cacao-5kg/1SENF0062","16.1")</f>
        <v>16.1</v>
      </c>
      <c r="K158" s="8" t="s">
        <v>424</v>
      </c>
      <c r="L158">
        <v>0.2</v>
      </c>
    </row>
    <row r="159" spans="1:12" x14ac:dyDescent="0.3">
      <c r="A159" t="s">
        <v>425</v>
      </c>
      <c r="B159" s="9" t="str">
        <f>HYPERLINK("https://lafourche.fr/products/la-fourche-pepites-de-chocolat-lait-43-equitables-et-bio-en-vrac-0-5kg","888888")</f>
        <v>888888</v>
      </c>
      <c r="C159" s="11" t="s">
        <v>99</v>
      </c>
      <c r="D159" s="9" t="str">
        <f>HYPERLINK("https://www.biocoop.fr/chocolat-lait-pepites-38-bio-da9007-000.html","888888")</f>
        <v>888888</v>
      </c>
      <c r="E159" s="11" t="s">
        <v>99</v>
      </c>
      <c r="F159" s="7" t="str">
        <f>HYPERLINK("https://www.biocoop.fr/chocolat-lait-pepites-38-bio-da9007-000.html","15.9")</f>
        <v>15.9</v>
      </c>
      <c r="H159" s="9" t="str">
        <f>HYPERLINK("https://satoriz-comboire.bio/collections/vrac/products/ma00074","21.8")</f>
        <v>21.8</v>
      </c>
      <c r="I159" s="8" t="s">
        <v>426</v>
      </c>
      <c r="J159" s="9" t="str">
        <f>HYPERLINK("https://www.greenweez.com/produit/pepites-de-chocolat-au-lait-36-bio-et-equitables-500g/2WEEZ0400","23.88")</f>
        <v>23.88</v>
      </c>
      <c r="K159" s="10" t="s">
        <v>80</v>
      </c>
    </row>
    <row r="160" spans="1:12" x14ac:dyDescent="0.3">
      <c r="A160" t="s">
        <v>427</v>
      </c>
      <c r="B160" s="9" t="str">
        <f>HYPERLINK("https://lafourche.fr/products/chocolat-patissier-56-bio","14.75")</f>
        <v>14.75</v>
      </c>
      <c r="C160" s="8" t="s">
        <v>428</v>
      </c>
      <c r="D160" s="7" t="str">
        <f>HYPERLINK("https://www.biocoop.fr/chocolat-noir-dessert-200g-bc4078-000.html","13.5")</f>
        <v>13.5</v>
      </c>
      <c r="E160" t="s">
        <v>15</v>
      </c>
      <c r="F160" s="9" t="str">
        <f>HYPERLINK("https://www.biocoop.fr/chocolat-noir-dessert-58-200g-aa0106-000.html","18.0")</f>
        <v>18.0</v>
      </c>
      <c r="H160" s="9" t="str">
        <f>HYPERLINK("https://satoriz-comboire.bio/collections/epicerie-sucree/products/bt2411","14.5")</f>
        <v>14.5</v>
      </c>
      <c r="I160" s="10" t="s">
        <v>429</v>
      </c>
      <c r="J160" s="9" t="str">
        <f>HYPERLINK("https://www.greenweez.com/produit/lot-de-3-chocolats-noirs-dessert-bio-56-200g/1PACK3608","17.77")</f>
        <v>17.77</v>
      </c>
      <c r="K160" s="8" t="s">
        <v>430</v>
      </c>
    </row>
    <row r="161" spans="1:12" x14ac:dyDescent="0.3">
      <c r="A161" t="s">
        <v>431</v>
      </c>
      <c r="B161" s="9" t="str">
        <f>HYPERLINK("https://lafourche.fr/products/chocolat-noir-a-la-fleur-de-sel-la-fourche-bio","21.5")</f>
        <v>21.5</v>
      </c>
      <c r="C161" s="8" t="s">
        <v>432</v>
      </c>
      <c r="D161" s="7" t="str">
        <f>HYPERLINK("https://www.biocoop.fr/chocolat-noir-fleur-de-sel-70-100g-bc4087-000.html","19.9")</f>
        <v>19.9</v>
      </c>
      <c r="E161" t="s">
        <v>15</v>
      </c>
      <c r="F161" s="9" t="str">
        <f>HYPERLINK("https://www.biocoop.fr/chocolat-noir-fleur-de-sel-70-100g-po0456-000.html","31.0")</f>
        <v>31.0</v>
      </c>
      <c r="H161" s="9" t="str">
        <f>HYPERLINK("https://satoriz-comboire.bio/collections/epicerie-sucree/products/ma7079","28.0")</f>
        <v>28.0</v>
      </c>
      <c r="I161" s="8" t="s">
        <v>433</v>
      </c>
      <c r="J161" s="9" t="str">
        <f>HYPERLINK("https://www.greenweez.com/produit/lot-de-3-chocolats-noirs-bio-70-fleur-de-sel-100g/1PACK3610","22.63")</f>
        <v>22.63</v>
      </c>
      <c r="K161" s="8" t="s">
        <v>434</v>
      </c>
    </row>
    <row r="162" spans="1:12" x14ac:dyDescent="0.3">
      <c r="A162" t="s">
        <v>435</v>
      </c>
      <c r="B162" s="7" t="str">
        <f>HYPERLINK("https://lafourche.fr/products/chocolat-noir-55p-a-lorange","23.9")</f>
        <v>23.9</v>
      </c>
      <c r="C162" s="8" t="s">
        <v>436</v>
      </c>
      <c r="D162" s="9" t="str">
        <f>HYPERLINK("https://www.biocoop.fr/chocolat-noir-orange-58-100g-po0424-000.html","888888")</f>
        <v>888888</v>
      </c>
      <c r="E162" s="11" t="s">
        <v>99</v>
      </c>
      <c r="F162" s="9" t="str">
        <f>HYPERLINK("https://www.biocoop.fr/chocolat-noir-orange-58-100g-po0424-000.html","25.0")</f>
        <v>25.0</v>
      </c>
      <c r="H162" s="9" t="str">
        <f>HYPERLINK("https://satoriz-comboire.bio/collections/epicerie-sucree/products/ma1213","28.0")</f>
        <v>28.0</v>
      </c>
      <c r="I162" s="8" t="s">
        <v>437</v>
      </c>
      <c r="J162" s="9" t="str">
        <f>HYPERLINK("https://www.greenweez.com/produit/tablette-chocolat-noir-orange-100g/1EURO0003","27.0")</f>
        <v>27.0</v>
      </c>
      <c r="K162" s="8" t="s">
        <v>155</v>
      </c>
    </row>
    <row r="163" spans="1:12" x14ac:dyDescent="0.3">
      <c r="A163" s="5" t="s">
        <v>438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2" x14ac:dyDescent="0.3">
      <c r="A164" t="s">
        <v>439</v>
      </c>
      <c r="B164" s="7" t="str">
        <f>HYPERLINK("https://lafourche.fr/products/sojade-so-soja-dessert-vanille-uht-bio-0-53kg","4.32")</f>
        <v>4.32</v>
      </c>
      <c r="C164" s="8" t="s">
        <v>278</v>
      </c>
      <c r="D164" s="9" t="str">
        <f>HYPERLINK("https://www.biocoop.fr/so-soja-vanille-ti3031-000.html","4.72")</f>
        <v>4.72</v>
      </c>
      <c r="E164" t="s">
        <v>15</v>
      </c>
      <c r="F164" s="9" t="str">
        <f>HYPERLINK("https://www.biocoop.fr/so-soja-vanille-ti3031-000.html","4.72")</f>
        <v>4.72</v>
      </c>
      <c r="H164" s="9" t="str">
        <f>HYPERLINK("https://satoriz-comboire.bio/collections/epicerie-sucree/products/fr18736","4.62")</f>
        <v>4.62</v>
      </c>
      <c r="I164" s="8" t="s">
        <v>440</v>
      </c>
      <c r="J164" s="9" t="str">
        <f>HYPERLINK("https://www.greenweez.com/","888888")</f>
        <v>888888</v>
      </c>
      <c r="K164" s="11" t="s">
        <v>99</v>
      </c>
    </row>
    <row r="165" spans="1:12" x14ac:dyDescent="0.3">
      <c r="A165" s="5" t="s">
        <v>246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2" x14ac:dyDescent="0.3">
      <c r="A166" t="s">
        <v>441</v>
      </c>
      <c r="B166" s="7" t="str">
        <f>HYPERLINK("https://lafourche.fr/products/la-fourche-puree-pommes-bio-0-915kg","3.99")</f>
        <v>3.99</v>
      </c>
      <c r="C166" t="s">
        <v>15</v>
      </c>
      <c r="D166" s="9" t="str">
        <f>HYPERLINK("https://www.biocoop.fr/puree-pomme-pr5264-000.html","4.51")</f>
        <v>4.51</v>
      </c>
      <c r="E166" t="s">
        <v>15</v>
      </c>
      <c r="F166" s="9" t="str">
        <f>HYPERLINK("https://www.biocoop.fr/puree-pomme-pr5264-000.html","4.51")</f>
        <v>4.51</v>
      </c>
      <c r="H166" s="9" t="str">
        <f>HYPERLINK("https://satoriz-comboire.bio/collections/epicerie-sucree/products/cn0849","4.74")</f>
        <v>4.74</v>
      </c>
      <c r="I166" s="10" t="s">
        <v>442</v>
      </c>
      <c r="J166" s="9" t="str">
        <f>HYPERLINK("https://www.greenweez.com/produit/puree-de-pommes-bio-700g/2WEEZ0536","4.84")</f>
        <v>4.84</v>
      </c>
      <c r="K166" t="s">
        <v>15</v>
      </c>
    </row>
    <row r="167" spans="1:12" x14ac:dyDescent="0.3">
      <c r="A167" t="s">
        <v>443</v>
      </c>
      <c r="B167" s="7" t="str">
        <f>HYPERLINK("https://lafourche.fr/products/la-fourche-puree-pommes-poires-bio-0-915kg","4.54")</f>
        <v>4.54</v>
      </c>
      <c r="C167" t="s">
        <v>15</v>
      </c>
      <c r="D167" s="9" t="str">
        <f>HYPERLINK("https://www.biocoop.fr/puree-pomme-poire-he2002-000.html","6.12")</f>
        <v>6.12</v>
      </c>
      <c r="E167" t="s">
        <v>15</v>
      </c>
      <c r="F167" s="9" t="str">
        <f>HYPERLINK("https://www.biocoop.fr/puree-pomme-poire-1-05kg-dn1113-000.html","6.48")</f>
        <v>6.48</v>
      </c>
      <c r="H167" s="9" t="str">
        <f>HYPERLINK("https://satoriz-comboire.bio/products/ar00021?_pos=2&amp;_psq=pomme%20poire&amp;_ss=e&amp;_v=1.0","5.35")</f>
        <v>5.35</v>
      </c>
      <c r="I167" s="10" t="s">
        <v>444</v>
      </c>
      <c r="J167" s="9" t="str">
        <f>HYPERLINK("https://www.greenweez.com/produit/puree-pomme-poire-bio-700g/2WEEZ0538","5.41")</f>
        <v>5.41</v>
      </c>
      <c r="K167" t="s">
        <v>15</v>
      </c>
    </row>
    <row r="168" spans="1:12" x14ac:dyDescent="0.3">
      <c r="A168" t="s">
        <v>445</v>
      </c>
      <c r="B168" s="7" t="str">
        <f>HYPERLINK("https://lafourche.fr/products/compote-danival-dani-pom-pomme-banane-1-05kg-bio","5.01")</f>
        <v>5.01</v>
      </c>
      <c r="C168" t="s">
        <v>15</v>
      </c>
      <c r="D168" s="9" t="str">
        <f>HYPERLINK("https://www.biocoop.fr/puree-de-pommes-et-bananes-cn0219-000.html","6.2")</f>
        <v>6.2</v>
      </c>
      <c r="E168" t="s">
        <v>15</v>
      </c>
      <c r="F168" s="9" t="str">
        <f>HYPERLINK("https://www.biocoop.fr/puree-de-pommes-et-bananes-cn0219-000.html","6.2")</f>
        <v>6.2</v>
      </c>
      <c r="H168" s="9" t="str">
        <f>HYPERLINK("https://satoriz-comboire.bio/products/da01440?_pos=2&amp;_psq=pomme%20banane&amp;_ss=e&amp;_v=1.0","5.62")</f>
        <v>5.62</v>
      </c>
      <c r="I168" s="8" t="s">
        <v>446</v>
      </c>
      <c r="J168" s="9" t="str">
        <f>HYPERLINK("https://www.greenweez.com/produit/dessert-pomme-banane-1-05kg/1DANI0190","5.88")</f>
        <v>5.88</v>
      </c>
      <c r="K168" s="8" t="s">
        <v>447</v>
      </c>
    </row>
    <row r="169" spans="1:12" x14ac:dyDescent="0.3">
      <c r="A169" t="s">
        <v>448</v>
      </c>
      <c r="B169" s="7" t="str">
        <f>HYPERLINK("https://lafourche.fr/products/sojade-so-soja-dessert-chocolat-uht-bio-0-53kg","4.32")</f>
        <v>4.32</v>
      </c>
      <c r="C169" s="8" t="s">
        <v>278</v>
      </c>
      <c r="D169" s="9" t="str">
        <f>HYPERLINK("https://www.biocoop.fr/so-soja-chocolat-ti3030-000.html","5.94")</f>
        <v>5.94</v>
      </c>
      <c r="E169" t="s">
        <v>15</v>
      </c>
      <c r="F169" s="9" t="str">
        <f>HYPERLINK("https://www.biocoop.fr/so-soja-chocolat-ti3030-000.html","5.0")</f>
        <v>5.0</v>
      </c>
      <c r="H169" s="9" t="str">
        <f>HYPERLINK("https://satoriz-comboire.bio/collections/epicerie-sucree/products/fr18734","4.62")</f>
        <v>4.62</v>
      </c>
      <c r="I169" s="8" t="s">
        <v>440</v>
      </c>
      <c r="J169" s="9" t="str">
        <f>HYPERLINK("https://www.greenweez.com/","888888")</f>
        <v>888888</v>
      </c>
      <c r="K169" s="11" t="s">
        <v>99</v>
      </c>
    </row>
    <row r="170" spans="1:12" x14ac:dyDescent="0.3">
      <c r="A170" s="5" t="s">
        <v>449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2" x14ac:dyDescent="0.3">
      <c r="A171" t="s">
        <v>450</v>
      </c>
      <c r="B171" s="9" t="str">
        <f>HYPERLINK("https://lafourche.fr/products/elibio-cereales-fourrees-tout-chocolat-bio-375g","9.92")</f>
        <v>9.92</v>
      </c>
      <c r="C171" s="8" t="s">
        <v>451</v>
      </c>
      <c r="D171" s="9" t="str">
        <f>HYPERLINK("https://www.biocoop.fr/ka-re-fourres-chocolat-noisettes-bio-lg2005-000.html","10.9")</f>
        <v>10.9</v>
      </c>
      <c r="E171" s="10" t="s">
        <v>452</v>
      </c>
      <c r="F171" s="7" t="str">
        <f>HYPERLINK("https://www.biocoop.fr/ka-re-fourres-chocolat-noisettes-bio-lg2005-000.html","9.6")</f>
        <v>9.6</v>
      </c>
      <c r="H171" s="9" t="str">
        <f>HYPERLINK("https://satoriz-comboire.bio/collections/vrac/products/gr554","10.7")</f>
        <v>10.7</v>
      </c>
      <c r="I171" s="10" t="s">
        <v>453</v>
      </c>
      <c r="J171" s="9" t="str">
        <f>HYPERLINK("https://www.greenweez.com/produit/cereales-kare-fourrees-chocolat-noisettes-500g/1GRIL0036","13.04")</f>
        <v>13.04</v>
      </c>
      <c r="K171" s="8" t="s">
        <v>454</v>
      </c>
    </row>
    <row r="172" spans="1:12" x14ac:dyDescent="0.3">
      <c r="A172" t="s">
        <v>455</v>
      </c>
      <c r="B172" s="9" t="str">
        <f>HYPERLINK("https://lafourche.fr/products/grillon-dor-chocolune-bio-0-375kg","9.44")</f>
        <v>9.44</v>
      </c>
      <c r="C172" s="8" t="s">
        <v>456</v>
      </c>
      <c r="D172" s="9" t="str">
        <f>HYPERLINK("https://www.biocoop.fr/crosti-griffs-choco-10kg-bio-pr5170-000.html","8.99")</f>
        <v>8.99</v>
      </c>
      <c r="E172" t="s">
        <v>15</v>
      </c>
      <c r="F172" s="9" t="str">
        <f>HYPERLINK("https://www.biocoop.fr/crosti-griffs-choco-10kg-bio-pr5170-000.html","8.99")</f>
        <v>8.99</v>
      </c>
      <c r="H172" s="7" t="str">
        <f>HYPERLINK("https://satoriz-comboire.bio/collections/vrac/products/grexch","8.1")</f>
        <v>8.1</v>
      </c>
      <c r="I172" s="10" t="s">
        <v>457</v>
      </c>
      <c r="J172" s="9" t="str">
        <f>HYPERLINK("https://www.greenweez.com/produit/cereales-chocolune-375g/1GRIL0051","11.33")</f>
        <v>11.33</v>
      </c>
      <c r="K172" s="8" t="s">
        <v>221</v>
      </c>
    </row>
    <row r="173" spans="1:12" x14ac:dyDescent="0.3">
      <c r="A173" t="s">
        <v>458</v>
      </c>
      <c r="B173" s="9" t="str">
        <f>HYPERLINK("https://lafourche.fr/products/cereales-mops-au-miel","9.63")</f>
        <v>9.63</v>
      </c>
      <c r="C173" s="8" t="s">
        <v>14</v>
      </c>
      <c r="D173" s="9" t="str">
        <f>HYPERLINK("https://www.biocoop.fr/mops-miel-lg2066-000.html","11.0")</f>
        <v>11.0</v>
      </c>
      <c r="E173" t="s">
        <v>15</v>
      </c>
      <c r="F173" s="9" t="str">
        <f>HYPERLINK("https://www.biocoop.fr/mops-miel-lg2066-000.html","11.0")</f>
        <v>11.0</v>
      </c>
      <c r="H173" s="7" t="str">
        <f>HYPERLINK("https://satoriz-comboire.bio/collections/vrac/products/gr2944","8.8")</f>
        <v>8.8</v>
      </c>
      <c r="I173" s="10" t="s">
        <v>459</v>
      </c>
      <c r="J173" s="9" t="str">
        <f>HYPERLINK("https://www.greenweez.com/produit/cereales-mops-miel-300g/1GRIL0172","10.5")</f>
        <v>10.5</v>
      </c>
      <c r="K173" s="10" t="s">
        <v>140</v>
      </c>
    </row>
    <row r="174" spans="1:12" x14ac:dyDescent="0.3">
      <c r="A174" t="s">
        <v>460</v>
      </c>
      <c r="B174" s="7" t="str">
        <f>HYPERLINK("https://lafourche.fr/products/la-fourche-1kg-de-petits-flocons-d-avoine-en-vrac-france-bio","2.5")</f>
        <v>2.5</v>
      </c>
      <c r="C174" t="s">
        <v>15</v>
      </c>
      <c r="D174" s="9" t="str">
        <f>HYPERLINK("https://www.biocoop.fr/flocons-d-avoine-petits-non-toastes-bio-pr5344-000.html","2.85")</f>
        <v>2.85</v>
      </c>
      <c r="E174" t="s">
        <v>15</v>
      </c>
      <c r="F174" s="9" t="str">
        <f>HYPERLINK("https://www.biocoop.fr/flocons-d-avoine-petits-non-toastes-bio-pr5344-000.html","2.85")</f>
        <v>2.85</v>
      </c>
      <c r="H174" s="9" t="str">
        <f>HYPERLINK("https://satoriz-comboire.bio/products/cefap25?_pos=5&amp;_sid=da63f8fb6&amp;_ss=r","3.05")</f>
        <v>3.05</v>
      </c>
      <c r="I174" s="10" t="s">
        <v>461</v>
      </c>
      <c r="J174" s="9" t="str">
        <f>HYPERLINK("https://www.greenweez.com/produit/flocons-davoine-petit-bio-1-5kg/2WEEZ0129","2.93")</f>
        <v>2.93</v>
      </c>
      <c r="K174" s="8" t="s">
        <v>462</v>
      </c>
      <c r="L174">
        <v>0.1</v>
      </c>
    </row>
    <row r="175" spans="1:12" x14ac:dyDescent="0.3">
      <c r="A175" t="s">
        <v>463</v>
      </c>
      <c r="B175" s="7" t="str">
        <f>HYPERLINK("https://lafourche.fr/products/la-fourche-1kg-de-gros-flocons-davoine-bio-en-vrac","2.5")</f>
        <v>2.5</v>
      </c>
      <c r="C175" t="s">
        <v>15</v>
      </c>
      <c r="D175" s="9" t="str">
        <f>HYPERLINK("https://www.biocoop.fr/flocons-d-avoine-gros-bio-lg2061-000.html","3.95")</f>
        <v>3.95</v>
      </c>
      <c r="E175" t="s">
        <v>15</v>
      </c>
      <c r="F175" s="9" t="str">
        <f>HYPERLINK("https://www.biocoop.fr/flocons-d-avoine-gros-bio-lg2061-000.html","3.9")</f>
        <v>3.9</v>
      </c>
      <c r="H175" s="9" t="str">
        <f>HYPERLINK("https://satoriz-comboire.bio/products/cefag-10?_pos=14&amp;_sid=da63f8fb6&amp;_ss=r","3.05")</f>
        <v>3.05</v>
      </c>
      <c r="I175" s="10" t="s">
        <v>464</v>
      </c>
      <c r="J175" s="9" t="str">
        <f>HYPERLINK("https://www.greenweez.com/produit/flocons-davoine-gros-bio-1-5kg/2WEEZ0531","2.85")</f>
        <v>2.85</v>
      </c>
      <c r="K175" t="s">
        <v>15</v>
      </c>
    </row>
    <row r="176" spans="1:12" x14ac:dyDescent="0.3">
      <c r="A176" s="5" t="s">
        <v>470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2" x14ac:dyDescent="0.3">
      <c r="A177" t="s">
        <v>471</v>
      </c>
      <c r="B177" s="9" t="str">
        <f>HYPERLINK("https://lafourche.fr/products/la-fourche-500g-amandes-decortiquees-en-vrac-bio","13.06")</f>
        <v>13.06</v>
      </c>
      <c r="C177" s="10" t="s">
        <v>472</v>
      </c>
      <c r="D177" s="9" t="str">
        <f>HYPERLINK("https://www.biocoop.fr/amandes-completes-bio-ag3005-000.html","15.9")</f>
        <v>15.9</v>
      </c>
      <c r="E177" s="10" t="s">
        <v>473</v>
      </c>
      <c r="F177" s="9" t="str">
        <f>HYPERLINK("https://www.biocoop.fr/amande-complete-italie-bio-bc5507-000.html","14.95")</f>
        <v>14.95</v>
      </c>
      <c r="H177" s="7" t="str">
        <f>HYPERLINK("https://satoriz-comboire.bio/collections/vrac/products/ag0417","13.05")</f>
        <v>13.05</v>
      </c>
      <c r="I177" s="10" t="s">
        <v>474</v>
      </c>
      <c r="J177" s="9" t="str">
        <f>HYPERLINK("https://www.greenweez.com/produit/amandes-decortiquees-1kg/2WEEZ0354","14.95")</f>
        <v>14.95</v>
      </c>
      <c r="K177" s="10" t="s">
        <v>475</v>
      </c>
    </row>
    <row r="178" spans="1:12" x14ac:dyDescent="0.3">
      <c r="A178" t="s">
        <v>476</v>
      </c>
      <c r="B178" s="7" t="str">
        <f>HYPERLINK("https://lafourche.fr/products/la-fourche-noisettes-bio-2-5kg","14.98")</f>
        <v>14.98</v>
      </c>
      <c r="C178" s="10" t="s">
        <v>82</v>
      </c>
      <c r="D178" s="9" t="str">
        <f>HYPERLINK("https://www.biocoop.fr/noisettes-bio-bc5500-000.html","18.5")</f>
        <v>18.5</v>
      </c>
      <c r="E178" s="10" t="s">
        <v>477</v>
      </c>
      <c r="F178" s="9" t="str">
        <f>HYPERLINK("https://www.biocoop.fr/noisettes-bio-bc5500-000.html","20.9")</f>
        <v>20.9</v>
      </c>
      <c r="H178" s="9" t="str">
        <f>HYPERLINK("https://satoriz-comboire.bio/collections/vrac/products/ag0394","16.65")</f>
        <v>16.65</v>
      </c>
      <c r="I178" s="8" t="s">
        <v>478</v>
      </c>
      <c r="J178" s="9" t="str">
        <f>HYPERLINK("https://www.greenweez.com/produit/noisettes-decortiquees-2-5kg/2WEEZ0386","15.98")</f>
        <v>15.98</v>
      </c>
      <c r="K178" s="8" t="s">
        <v>479</v>
      </c>
    </row>
    <row r="179" spans="1:12" x14ac:dyDescent="0.3">
      <c r="A179" t="s">
        <v>480</v>
      </c>
      <c r="B179" s="9" t="str">
        <f>HYPERLINK("https://lafourche.fr/products/la-fourche-500g-de-noix-de-cajou-bio-en-vrac","16.7")</f>
        <v>16.7</v>
      </c>
      <c r="C179" s="10" t="s">
        <v>481</v>
      </c>
      <c r="D179" s="9" t="str">
        <f>HYPERLINK("https://www.biocoop.fr/noix-de-cajou-bio-ag3057-000.html","21.99")</f>
        <v>21.99</v>
      </c>
      <c r="E179" t="s">
        <v>15</v>
      </c>
      <c r="F179" s="9" t="str">
        <f>HYPERLINK("https://www.biocoop.fr/noix-de-cajou-bio-ag3057-000.html","19.9")</f>
        <v>19.9</v>
      </c>
      <c r="H179" s="9" t="str">
        <f>HYPERLINK("https://satoriz-comboire.bio/collections/vrac/products/ag0585","16.7")</f>
        <v>16.7</v>
      </c>
      <c r="I179" s="10" t="s">
        <v>482</v>
      </c>
      <c r="J179" s="7" t="str">
        <f>HYPERLINK("https://www.greenweez.com/produit/noix-de-cajou-crues-2-5kg/2WEEZ0391","15.16")</f>
        <v>15.16</v>
      </c>
      <c r="K179" t="s">
        <v>15</v>
      </c>
    </row>
    <row r="180" spans="1:12" x14ac:dyDescent="0.3">
      <c r="A180" t="s">
        <v>483</v>
      </c>
      <c r="B180" s="7" t="str">
        <f>HYPERLINK("https://lafourche.fr/products/la-fourche-raisins-secs-sultanine-bio-2-5kg","7.2")</f>
        <v>7.2</v>
      </c>
      <c r="C180" s="8" t="s">
        <v>484</v>
      </c>
      <c r="D180" s="9" t="str">
        <f>HYPERLINK("https://www.biocoop.fr/raisins-sultanine-n-9-bio-ag3030-000.html","7.95")</f>
        <v>7.95</v>
      </c>
      <c r="E180" s="8" t="s">
        <v>485</v>
      </c>
      <c r="F180" s="9" t="str">
        <f>HYPERLINK("https://www.biocoop.fr/raisins-sultanine-n-9-bio-ag3030-000.html","7.95")</f>
        <v>7.95</v>
      </c>
      <c r="H180" s="7" t="str">
        <f>HYPERLINK("https://satoriz-comboire.bio/collections/vrac/products/ag0387","7.2")</f>
        <v>7.2</v>
      </c>
      <c r="I180" s="8" t="s">
        <v>486</v>
      </c>
      <c r="J180" s="9" t="str">
        <f>HYPERLINK("https://www.greenweez.com/produit/lot-de-2-raisins-sultanines-bio-500g/1PACK3586","9.8")</f>
        <v>9.8</v>
      </c>
      <c r="K180" t="s">
        <v>15</v>
      </c>
    </row>
    <row r="181" spans="1:12" x14ac:dyDescent="0.3">
      <c r="A181" t="s">
        <v>487</v>
      </c>
      <c r="B181" s="7" t="str">
        <f>HYPERLINK("https://lafourche.fr/products/la-fourche-250g-de-cranberries-en-vrac-bio","14.36")</f>
        <v>14.36</v>
      </c>
      <c r="C181" s="10" t="s">
        <v>488</v>
      </c>
      <c r="D181" s="9" t="str">
        <f>HYPERLINK("https://www.biocoop.fr/cranberry-sechee-canada-bio-ag3039-000.html","15.5")</f>
        <v>15.5</v>
      </c>
      <c r="E181" s="10" t="s">
        <v>489</v>
      </c>
      <c r="F181" s="9" t="str">
        <f>HYPERLINK("https://www.biocoop.fr/cranberry-sechee-canada-bio-ag3039-000.html","15.5")</f>
        <v>15.5</v>
      </c>
      <c r="H181" s="9" t="str">
        <f>HYPERLINK("https://satoriz-comboire.bio/collections/vrac/products/ag0479","15.2")</f>
        <v>15.2</v>
      </c>
      <c r="I181" s="10" t="s">
        <v>490</v>
      </c>
      <c r="J181" s="9" t="str">
        <f>HYPERLINK("https://www.greenweez.com/produit/cranberries-demies-bio-500g/2WEEZ0368","888888")</f>
        <v>888888</v>
      </c>
      <c r="K181" s="11" t="s">
        <v>99</v>
      </c>
    </row>
    <row r="182" spans="1:12" x14ac:dyDescent="0.3">
      <c r="A182" s="5" t="s">
        <v>491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2" x14ac:dyDescent="0.3">
      <c r="A183" t="s">
        <v>492</v>
      </c>
      <c r="B183" s="9" t="str">
        <f>HYPERLINK("https://lafourche.fr/products/la-fourche-sirop-d-agave-bio-0-5l","9.98")</f>
        <v>9.98</v>
      </c>
      <c r="C183" s="8" t="s">
        <v>493</v>
      </c>
      <c r="D183" s="9" t="str">
        <f>HYPERLINK("https://www.biocoop.fr/sirop-agave-690g-na6021-000.html","10.13")</f>
        <v>10.13</v>
      </c>
      <c r="E183" t="s">
        <v>15</v>
      </c>
      <c r="F183" s="9" t="str">
        <f>HYPERLINK("https://www.biocoop.fr/sirop-agave-690g-na6021-000.html","10.13")</f>
        <v>10.13</v>
      </c>
      <c r="H183" s="7" t="str">
        <f>HYPERLINK("https://satoriz-comboire.bio/collections/epicerie-sucree/products/re39977","8.48")</f>
        <v>8.48</v>
      </c>
      <c r="I183" s="10" t="s">
        <v>238</v>
      </c>
      <c r="J183" s="9" t="str">
        <f>HYPERLINK("https://www.greenweez.com/produit/sirop-dagave-330g-1/1MKAL0163","11.03")</f>
        <v>11.03</v>
      </c>
      <c r="K183" s="8" t="s">
        <v>494</v>
      </c>
    </row>
    <row r="184" spans="1:12" x14ac:dyDescent="0.3">
      <c r="A184" s="5" t="s">
        <v>495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2" x14ac:dyDescent="0.3">
      <c r="A185" t="s">
        <v>496</v>
      </c>
      <c r="B185" s="7" t="str">
        <f>HYPERLINK("https://lafourche.fr/products/la-fourche-farine-de-ble-bio-t65-2-5kg","1.29")</f>
        <v>1.29</v>
      </c>
      <c r="C185" s="10" t="s">
        <v>497</v>
      </c>
      <c r="D185" s="9" t="str">
        <f>HYPERLINK("https://www.biocoop.fr/farine-de-ble-t65-bio-dm3003-000.html","1.75")</f>
        <v>1.75</v>
      </c>
      <c r="E185" t="s">
        <v>15</v>
      </c>
      <c r="F185" s="9" t="str">
        <f>HYPERLINK("https://www.biocoop.fr/farine-de-ble-t65-2-5kg-dm3002-000.html","1.58")</f>
        <v>1.58</v>
      </c>
      <c r="H185" s="9" t="str">
        <f>HYPERLINK("https://satoriz-comboire.bio/collections/epicerie-salee/products/pi65","1.85")</f>
        <v>1.85</v>
      </c>
      <c r="I185" t="s">
        <v>15</v>
      </c>
      <c r="J185" s="9" t="str">
        <f>HYPERLINK("https://www.greenweez.com/produit/farine-de-ble-t65-meule-france-bio-2-5kg/2WEEZ0239","1.89")</f>
        <v>1.89</v>
      </c>
      <c r="L185">
        <v>1</v>
      </c>
    </row>
    <row r="186" spans="1:12" x14ac:dyDescent="0.3">
      <c r="A186" t="s">
        <v>498</v>
      </c>
      <c r="B186" s="7" t="str">
        <f>HYPERLINK("https://lafourche.fr/products/la-fourche-farine-de-ble-t110-bio-2-5kg","1.59")</f>
        <v>1.59</v>
      </c>
      <c r="C186" s="8" t="s">
        <v>499</v>
      </c>
      <c r="D186" s="9" t="str">
        <f>HYPERLINK("https://www.biocoop.fr/farine-de-ble-t110-1kg-br0212-000.html","2.8")</f>
        <v>2.8</v>
      </c>
      <c r="E186" t="s">
        <v>15</v>
      </c>
      <c r="F186" s="9" t="str">
        <f>HYPERLINK("https://www.biocoop.fr/farine-de-ble-t110-1kg-br0212-000.html","2.79")</f>
        <v>2.79</v>
      </c>
      <c r="H186" s="9" t="str">
        <f>HYPERLINK("https://satoriz-comboire.bio/collections/epicerie-salee/products/pi110","1.9")</f>
        <v>1.9</v>
      </c>
      <c r="I186" t="s">
        <v>15</v>
      </c>
      <c r="J186" s="9" t="str">
        <f>HYPERLINK("https://www.greenweez.com/produit/farine-de-ble-demi-complete-t110-2-5kg/1MOUL0318","2.13")</f>
        <v>2.13</v>
      </c>
      <c r="K186" s="10" t="s">
        <v>80</v>
      </c>
    </row>
    <row r="187" spans="1:12" x14ac:dyDescent="0.3">
      <c r="A187" t="s">
        <v>500</v>
      </c>
      <c r="B187" s="9" t="str">
        <f>HYPERLINK("https://lafourche.fr/products/celnat-farine-de-seigle-t130-bio-1kg","2.17")</f>
        <v>2.17</v>
      </c>
      <c r="C187" t="s">
        <v>15</v>
      </c>
      <c r="D187" s="9" t="str">
        <f>HYPERLINK("https://www.biocoop.fr/farine-de-seigle-t130-1kg-br0213-000.html","2.83")</f>
        <v>2.83</v>
      </c>
      <c r="E187" t="s">
        <v>15</v>
      </c>
      <c r="F187" s="9" t="str">
        <f>HYPERLINK("https://www.biocoop.fr/farine-de-seigle-t130-1kg-br0213-000.html","2.85")</f>
        <v>2.85</v>
      </c>
      <c r="H187" s="9" t="str">
        <f>HYPERLINK("https://satoriz-comboire.bio/collections/epicerie-salee/products/seix1","2.05")</f>
        <v>2.05</v>
      </c>
      <c r="I187" t="s">
        <v>15</v>
      </c>
      <c r="J187" s="7" t="str">
        <f>HYPERLINK("https://www.greenweez.com/produit/farine-de-seigle-t130-bio-france-2-5kg/2WEEZ0238","1.94")</f>
        <v>1.94</v>
      </c>
      <c r="K187" s="10" t="s">
        <v>501</v>
      </c>
    </row>
    <row r="188" spans="1:12" x14ac:dyDescent="0.3">
      <c r="A188" t="s">
        <v>502</v>
      </c>
      <c r="B188" s="7" t="str">
        <f>HYPERLINK("https://lafourche.fr/products/celnat-farine-5-cereales-1kg","2.92")</f>
        <v>2.92</v>
      </c>
      <c r="C188" t="s">
        <v>15</v>
      </c>
      <c r="D188" s="9" t="str">
        <f>HYPERLINK("https://www.biocoop.fr/farine-de-5-cereales-t130-1kg-br0219-000.html","3.2")</f>
        <v>3.2</v>
      </c>
      <c r="E188" s="8" t="s">
        <v>503</v>
      </c>
      <c r="F188" s="9" t="str">
        <f>HYPERLINK("https://www.biocoop.fr/farine-de-5-cereales-t130-1kg-br0219-000.html","3.2")</f>
        <v>3.2</v>
      </c>
      <c r="H188" s="9" t="str">
        <f>HYPERLINK("https://satoriz-comboire.bio/collections/epicerie-salee/products/cei03003","3.4")</f>
        <v>3.4</v>
      </c>
      <c r="I188" s="10" t="s">
        <v>504</v>
      </c>
      <c r="J188" s="9" t="str">
        <f>HYPERLINK("https://www.greenweez.com/produit/farine-complete-5-cereales-bio-3kg/5GREE0146","2.98")</f>
        <v>2.98</v>
      </c>
      <c r="K188" s="10" t="s">
        <v>80</v>
      </c>
    </row>
    <row r="189" spans="1:12" x14ac:dyDescent="0.3">
      <c r="A189" t="s">
        <v>505</v>
      </c>
      <c r="B189" s="9" t="str">
        <f>HYPERLINK("https://lafourche.fr/products/la-fourche-1kg-de-sucre-blond-bio-en-vrac","2.7")</f>
        <v>2.7</v>
      </c>
      <c r="C189" s="10" t="s">
        <v>506</v>
      </c>
      <c r="D189" s="9" t="str">
        <f>HYPERLINK("https://www.biocoop.fr/sucre-de-canne-roux-morceaux-irregulier-bio-ne0106-000.html","5.15")</f>
        <v>5.15</v>
      </c>
      <c r="E189" s="8" t="s">
        <v>507</v>
      </c>
      <c r="F189" s="9" t="str">
        <f>HYPERLINK("https://www.biocoop.fr/sucre-canne-blond-bio-ne0107-000.html","3.45")</f>
        <v>3.45</v>
      </c>
      <c r="H189" s="7" t="str">
        <f>HYPERLINK("https://satoriz-comboire.bio/collections/vrac/products/eu3133","1.95")</f>
        <v>1.95</v>
      </c>
      <c r="I189" t="s">
        <v>15</v>
      </c>
      <c r="J189" s="9" t="str">
        <f>HYPERLINK("https://www.greenweez.com/produit/sucre-brun-de-canne-5kg/1MKAL0177","3.79")</f>
        <v>3.79</v>
      </c>
      <c r="K189" s="10" t="s">
        <v>508</v>
      </c>
      <c r="L189">
        <v>0.5</v>
      </c>
    </row>
    <row r="190" spans="1:12" x14ac:dyDescent="0.3">
      <c r="A190" t="s">
        <v>509</v>
      </c>
      <c r="B190" s="9" t="str">
        <f>HYPERLINK("https://lafourche.fr/products/la-fourche-1kg-de-sucre-de-canne-complet-dulcita-bio-en-vrac","3.99")</f>
        <v>3.99</v>
      </c>
      <c r="C190" t="s">
        <v>15</v>
      </c>
      <c r="D190" s="9" t="str">
        <f>HYPERLINK("https://www.biocoop.fr/epicerie-sucree/farines-sucres-aides-a-la-patisserie/sucres.html","13.98")</f>
        <v>13.98</v>
      </c>
      <c r="E190" t="s">
        <v>15</v>
      </c>
      <c r="F190" s="9" t="str">
        <f>HYPERLINK("https://www.biocoop.fr/sucre-canne-complet-dulcita-1kg-sm0393-000.html","6.1")</f>
        <v>6.1</v>
      </c>
      <c r="H190" s="7" t="str">
        <f>HYPERLINK("https://satoriz-comboire.bio/collections/vrac/products/eu10092","2.75")</f>
        <v>2.75</v>
      </c>
      <c r="I190" s="8" t="s">
        <v>510</v>
      </c>
      <c r="J190" s="9" t="str">
        <f>HYPERLINK("https://www.greenweez.com/produit/sucre-de-canne-complet-bio-500g/2WEEZ0261","5.36")</f>
        <v>5.36</v>
      </c>
      <c r="K190" s="10" t="s">
        <v>511</v>
      </c>
    </row>
    <row r="191" spans="1:12" x14ac:dyDescent="0.3">
      <c r="A191" s="5" t="s">
        <v>512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2" x14ac:dyDescent="0.3">
      <c r="A192" t="s">
        <v>513</v>
      </c>
      <c r="B192" s="9" t="str">
        <f>HYPERLINK("https://lafourche.fr/products/la-fourche-pate-a-tartiner-chocolat-noisettes-bio-700g","9.64")</f>
        <v>9.64</v>
      </c>
      <c r="D192" s="9" t="str">
        <f>HYPERLINK("https://www.biocoop.fr/pate-a-tartiner-noisette-cacao-600g-lg3150-000.html","10.83")</f>
        <v>10.83</v>
      </c>
      <c r="F192" s="9" t="str">
        <f>HYPERLINK("https://www.biocoop.fr/pate-a-tartiner-noisette-cacao-600g-lg3150-000.html","10.83")</f>
        <v>10.83</v>
      </c>
      <c r="H192" s="9" t="str">
        <f>HYPERLINK("https://satoriz-comboire.bio/collections/epicerie-sucree/products/re40699","11.6")</f>
        <v>11.6</v>
      </c>
      <c r="J192" s="7" t="str">
        <f>HYPERLINK("https://www.greenweez.com/produit/pate-a-tartiner-noisettes-et-cacao-bio-600g/2WEEZ0443","8.92")</f>
        <v>8.92</v>
      </c>
      <c r="L192">
        <v>0.5</v>
      </c>
    </row>
    <row r="193" spans="1:11" x14ac:dyDescent="0.3">
      <c r="A193" t="s">
        <v>514</v>
      </c>
      <c r="B193" s="7" t="str">
        <f>HYPERLINK("https://lafourche.fr/products/la-fourche-pate-a-tartiner-chocolat-noisette-bio-0-7kg","9.93")</f>
        <v>9.93</v>
      </c>
      <c r="C193" t="s">
        <v>15</v>
      </c>
      <c r="D193" s="9" t="str">
        <f>HYPERLINK("https://www.biocoop.fr/pate-a-tartiner-chokenut-700g-np0036-000.html","23.79")</f>
        <v>23.79</v>
      </c>
      <c r="E193" s="8" t="s">
        <v>515</v>
      </c>
      <c r="F193" s="9" t="str">
        <f>HYPERLINK("https://www.biocoop.fr/pate-a-tartiner-chocolade-sans-lait-350g-he0779-000.html","29.14")</f>
        <v>29.14</v>
      </c>
      <c r="H193" s="9" t="str">
        <f>HYPERLINK("https://satoriz-comboire.bio/collections/epicerie-sucree/products/re43701","12.69")</f>
        <v>12.69</v>
      </c>
      <c r="I193" t="s">
        <v>15</v>
      </c>
      <c r="J193" s="9" t="str">
        <f>HYPERLINK("https://www.greenweez.com/produit/pate-a-tartiner-nocciolata-sans-lait-650g/1NOCC0005","11.49")</f>
        <v>11.49</v>
      </c>
      <c r="K193" s="8" t="s">
        <v>516</v>
      </c>
    </row>
    <row r="194" spans="1:11" x14ac:dyDescent="0.3">
      <c r="A194" t="s">
        <v>517</v>
      </c>
      <c r="B194" s="7" t="str">
        <f>HYPERLINK("https://lafourche.fr/products/natur-avenir-creme-de-marrons-d-ardeche-aop-bio-0-325kg","11.29")</f>
        <v>11.29</v>
      </c>
      <c r="C194" s="8" t="s">
        <v>518</v>
      </c>
      <c r="D194" s="9" t="str">
        <f>HYPERLINK("https://www.biocoop.fr/creme-de-chataigne-360g-dm0709-000.html","13.86")</f>
        <v>13.86</v>
      </c>
      <c r="E194" s="8" t="s">
        <v>519</v>
      </c>
      <c r="F194" s="9" t="str">
        <f>HYPERLINK("https://www.biocoop.fr/creme-de-chataigne-360g-dm0709-000.html","15.56")</f>
        <v>15.56</v>
      </c>
      <c r="H194" s="9" t="str">
        <f>HYPERLINK("https://satoriz-comboire.bio/products/re42052?_pos=2&amp;_sid=75640a58e&amp;_ss=r","12.62")</f>
        <v>12.62</v>
      </c>
      <c r="I194" s="8" t="s">
        <v>520</v>
      </c>
      <c r="J194" s="9" t="str">
        <f>HYPERLINK("https://www.greenweez.com/produit/creme-de-marrons-bio-55-320g/2WEEZ0462","12.13")</f>
        <v>12.13</v>
      </c>
      <c r="K194" s="8" t="s">
        <v>521</v>
      </c>
    </row>
    <row r="195" spans="1:11" x14ac:dyDescent="0.3">
      <c r="A195" t="s">
        <v>522</v>
      </c>
      <c r="B195" s="7" t="str">
        <f>HYPERLINK("https://lafourche.fr/products/la-fourche-miel-bio-toutes-fleurs-origine-bulgarie-1kg","10.6")</f>
        <v>10.6</v>
      </c>
      <c r="C195" t="s">
        <v>15</v>
      </c>
      <c r="D195" s="9" t="str">
        <f>HYPERLINK("https://www.biocoop.fr/miel-toutes-fleurs-1kg-mz2000-000.html","15.2")</f>
        <v>15.2</v>
      </c>
      <c r="E195" s="8" t="s">
        <v>523</v>
      </c>
      <c r="F195" s="9" t="str">
        <f>HYPERLINK("https://www.biocoop.fr/miel-toutes-fleurs-1kg-mz2000-000.html","16.55")</f>
        <v>16.55</v>
      </c>
      <c r="H195" s="9" t="str">
        <f>HYPERLINK("https://satoriz-comboire.bio/collections/epicerie-sucree/products/rc1","18.5")</f>
        <v>18.5</v>
      </c>
      <c r="I195" s="10" t="s">
        <v>477</v>
      </c>
      <c r="J195" s="9" t="str">
        <f>HYPERLINK("https://www.greenweez.com/produit/miel-toutes-fleurs-liquide-origine-ue-1kg/4TERR0044","17.95")</f>
        <v>17.95</v>
      </c>
      <c r="K195" s="8" t="s">
        <v>524</v>
      </c>
    </row>
    <row r="196" spans="1:11" x14ac:dyDescent="0.3">
      <c r="A196" t="s">
        <v>525</v>
      </c>
      <c r="B196" s="9" t="str">
        <f>HYPERLINK("https://lafourche.fr/products/la-fourche-miel-de-montagne-bio-0-25kg","22")</f>
        <v>22</v>
      </c>
      <c r="C196" t="s">
        <v>15</v>
      </c>
      <c r="D196">
        <v>888888</v>
      </c>
      <c r="E196" s="11" t="s">
        <v>99</v>
      </c>
      <c r="F196">
        <v>888888</v>
      </c>
      <c r="H196" s="9" t="str">
        <f>HYPERLINK("https://satoriz-comboire.bio/collections/epicerie-sucree/products/ver052","22.4")</f>
        <v>22.4</v>
      </c>
      <c r="I196" s="8" t="s">
        <v>526</v>
      </c>
      <c r="J196" s="7" t="str">
        <f>HYPERLINK("https://www.greenweez.com/produit/miel-de-montagne-bio-espagne-500g/2WEEZ0036","17.9")</f>
        <v>17.9</v>
      </c>
      <c r="K196" s="8" t="s">
        <v>527</v>
      </c>
    </row>
    <row r="197" spans="1:11" x14ac:dyDescent="0.3">
      <c r="A197" t="s">
        <v>528</v>
      </c>
      <c r="B197" s="7" t="str">
        <f>HYPERLINK("https://lafourche.fr/products/la-fourche-puree-100-cacahuetes-bio-0-5kg","9.98")</f>
        <v>9.98</v>
      </c>
      <c r="C197" t="s">
        <v>15</v>
      </c>
      <c r="D197" s="9" t="str">
        <f>HYPERLINK("https://www.biocoop.fr/beurre-de-cacahuetes-500g-ra0617-000.html","13.2")</f>
        <v>13.2</v>
      </c>
      <c r="E197" t="s">
        <v>15</v>
      </c>
      <c r="F197" s="9" t="str">
        <f>HYPERLINK("https://www.biocoop.fr/beurre-de-cacahuetes-500g-ra0617-000.html","13.2")</f>
        <v>13.2</v>
      </c>
      <c r="H197" s="9" t="str">
        <f>HYPERLINK("https://satoriz-comboire.bio/collections/epicerie-sucree/products/ag001216","10.46")</f>
        <v>10.46</v>
      </c>
      <c r="I197" s="8" t="s">
        <v>529</v>
      </c>
      <c r="J197" s="9" t="str">
        <f>HYPERLINK("https://www.greenweez.com/produit/beurre-de-cacahuetes-280g/1PERL0131","888888")</f>
        <v>888888</v>
      </c>
      <c r="K197" s="11" t="s">
        <v>99</v>
      </c>
    </row>
    <row r="198" spans="1:11" x14ac:dyDescent="0.3">
      <c r="A198" t="s">
        <v>530</v>
      </c>
      <c r="B198" s="9" t="str">
        <f>HYPERLINK("https://lafourche.fr/products/la-fourche-tahin-100-sesame-demi-complet-bio-0-5kg","12.18")</f>
        <v>12.18</v>
      </c>
      <c r="C198" s="8" t="s">
        <v>531</v>
      </c>
      <c r="D198" s="9" t="str">
        <f>HYPERLINK("https://www.biocoop.fr/puree-de-sesame-1-2-complet-350g-he0860-000.html","20.43")</f>
        <v>20.43</v>
      </c>
      <c r="E198" s="8" t="s">
        <v>532</v>
      </c>
      <c r="F198" s="9" t="str">
        <f>HYPERLINK("https://www.biocoop.fr/epicerie-sucree/petit-dejeuner/purees-d-oleagineux.html?product_list_order=price_ref_asc","11.64")</f>
        <v>11.64</v>
      </c>
      <c r="H198" s="9" t="str">
        <f>HYPERLINK("https://satoriz-comboire.bio/collections/epicerie-sucree/products/per1240","18.93")</f>
        <v>18.93</v>
      </c>
      <c r="I198" s="8" t="s">
        <v>533</v>
      </c>
      <c r="J198" s="7" t="str">
        <f>HYPERLINK("https://www.greenweez.com/produit/puree-de-sesame-complet-bio-700g/2WEEZ0504","11.34")</f>
        <v>11.34</v>
      </c>
    </row>
    <row r="199" spans="1:11" x14ac:dyDescent="0.3">
      <c r="A199" t="s">
        <v>534</v>
      </c>
      <c r="B199" s="7" t="str">
        <f>HYPERLINK("https://lafourche.fr/products/la-fourche-puree-100-amandes-completes-bio-0-5kg","20.98")</f>
        <v>20.98</v>
      </c>
      <c r="C199" s="10" t="s">
        <v>535</v>
      </c>
      <c r="D199" s="9" t="str">
        <f>HYPERLINK("https://www.biocoop.fr/puree-d-amande-complete-non-toastee-275g-da8051-000.html","32.69")</f>
        <v>32.69</v>
      </c>
      <c r="E199" t="s">
        <v>15</v>
      </c>
      <c r="F199" s="9" t="str">
        <f>HYPERLINK("https://www.biocoop.fr/puree-d-amande-complete-grillee-750g-da8074-000.html","28.6")</f>
        <v>28.6</v>
      </c>
      <c r="H199" s="9" t="str">
        <f>HYPERLINK("https://satoriz-comboire.bio/collections/epicerie-sucree/products/ag001043","21.77")</f>
        <v>21.77</v>
      </c>
      <c r="I199" s="8" t="s">
        <v>536</v>
      </c>
      <c r="J199" s="9" t="str">
        <f>HYPERLINK("https://www.greenweez.com/produit/puree-damandes-completes-bio-700g/2WEEZ0283","22.77")</f>
        <v>22.77</v>
      </c>
      <c r="K199" s="8" t="s">
        <v>537</v>
      </c>
    </row>
    <row r="200" spans="1:11" x14ac:dyDescent="0.3">
      <c r="A200" t="s">
        <v>538</v>
      </c>
      <c r="B200" s="7" t="str">
        <f>HYPERLINK("https://lafourche.fr/products/la-fourche-puree-100-noix-de-cajou-bio-0-5kg","21.98")</f>
        <v>21.98</v>
      </c>
      <c r="C200" s="8" t="s">
        <v>204</v>
      </c>
      <c r="D200" s="9" t="str">
        <f>HYPERLINK("https://www.biocoop.fr/puree-de-noix-de-cajou-crue-300g-pd0107-000.html","32.4")</f>
        <v>32.4</v>
      </c>
      <c r="E200" t="s">
        <v>15</v>
      </c>
      <c r="F200" s="9" t="str">
        <f>HYPERLINK("https://www.biocoop.fr/puree-de-noix-de-cajou-350g-he0751-000.html","31.14")</f>
        <v>31.14</v>
      </c>
      <c r="H200" s="9" t="str">
        <f>HYPERLINK("https://satoriz-comboire.bio/collections/epicerie-sucree/products/per1435","26.5")</f>
        <v>26.5</v>
      </c>
      <c r="I200" s="8" t="s">
        <v>499</v>
      </c>
      <c r="J200" s="9" t="str">
        <f>HYPERLINK("https://www.greenweez.com/produit/puree-de-noix-de-cajou-bio-350g/2WEEZ0285","24.23")</f>
        <v>24.23</v>
      </c>
      <c r="K200" s="8" t="s">
        <v>539</v>
      </c>
    </row>
    <row r="201" spans="1:11" x14ac:dyDescent="0.3">
      <c r="A201" t="s">
        <v>540</v>
      </c>
      <c r="B201" s="9" t="str">
        <f>HYPERLINK("https://lafourche.fr/products/la-fourche-puree-100-noisettes-bio-0-5kg","23.98")</f>
        <v>23.98</v>
      </c>
      <c r="C201" s="8" t="s">
        <v>541</v>
      </c>
      <c r="D201" s="9" t="str">
        <f>HYPERLINK("https://www.biocoop.fr/puree-de-noisette-700g-he0702-000.html","33.14")</f>
        <v>33.14</v>
      </c>
      <c r="E201" s="8" t="s">
        <v>542</v>
      </c>
      <c r="F201" s="9" t="str">
        <f>HYPERLINK("https://www.biocoop.fr/puree-de-noisette-700g-he0702-000.html","32.14")</f>
        <v>32.14</v>
      </c>
      <c r="H201" s="9" t="str">
        <f>HYPERLINK("https://satoriz-comboire.bio/collections/epicerie-sucree/products/ag001044","26.0")</f>
        <v>26.0</v>
      </c>
      <c r="I201" s="8" t="s">
        <v>543</v>
      </c>
      <c r="J201" s="7" t="str">
        <f>HYPERLINK("https://www.greenweez.com/produit/puree-de-noisettes-bio-700g/2WEEZ0289","22.36")</f>
        <v>22.36</v>
      </c>
      <c r="K201" s="8" t="s">
        <v>544</v>
      </c>
    </row>
    <row r="202" spans="1:11" x14ac:dyDescent="0.3">
      <c r="A202" s="5" t="s">
        <v>545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x14ac:dyDescent="0.3">
      <c r="A203" t="s">
        <v>546</v>
      </c>
      <c r="B203" s="7" t="str">
        <f>HYPERLINK("https://lafourche.fr/products/borsa-biscottes-completes-bio-0-3kg","8.83")</f>
        <v>8.83</v>
      </c>
      <c r="C203" t="s">
        <v>15</v>
      </c>
      <c r="D203" s="7" t="str">
        <f>HYPERLINK("https://www.biocoop.fr/biscottes-a-la-farine-complete-300g-bo1013-000.html","8.83")</f>
        <v>8.83</v>
      </c>
      <c r="E203" t="s">
        <v>15</v>
      </c>
      <c r="F203" s="7" t="str">
        <f>HYPERLINK("https://www.biocoop.fr/biscottes-a-la-farine-complete-300g-bo1013-000.html","8.83")</f>
        <v>8.83</v>
      </c>
      <c r="H203" s="9" t="str">
        <f>HYPERLINK("https://satoriz-comboire.bio/collections/boulangerie/products/ma3424","9.17")</f>
        <v>9.17</v>
      </c>
      <c r="I203" s="8" t="s">
        <v>547</v>
      </c>
      <c r="J203" s="9" t="str">
        <f>HYPERLINK("https://www.greenweez.com/produit/biscottes-a-la-farine-complete-300g/1BORS0001","11.6")</f>
        <v>11.6</v>
      </c>
      <c r="K203" s="10" t="s">
        <v>548</v>
      </c>
    </row>
    <row r="204" spans="1:11" x14ac:dyDescent="0.3">
      <c r="A204" t="s">
        <v>549</v>
      </c>
      <c r="B204" s="9" t="str">
        <f>HYPERLINK("https://lafourche.fr/products/lima-galettes-de-riz-100g","8.5")</f>
        <v>8.5</v>
      </c>
      <c r="C204" s="8" t="s">
        <v>550</v>
      </c>
      <c r="D204" s="9" t="str">
        <f>HYPERLINK("https://www.biocoop.fr/galettes-de-riz-de-camargue-complet-130g-bo0159-000.html","9.23")</f>
        <v>9.23</v>
      </c>
      <c r="E204" s="10" t="s">
        <v>551</v>
      </c>
      <c r="F204" s="9" t="str">
        <f>HYPERLINK("https://www.biocoop.fr/galettes-de-riz-de-camargue-complet-130g-bo0159-000.html","9.23")</f>
        <v>9.23</v>
      </c>
      <c r="H204" s="9" t="str">
        <f>HYPERLINK("https://satoriz-comboire.bio/collections/boulangerie/products/pu7840009","10.5")</f>
        <v>10.5</v>
      </c>
      <c r="I204" s="8" t="s">
        <v>552</v>
      </c>
      <c r="J204" s="7" t="str">
        <f>HYPERLINK("https://www.greenweez.com/produit/galettes-riz-de-camargue-sans-sel-100-france-130g/1PRIM0474","6.91")</f>
        <v>6.91</v>
      </c>
      <c r="K204" s="10" t="s">
        <v>553</v>
      </c>
    </row>
    <row r="205" spans="1:11" x14ac:dyDescent="0.3">
      <c r="A205" t="s">
        <v>554</v>
      </c>
      <c r="B205" s="7" t="str">
        <f>HYPERLINK("https://lafourche.fr/products/lima-galettes-de-riz-au-chocolat-noir-bio-0-1kg","21.6")</f>
        <v>21.6</v>
      </c>
      <c r="C205" t="s">
        <v>15</v>
      </c>
      <c r="D205" s="9" t="str">
        <f>HYPERLINK("https://www.biocoop.fr/galette-riz-complet-choco-noir-8-100g-cf5007-000.html","23.0")</f>
        <v>23.0</v>
      </c>
      <c r="E205" t="s">
        <v>15</v>
      </c>
      <c r="F205" s="9" t="str">
        <f>HYPERLINK("https://www.biocoop.fr/galette-riz-complet-choco-noir-8-100g-cf5007-000.html","23.0")</f>
        <v>23.0</v>
      </c>
      <c r="H205" s="9" t="str">
        <f>HYPERLINK("https://satoriz-comboire.bio/collections/boulangerie/products/pu7840085","25.5")</f>
        <v>25.5</v>
      </c>
      <c r="I205" s="8" t="s">
        <v>555</v>
      </c>
      <c r="J205" s="9" t="str">
        <f>HYPERLINK("https://www.greenweez.com/produit/galettes-de-riz-au-chocolat-noir-100g/1MKAL0059","888888")</f>
        <v>888888</v>
      </c>
      <c r="K205" s="11" t="s">
        <v>99</v>
      </c>
    </row>
    <row r="206" spans="1:11" x14ac:dyDescent="0.3">
      <c r="A206" t="s">
        <v>556</v>
      </c>
      <c r="B206" s="9" t="str">
        <f>HYPERLINK("https://lafourche.fr/products/pivert-pain-grille-250g","11")</f>
        <v>11</v>
      </c>
      <c r="C206" t="s">
        <v>15</v>
      </c>
      <c r="D206" s="7" t="str">
        <f>HYPERLINK("https://www.biocoop.fr/epicerie-sucree/pains-galettes-biscottes/biscottes-pains-grilles.html?product_list_order=price_ref_asc","8.67")</f>
        <v>8.67</v>
      </c>
      <c r="E206" t="s">
        <v>15</v>
      </c>
      <c r="F206">
        <v>888888</v>
      </c>
      <c r="H206" s="9" t="str">
        <f>HYPERLINK("https://satoriz-comboire.bio/collections/boulangerie/products/ma1521","10.2")</f>
        <v>10.2</v>
      </c>
      <c r="I206" s="8" t="s">
        <v>135</v>
      </c>
      <c r="J206" s="9" t="str">
        <f>HYPERLINK("https://www.greenweez.com/produit/pain-grille-a-la-farine-complete-250g/1BORS0008","11.36")</f>
        <v>11.36</v>
      </c>
      <c r="K206" s="10" t="s">
        <v>557</v>
      </c>
    </row>
    <row r="207" spans="1:11" x14ac:dyDescent="0.3">
      <c r="A207" t="s">
        <v>558</v>
      </c>
      <c r="B207" s="9" t="str">
        <f>HYPERLINK("https://lafourche.fr/products/pivert-petits-pains-grilles-graines-et-cereales-225g","13.29")</f>
        <v>13.29</v>
      </c>
      <c r="C207" s="10" t="s">
        <v>106</v>
      </c>
      <c r="D207" s="9" t="str">
        <f>HYPERLINK("https://www.biocoop.fr/petit-grille-aux-graines-170g-al3052-000.html","26.47")</f>
        <v>26.47</v>
      </c>
      <c r="E207" t="s">
        <v>15</v>
      </c>
      <c r="F207" s="7" t="str">
        <f>HYPERLINK("https://www.biocoop.fr/petit-pain-grille-cereales-graines-225g-bo1016-000.html","10.89")</f>
        <v>10.89</v>
      </c>
      <c r="H207" s="9" t="str">
        <f>HYPERLINK("https://satoriz-comboire.bio/collections/boulangerie/products/mpi120268","13.11")</f>
        <v>13.11</v>
      </c>
      <c r="I207" s="10" t="s">
        <v>559</v>
      </c>
      <c r="J207" s="9" t="str">
        <f>HYPERLINK("https://www.greenweez.com/produit/petits-pains-grilles-cereales-et-graines-225g/1BORS0005","13.96")</f>
        <v>13.96</v>
      </c>
      <c r="K207" s="10" t="s">
        <v>560</v>
      </c>
    </row>
    <row r="209" spans="1:11" ht="18.75" customHeight="1" x14ac:dyDescent="0.35">
      <c r="A209" s="3" t="s">
        <v>561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x14ac:dyDescent="0.3">
      <c r="A210" s="5" t="s">
        <v>562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x14ac:dyDescent="0.3">
      <c r="A211" t="s">
        <v>563</v>
      </c>
      <c r="B211" s="7" t="str">
        <f>HYPERLINK("https://lafourche.fr/products/la-fourche-pommes-candine-bio-origine-france-1-kg","2.58")</f>
        <v>2.58</v>
      </c>
      <c r="D211">
        <v>888888</v>
      </c>
      <c r="F211" s="9" t="str">
        <f>HYPERLINK("https://www.biocoop.fr/pomme-bicolore-fel4194-000-france.html","2.95")</f>
        <v>2.95</v>
      </c>
      <c r="H211" s="9" t="str">
        <f>HYPERLINK("https://satoriz-comboire.bio/collections/fruits-et-legumes/products/fru716","2.9")</f>
        <v>2.9</v>
      </c>
      <c r="J211" s="9" t="str">
        <f>HYPERLINK("https://www.greenweez.com/produit/pomme-regal-you-candine/1VRAC0415","2.99")</f>
        <v>2.99</v>
      </c>
    </row>
    <row r="212" spans="1:11" x14ac:dyDescent="0.3">
      <c r="A212" t="s">
        <v>564</v>
      </c>
      <c r="B212">
        <v>888888</v>
      </c>
      <c r="D212" s="7" t="str">
        <f>HYPERLINK("https://www.biocoop.fr/banane-cavendish-fel4011-000-dominicaine-republique-.html","2.09")</f>
        <v>2.09</v>
      </c>
      <c r="F212">
        <v>888888</v>
      </c>
      <c r="H212" s="9" t="str">
        <f>HYPERLINK("https://satoriz-comboire.bio/collections/fruits-et-legumes/products/fru140","2.1")</f>
        <v>2.1</v>
      </c>
      <c r="J212" s="9" t="str">
        <f>HYPERLINK("https://www.greenweez.com/produit/bananes-jaunes/1VRAC0018","2.29")</f>
        <v>2.29</v>
      </c>
    </row>
    <row r="213" spans="1:11" x14ac:dyDescent="0.3">
      <c r="A213" t="s">
        <v>565</v>
      </c>
      <c r="B213" s="7" t="str">
        <f>HYPERLINK("https://lafourche.fr/products/la-fourche-clementines-bio-origine-espagne-1kg","2.98")</f>
        <v>2.98</v>
      </c>
      <c r="D213">
        <v>888888</v>
      </c>
      <c r="F213">
        <v>888888</v>
      </c>
      <c r="H213" s="9" t="str">
        <f>HYPERLINK("https://satoriz-comboire.bio/collections/fruits-et-legumes/products/fru210","888888")</f>
        <v>888888</v>
      </c>
      <c r="J213" s="9" t="str">
        <f>HYPERLINK("https://www.greenweez.com/produit/clementines-espagne-1/1VRAC0019","888888")</f>
        <v>888888</v>
      </c>
    </row>
    <row r="214" spans="1:11" x14ac:dyDescent="0.3">
      <c r="A214" t="s">
        <v>566</v>
      </c>
      <c r="B214" s="7" t="str">
        <f>HYPERLINK("https://lafourche.fr/products/la-fourche-kiwis-bio-origine-france-0-5kg","4.6")</f>
        <v>4.6</v>
      </c>
      <c r="D214">
        <v>888888</v>
      </c>
      <c r="F214" s="9" t="str">
        <f>HYPERLINK("https://www.biocoop.fr/kiwi-vert-fel4030-000-italie.html","6.0")</f>
        <v>6.0</v>
      </c>
      <c r="H214" s="9" t="str">
        <f>HYPERLINK("https://satoriz-comboire.bio/collections/fruits-et-legumes/products/fru300","5.5")</f>
        <v>5.5</v>
      </c>
      <c r="J214" s="9" t="str">
        <f>HYPERLINK("https://www.greenweez.com/produit/kiwi-hayward-italie-1/1VRAC0014","888888")</f>
        <v>888888</v>
      </c>
    </row>
    <row r="215" spans="1:11" x14ac:dyDescent="0.3">
      <c r="A215" t="s">
        <v>568</v>
      </c>
      <c r="B215" s="9" t="str">
        <f>HYPERLINK("https://lafourche.fr/products/la-fourche-oranges-bio-origine-espagne-kg-1","888888")</f>
        <v>888888</v>
      </c>
      <c r="D215">
        <v>888888</v>
      </c>
      <c r="F215" s="7" t="str">
        <f>HYPERLINK("https://www.biocoop.fr/orange-blonde-navel.html","2.2")</f>
        <v>2.2</v>
      </c>
      <c r="H215" s="9" t="str">
        <f>HYPERLINK("https://satoriz-comboire.bio/collections/fruits-et-legumes/products/fru450","2.3")</f>
        <v>2.3</v>
      </c>
      <c r="J215" s="9" t="str">
        <f>HYPERLINK("https://www.greenweez.com/produit/orange-de-table-espagne-1/1VRAC0009","2.82")</f>
        <v>2.82</v>
      </c>
    </row>
    <row r="216" spans="1:11" x14ac:dyDescent="0.3">
      <c r="A216" t="s">
        <v>569</v>
      </c>
      <c r="B216" s="7" t="str">
        <f>HYPERLINK("https://lafourche.fr/products/la-fourche-citron-bio-origine-italie-kg-0-5-2","2.3")</f>
        <v>2.3</v>
      </c>
      <c r="D216" s="9" t="str">
        <f>HYPERLINK("https://www.biocoop.fr/citron-jaune.html","2.75")</f>
        <v>2.75</v>
      </c>
      <c r="F216" s="9" t="str">
        <f>HYPERLINK("https://www.biocoop.fr/citron-jaune.html","2.5")</f>
        <v>2.5</v>
      </c>
      <c r="H216" s="9" t="str">
        <f>HYPERLINK("https://satoriz-comboire.bio/collections/fruits-et-legumes/products/fru202","3.6")</f>
        <v>3.6</v>
      </c>
      <c r="J216" s="9" t="str">
        <f>HYPERLINK("https://www.greenweez.com/produit/citron-jaune-espagne-1/1VRAC0011","3.12")</f>
        <v>3.12</v>
      </c>
    </row>
    <row r="217" spans="1:11" x14ac:dyDescent="0.3">
      <c r="A217" s="5" t="s">
        <v>570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3">
      <c r="A218" t="s">
        <v>571</v>
      </c>
      <c r="B218" s="9" t="str">
        <f>HYPERLINK("https://lafourche.fr/products/la-fourche-ail-bio-origine-france-0-3kg","13.3")</f>
        <v>13.3</v>
      </c>
      <c r="D218">
        <v>888888</v>
      </c>
      <c r="F218" s="9" t="str">
        <f>HYPERLINK("https://www.biocoop.fr/ail-sec-blanc.html","15.0")</f>
        <v>15.0</v>
      </c>
      <c r="H218" s="9" t="str">
        <f>HYPERLINK("https://satoriz-comboire.bio/collections/fruits-et-legumes/products/lgu105","13.0")</f>
        <v>13.0</v>
      </c>
      <c r="J218" s="7" t="str">
        <f>HYPERLINK("https://www.greenweez.com/produit/ail-blanc-violet-sec-espagne-1/1VRAC0299","11.15")</f>
        <v>11.15</v>
      </c>
    </row>
    <row r="219" spans="1:11" x14ac:dyDescent="0.3">
      <c r="A219" t="s">
        <v>572</v>
      </c>
      <c r="B219" s="9" t="str">
        <f>HYPERLINK("https://lafourche.fr/products/la-fourche-oignons-jaunes-bio-origine-france-1kg","2.35")</f>
        <v>2.35</v>
      </c>
      <c r="D219">
        <v>888888</v>
      </c>
      <c r="F219" s="9" t="str">
        <f>HYPERLINK("https://www.biocoop.fr/oignon-vrac-jaune.html","2.9")</f>
        <v>2.9</v>
      </c>
      <c r="H219" s="7" t="str">
        <f>HYPERLINK("https://satoriz-comboire.bio/collections/fruits-et-legumes/products/lgu608","2.2")</f>
        <v>2.2</v>
      </c>
      <c r="J219" s="9" t="str">
        <f>HYPERLINK("https://www.greenweez.com/produit/oignon-jaune-cal-40-80-france/1VRAC0533","2.82")</f>
        <v>2.82</v>
      </c>
    </row>
    <row r="220" spans="1:11" x14ac:dyDescent="0.3">
      <c r="A220" t="s">
        <v>573</v>
      </c>
      <c r="B220" s="9" t="str">
        <f>HYPERLINK("https://lafourche.fr/products/la-fourche-oignons-rouges-bio-origine-france-1kg","3.19")</f>
        <v>3.19</v>
      </c>
      <c r="D220" s="9" t="str">
        <f>HYPERLINK("https://www.biocoop.fr/oignon-vrac-rouge.html","3.5")</f>
        <v>3.5</v>
      </c>
      <c r="F220" s="9" t="str">
        <f>HYPERLINK("https://www.biocoop.fr/oignon-vrac-rouge.html","3.5")</f>
        <v>3.5</v>
      </c>
      <c r="H220" s="7" t="str">
        <f>HYPERLINK("https://satoriz-comboire.bio/collections/fruits-et-legumes/products/oignon-rouge","3.12")</f>
        <v>3.12</v>
      </c>
      <c r="J220">
        <v>888888</v>
      </c>
    </row>
    <row r="221" spans="1:11" x14ac:dyDescent="0.3">
      <c r="A221" t="s">
        <v>574</v>
      </c>
      <c r="B221">
        <v>888888</v>
      </c>
      <c r="D221">
        <v>888888</v>
      </c>
      <c r="F221" s="9" t="str">
        <f>HYPERLINK("https://www.biocoop.fr/betterave-rouge.html","2.95")</f>
        <v>2.95</v>
      </c>
      <c r="H221" s="7" t="str">
        <f>HYPERLINK("https://satoriz-comboire.bio/collections/fruits-et-legumes/products/lgu210-1","2.7")</f>
        <v>2.7</v>
      </c>
      <c r="J221" s="9" t="str">
        <f>HYPERLINK("https://www.greenweez.com/produit/betterave-rouge-france-2/1VRAC0023","3.12")</f>
        <v>3.12</v>
      </c>
    </row>
    <row r="222" spans="1:11" x14ac:dyDescent="0.3">
      <c r="A222" t="s">
        <v>575</v>
      </c>
      <c r="B222">
        <v>888888</v>
      </c>
      <c r="D222" s="9" t="str">
        <f>HYPERLINK("https://www.biocoop.fr/blette-pied.html","3.95")</f>
        <v>3.95</v>
      </c>
      <c r="F222">
        <v>888888</v>
      </c>
      <c r="H222" s="7" t="str">
        <f>HYPERLINK("https://satoriz-comboire.bio/collections/fruits-et-legumes/products/lgu222","3.76")</f>
        <v>3.76</v>
      </c>
      <c r="J222">
        <v>888888</v>
      </c>
    </row>
    <row r="223" spans="1:11" x14ac:dyDescent="0.3">
      <c r="A223" t="s">
        <v>576</v>
      </c>
      <c r="B223">
        <v>888888</v>
      </c>
      <c r="D223">
        <v>888888</v>
      </c>
      <c r="F223" s="7" t="str">
        <f>HYPERLINK("https://www.biocoop.fr/chou-brocoli.html","4.9")</f>
        <v>4.9</v>
      </c>
      <c r="H223" s="9" t="str">
        <f>HYPERLINK("https://satoriz-comboire.bio/collections/fruits-et-legumes/products/lgu230","4.96")</f>
        <v>4.96</v>
      </c>
      <c r="J223" s="7" t="str">
        <f>HYPERLINK("https://www.greenweez.com/produit/brocoli-france/1VRAC0033","4.9")</f>
        <v>4.9</v>
      </c>
    </row>
    <row r="224" spans="1:11" x14ac:dyDescent="0.3">
      <c r="A224" t="s">
        <v>577</v>
      </c>
      <c r="B224" s="7" t="str">
        <f>HYPERLINK("https://lafourche.fr/products/la-fourche-carottes-bio-origine-france-2-kg-2","2.25")</f>
        <v>2.25</v>
      </c>
      <c r="D224" s="9" t="str">
        <f>HYPERLINK("https://www.biocoop.fr/carotte-lavee.html","2.5")</f>
        <v>2.5</v>
      </c>
      <c r="F224" s="9" t="str">
        <f>HYPERLINK("https://www.biocoop.fr/carotte-lavee.html","2.6")</f>
        <v>2.6</v>
      </c>
      <c r="H224" s="9" t="str">
        <f>HYPERLINK("https://satoriz-comboire.bio/collections/fruits-et-legumes/products/lgu250","2.8")</f>
        <v>2.8</v>
      </c>
      <c r="J224" s="9" t="str">
        <f>HYPERLINK("https://www.greenweez.com/produit/carottes-lavees-france-2/1VRAC0034","2.92")</f>
        <v>2.92</v>
      </c>
    </row>
    <row r="225" spans="1:10" x14ac:dyDescent="0.3">
      <c r="A225" t="s">
        <v>578</v>
      </c>
      <c r="B225">
        <v>888888</v>
      </c>
      <c r="D225">
        <v>888888</v>
      </c>
      <c r="F225">
        <v>888888</v>
      </c>
      <c r="H225" s="7" t="str">
        <f>HYPERLINK("https://satoriz-comboire.bio/collections/fruits-et-legumes/products/lgu300","3.36")</f>
        <v>3.36</v>
      </c>
      <c r="J225" s="9" t="str">
        <f>HYPERLINK("https://www.greenweez.com/produit/celeri-rave/1VRAC0422","888888")</f>
        <v>888888</v>
      </c>
    </row>
    <row r="226" spans="1:10" x14ac:dyDescent="0.3">
      <c r="A226" t="s">
        <v>579</v>
      </c>
      <c r="B226" s="9" t="str">
        <f>HYPERLINK("https://lafourche.fr/products/la-fourche-celeri-branche-bio-0-5kg","3.6")</f>
        <v>3.6</v>
      </c>
      <c r="D226" s="9" t="str">
        <f>HYPERLINK("https://www.biocoop.fr/celeri-branche.html","2.75")</f>
        <v>2.75</v>
      </c>
      <c r="F226" s="9" t="str">
        <f>HYPERLINK("https://www.biocoop.fr/celeri-branche.html","3.9")</f>
        <v>3.9</v>
      </c>
      <c r="H226" s="7" t="str">
        <f>HYPERLINK("https://satoriz-comboire.bio/collections/fruits-et-legumes/products/lgu301","2.56")</f>
        <v>2.56</v>
      </c>
      <c r="J226" s="9" t="str">
        <f>HYPERLINK("https://www.greenweez.com/produit/celeri-branche/1VRAC0040","3.76")</f>
        <v>3.76</v>
      </c>
    </row>
    <row r="227" spans="1:10" x14ac:dyDescent="0.3">
      <c r="A227" t="s">
        <v>580</v>
      </c>
      <c r="B227" s="7" t="str">
        <f>HYPERLINK("https://lafourche.fr/products/la-fourche-champignons-de-paris-bio-origine-france-0-5-kg-2","9.8")</f>
        <v>9.8</v>
      </c>
      <c r="D227">
        <v>888888</v>
      </c>
      <c r="F227" s="9" t="str">
        <f>HYPERLINK("https://www.biocoop.fr/champignon-blond.html","9.9")</f>
        <v>9.9</v>
      </c>
      <c r="H227" s="9" t="str">
        <f>HYPERLINK("https://satoriz-comboire.bio/collections/fruits-et-legumes/products/lgu321","12.7")</f>
        <v>12.7</v>
      </c>
      <c r="J227" s="9" t="str">
        <f>HYPERLINK("https://www.greenweez.com/produit/champignons-blancs/1VRAC0150","888888")</f>
        <v>888888</v>
      </c>
    </row>
    <row r="228" spans="1:10" x14ac:dyDescent="0.3">
      <c r="A228" t="s">
        <v>581</v>
      </c>
      <c r="B228" s="9" t="str">
        <f>HYPERLINK("https://lafourche.fr/products/la-fourche-champignons-pleurotes-bio-origine-france-0-25-kg","888888")</f>
        <v>888888</v>
      </c>
      <c r="D228">
        <v>888888</v>
      </c>
      <c r="F228">
        <v>888888</v>
      </c>
      <c r="H228" s="7" t="str">
        <f>HYPERLINK("https://satoriz-comboire.bio/collections/fruits-et-legumes/products/lgu325","14.5")</f>
        <v>14.5</v>
      </c>
      <c r="J228" s="9" t="str">
        <f>HYPERLINK("https://www.greenweez.com/produit/champignon-pleurote-ile-de-france-1/1VRAC0311","888888")</f>
        <v>888888</v>
      </c>
    </row>
    <row r="229" spans="1:10" x14ac:dyDescent="0.3">
      <c r="A229" t="s">
        <v>582</v>
      </c>
      <c r="B229" s="9" t="str">
        <f>HYPERLINK("https://lafourche.fr/products/la-fourche-choux-de-bruxelles-origine-france-0-25kg","11.72")</f>
        <v>11.72</v>
      </c>
      <c r="D229">
        <v>888888</v>
      </c>
      <c r="F229">
        <v>888888</v>
      </c>
      <c r="H229" s="7" t="str">
        <f>HYPERLINK("https://satoriz-comboire.bio/collections/fruits-et-legumes/products/lgu338","10.96")</f>
        <v>10.96</v>
      </c>
      <c r="J229">
        <v>888888</v>
      </c>
    </row>
    <row r="230" spans="1:10" x14ac:dyDescent="0.3">
      <c r="A230" t="s">
        <v>583</v>
      </c>
      <c r="B230">
        <v>888888</v>
      </c>
      <c r="D230" s="9" t="str">
        <f>HYPERLINK("https://www.biocoop.fr/chou-rouge-fel1980-000-france.html","2.75")</f>
        <v>2.75</v>
      </c>
      <c r="F230">
        <v>888888</v>
      </c>
      <c r="H230" s="7" t="str">
        <f>HYPERLINK("https://satoriz-comboire.bio/collections/fruits-et-legumes/products/lgu343","2.5")</f>
        <v>2.5</v>
      </c>
      <c r="J230">
        <v>888888</v>
      </c>
    </row>
    <row r="231" spans="1:10" x14ac:dyDescent="0.3">
      <c r="A231" t="s">
        <v>584</v>
      </c>
      <c r="B231">
        <v>888888</v>
      </c>
      <c r="D231" s="9" t="str">
        <f>HYPERLINK("https://www.biocoop.fr/courge-butternut-fel4759-000-france.html","2.95")</f>
        <v>2.95</v>
      </c>
      <c r="F231" s="9" t="str">
        <f>HYPERLINK("https://www.biocoop.fr/courge-butternut-fel4759-000-france.html","2.95")</f>
        <v>2.95</v>
      </c>
      <c r="H231" s="7" t="str">
        <f>HYPERLINK("https://satoriz-comboire.bio/collections/fruits-et-legumes/products/lgu401","2.1")</f>
        <v>2.1</v>
      </c>
      <c r="J231" s="9" t="str">
        <f>HYPERLINK("https://www.greenweez.com/produit/courge-butternut-france-2-5kg/1VRAC0036","2.51")</f>
        <v>2.51</v>
      </c>
    </row>
    <row r="232" spans="1:10" x14ac:dyDescent="0.3">
      <c r="A232" t="s">
        <v>585</v>
      </c>
      <c r="B232" s="9" t="str">
        <f>HYPERLINK("https://lafourche.fr/products/la-fourche-echalotes-bio-origine-france-0-5kg","3.98")</f>
        <v>3.98</v>
      </c>
      <c r="D232" s="7" t="str">
        <f>HYPERLINK("https://www.biocoop.fr/echalote-vrac.html","3.75")</f>
        <v>3.75</v>
      </c>
      <c r="F232" s="9" t="str">
        <f>HYPERLINK("https://www.biocoop.fr/echalote-vrac.html","4.5")</f>
        <v>4.5</v>
      </c>
      <c r="H232" s="9" t="str">
        <f>HYPERLINK("https://satoriz-comboire.bio/collections/fruits-et-legumes/products/lgu420","4.0")</f>
        <v>4.0</v>
      </c>
      <c r="J232" s="9" t="str">
        <f>HYPERLINK("https://www.greenweez.com/produit/echalote-nouvelle/1VRAC0053","4.18")</f>
        <v>4.18</v>
      </c>
    </row>
    <row r="233" spans="1:10" x14ac:dyDescent="0.3">
      <c r="A233" t="s">
        <v>586</v>
      </c>
      <c r="B233" s="9" t="str">
        <f>HYPERLINK("https://lafourche.fr/products/la-fourche-endives-bio-origine-france-0-5kg","7.7")</f>
        <v>7.7</v>
      </c>
      <c r="D233">
        <v>888888</v>
      </c>
      <c r="F233">
        <v>888888</v>
      </c>
      <c r="H233" s="7" t="str">
        <f>HYPERLINK("https://satoriz-comboire.bio/collections/fruits-et-legumes/products/lgu422","5.3")</f>
        <v>5.3</v>
      </c>
      <c r="J233" s="9" t="str">
        <f>HYPERLINK("https://www.greenweez.com/produit/endive-france-4/1VRAC0047","8.66")</f>
        <v>8.66</v>
      </c>
    </row>
    <row r="234" spans="1:10" x14ac:dyDescent="0.3">
      <c r="A234" t="s">
        <v>587</v>
      </c>
      <c r="B234">
        <v>888888</v>
      </c>
      <c r="D234">
        <v>888888</v>
      </c>
      <c r="F234">
        <v>888888</v>
      </c>
      <c r="H234" s="7" t="str">
        <f>HYPERLINK("https://satoriz-comboire.bio/collections/fruits-et-legumes/products/lgu440","4.6")</f>
        <v>4.6</v>
      </c>
      <c r="J234" s="9" t="str">
        <f>HYPERLINK("https://www.greenweez.com/produit/epinards/1VRAC0083","888888")</f>
        <v>888888</v>
      </c>
    </row>
    <row r="235" spans="1:10" x14ac:dyDescent="0.3">
      <c r="A235" t="s">
        <v>588</v>
      </c>
      <c r="B235">
        <v>888888</v>
      </c>
      <c r="D235" s="9" t="str">
        <f>HYPERLINK("https://www.biocoop.fr/fenouil-fel4515-000-france.html","4.5")</f>
        <v>4.5</v>
      </c>
      <c r="F235" s="9" t="str">
        <f>HYPERLINK("https://www.biocoop.fr/fenouil-fel4515-000-france.html","4.9")</f>
        <v>4.9</v>
      </c>
      <c r="H235" s="7" t="str">
        <f>HYPERLINK("https://satoriz-comboire.bio/collections/fruits-et-legumes/products/lgu460","3.8")</f>
        <v>3.8</v>
      </c>
      <c r="J235">
        <v>888888</v>
      </c>
    </row>
    <row r="236" spans="1:10" x14ac:dyDescent="0.3">
      <c r="A236" t="s">
        <v>589</v>
      </c>
      <c r="B236" s="7" t="str">
        <f>HYPERLINK("https://lafourche.fr/products/la-fourche-panais-bio-origine-france-0-5kg","3.98")</f>
        <v>3.98</v>
      </c>
      <c r="D236">
        <v>888888</v>
      </c>
      <c r="F236">
        <v>888888</v>
      </c>
      <c r="H236" s="9" t="str">
        <f>HYPERLINK("https://satoriz-comboire.bio/collections/fruits-et-legumes/products/lgu620","4.2")</f>
        <v>4.2</v>
      </c>
      <c r="J236" s="9" t="str">
        <f>HYPERLINK("https://www.greenweez.com/produit/panais-1/1VRAC0031","4.9")</f>
        <v>4.9</v>
      </c>
    </row>
    <row r="237" spans="1:10" x14ac:dyDescent="0.3">
      <c r="A237" t="s">
        <v>590</v>
      </c>
      <c r="B237">
        <v>888888</v>
      </c>
      <c r="D237" s="9" t="str">
        <f>HYPERLINK("https://www.biocoop.fr/patate-douce-fel4074-000-france.html","4.25")</f>
        <v>4.25</v>
      </c>
      <c r="F237" s="9" t="str">
        <f>HYPERLINK("https://www.biocoop.fr/patate-douce-fel4074-000-france.html","4.5")</f>
        <v>4.5</v>
      </c>
      <c r="H237" s="7" t="str">
        <f>HYPERLINK("https://satoriz-comboire.bio/collections/fruits-et-legumes/products/lgu631","2.5")</f>
        <v>2.5</v>
      </c>
      <c r="J237" s="9" t="str">
        <f>HYPERLINK("https://www.greenweez.com/produit/patate-douce-france-2/1VRAC0048","4.27")</f>
        <v>4.27</v>
      </c>
    </row>
    <row r="238" spans="1:10" x14ac:dyDescent="0.3">
      <c r="A238" t="s">
        <v>591</v>
      </c>
      <c r="B238" s="7" t="str">
        <f>HYPERLINK("https://lafourche.fr/products/la-fourche-poireaux-bio-origine-france-0-5kg","3.9")</f>
        <v>3.9</v>
      </c>
      <c r="D238">
        <v>888888</v>
      </c>
      <c r="F238" s="7" t="str">
        <f>HYPERLINK("https://www.biocoop.fr/poireau.html","3.9")</f>
        <v>3.9</v>
      </c>
      <c r="H238" s="9" t="str">
        <f>HYPERLINK("https://satoriz-comboire.bio/collections/fruits-et-legumes/products/lgu710","4.4")</f>
        <v>4.4</v>
      </c>
      <c r="J238" s="9" t="str">
        <f>HYPERLINK("https://www.greenweez.com/produit/poireau-france-2/1VRAC0024","3.96")</f>
        <v>3.96</v>
      </c>
    </row>
    <row r="239" spans="1:10" x14ac:dyDescent="0.3">
      <c r="A239" t="s">
        <v>592</v>
      </c>
      <c r="B239" s="9" t="str">
        <f>HYPERLINK("https://lafourche.fr/products/la-fourche-pommes-de-terre-allians-bio-origine-france-2-kg","2.2")</f>
        <v>2.2</v>
      </c>
      <c r="D239">
        <v>888888</v>
      </c>
      <c r="F239">
        <v>888888</v>
      </c>
      <c r="H239" s="7" t="str">
        <f>HYPERLINK("https://satoriz-comboire.bio/collections/fruits-et-legumes/products/lgu761","1.8")</f>
        <v>1.8</v>
      </c>
      <c r="J239" s="9" t="str">
        <f>HYPERLINK("https://www.greenweez.com/produit/pomme-de-terre-charlotte/1VRAC0032","2.5")</f>
        <v>2.5</v>
      </c>
    </row>
    <row r="241" spans="1:12" ht="18.75" customHeight="1" x14ac:dyDescent="0.35">
      <c r="A241" s="3" t="s">
        <v>593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2" x14ac:dyDescent="0.3">
      <c r="A242" s="5" t="s">
        <v>594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2" x14ac:dyDescent="0.3">
      <c r="A243" t="s">
        <v>595</v>
      </c>
      <c r="B243" s="7" t="str">
        <f>HYPERLINK("https://lafourche.fr/products/cosmo-naturel-shampoing-solide-cuir-chevelu-sensible-amande-douce-bio-0-085kg","73.29")</f>
        <v>73.29</v>
      </c>
      <c r="C243" s="8" t="s">
        <v>596</v>
      </c>
      <c r="D243" s="9" t="str">
        <f>HYPERLINK("https://www.biocoop.fr/shampooing-solide-amande-douce-85g-lg5128-000.html","88.24")</f>
        <v>88.24</v>
      </c>
      <c r="E243" s="8" t="s">
        <v>597</v>
      </c>
      <c r="F243" s="9" t="str">
        <f>HYPERLINK("https://www.biocoop.fr/shampooing-solide-cheveux-gras-85g-lg5104-000.html","82.24")</f>
        <v>82.24</v>
      </c>
      <c r="H243" s="9" t="str">
        <f>HYPERLINK("https://satoriz-comboire.bio/collections/soins-beaute/products/lgco6317","90.0")</f>
        <v>90.0</v>
      </c>
      <c r="I243" s="10" t="s">
        <v>598</v>
      </c>
      <c r="J243" s="9" t="str">
        <f>HYPERLINK("https://www.greenweez.com/produit/shampoing-solide-cuir-chevelu-sensible-85g/1COSM0217","76.24")</f>
        <v>76.24</v>
      </c>
      <c r="K243" s="8" t="s">
        <v>599</v>
      </c>
    </row>
    <row r="244" spans="1:12" x14ac:dyDescent="0.3">
      <c r="A244" s="5" t="s">
        <v>600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2" x14ac:dyDescent="0.3">
      <c r="A245" t="s">
        <v>601</v>
      </c>
      <c r="B245" s="9" t="str">
        <f>HYPERLINK("https://lafourche.fr/products/najel-savon-d-alep-40prct-huile-de-baies-de-laurier-185g-ecologique","30.54")</f>
        <v>30.54</v>
      </c>
      <c r="C245" t="s">
        <v>15</v>
      </c>
      <c r="D245" s="9" t="str">
        <f>HYPERLINK("https://www.biocoop.fr/savon-d-alep-40-nj1017-000.html","41.08")</f>
        <v>41.08</v>
      </c>
      <c r="E245" s="10" t="s">
        <v>602</v>
      </c>
      <c r="F245" s="9" t="str">
        <f>HYPERLINK("https://www.biocoop.fr/savon-d-alep-40-nj1017-000.html","41.89")</f>
        <v>41.89</v>
      </c>
      <c r="H245" s="9" t="str">
        <f>HYPERLINK("https://satoriz-comboire.bio/collections/soins-beaute/products/l30035","48.67")</f>
        <v>48.67</v>
      </c>
      <c r="I245" s="8" t="s">
        <v>603</v>
      </c>
      <c r="J245" s="7" t="str">
        <f>HYPERLINK("https://www.greenweez.com/produit/savon-dalep-traditionnel-40-200g/1LAUR0009","23.0")</f>
        <v>23.0</v>
      </c>
      <c r="K245" s="8" t="s">
        <v>604</v>
      </c>
    </row>
    <row r="247" spans="1:12" ht="18.75" customHeight="1" x14ac:dyDescent="0.35">
      <c r="A247" s="3" t="s">
        <v>615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2" x14ac:dyDescent="0.3">
      <c r="A248" s="5" t="s">
        <v>616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2" x14ac:dyDescent="0.3">
      <c r="A249" t="s">
        <v>617</v>
      </c>
      <c r="B249" s="9" t="str">
        <f>HYPERLINK("https://lafourche.fr/products/la-fourche-vinaigre-blanc-12-5l","1.8")</f>
        <v>1.8</v>
      </c>
      <c r="C249" t="s">
        <v>15</v>
      </c>
      <c r="D249" s="9" t="str">
        <f>HYPERLINK("https://www.biocoop.fr/vinaigre-d-alcool-8-se4010-000.html","2.15")</f>
        <v>2.15</v>
      </c>
      <c r="E249" t="s">
        <v>15</v>
      </c>
      <c r="F249" s="9" t="str">
        <f>HYPERLINK("https://www.biocoop.fr/vinaigre-d-alcool-8-se4010-000.html","2.15")</f>
        <v>2.15</v>
      </c>
      <c r="H249" s="7" t="str">
        <f>HYPERLINK("https://satoriz-comboire.bio/collections/maison/products/cb4405","1.59")</f>
        <v>1.59</v>
      </c>
      <c r="I249" s="10" t="s">
        <v>618</v>
      </c>
      <c r="J249" s="45" t="str">
        <f>HYPERLINK("https://www.greenweez.com/produit/vinaigre-blanc-9-5deg-5l/2WEEZ0344","1.79")</f>
        <v>1.79</v>
      </c>
      <c r="K249" s="11" t="s">
        <v>99</v>
      </c>
      <c r="L249">
        <v>1</v>
      </c>
    </row>
    <row r="250" spans="1:12" x14ac:dyDescent="0.3">
      <c r="A250" t="s">
        <v>619</v>
      </c>
      <c r="B250" s="9" t="str">
        <f>HYPERLINK("https://lafourche.fr/products/bicarbonate-la-fourche-2kg","3.4")</f>
        <v>3.4</v>
      </c>
      <c r="C250" s="10" t="s">
        <v>620</v>
      </c>
      <c r="D250" s="9" t="str">
        <f>HYPERLINK("https://www.biocoop.fr/bicarbonate-de-soude-se4001-000.html","4.9")</f>
        <v>4.9</v>
      </c>
      <c r="E250" t="s">
        <v>15</v>
      </c>
      <c r="F250" s="9" t="str">
        <f>HYPERLINK("https://www.biocoop.fr/bicarbonate-soude-se4066-000.html","3.1")</f>
        <v>3.1</v>
      </c>
      <c r="H250" s="7" t="str">
        <f>HYPERLINK("https://satoriz-comboire.bio/collections/maison/products/ls2","2.6")</f>
        <v>2.6</v>
      </c>
      <c r="I250" s="10" t="s">
        <v>621</v>
      </c>
      <c r="J250" s="9" t="str">
        <f>HYPERLINK("https://www.greenweez.com/produit/bicarbonate-de-soude-technique-2-5kg/2ECOD0552","3.21")</f>
        <v>3.21</v>
      </c>
      <c r="K250" s="8" t="s">
        <v>622</v>
      </c>
    </row>
    <row r="251" spans="1:12" x14ac:dyDescent="0.3">
      <c r="A251" t="s">
        <v>623</v>
      </c>
      <c r="B251" s="9" t="str">
        <f>HYPERLINK("https://lafourche.fr/products/cristaux-de-soude-la-fourche-1kg","4.1")</f>
        <v>4.1</v>
      </c>
      <c r="C251" t="s">
        <v>15</v>
      </c>
      <c r="D251" s="9" t="str">
        <f>HYPERLINK("https://www.biocoop.fr/soude-en-cristaux-500g-se4005-000.html","5.8")</f>
        <v>5.8</v>
      </c>
      <c r="E251" t="s">
        <v>15</v>
      </c>
      <c r="F251" s="9" t="str">
        <f>HYPERLINK("https://www.biocoop.fr/soude-en-cristaux-500g-se4005-000.html","6.2")</f>
        <v>6.2</v>
      </c>
      <c r="H251" s="9" t="str">
        <f>HYPERLINK("https://satoriz-comboire.bio/collections/maison/products/eu7667","6.3")</f>
        <v>6.3</v>
      </c>
      <c r="I251" s="8" t="s">
        <v>624</v>
      </c>
      <c r="J251" s="7" t="str">
        <f>HYPERLINK("https://www.greenweez.com/produit/lot-de-2-soude-en-cristaux-1kg/1PACK1039","3.81")</f>
        <v>3.81</v>
      </c>
      <c r="K251" s="8" t="s">
        <v>625</v>
      </c>
    </row>
    <row r="252" spans="1:12" x14ac:dyDescent="0.3">
      <c r="A252" t="s">
        <v>626</v>
      </c>
      <c r="B252" s="7" t="str">
        <f>HYPERLINK("https://lafourche.fr/products/percarbonate-2kg-la-fourche","4.64")</f>
        <v>4.64</v>
      </c>
      <c r="C252" s="10" t="s">
        <v>627</v>
      </c>
      <c r="D252" s="9" t="str">
        <f>HYPERLINK("https://www.biocoop.fr/percarbonate-de-soude-1kg-se4004-000.html","6.15")</f>
        <v>6.15</v>
      </c>
      <c r="E252" t="s">
        <v>15</v>
      </c>
      <c r="F252" s="9" t="str">
        <f>HYPERLINK("https://www.biocoop.fr/percarbonate-de-soude-1kg-se4004-000.html","5.99")</f>
        <v>5.99</v>
      </c>
      <c r="H252" s="9" t="str">
        <f>HYPERLINK("https://satoriz-comboire.bio/collections/maison/products/eco014","5.6")</f>
        <v>5.6</v>
      </c>
      <c r="I252" s="8" t="s">
        <v>628</v>
      </c>
      <c r="J252" s="9" t="str">
        <f>HYPERLINK("https://www.greenweez.com/produit/percarbonate-de-soude-1kg-2/2WEEZ0347","5.48")</f>
        <v>5.48</v>
      </c>
      <c r="K252" t="s">
        <v>15</v>
      </c>
    </row>
    <row r="253" spans="1:12" x14ac:dyDescent="0.3">
      <c r="A253" t="s">
        <v>629</v>
      </c>
      <c r="B253" s="7" t="str">
        <f>HYPERLINK("https://lafourche.fr/products/artisan-savonnier-blanc-de-meudon-500g","5.7")</f>
        <v>5.7</v>
      </c>
      <c r="C253" s="8" t="s">
        <v>630</v>
      </c>
      <c r="D253" s="9" t="str">
        <f>HYPERLINK("https://www.biocoop.fr/blanc-de-meudon-500g-se4075-000.html","7.4")</f>
        <v>7.4</v>
      </c>
      <c r="E253" s="8" t="s">
        <v>631</v>
      </c>
      <c r="F253" s="9" t="str">
        <f>HYPERLINK("https://www.biocoop.fr/blanc-de-meudon-500g-se4075-000.html","7.7")</f>
        <v>7.7</v>
      </c>
      <c r="H253" s="9" t="str">
        <f>HYPERLINK("https://satoriz-comboire.bio/collections/maison/products/ecod008","7.3")</f>
        <v>7.3</v>
      </c>
      <c r="I253" s="10" t="s">
        <v>632</v>
      </c>
      <c r="J253" s="9" t="str">
        <f>HYPERLINK("https://www.greenweez.com/produit/blanc-de-meudon-diy-500g/1ARTI0062","6.58")</f>
        <v>6.58</v>
      </c>
      <c r="K253" s="8" t="s">
        <v>633</v>
      </c>
    </row>
    <row r="254" spans="1:12" x14ac:dyDescent="0.3">
      <c r="A254" t="s">
        <v>634</v>
      </c>
      <c r="B254" s="9" t="str">
        <f>HYPERLINK("https://lafourche.fr/products/etamine-du-lys-savon-noir-5l","5.86")</f>
        <v>5.86</v>
      </c>
      <c r="C254" s="8" t="s">
        <v>635</v>
      </c>
      <c r="D254" s="9" t="str">
        <f>HYPERLINK("https://www.biocoop.fr/savon-noir-liquide-olive-se4041-000.html","9.05")</f>
        <v>9.05</v>
      </c>
      <c r="E254" t="s">
        <v>15</v>
      </c>
      <c r="F254" s="9" t="str">
        <f>HYPERLINK("https://www.biocoop.fr/savon-noir-liquide-olive-se4041-000.html","9.55")</f>
        <v>9.55</v>
      </c>
      <c r="H254" s="9" t="str">
        <f>HYPERLINK("https://satoriz-comboire.bio/collections/maison/products/eu9721","5.55")</f>
        <v>5.55</v>
      </c>
      <c r="I254" s="8" t="s">
        <v>636</v>
      </c>
      <c r="J254" s="7" t="str">
        <f>HYPERLINK("https://www.greenweez.com/produit/savon-noir-maison-5l-1/2WEEZ0042","4.58")</f>
        <v>4.58</v>
      </c>
      <c r="K254" t="s">
        <v>15</v>
      </c>
    </row>
    <row r="255" spans="1:12" x14ac:dyDescent="0.3">
      <c r="A255" t="s">
        <v>637</v>
      </c>
      <c r="B255" s="7" t="str">
        <f>HYPERLINK("https://lafourche.fr/products/acide-citrique-la-fourche-1kg","7.45")</f>
        <v>7.45</v>
      </c>
      <c r="C255" s="10" t="s">
        <v>638</v>
      </c>
      <c r="D255" s="9" t="str">
        <f>HYPERLINK("https://www.biocoop.fr/acide-citrique-1kg-se4000-000.html","10.55")</f>
        <v>10.55</v>
      </c>
      <c r="E255" t="s">
        <v>15</v>
      </c>
      <c r="F255" s="9" t="str">
        <f>HYPERLINK("https://www.biocoop.fr/acide-citrique-1kg-se4000-000.html","9.65")</f>
        <v>9.65</v>
      </c>
      <c r="H255" s="9" t="str">
        <f>HYPERLINK("https://satoriz-comboire.bio/collections/maison/products/eco012","8.05")</f>
        <v>8.05</v>
      </c>
      <c r="I255" s="10" t="s">
        <v>639</v>
      </c>
      <c r="J255" s="9" t="str">
        <f>HYPERLINK("https://www.greenweez.com/produit/lot-de-2-acide-citrique-1kg/1PACK0470","8.96")</f>
        <v>8.96</v>
      </c>
      <c r="K255" s="8" t="s">
        <v>640</v>
      </c>
    </row>
    <row r="256" spans="1:12" x14ac:dyDescent="0.3">
      <c r="A256" t="s">
        <v>641</v>
      </c>
      <c r="B256" s="9" t="str">
        <f>HYPERLINK("https://lafourche.fr/products/la-fourche-mon-savon-de-marseille-en-copeaux-1kg","9.95")</f>
        <v>9.95</v>
      </c>
      <c r="C256" t="s">
        <v>15</v>
      </c>
      <c r="D256" s="9" t="str">
        <f>HYPERLINK("https://www.biocoop.fr/paillettes-de-savon-1kg-se4009-000.html","12.25")</f>
        <v>12.25</v>
      </c>
      <c r="E256" s="8" t="s">
        <v>642</v>
      </c>
      <c r="F256" s="9" t="str">
        <f>HYPERLINK("https://www.biocoop.fr/paillettes-de-savon-1kg-se4009-000.html","10.6")</f>
        <v>10.6</v>
      </c>
      <c r="H256" s="9" t="str">
        <f>HYPERLINK("https://satoriz-comboire.bio/collections/maison/products/sle8163","12.85")</f>
        <v>12.85</v>
      </c>
      <c r="I256" s="8" t="s">
        <v>191</v>
      </c>
      <c r="J256" s="7" t="str">
        <f>HYPERLINK("https://www.greenweez.com/produit/lot-de-2-paillettes-de-savon-bio-1kg/1PACK1072","9.69")</f>
        <v>9.69</v>
      </c>
      <c r="K256" t="s">
        <v>15</v>
      </c>
    </row>
    <row r="257" spans="1:12" x14ac:dyDescent="0.3">
      <c r="A257" s="5" t="s">
        <v>643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2" x14ac:dyDescent="0.3">
      <c r="A258" t="s">
        <v>644</v>
      </c>
      <c r="B258" s="7" t="str">
        <f>HYPERLINK("https://lafourche.fr/products/la-fourche-lessive-liquide-5l","2.6")</f>
        <v>2.6</v>
      </c>
      <c r="C258" t="s">
        <v>15</v>
      </c>
      <c r="D258" s="9" t="str">
        <f>HYPERLINK("https://www.biocoop.fr/lessive-liquide-lavande-lg1104-000.html","4.25")</f>
        <v>4.25</v>
      </c>
      <c r="E258" t="s">
        <v>15</v>
      </c>
      <c r="F258" s="9" t="str">
        <f>HYPERLINK("https://www.biocoop.fr/lessive-liquide-lavande-lg1103-000.html","4.99")</f>
        <v>4.99</v>
      </c>
      <c r="H258" s="9" t="str">
        <f>HYPERLINK("https://satoriz-comboire.bio/collections/maison/products/lgase3606","3.63")</f>
        <v>3.63</v>
      </c>
      <c r="I258" s="8" t="s">
        <v>645</v>
      </c>
      <c r="J258" s="9" t="str">
        <f>HYPERLINK("https://www.greenweez.com/produit/lessive-ecologique-savon-de-marseille-250g/1WRAP0007","2.99")</f>
        <v>2.99</v>
      </c>
      <c r="K258" t="s">
        <v>15</v>
      </c>
      <c r="L258">
        <v>1</v>
      </c>
    </row>
    <row r="259" spans="1:12" x14ac:dyDescent="0.3">
      <c r="A259" t="s">
        <v>646</v>
      </c>
      <c r="B259" s="7" t="str">
        <f>HYPERLINK("https://lafourche.fr/products/la-fourche-lessive-en-poudre-blanc-et-couleurs-certifiee-ecodetergent-1kg","7.35")</f>
        <v>7.35</v>
      </c>
      <c r="D259" s="9" t="str">
        <f>HYPERLINK("https://www.biocoop.fr/lessive-poudre-ultra-concentree-800g-se4057-000.html","12.44")</f>
        <v>12.44</v>
      </c>
      <c r="F259" s="9" t="str">
        <f>HYPERLINK("https://www.biocoop.fr/lessive-poudre-ultra-concentree-800g-se4057-000.html","12.69")</f>
        <v>12.69</v>
      </c>
      <c r="H259" s="9" t="str">
        <f>HYPERLINK("https://satoriz-comboire.bio/products/ecdo430?_pos=1&amp;_sid=1e5552213&amp;_ss=r","11.0")</f>
        <v>11.0</v>
      </c>
      <c r="J259" s="9" t="str">
        <f>HYPERLINK("https://www.greenweez.com/produit/4-mois-de-lessive-en-poudre-ecologique-1kg/2WEEZ0229","888888")</f>
        <v>888888</v>
      </c>
    </row>
    <row r="260" spans="1:12" x14ac:dyDescent="0.3">
      <c r="A260" t="s">
        <v>647</v>
      </c>
      <c r="B260" s="7" t="str">
        <f>HYPERLINK("https://lafourche.fr/products/lartisan-savonnier-assouplissant-concentre-a-la-lavande-bio-5l","2.8")</f>
        <v>2.8</v>
      </c>
      <c r="C260" s="8" t="s">
        <v>648</v>
      </c>
      <c r="D260" s="9" t="str">
        <f>HYPERLINK("https://www.biocoop.fr/assouplissant-lavande-lg1030-000.html","3.9")</f>
        <v>3.9</v>
      </c>
      <c r="E260" s="8" t="s">
        <v>649</v>
      </c>
      <c r="F260" s="9" t="str">
        <f>HYPERLINK("https://www.biocoop.fr/assouplissant-lavande-lg1030-000.html","3.9")</f>
        <v>3.9</v>
      </c>
      <c r="H260" s="9" t="str">
        <f>HYPERLINK("https://satoriz-comboire.bio/collections/maison/products/lgase3619","3.37")</f>
        <v>3.37</v>
      </c>
      <c r="I260" s="8" t="s">
        <v>650</v>
      </c>
      <c r="J260" s="9" t="str">
        <f>HYPERLINK("https://www.greenweez.com/produit/assouplissant-concentre-lavande-1-5l/1LERU0042","3.47")</f>
        <v>3.47</v>
      </c>
      <c r="K260" s="8" t="s">
        <v>651</v>
      </c>
    </row>
    <row r="261" spans="1:12" x14ac:dyDescent="0.3">
      <c r="A261" s="5" t="s">
        <v>652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2" x14ac:dyDescent="0.3">
      <c r="A262" t="s">
        <v>653</v>
      </c>
      <c r="B262" s="7" t="str">
        <f>HYPERLINK("https://lafourche.fr/products/la-fourche-liquide-vaisselle-certifie-ecodetergent-5l","1.98")</f>
        <v>1.98</v>
      </c>
      <c r="C262" t="s">
        <v>15</v>
      </c>
      <c r="D262" s="9" t="str">
        <f>HYPERLINK("https://www.biocoop.fr/liquide-vaisselle-citron-lg1002-000.html","2.75")</f>
        <v>2.75</v>
      </c>
      <c r="E262" t="s">
        <v>15</v>
      </c>
      <c r="F262" s="9" t="str">
        <f>HYPERLINK("https://www.biocoop.fr/vaisselle-liquide-sans-parfum-1l-lg1122-000.html","3.2")</f>
        <v>3.2</v>
      </c>
      <c r="H262" s="9" t="str">
        <f>HYPERLINK("https://satoriz-comboire.bio/collections/maison/products/lgase3608","2.75")</f>
        <v>2.75</v>
      </c>
      <c r="I262" s="8" t="s">
        <v>529</v>
      </c>
      <c r="J262" s="9" t="str">
        <f>HYPERLINK("https://www.greenweez.com/produit/liquide-vaisselle-citron-ecologique-5l/2WEEZ0511","2.58")</f>
        <v>2.58</v>
      </c>
      <c r="K262" t="s">
        <v>15</v>
      </c>
      <c r="L262">
        <v>0.2</v>
      </c>
    </row>
    <row r="263" spans="1:12" x14ac:dyDescent="0.3">
      <c r="A263" t="s">
        <v>654</v>
      </c>
      <c r="B263" s="9" t="str">
        <f>HYPERLINK("https://lafourche.fr/products/la-fourche-savon-vaisselle-200g","11.25")</f>
        <v>11.25</v>
      </c>
      <c r="C263" t="s">
        <v>15</v>
      </c>
      <c r="D263" s="7" t="str">
        <f>HYPERLINK("https://www.biocoop.fr/savon-solide-vaisselle-aloe-vera-200g-cm0103-000.html","3.99")</f>
        <v>3.99</v>
      </c>
      <c r="E263" s="10" t="s">
        <v>80</v>
      </c>
      <c r="F263" s="9" t="str">
        <f>HYPERLINK("https://www.biocoop.fr/savon-solide-vaisselle-aloe-vera-200g-cm0103-000.html","4.15")</f>
        <v>4.15</v>
      </c>
      <c r="H263" s="9" t="str">
        <f>HYPERLINK("https://satoriz-comboire.bio/collections/maison/products/lc6","18.75")</f>
        <v>18.75</v>
      </c>
      <c r="I263" s="10" t="s">
        <v>317</v>
      </c>
      <c r="J263" s="9" t="str">
        <f>HYPERLINK("https://www.greenweez.com/produit/savon-vaisselle-ecologique-solide-romarin-200g/1WRAP0009","24.63")</f>
        <v>24.63</v>
      </c>
      <c r="K263" s="10" t="s">
        <v>655</v>
      </c>
    </row>
    <row r="266" spans="1:12" x14ac:dyDescent="0.3">
      <c r="A266" t="s">
        <v>656</v>
      </c>
      <c r="B266" t="e">
        <f>SUMPRODUCT($L5:$L265*B5:B265)</f>
        <v>#VALUE!</v>
      </c>
      <c r="D266" t="e">
        <f>SUMPRODUCT($L5:$L265*D5:D265)</f>
        <v>#VALUE!</v>
      </c>
      <c r="F266" t="e">
        <f>SUMPRODUCT($L5:$L265*F5:F265)</f>
        <v>#VALUE!</v>
      </c>
      <c r="H266" t="e">
        <f>SUMPRODUCT($L5:$L265*H5:H265)</f>
        <v>#VALUE!</v>
      </c>
      <c r="J266" t="e">
        <f>SUMPRODUCT($L5:$L265*J5:J265)</f>
        <v>#VALUE!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1"/>
  <sheetViews>
    <sheetView topLeftCell="A148" workbookViewId="0">
      <selection activeCell="J51" sqref="J51"/>
    </sheetView>
  </sheetViews>
  <sheetFormatPr baseColWidth="10" defaultColWidth="8.88671875" defaultRowHeight="14.4" x14ac:dyDescent="0.3"/>
  <cols>
    <col min="1" max="1" width="28.5546875" style="44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2" ht="18.75" customHeight="1" x14ac:dyDescent="0.35">
      <c r="A3" s="14" t="s">
        <v>11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2" x14ac:dyDescent="0.3">
      <c r="A4" s="16" t="s">
        <v>12</v>
      </c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2" x14ac:dyDescent="0.3">
      <c r="A5" t="s">
        <v>13</v>
      </c>
      <c r="B5" s="24" t="str">
        <f>HYPERLINK("https://lafourche.fr/products/la-fourche-boisson-avoine-bio-1l","1.59")</f>
        <v>1.59</v>
      </c>
      <c r="C5" t="s">
        <v>15</v>
      </c>
      <c r="D5" s="23" t="str">
        <f>HYPERLINK("https://www.biocoop.fr/magasin-biocoop_champollion/boisson-avoine-naturel-1l-tb0026-000.html","2.21")</f>
        <v>2.21</v>
      </c>
      <c r="E5" t="s">
        <v>15</v>
      </c>
      <c r="F5" s="23" t="str">
        <f>HYPERLINK("https://www.biocoop.fr/magasin-biocoop_fontaine/boisson-avoine-naturel-1l-tb0026-000.html","2.15")</f>
        <v>2.15</v>
      </c>
      <c r="G5" t="s">
        <v>15</v>
      </c>
      <c r="H5" s="23" t="str">
        <f>HYPERLINK("https://satoriz-comboire.bio/collections/boissons-sans-alcools/sous-famille-boissons-vegetales_boissons-avoine","1.65")</f>
        <v>1.65</v>
      </c>
      <c r="I5" t="s">
        <v>15</v>
      </c>
      <c r="J5" s="23" t="str">
        <f>HYPERLINK("https://www.greenweez.com/produit/boisson-vegetale-avoine-sans-sucres-1l/3EVER0147","1.69")</f>
        <v>1.69</v>
      </c>
      <c r="K5" t="s">
        <v>15</v>
      </c>
      <c r="L5">
        <v>1</v>
      </c>
    </row>
    <row r="6" spans="1:12" x14ac:dyDescent="0.3">
      <c r="A6" t="s">
        <v>16</v>
      </c>
      <c r="B6" s="18" t="str">
        <f>HYPERLINK("https://lafourche.fr/products/la-fourche-boisson-riz-bio-1l","1.54")</f>
        <v>1.54</v>
      </c>
      <c r="C6" t="s">
        <v>15</v>
      </c>
      <c r="D6" s="23" t="str">
        <f>HYPERLINK("https://www.biocoop.fr/magasin-biocoop_champollion/boisson-de-riz-naturel-1l-tb0036-000.html","1.85")</f>
        <v>1.85</v>
      </c>
      <c r="E6" t="s">
        <v>15</v>
      </c>
      <c r="F6" s="23" t="str">
        <f>HYPERLINK("https://www.biocoop.fr/magasin-biocoop_fontaine/boisson-riz-nature-1l-tb0038-000.html","1.85")</f>
        <v>1.85</v>
      </c>
      <c r="G6" t="s">
        <v>15</v>
      </c>
      <c r="H6" s="23" t="str">
        <f>HYPERLINK("https://satoriz-comboire.bio/collections/boissons-sans-alcools/products/in1","1.55")</f>
        <v>1.55</v>
      </c>
      <c r="I6" t="s">
        <v>15</v>
      </c>
      <c r="J6" s="23" t="str">
        <f>HYPERLINK("https://www.greenweez.com/produit/lot-de-6-boissons-vegetales-riz-sans-sucre-1l/1PACK3637","1.57")</f>
        <v>1.57</v>
      </c>
      <c r="K6" t="s">
        <v>15</v>
      </c>
      <c r="L6">
        <v>1</v>
      </c>
    </row>
    <row r="7" spans="1:12" x14ac:dyDescent="0.3">
      <c r="A7" t="s">
        <v>17</v>
      </c>
      <c r="B7" s="23" t="str">
        <f>HYPERLINK("https://lafourche.fr/products/la-fourche-boisson-a-lamande-intense-bio-1l","2.75")</f>
        <v>2.75</v>
      </c>
      <c r="C7" t="s">
        <v>15</v>
      </c>
      <c r="D7" s="23" t="str">
        <f>HYPERLINK("https://www.biocoop.fr/magasin-biocoop_champollion/boisson-de-riz-amande-1l-tb0028-000.html","2.55")</f>
        <v>2.55</v>
      </c>
      <c r="E7" s="19" t="s">
        <v>15</v>
      </c>
      <c r="F7" s="23" t="str">
        <f>HYPERLINK("https://www.biocoop.fr/magasin-biocoop_fontaine/boisson-amande-intense-1l-hm1044-000.html","2.85")</f>
        <v>2.85</v>
      </c>
      <c r="G7" t="s">
        <v>15</v>
      </c>
      <c r="H7" s="23" t="str">
        <f>HYPERLINK("https://satoriz-comboire.bio/collections/boissons-sans-alcools/products/lbt235","2.95")</f>
        <v>2.95</v>
      </c>
      <c r="I7" t="s">
        <v>15</v>
      </c>
      <c r="J7" s="18" t="str">
        <f>HYPERLINK("https://www.greenweez.com/produit/lot-de-6-boissons-vegetales-amande-sans-sucre-1l/1PACK3639","1.93")</f>
        <v>1.93</v>
      </c>
      <c r="K7" t="s">
        <v>15</v>
      </c>
    </row>
    <row r="8" spans="1:12" x14ac:dyDescent="0.3">
      <c r="A8" t="s">
        <v>18</v>
      </c>
      <c r="B8" s="18" t="str">
        <f>HYPERLINK("https://lafourche.fr/products/la-fourche-boisson-soja-bio-1l","1.29")</f>
        <v>1.29</v>
      </c>
      <c r="C8" t="s">
        <v>15</v>
      </c>
      <c r="D8" s="23" t="str">
        <f>HYPERLINK("https://www.biocoop.fr/magasin-biocoop_champollion/boissons/boissons-vegetales.html","1.85")</f>
        <v>1.85</v>
      </c>
      <c r="E8" t="s">
        <v>15</v>
      </c>
      <c r="F8" s="23" t="str">
        <f>HYPERLINK("https://www.biocoop.fr/magasin-biocoop_fontaine/boisson-soja-nature-1l-sy1723-000.html","1.7")</f>
        <v>1.7</v>
      </c>
      <c r="G8" s="20" t="s">
        <v>686</v>
      </c>
      <c r="H8" s="23" t="str">
        <f>HYPERLINK("https://satoriz-comboire.bio/collections/boissons-sans-alcools/products/re42896","1.45")</f>
        <v>1.45</v>
      </c>
      <c r="I8" t="s">
        <v>15</v>
      </c>
      <c r="J8" s="23" t="str">
        <f>HYPERLINK("https://www.greenweez.com/produit/boisson-vegetale-soja-nature-1l/1BTER0574","1.99")</f>
        <v>1.99</v>
      </c>
      <c r="K8" t="s">
        <v>15</v>
      </c>
    </row>
    <row r="9" spans="1:12" x14ac:dyDescent="0.3">
      <c r="A9" s="16" t="s">
        <v>21</v>
      </c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2" x14ac:dyDescent="0.3">
      <c r="A10" t="s">
        <v>22</v>
      </c>
      <c r="B10" s="23" t="str">
        <f>HYPERLINK("https://lafourche.fr/products/pur-jus-de-pomme","2.65")</f>
        <v>2.65</v>
      </c>
      <c r="C10" t="s">
        <v>15</v>
      </c>
      <c r="D10" s="23" t="str">
        <f>HYPERLINK("https://www.biocoop.fr/magasin-biocoop_champollion/jus-de-pomme-tetra-1l-ls4001-000.html","2.72")</f>
        <v>2.72</v>
      </c>
      <c r="E10" s="19" t="s">
        <v>15</v>
      </c>
      <c r="F10" s="18" t="str">
        <f>HYPERLINK("https://www.biocoop.fr/magasin-biocoop_fontaine/jus-de-pomme-tetra-1l-ls4001-000.html","2.55")</f>
        <v>2.55</v>
      </c>
      <c r="G10" s="19" t="s">
        <v>15</v>
      </c>
      <c r="H10" s="23" t="str">
        <f>HYPERLINK("https://satoriz-comboire.bio/collections/boissons-sans-alcools/products/vt4310292","2.9")</f>
        <v>2.9</v>
      </c>
      <c r="I10" t="s">
        <v>15</v>
      </c>
      <c r="J10" s="23" t="str">
        <f>HYPERLINK("https://www.greenweez.com/produit/lot-de-3-jus-de-pomme-bio-1l/1PACK3598","2.66")</f>
        <v>2.66</v>
      </c>
      <c r="K10" t="s">
        <v>15</v>
      </c>
      <c r="L10">
        <v>2</v>
      </c>
    </row>
    <row r="11" spans="1:12" x14ac:dyDescent="0.3">
      <c r="A11" t="s">
        <v>26</v>
      </c>
      <c r="B11" s="23" t="str">
        <f>HYPERLINK("https://lafourche.fr/products/bio-pour-tous-pur-jus-dorange-bio-1l","3.29")</f>
        <v>3.29</v>
      </c>
      <c r="C11" s="20" t="s">
        <v>687</v>
      </c>
      <c r="D11" s="23" t="str">
        <f>HYPERLINK("https://www.biocoop.fr/magasin-biocoop_champollion/jus-orange-tetra-2l-em1007-000.html","3.4")</f>
        <v>3.4</v>
      </c>
      <c r="E11" s="21" t="s">
        <v>15</v>
      </c>
      <c r="F11" s="23" t="str">
        <f>HYPERLINK("https://www.biocoop.fr/magasin-biocoop_fontaine/jus-orange-tetra-2l-em1007-000.html","3.4")</f>
        <v>3.4</v>
      </c>
      <c r="G11" s="21" t="s">
        <v>15</v>
      </c>
      <c r="H11" s="23" t="str">
        <f>HYPERLINK("https://satoriz-comboire.bio/collections/boissons-sans-alcools/products/re39815","3.4")</f>
        <v>3.4</v>
      </c>
      <c r="I11" t="s">
        <v>15</v>
      </c>
      <c r="J11" s="18" t="str">
        <f>HYPERLINK("https://www.greenweez.com/produit/lot-de-3-jus-dorange-bio-1l/1PACK3600","2.92")</f>
        <v>2.92</v>
      </c>
      <c r="K11" t="s">
        <v>15</v>
      </c>
      <c r="L11">
        <v>2</v>
      </c>
    </row>
    <row r="12" spans="1:12" x14ac:dyDescent="0.3">
      <c r="A12" t="s">
        <v>30</v>
      </c>
      <c r="B12" s="23" t="str">
        <f>HYPERLINK("https://lafourche.fr/products/vitamont-cocktail-kids-junior-bio-1l","3.36")</f>
        <v>3.36</v>
      </c>
      <c r="C12" t="s">
        <v>15</v>
      </c>
      <c r="D12" s="23" t="str">
        <f>HYPERLINK("https://www.biocoop.fr/magasin-biocoop_champollion/jus-d-orange-mandarine-raisin-1l-ls4004-000.html","3.7")</f>
        <v>3.7</v>
      </c>
      <c r="E12" t="s">
        <v>15</v>
      </c>
      <c r="F12" s="23" t="str">
        <f>HYPERLINK("https://www.biocoop.fr/magasin-biocoop_fontaine/cocktail-5-fruits-1l-vt4728-000.html","4.4")</f>
        <v>4.4</v>
      </c>
      <c r="G12" t="s">
        <v>15</v>
      </c>
      <c r="H12" s="23" t="str">
        <f>HYPERLINK("https://satoriz-comboire.bio/collections/boissons-sans-alcools/products/re39816","3.6")</f>
        <v>3.6</v>
      </c>
      <c r="I12" t="s">
        <v>15</v>
      </c>
      <c r="J12" s="18" t="str">
        <f>HYPERLINK("https://www.greenweez.com/produit/lot-de-3-jus-multifruits-bio-1l/1PACK3599","3.26")</f>
        <v>3.26</v>
      </c>
      <c r="K12" t="s">
        <v>15</v>
      </c>
      <c r="L12">
        <v>2</v>
      </c>
    </row>
    <row r="13" spans="1:12" x14ac:dyDescent="0.3">
      <c r="A13" t="s">
        <v>34</v>
      </c>
      <c r="B13" s="23" t="str">
        <f>HYPERLINK("https://lafourche.fr/products/vitamont-jus-matin-tonique-orange-sanguine-et-pamplemousse-1l-bio","3.61")</f>
        <v>3.61</v>
      </c>
      <c r="C13" t="s">
        <v>15</v>
      </c>
      <c r="D13" s="18" t="str">
        <f>HYPERLINK("https://www.biocoop.fr/magasin-biocoop_champollion/jus-de-raisin-rouge-1l-ls4005-000.html","3.2")</f>
        <v>3.2</v>
      </c>
      <c r="E13" t="s">
        <v>15</v>
      </c>
      <c r="F13" s="23" t="str">
        <f>HYPERLINK("https://www.biocoop.fr/magasin-biocoop_fontaine/jus-de-raisin-rouge-1l-ls4005-000.html","888888")</f>
        <v>888888</v>
      </c>
      <c r="G13" s="19" t="s">
        <v>99</v>
      </c>
      <c r="H13" s="23" t="str">
        <f>HYPERLINK("https://satoriz-comboire.bio/products/vt4310042?_pos=1&amp;_sid=4d862041b&amp;_ss=r","3.9")</f>
        <v>3.9</v>
      </c>
      <c r="I13" t="s">
        <v>15</v>
      </c>
      <c r="J13" s="23" t="str">
        <f>HYPERLINK("https://www.greenweez.com/produit/pur-jus-de-raisin-bio-tetra-pak-1l/5VITA0126","3.94")</f>
        <v>3.94</v>
      </c>
      <c r="K13" s="19" t="s">
        <v>15</v>
      </c>
    </row>
    <row r="14" spans="1:12" x14ac:dyDescent="0.3">
      <c r="A14" s="16" t="s">
        <v>38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2" x14ac:dyDescent="0.3">
      <c r="A15" t="s">
        <v>39</v>
      </c>
      <c r="B15" s="18" t="str">
        <f>HYPERLINK("https://lafourche.fr/products/la-fourche-lait-demi-ecreme-bio-et-equitable-6x1l-6l","1.11")</f>
        <v>1.11</v>
      </c>
      <c r="C15" t="s">
        <v>15</v>
      </c>
      <c r="D15" s="23" t="str">
        <f>HYPERLINK("https://www.biocoop.fr/magasin-biocoop_champollion/lait-demi-ecreme-sterilise-uht-ad6922-000.html","1.25")</f>
        <v>1.25</v>
      </c>
      <c r="E15" t="s">
        <v>15</v>
      </c>
      <c r="F15" s="45" t="str">
        <f>HYPERLINK("https://www.biocoop.fr/magasin-biocoop_fontaine/lait-demi-ecreme-sterilise-uht-ad6922-000.html","1.15")</f>
        <v>1.15</v>
      </c>
      <c r="G15" s="19" t="s">
        <v>99</v>
      </c>
      <c r="H15" s="23" t="str">
        <f>HYPERLINK("https://satoriz-comboire.bio/collections/produits-frais/products/cbvi6916","1.2")</f>
        <v>1.2</v>
      </c>
      <c r="I15" t="s">
        <v>15</v>
      </c>
      <c r="J15" s="23" t="str">
        <f>HYPERLINK("https://www.greenweez.com/produit/lait-sterilise-uht-demi-ecreme-1l/1BTER0554","1.55")</f>
        <v>1.55</v>
      </c>
      <c r="K15" t="s">
        <v>15</v>
      </c>
      <c r="L15">
        <v>6</v>
      </c>
    </row>
    <row r="16" spans="1:12" x14ac:dyDescent="0.3">
      <c r="A16" s="16" t="s">
        <v>41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</row>
    <row r="17" spans="1:11" x14ac:dyDescent="0.3">
      <c r="A17" t="s">
        <v>42</v>
      </c>
      <c r="B17" s="18" t="str">
        <f>HYPERLINK("https://lafourche.fr/products/elibio-sirop-de-menthe-bio-0-5l","5.97")</f>
        <v>5.97</v>
      </c>
      <c r="D17" s="23" t="str">
        <f>HYPERLINK("https://www.biocoop.fr/magasin-biocoop_champollion/sirop-menthe-70cl-bg5003-000.html","888888")</f>
        <v>888888</v>
      </c>
      <c r="F17" s="23" t="str">
        <f>HYPERLINK("https://www.biocoop.fr/magasin-biocoop_fontaine/sirop-menthe-70cl-bg5003-000.html","9.36")</f>
        <v>9.36</v>
      </c>
      <c r="H17" s="23" t="str">
        <f>HYPERLINK("https://satoriz-comboire.bio/products/big7430?_pos=4&amp;_sid=54d23de92&amp;_ss=r","9.07")</f>
        <v>9.07</v>
      </c>
      <c r="J17" s="23" t="str">
        <f>HYPERLINK("https://www.greenweez.com/produit/sirop-de-menthe-1l/1MENE0020","8.48")</f>
        <v>8.48</v>
      </c>
    </row>
    <row r="18" spans="1:11" x14ac:dyDescent="0.3">
      <c r="A18" t="s">
        <v>43</v>
      </c>
      <c r="B18" s="18" t="str">
        <f>HYPERLINK("https://lafourche.fr/products/elibio-sirop-de-genadine-bio-0-5l","5.97")</f>
        <v>5.97</v>
      </c>
      <c r="D18" s="23" t="str">
        <f>HYPERLINK("https://www.biocoop.fr/magasin-biocoop_champollion/sirop-grenadine-70cl-bg5000-000.html","888888")</f>
        <v>888888</v>
      </c>
      <c r="F18" s="23" t="str">
        <f>HYPERLINK("https://www.biocoop.fr/magasin-biocoop_fontaine/sirop-grenadine-70cl-bg5000-000.html","9.64")</f>
        <v>9.64</v>
      </c>
      <c r="H18" s="23" t="str">
        <f>HYPERLINK("https://satoriz-comboire.bio/products/st60234?_pos=1&amp;_sid=5b36669db&amp;_ss=r","8.6")</f>
        <v>8.6</v>
      </c>
      <c r="J18" s="23" t="str">
        <f>HYPERLINK("https://www.greenweez.com/produit/sirop-de-grenadine-1l/1MENE0019","8.48")</f>
        <v>8.48</v>
      </c>
    </row>
    <row r="19" spans="1:11" x14ac:dyDescent="0.3">
      <c r="A19" t="s">
        <v>44</v>
      </c>
      <c r="B19" s="18" t="str">
        <f>HYPERLINK("https://lafourche.fr/products/elibio-sirop-de-citron-bio-1l","5.97")</f>
        <v>5.97</v>
      </c>
      <c r="D19" s="23" t="str">
        <f>HYPERLINK("https://www.biocoop.fr/magasin-biocoop_champollion/sirop-de-citron-au-sucre-de-canne-70cl-ro6000-000.html","7.07")</f>
        <v>7.07</v>
      </c>
      <c r="F19" s="23" t="str">
        <f>HYPERLINK("https://www.biocoop.fr/magasin-biocoop_fontaine/sirop-de-citron-au-sucre-de-canne-70cl-ro6000-000.html","7.21")</f>
        <v>7.21</v>
      </c>
      <c r="H19" s="23" t="str">
        <f>HYPERLINK("https://satoriz-comboire.bio/products/st60236?_pos=2&amp;_sid=bfaa22f0a&amp;_ss=r","9.2")</f>
        <v>9.2</v>
      </c>
      <c r="J19" s="23" t="str">
        <f>HYPERLINK("https://www.greenweez.com/produit/sirop-de-citron-1l/1MENE0021","8.48")</f>
        <v>8.48</v>
      </c>
    </row>
    <row r="20" spans="1:11" x14ac:dyDescent="0.3">
      <c r="A20" t="s">
        <v>45</v>
      </c>
      <c r="B20" s="18" t="str">
        <f>HYPERLINK("https://lafourche.fr/products/maison-meneau-sirop-dorgeat-bio-0-5l","11.98")</f>
        <v>11.98</v>
      </c>
      <c r="D20" s="23" t="str">
        <f>HYPERLINK("https://www.biocoop.fr/magasin-biocoop_champollion/sirop-d-orgeat-au-sucre-de-canne-50cl-mb0006-000.html","12.2")</f>
        <v>12.2</v>
      </c>
      <c r="F20" s="23" t="str">
        <f>HYPERLINK("https://www.biocoop.fr/magasin-biocoop_fontaine/sirop-d-orgeat-au-sucre-de-canne-50cl-mb0006-000.html","13.8")</f>
        <v>13.8</v>
      </c>
      <c r="H20" s="23" t="str">
        <f>HYPERLINK("https://satoriz-comboire.bio/products/st97029?_pos=1&amp;_sid=940e9ee22&amp;_ss=r","13.3")</f>
        <v>13.3</v>
      </c>
      <c r="J20" s="23" t="str">
        <f>HYPERLINK("https://www.greenweez.com/produit/sirop-dorgeat-50cl/1MENE0053","13.18")</f>
        <v>13.18</v>
      </c>
    </row>
    <row r="21" spans="1:11" x14ac:dyDescent="0.3">
      <c r="A21" t="s">
        <v>46</v>
      </c>
      <c r="B21" s="18" t="str">
        <f>HYPERLINK("https://lafourche.fr/products/maison-meneau-sirop-peche-50cl-bio","13.58")</f>
        <v>13.58</v>
      </c>
      <c r="D21">
        <v>888888</v>
      </c>
      <c r="F21">
        <v>888888</v>
      </c>
      <c r="H21" s="23" t="str">
        <f>HYPERLINK("https://satoriz-comboire.bio/products/st97047?_pos=1&amp;_sid=805242a5b&amp;_ss=r","14.3")</f>
        <v>14.3</v>
      </c>
      <c r="J21" s="23" t="str">
        <f>HYPERLINK("https://www.greenweez.com/produit/sirop-de-peche-50cl/1MENE0056","13.94")</f>
        <v>13.94</v>
      </c>
    </row>
    <row r="22" spans="1:11" x14ac:dyDescent="0.3">
      <c r="A22" s="16" t="s">
        <v>47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 x14ac:dyDescent="0.3">
      <c r="A23" t="s">
        <v>48</v>
      </c>
      <c r="B23" s="18" t="str">
        <f>HYPERLINK("https://lafourche.fr/products/cola-bio","2.99")</f>
        <v>2.99</v>
      </c>
      <c r="D23" s="23" t="str">
        <f>HYPERLINK("https://www.biocoop.fr/magasin-biocoop_champollion/cola-1l-vt0680-000.html","4.05")</f>
        <v>4.05</v>
      </c>
      <c r="F23" s="23" t="str">
        <f>HYPERLINK("https://www.biocoop.fr/magasin-biocoop_fontaine/cola-1l-vt0680-000.html","4.15")</f>
        <v>4.15</v>
      </c>
      <c r="H23" s="23" t="str">
        <f>HYPERLINK("https://satoriz-comboire.bio/products/vtcola?_pos=2&amp;_sid=a5c47adfe&amp;_ss=r","3.65")</f>
        <v>3.65</v>
      </c>
      <c r="J23" s="23" t="str">
        <f>HYPERLINK("https://www.greenweez.com/produit/cola-bio-equitable-1l/5VITA0045","3.95")</f>
        <v>3.95</v>
      </c>
    </row>
    <row r="24" spans="1:11" x14ac:dyDescent="0.3">
      <c r="A24" t="s">
        <v>49</v>
      </c>
      <c r="B24" s="23" t="str">
        <f>HYPERLINK("https://lafourche.fr/products/vitamont-limonade-d-antan-75cl-bio","3.6")</f>
        <v>3.6</v>
      </c>
      <c r="D24" s="23" t="str">
        <f>HYPERLINK("https://www.biocoop.fr/magasin-biocoop_champollion/limonade-75cl-mb0067-000.html","3.13")</f>
        <v>3.13</v>
      </c>
      <c r="F24" s="23" t="str">
        <f>HYPERLINK("https://www.biocoop.fr/magasin-biocoop_fontaine/limonade-75cl-mb0067-000.html","3.16")</f>
        <v>3.16</v>
      </c>
      <c r="H24" s="18" t="str">
        <f>HYPERLINK("https://satoriz-comboire.bio/products/selm1?_pos=1&amp;_sid=7ce88d87a&amp;_ss=r","2.85")</f>
        <v>2.85</v>
      </c>
      <c r="J24" s="23" t="str">
        <f>HYPERLINK("https://www.greenweez.com/produit/limonade-dantan-75cl-25-cl-offerts/5VITA0081","3.35")</f>
        <v>3.35</v>
      </c>
    </row>
    <row r="25" spans="1:11" x14ac:dyDescent="0.3">
      <c r="A25" t="s">
        <v>50</v>
      </c>
      <c r="B25" s="23" t="str">
        <f>HYPERLINK("https://lafourche.fr/products/vitamont-citronnade-au-pur-jus-de-citron-jaune-75cl-bio","3.47")</f>
        <v>3.47</v>
      </c>
      <c r="D25" s="23" t="str">
        <f>HYPERLINK("https://www.biocoop.fr/magasin-biocoop_champollion/citronnade-citron-vert-75cl-vt4959-000.html","888888")</f>
        <v>888888</v>
      </c>
      <c r="F25" s="23" t="str">
        <f>HYPERLINK("https://www.biocoop.fr/magasin-biocoop_fontaine/citronnade-citron-vert-75cl-vt4959-000.html","4.07")</f>
        <v>4.07</v>
      </c>
      <c r="H25" s="18" t="str">
        <f>HYPERLINK("https://satoriz-comboire.bio/products/vt10883?_pos=3&amp;_sid=d446ce772&amp;_ss=r","3.4")</f>
        <v>3.4</v>
      </c>
      <c r="J25" s="23" t="str">
        <f>HYPERLINK("https://www.greenweez.com/produit/citronnade-citrons-jaunes-bio-75cl/5VITA0060","888888")</f>
        <v>888888</v>
      </c>
    </row>
    <row r="26" spans="1:11" x14ac:dyDescent="0.3">
      <c r="A26" t="s">
        <v>51</v>
      </c>
      <c r="B26" s="18" t="str">
        <f>HYPERLINK("https://lafourche.fr/products/coteaux-nantais-bio-apibul-pommes-75cl","4.6")</f>
        <v>4.6</v>
      </c>
      <c r="D26" s="23" t="str">
        <f>HYPERLINK("https://www.biocoop.fr/magasin-biocoop_champollion/petillant-de-fruit-100-pomme-75cl-or1100-000.html","4.89")</f>
        <v>4.89</v>
      </c>
      <c r="F26" s="23" t="str">
        <f>HYPERLINK("https://www.biocoop.fr/magasin-biocoop_fontaine/apibul-pommes-75cl-cn0040-000.html","5.24")</f>
        <v>5.24</v>
      </c>
      <c r="H26" s="23" t="str">
        <f>HYPERLINK("https://satoriz-comboire.bio/collections/boissons-sans-alcools/products/cn0057","5.27")</f>
        <v>5.27</v>
      </c>
      <c r="J26" s="23" t="str">
        <f>HYPERLINK("https://www.greenweez.com/produit/apibul-pommes-75cl/1COTE0197","888888")</f>
        <v>888888</v>
      </c>
    </row>
    <row r="27" spans="1:11" x14ac:dyDescent="0.3">
      <c r="A27" t="s">
        <v>52</v>
      </c>
      <c r="B27" s="18" t="str">
        <f>HYPERLINK("https://lafourche.fr/products/coteaux-nantais-bio-apibul-pommes-framboises-75cl","5.19")</f>
        <v>5.19</v>
      </c>
      <c r="D27">
        <v>888888</v>
      </c>
      <c r="F27">
        <v>888888</v>
      </c>
      <c r="H27" s="23" t="str">
        <f>HYPERLINK("https://satoriz-comboire.bio/collections/boissons-sans-alcools/products/cn0039","6.4")</f>
        <v>6.4</v>
      </c>
      <c r="J27" s="23" t="str">
        <f>HYPERLINK("https://www.greenweez.com/produit/apibul-pommes-framboises-75cl/1COTE0031","6.88")</f>
        <v>6.88</v>
      </c>
    </row>
    <row r="28" spans="1:11" x14ac:dyDescent="0.3">
      <c r="A28" s="16" t="s">
        <v>53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</row>
    <row r="29" spans="1:11" x14ac:dyDescent="0.3">
      <c r="A29" t="s">
        <v>54</v>
      </c>
      <c r="B29" s="18" t="str">
        <f>HYPERLINK("https://lafourche.fr/products/la-fourche-cafe-en-grains-equilibre-arabica-honduras-bio-equitable-1kg","13.9")</f>
        <v>13.9</v>
      </c>
      <c r="D29" s="23" t="str">
        <f>HYPERLINK("https://www.biocoop.fr/magasin-biocoop_champollion/cafe-mexique-grains-bio-mx0046-000.html","21.25")</f>
        <v>21.25</v>
      </c>
      <c r="F29" s="23" t="str">
        <f>HYPERLINK("https://www.biocoop.fr/magasin-biocoop_fontaine/cafe-melange-tresor-peuples-grains-500g-cp4105-000.html","20.8")</f>
        <v>20.8</v>
      </c>
      <c r="H29" s="23" t="str">
        <f>HYPERLINK("https://satoriz-comboire.bio/collections/epicerie-sucree/products/dag53","14.3")</f>
        <v>14.3</v>
      </c>
      <c r="J29" s="23" t="str">
        <f>HYPERLINK("https://www.greenweez.com/produit/cafe-en-grains-100-arabica-medium-1kg/2BIOD0010","14.95")</f>
        <v>14.95</v>
      </c>
    </row>
    <row r="30" spans="1:11" x14ac:dyDescent="0.3">
      <c r="A30" t="s">
        <v>55</v>
      </c>
      <c r="B30" s="18" t="str">
        <f>HYPERLINK("https://lafourche.fr/products/lima-chicoree-bio-500g","11.3")</f>
        <v>11.3</v>
      </c>
      <c r="D30" s="23" t="str">
        <f>HYPERLINK("https://www.biocoop.fr/magasin-biocoop_champollion/magasin-biocoop_champollion/chicoree-bio-lr5005-000.html","888888")</f>
        <v>888888</v>
      </c>
      <c r="F30" s="23" t="str">
        <f>HYPERLINK("https://www.biocoop.fr/magasin-biocoop_fontaine/chicoree-torrefiee-gout-doux-lr5001-000.html","21.25")</f>
        <v>21.25</v>
      </c>
      <c r="H30" s="23" t="str">
        <f>HYPERLINK("https://satoriz-comboire.bio/collections/epicerie-sucree/products/re42658","14.88")</f>
        <v>14.88</v>
      </c>
      <c r="J30" s="23" t="str">
        <f>HYPERLINK("https://www.greenweez.com/produit/chicoree-cicoria-original-filtre-500g/1LIMA0071","12.98")</f>
        <v>12.98</v>
      </c>
    </row>
    <row r="31" spans="1:11" x14ac:dyDescent="0.3">
      <c r="A31" t="s">
        <v>56</v>
      </c>
      <c r="B31" s="18" t="str">
        <f>HYPERLINK("https://lafourche.fr/products/bio-pour-tous-chicoree-torrefiee-soluble-bio-0-2kg","31.5")</f>
        <v>31.5</v>
      </c>
      <c r="D31" s="23" t="str">
        <f>HYPERLINK("https://www.biocoop.fr/magasin-biocoop_champollion/magasin-biocoop_champollion/chicoree-soluble-200g-lr5007-000.html","888888")</f>
        <v>888888</v>
      </c>
      <c r="F31" s="23" t="str">
        <f>HYPERLINK("https://www.biocoop.fr/magasin-biocoop_fontaine/chicoree-instantanee-recharge-180g-pr5353-000.html","40.28")</f>
        <v>40.28</v>
      </c>
      <c r="H31" s="23" t="str">
        <f>HYPERLINK("https://satoriz-comboire.bio/collections/epicerie-sucree/products/re41362","32.0")</f>
        <v>32.0</v>
      </c>
      <c r="J31" s="23" t="str">
        <f>HYPERLINK("https://www.greenweez.com/produit/chicoree-torrefiee-soluble-bio-200g/1DAGO0034","37.5")</f>
        <v>37.5</v>
      </c>
    </row>
    <row r="32" spans="1:11" x14ac:dyDescent="0.3">
      <c r="A32" t="s">
        <v>57</v>
      </c>
      <c r="B32" s="18" t="str">
        <f>HYPERLINK("https://lafourche.fr/products/la-fourche-cafe-moulu-equilibre-arabica-honduras-bio-equitable-0-5kg","13.8")</f>
        <v>13.8</v>
      </c>
      <c r="D32" s="23" t="str">
        <f>HYPERLINK("https://www.biocoop.fr/magasin-biocoop_champollion/cafe-arabica-melange-origine-equilibre-mx0055-000.html","18.6")</f>
        <v>18.6</v>
      </c>
      <c r="F32" s="23" t="str">
        <f>HYPERLINK("https://www.biocoop.fr/magasin-biocoop_fontaine/cafe-melange-tresor-des-andes-500g-cp4107-000.html","13.98")</f>
        <v>13.98</v>
      </c>
      <c r="H32" s="18" t="str">
        <f>HYPERLINK("https://satoriz-comboire.bio/collections/epicerie-sucree/products/st13500","13.8")</f>
        <v>13.8</v>
      </c>
      <c r="J32" s="23" t="str">
        <f>HYPERLINK("https://www.greenweez.com/produit/cafe-moulu-100-arabica-medium-500g/2BIOD0016","15.88")</f>
        <v>15.88</v>
      </c>
    </row>
    <row r="33" spans="1:12" x14ac:dyDescent="0.3">
      <c r="A33" t="s">
        <v>58</v>
      </c>
      <c r="B33" s="23" t="str">
        <f>HYPERLINK("https://lafourche.fr/products/biodyssee-poudre-chocolatee-32-bio-800g","8.44")</f>
        <v>8.44</v>
      </c>
      <c r="C33" t="s">
        <v>15</v>
      </c>
      <c r="D33" s="23" t="str">
        <f>HYPERLINK("https://www.biocoop.fr/magasin-biocoop_champollion/poudre-cacaotee-pour-le-petit-dejeuner-jk1001-000.html","7.49")</f>
        <v>7.49</v>
      </c>
      <c r="E33" s="20" t="s">
        <v>15</v>
      </c>
      <c r="F33" s="23" t="str">
        <f>HYPERLINK("https://www.biocoop.fr/magasin-biocoop_fontaine/poudre-cacaotee-pour-le-petit-dejeuner-jk1001-000.html","7.49")</f>
        <v>7.49</v>
      </c>
      <c r="G33" s="20" t="s">
        <v>15</v>
      </c>
      <c r="H33" s="18" t="str">
        <f>HYPERLINK("https://satoriz-comboire.bio/collections/epicerie-sucree/products/re47003","6.5")</f>
        <v>6.5</v>
      </c>
      <c r="I33" t="s">
        <v>15</v>
      </c>
      <c r="J33" s="23" t="str">
        <f>HYPERLINK("https://www.greenweez.com/produit/preparation-en-poudre-cacao-cool-matin-500g/1VITA0049","13.8")</f>
        <v>13.8</v>
      </c>
      <c r="K33" t="s">
        <v>15</v>
      </c>
      <c r="L33">
        <v>0.2</v>
      </c>
    </row>
    <row r="34" spans="1:12" x14ac:dyDescent="0.3">
      <c r="A34" t="s">
        <v>62</v>
      </c>
      <c r="B34" s="23" t="str">
        <f>HYPERLINK("https://lafourche.fr/products/biodyssee-poudre-de-cacao-maigre-10-12-mg-250g","11.96")</f>
        <v>11.96</v>
      </c>
      <c r="C34" t="s">
        <v>15</v>
      </c>
      <c r="D34" s="23" t="str">
        <f>HYPERLINK("https://www.biocoop.fr/magasin-biocoop_champollion/poudre-cacao-pur-250g-jk1000-000.html","21.4")</f>
        <v>21.4</v>
      </c>
      <c r="E34" s="20" t="s">
        <v>15</v>
      </c>
      <c r="F34" s="23" t="str">
        <f>HYPERLINK("https://www.biocoop.fr/magasin-biocoop_fontaine/poudre-cacao-pur-250g-jk1000-000.html","19.96")</f>
        <v>19.96</v>
      </c>
      <c r="G34" s="20" t="s">
        <v>15</v>
      </c>
      <c r="H34" s="23" t="str">
        <f>HYPERLINK("https://satoriz-comboire.bio/collections/epicerie-sucree/products/ma9011","14.8")</f>
        <v>14.8</v>
      </c>
      <c r="I34" t="s">
        <v>15</v>
      </c>
      <c r="J34" s="18" t="str">
        <f>HYPERLINK("https://www.greenweez.com/produit/poudre-de-cacao-bio-500g/2WEEZ0158","10.98")</f>
        <v>10.98</v>
      </c>
      <c r="K34" t="s">
        <v>15</v>
      </c>
    </row>
    <row r="35" spans="1:12" x14ac:dyDescent="0.3">
      <c r="A35" t="s">
        <v>66</v>
      </c>
      <c r="B35" s="23" t="str">
        <f>HYPERLINK("https://lafourche.fr/products/biodyssee-the-vert-gunpowder-de-chine-bio-100g","40.5")</f>
        <v>40.5</v>
      </c>
      <c r="D35" s="23" t="str">
        <f>HYPERLINK("https://www.biocoop.fr/magasin-biocoop_champollion/the-vert-chine-gunpowder-jg0161-000.html","65.5")</f>
        <v>65.5</v>
      </c>
      <c r="F35" s="23" t="str">
        <f>HYPERLINK("https://www.biocoop.fr/magasin-biocoop_fontaine/the-vert-jasmin-bio-tp2027-000.html","55.9")</f>
        <v>55.9</v>
      </c>
      <c r="H35" s="23" t="str">
        <f>HYPERLINK("https://satoriz-comboire.bio/collections/epicerie-sucree/products/st23518","51.25")</f>
        <v>51.25</v>
      </c>
      <c r="J35" s="18" t="str">
        <f>HYPERLINK("https://www.greenweez.com/produit/the-vert-gunpowder-bio-vrac-200g/2WEEZ0431","29.5")</f>
        <v>29.5</v>
      </c>
    </row>
    <row r="36" spans="1:12" x14ac:dyDescent="0.3">
      <c r="A36" t="s">
        <v>67</v>
      </c>
      <c r="B36" s="18" t="str">
        <f>HYPERLINK("https://lafourche.fr/products/biodyssee-the-vert-sencha-de-chine-bio-100g","42.7")</f>
        <v>42.7</v>
      </c>
      <c r="D36" s="23" t="str">
        <f>HYPERLINK("https://www.biocoop.fr/magasin-biocoop_champollion/the-vert-chine-sencha-zhejiang-bio-jg0679-000.html","52.9")</f>
        <v>52.9</v>
      </c>
      <c r="F36" s="23" t="str">
        <f>HYPERLINK("https://www.biocoop.fr/magasin-biocoop_fontaine/the-vert-chine-sencha-zhejiang-bio-jg0679-000.html","51.65")</f>
        <v>51.65</v>
      </c>
      <c r="H36" s="23" t="str">
        <f>HYPERLINK("https://satoriz-comboire.bio/collections/epicerie-sucree/products/st23515","51.75")</f>
        <v>51.75</v>
      </c>
      <c r="J36" s="23" t="str">
        <f>HYPERLINK("https://www.greenweez.com/produit/the-vert-sencha-origine-chine-200g/1DEST0533","59.9")</f>
        <v>59.9</v>
      </c>
    </row>
    <row r="37" spans="1:12" x14ac:dyDescent="0.3">
      <c r="A37" t="s">
        <v>68</v>
      </c>
      <c r="B37" s="23" t="str">
        <f>HYPERLINK("https://lafourche.fr/products/biodyssee-the-noir-breakfast-de-ceylan-bio-100g","39.8")</f>
        <v>39.8</v>
      </c>
      <c r="D37" s="23" t="str">
        <f>HYPERLINK("https://www.biocoop.fr/magasin-biocoop_champollion/the-noir-english-breakfast-bio-jg0155-000.html","52.23")</f>
        <v>52.23</v>
      </c>
      <c r="F37" s="23" t="str">
        <f>HYPERLINK("https://www.biocoop.fr/magasin-biocoop_fontaine/the-noir-breakfast-ceylan-100g-to1025-000.html","43.3")</f>
        <v>43.3</v>
      </c>
      <c r="H37" s="23" t="str">
        <f>HYPERLINK("https://satoriz-comboire.bio/products/st23502?_pos=3&amp;_sid=b9236397b&amp;_ss=r","62.5")</f>
        <v>62.5</v>
      </c>
      <c r="J37" s="18" t="str">
        <f>HYPERLINK("https://www.greenweez.com/produit/the-noir-breakfast-bio-vrac-200g/2WEEZ0434","34.5")</f>
        <v>34.5</v>
      </c>
    </row>
    <row r="38" spans="1:12" x14ac:dyDescent="0.3">
      <c r="A38" t="s">
        <v>69</v>
      </c>
      <c r="B38" s="18" t="str">
        <f>HYPERLINK("https://lafourche.fr/products/la-fourche-the-vert-menthe-bio-equitable-0-1kg","39.9")</f>
        <v>39.9</v>
      </c>
      <c r="D38" s="23" t="str">
        <f>HYPERLINK("https://www.biocoop.fr/magasin-biocoop_champollion/the-vert-menthe-parfum-de-medina-bio-jg0677-000.html","52.29")</f>
        <v>52.29</v>
      </c>
      <c r="F38" s="23" t="str">
        <f>HYPERLINK("https://www.biocoop.fr/magasin-biocoop_fontaine/the-vert-menthe-parfum-de-medina-bio-jg0677-000.html","51.9")</f>
        <v>51.9</v>
      </c>
      <c r="H38" s="23" t="str">
        <f>HYPERLINK("https://satoriz-comboire.bio/products/st23516?_pos=2&amp;_sid=f98d83d08&amp;_ss=r","73.25")</f>
        <v>73.25</v>
      </c>
      <c r="J38" s="23" t="str">
        <f>HYPERLINK("https://www.greenweez.com/produit/the-vert-a-la-menthe-200g/1DEST0423","50.8")</f>
        <v>50.8</v>
      </c>
    </row>
    <row r="39" spans="1:12" x14ac:dyDescent="0.3">
      <c r="A39" t="s">
        <v>70</v>
      </c>
      <c r="B39" s="23" t="str">
        <f>HYPERLINK("https://lafourche.fr/products/biodyssee-the-vert-fleuri-au-jasmin-bio-0-1kg","46.1")</f>
        <v>46.1</v>
      </c>
      <c r="D39" s="23" t="str">
        <f>HYPERLINK("https://www.biocoop.fr/magasin-biocoop_champollion/the-vert-jasmin-flowers-bio-jg0087-000.html","70.82")</f>
        <v>70.82</v>
      </c>
      <c r="F39" s="23" t="str">
        <f>HYPERLINK("https://www.biocoop.fr/magasin-biocoop_fontaine/the-vert-jasmin-bio-tp2027-000.html","55.9")</f>
        <v>55.9</v>
      </c>
      <c r="H39" s="23" t="str">
        <f>HYPERLINK("https://satoriz-comboire.bio/products/ma04628?_pos=3&amp;_sid=81e463890&amp;_ss=r","63.54")</f>
        <v>63.54</v>
      </c>
      <c r="J39" s="18" t="str">
        <f>HYPERLINK("https://www.greenweez.com/produit/the-vert-jasmin-bio-vrac-200g/2WEEZ0433","44.45")</f>
        <v>44.45</v>
      </c>
    </row>
    <row r="40" spans="1:12" x14ac:dyDescent="0.3">
      <c r="A40" t="s">
        <v>71</v>
      </c>
      <c r="B40" s="23" t="str">
        <f>HYPERLINK("https://lafourche.fr/products/gaia-rooibos-nature-100g","48.4")</f>
        <v>48.4</v>
      </c>
      <c r="D40" s="23" t="str">
        <f>HYPERLINK("https://www.biocoop.fr/magasin-biocoop_champollion/rooibos-nature-to1011-000.html","47.5")</f>
        <v>47.5</v>
      </c>
      <c r="F40" s="18" t="str">
        <f>HYPERLINK("https://www.biocoop.fr/magasin-biocoop_fontaine/rooibos-nature-to1011-000.html","40.8")</f>
        <v>40.8</v>
      </c>
      <c r="H40" s="23" t="str">
        <f>HYPERLINK("https://satoriz-comboire.bio/collections/epicerie-sucree/products/st6062","45.5")</f>
        <v>45.5</v>
      </c>
      <c r="J40" s="23" t="str">
        <f>HYPERLINK("https://www.greenweez.com/produit/rooibos-nature-dafrique-du-sud-100g/1DEST0413","888888")</f>
        <v>888888</v>
      </c>
    </row>
    <row r="41" spans="1:12" x14ac:dyDescent="0.3">
      <c r="A41" t="s">
        <v>72</v>
      </c>
      <c r="B41" s="18" t="str">
        <f>HYPERLINK("https://lafourche.fr/products/yogi-tea-infusion-chai-tea-bio-90g","44.33")</f>
        <v>44.33</v>
      </c>
      <c r="D41" s="23" t="str">
        <f>HYPERLINK("https://www.biocoop.fr/magasin-biocoop_champollion/tisane-classic-chai-90g-gt1000-000.html","51.67")</f>
        <v>51.67</v>
      </c>
      <c r="F41" s="23" t="str">
        <f>HYPERLINK("https://www.biocoop.fr/magasin-biocoop_fontaine/tisane-classic-chai-90g-gt1000-000.html","51.67")</f>
        <v>51.67</v>
      </c>
      <c r="H41" s="23" t="str">
        <f>HYPERLINK("https://satoriz-comboire.bio/products/pu710051?_pos=4&amp;_sid=56ad69599&amp;_ss=r","46.67")</f>
        <v>46.67</v>
      </c>
      <c r="J41" s="23" t="str">
        <f>HYPERLINK("https://www.greenweez.com/produit/infusion-vrac-classic-chai-90g/1YOGI0049","50.22")</f>
        <v>50.22</v>
      </c>
    </row>
    <row r="42" spans="1:12" x14ac:dyDescent="0.3">
      <c r="A42" t="s">
        <v>73</v>
      </c>
      <c r="B42" s="18" t="str">
        <f>HYPERLINK("https://lafourche.fr/products/gaia-tisane-bonne-nuit-50g","106")</f>
        <v>106</v>
      </c>
      <c r="D42" s="23" t="str">
        <f>HYPERLINK("https://www.biocoop.fr/magasin-biocoop_champollion/tisane-bonne-nuit-jg0634-000.html","128.0")</f>
        <v>128.0</v>
      </c>
      <c r="F42" s="23" t="str">
        <f>HYPERLINK("https://www.biocoop.fr/magasin-biocoop_fontaine/tisane-bonne-nuit-jg0634-000.html","128.0")</f>
        <v>128.0</v>
      </c>
      <c r="H42" s="23" t="str">
        <f>HYPERLINK("https://satoriz-comboire.bio/collections/epicerie-sucree/products/jgth502","122.0")</f>
        <v>122.0</v>
      </c>
      <c r="J42" s="23" t="str">
        <f>HYPERLINK("https://www.greenweez.com/produit/tisane-bonne-nuit-50g/3JARD0022","125.8")</f>
        <v>125.8</v>
      </c>
    </row>
    <row r="43" spans="1:12" x14ac:dyDescent="0.3">
      <c r="A43" t="s">
        <v>74</v>
      </c>
      <c r="B43" s="18" t="str">
        <f>HYPERLINK("https://lafourche.fr/products/gaia-tisane-calmetoux-50g","109")</f>
        <v>109</v>
      </c>
      <c r="D43" s="23" t="str">
        <f>HYPERLINK("https://www.biocoop.fr/magasin-biocoop_champollion/tisane-calmetoux-jg0637-000.html","128.0")</f>
        <v>128.0</v>
      </c>
      <c r="F43" s="23" t="str">
        <f>HYPERLINK("https://www.biocoop.fr/magasin-biocoop_fontaine/tisane-calmetoux-jg0637-000.html","128.0")</f>
        <v>128.0</v>
      </c>
      <c r="H43" s="23" t="str">
        <f>HYPERLINK("https://satoriz-comboire.bio/collections/epicerie-sucree/products/jgth508","122.0")</f>
        <v>122.0</v>
      </c>
      <c r="J43" s="23" t="str">
        <f>HYPERLINK("https://www.greenweez.com/produit/tisane-calme-toux-50g/3JARD0074","123.6")</f>
        <v>123.6</v>
      </c>
    </row>
    <row r="44" spans="1:12" x14ac:dyDescent="0.3">
      <c r="A44" t="s">
        <v>75</v>
      </c>
      <c r="B44" s="18" t="str">
        <f>HYPERLINK("https://lafourche.fr/products/les-jardins-de-gaia-tisane-remede-elfique-bio-0-05kg","106")</f>
        <v>106</v>
      </c>
      <c r="D44" s="23" t="str">
        <f>HYPERLINK("https://www.biocoop.fr/magasin-biocoop_champollion/tisane-remede-elfique-50g-aa0429-000.html","888888")</f>
        <v>888888</v>
      </c>
      <c r="F44" s="23" t="str">
        <f>HYPERLINK("https://www.biocoop.fr/magasin-biocoop_fontaine/tisane-remede-elfique-50g-aa0429-000.html","124.0")</f>
        <v>124.0</v>
      </c>
      <c r="H44" s="23" t="str">
        <f>HYPERLINK("https://satoriz-comboire.bio/collections/epicerie-sucree/products/jgth517","122.0")</f>
        <v>122.0</v>
      </c>
      <c r="J44" s="23" t="str">
        <f>HYPERLINK("https://www.greenweez.com/produit/tisane-remede-elfique-detox-50g/3JARD0021","123.6")</f>
        <v>123.6</v>
      </c>
    </row>
    <row r="46" spans="1:12" ht="18.75" customHeight="1" x14ac:dyDescent="0.35">
      <c r="A46" s="14" t="s">
        <v>76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</row>
    <row r="47" spans="1:12" x14ac:dyDescent="0.3">
      <c r="A47" s="16" t="s">
        <v>77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</row>
    <row r="48" spans="1:12" x14ac:dyDescent="0.3">
      <c r="A48" t="s">
        <v>78</v>
      </c>
      <c r="B48" s="23" t="str">
        <f>HYPERLINK("https://lafourche.fr/products/hipp-lait-1-pour-nourrissons-combiotic-0-6-mois-0-8kg","22.24")</f>
        <v>22.24</v>
      </c>
      <c r="C48" t="s">
        <v>15</v>
      </c>
      <c r="D48" s="23" t="str">
        <f>HYPERLINK("https://www.biocoop.fr/magasin-biocoop_champollion/lait-infantile-1er-age-800g-nt2000-000.html","19.7")</f>
        <v>19.7</v>
      </c>
      <c r="E48" t="s">
        <v>15</v>
      </c>
      <c r="F48" s="18" t="str">
        <f>HYPERLINK("https://www.biocoop.fr/magasin-biocoop_fontaine/lait-infantile-1er-age-800g-nt2000-000.html","18.9")</f>
        <v>18.9</v>
      </c>
      <c r="G48" t="s">
        <v>15</v>
      </c>
      <c r="H48" s="23" t="str">
        <f>HYPERLINK("https://satoriz-comboire.bio/collections/bebe/products/pu660168808","22.88")</f>
        <v>22.88</v>
      </c>
      <c r="I48" t="s">
        <v>15</v>
      </c>
      <c r="J48" s="23" t="str">
        <f>HYPERLINK("https://www.greenweez.com/produit/lot-de-3-lait-1-combiotic-r-pour-nourrissons-de-0-a-6-mois/1PACK3439","22.01")</f>
        <v>22.01</v>
      </c>
      <c r="K48" t="s">
        <v>15</v>
      </c>
    </row>
    <row r="49" spans="1:12" x14ac:dyDescent="0.3">
      <c r="A49" t="s">
        <v>83</v>
      </c>
      <c r="B49" s="23" t="str">
        <f>HYPERLINK("https://lafourche.fr/products/hipp-lait-2-de-suite-combiotic-des-6-mois-0-8kg","21.61")</f>
        <v>21.61</v>
      </c>
      <c r="C49" t="s">
        <v>15</v>
      </c>
      <c r="D49" s="23" t="str">
        <f>HYPERLINK("https://www.biocoop.fr/magasin-biocoop_champollion/lait-infantile-2eme-age-800g-nt2001-000.html","19.99")</f>
        <v>19.99</v>
      </c>
      <c r="E49" t="s">
        <v>15</v>
      </c>
      <c r="F49" s="18" t="str">
        <f>HYPERLINK("https://www.biocoop.fr/magasin-biocoop_fontaine/lait-infantile-2eme-age-800g-nt2001-000.html","17.9")</f>
        <v>17.9</v>
      </c>
      <c r="G49" t="s">
        <v>15</v>
      </c>
      <c r="H49" s="23" t="str">
        <f>HYPERLINK("https://satoriz-comboire.bio/collections/bebe/products/pu660154208","22.25")</f>
        <v>22.25</v>
      </c>
      <c r="I49" t="s">
        <v>15</v>
      </c>
      <c r="J49" s="23" t="str">
        <f>HYPERLINK("https://www.greenweez.com/produit/lot-de-3-x-lait-infantile-2eme-age-900g-de-6-a-12-mois/1PACK3351","19.91")</f>
        <v>19.91</v>
      </c>
      <c r="K49" t="s">
        <v>15</v>
      </c>
    </row>
    <row r="50" spans="1:12" x14ac:dyDescent="0.3">
      <c r="A50" t="s">
        <v>86</v>
      </c>
      <c r="B50" s="23" t="str">
        <f>HYPERLINK("https://lafourche.fr/products/hipp-lait-3-de-croissance-combiotic-des-10-mois-0-8kg","19.74")</f>
        <v>19.74</v>
      </c>
      <c r="C50" t="s">
        <v>15</v>
      </c>
      <c r="D50" s="23" t="str">
        <f>HYPERLINK("https://www.biocoop.fr/magasin-biocoop_champollion/lait-infantile-3eme-age-800g-nt2002-000.html","18.9")</f>
        <v>18.9</v>
      </c>
      <c r="E50" t="s">
        <v>15</v>
      </c>
      <c r="F50" s="18" t="str">
        <f>HYPERLINK("https://www.biocoop.fr/magasin-biocoop_fontaine/lait-infantile-3eme-age-800g-nt2002-000.html","16.9")</f>
        <v>16.9</v>
      </c>
      <c r="G50" s="20" t="s">
        <v>688</v>
      </c>
      <c r="H50" s="23" t="str">
        <f>HYPERLINK("https://satoriz-comboire.bio/collections/bebe/products/pu660154308","20.92")</f>
        <v>20.92</v>
      </c>
      <c r="I50" t="s">
        <v>15</v>
      </c>
      <c r="J50" s="23" t="str">
        <f>HYPERLINK("https://www.greenweez.com/produit/lot-de-3-laits-de-suite-3-demeter-600g-des-10-mois/1PACK3673","19.46")</f>
        <v>19.46</v>
      </c>
      <c r="K50" s="21" t="s">
        <v>689</v>
      </c>
    </row>
    <row r="51" spans="1:12" x14ac:dyDescent="0.3">
      <c r="A51" t="s">
        <v>89</v>
      </c>
      <c r="B51" s="23" t="str">
        <f>HYPERLINK("https://lafourche.fr/products/tidoo-liniment-oleocalcaire-familial-900ml","14.29")</f>
        <v>14.29</v>
      </c>
      <c r="D51" s="23" t="str">
        <f>HYPERLINK("https://www.biocoop.fr/magasin-biocoop_champollion/liniment-oleo-calcaire-bebe-lg5038-000.html","16.9")</f>
        <v>16.9</v>
      </c>
      <c r="F51" s="23" t="str">
        <f>HYPERLINK("https://www.biocoop.fr/magasin-biocoop_fontaine/liniment-oleo-calcaire-bebe-lg5038-000.html","17.6")</f>
        <v>17.6</v>
      </c>
      <c r="H51" s="23" t="str">
        <f>HYPERLINK("https://satoriz-comboire.bio/products/ecoae035?_pos=3&amp;_sid=db2ea40dc&amp;_ss=r","16.9")</f>
        <v>16.9</v>
      </c>
      <c r="J51" s="18" t="str">
        <f>HYPERLINK("https://www.greenweez.com/produit/liniment-bebe-oleocalcaire-1l/2WEEZ0527","10.9")</f>
        <v>10.9</v>
      </c>
    </row>
    <row r="53" spans="1:12" ht="18.75" customHeight="1" x14ac:dyDescent="0.35">
      <c r="A53" s="14" t="s">
        <v>90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2" x14ac:dyDescent="0.3">
      <c r="A54" s="16" t="s">
        <v>91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</row>
    <row r="55" spans="1:12" x14ac:dyDescent="0.3">
      <c r="A55" t="s">
        <v>92</v>
      </c>
      <c r="B55" s="18" t="str">
        <f>HYPERLINK("https://lafourche.fr/products/lazzaretti-gressin-rubata-a-l-huile-d-olive-bio-0-16kg","11.19")</f>
        <v>11.19</v>
      </c>
      <c r="C55" t="s">
        <v>15</v>
      </c>
      <c r="D55" s="23" t="str">
        <f>HYPERLINK("https://www.biocoop.fr/magasin-biocoop_champollion/gressins-a-l-huile-d-olive-vierge-sd2008-000.html","38.0")</f>
        <v>38.0</v>
      </c>
      <c r="E55" s="20" t="s">
        <v>15</v>
      </c>
      <c r="F55" s="23" t="str">
        <f>HYPERLINK("https://www.biocoop.fr/magasin-biocoop_fontaine/gressin-nature-150g-gr4007-000.html","12.67")</f>
        <v>12.67</v>
      </c>
      <c r="G55" s="20" t="s">
        <v>15</v>
      </c>
      <c r="H55" s="23" t="str">
        <f>HYPERLINK("https://satoriz-comboire.bio/collections/epicerie-salee/products/tgc01","12.67")</f>
        <v>12.67</v>
      </c>
      <c r="I55" t="s">
        <v>15</v>
      </c>
      <c r="J55" s="23" t="str">
        <f>HYPERLINK("https://www.greenweez.com/produit/gressins-au-sesame-160g/1LAZZ0072","11.81")</f>
        <v>11.81</v>
      </c>
      <c r="K55" s="20" t="s">
        <v>690</v>
      </c>
    </row>
    <row r="56" spans="1:12" x14ac:dyDescent="0.3">
      <c r="A56" t="s">
        <v>93</v>
      </c>
      <c r="B56" s="18" t="str">
        <f>HYPERLINK("https://lafourche.fr/products/moulin-des-moines-sticks-depeautre-200g-bio","9.95")</f>
        <v>9.95</v>
      </c>
      <c r="C56" t="s">
        <v>15</v>
      </c>
      <c r="D56" s="23" t="str">
        <f>HYPERLINK("https://www.biocoop.fr/magasin-biocoop_champollion/sticks-epeautre-pur-200g-ml1211-000.html","888888")</f>
        <v>888888</v>
      </c>
      <c r="E56" s="19" t="s">
        <v>99</v>
      </c>
      <c r="F56" s="23" t="str">
        <f>HYPERLINK("https://www.biocoop.fr/magasin-biocoop_fontaine/sticks-epeautre-pur-200g-ml1211-000.html","10.95")</f>
        <v>10.95</v>
      </c>
      <c r="G56" s="20" t="s">
        <v>15</v>
      </c>
      <c r="H56">
        <v>888888</v>
      </c>
      <c r="J56" s="23" t="str">
        <f>HYPERLINK("https://www.greenweez.com/produit/sticks-depeautre-a-lhuile-dolive-200g/1MOUL0035","11.2")</f>
        <v>11.2</v>
      </c>
      <c r="K56" s="20" t="s">
        <v>80</v>
      </c>
    </row>
    <row r="57" spans="1:12" x14ac:dyDescent="0.3">
      <c r="A57" t="s">
        <v>94</v>
      </c>
      <c r="B57" s="23" t="str">
        <f>HYPERLINK("https://lafourche.fr/products/moulin-des-moines-bretzels-depeautre-150g-bio","11.53")</f>
        <v>11.53</v>
      </c>
      <c r="C57" t="s">
        <v>15</v>
      </c>
      <c r="D57" s="23" t="str">
        <f>HYPERLINK("https://www.biocoop.fr/magasin-biocoop_champollion/bretzel-epeautre-bio-ml1218-000.html","9.95")</f>
        <v>9.95</v>
      </c>
      <c r="E57" s="20" t="s">
        <v>15</v>
      </c>
      <c r="F57" s="18" t="str">
        <f>HYPERLINK("https://www.biocoop.fr/magasin-biocoop_fontaine/bretzel-epeautre-bio-ml1218-000.html","9.3")</f>
        <v>9.3</v>
      </c>
      <c r="G57" s="21" t="s">
        <v>242</v>
      </c>
      <c r="H57" s="23" t="str">
        <f>HYPERLINK("https://satoriz-comboire.bio/products/eu1740?_pos=1&amp;_psq=bretzel&amp;_ss=e&amp;_v=1.0","16.0")</f>
        <v>16.0</v>
      </c>
      <c r="I57" t="s">
        <v>15</v>
      </c>
      <c r="J57" s="23" t="str">
        <f>HYPERLINK("https://www.greenweez.com/produit/bretzels-epeautre-sesame-et-huile-dolive-150g/1MOUL0033","12.93")</f>
        <v>12.93</v>
      </c>
      <c r="K57" s="21" t="s">
        <v>691</v>
      </c>
    </row>
    <row r="58" spans="1:12" x14ac:dyDescent="0.3">
      <c r="A58" t="s">
        <v>95</v>
      </c>
      <c r="B58" s="18" t="str">
        <f>HYPERLINK("https://lafourche.fr/products/pural-chips-au-mais-nature-bio-0-2kg","10.8")</f>
        <v>10.8</v>
      </c>
      <c r="C58" s="20" t="s">
        <v>692</v>
      </c>
      <c r="D58" s="23" t="str">
        <f>HYPERLINK("https://www.biocoop.fr/magasin-biocoop_champollion/tortilla-chips-mais-natures-200g-ap0010-000.html","12.5")</f>
        <v>12.5</v>
      </c>
      <c r="E58" s="20" t="s">
        <v>15</v>
      </c>
      <c r="F58" s="23" t="str">
        <f>HYPERLINK("https://www.biocoop.fr/magasin-biocoop_fontaine/tortilla-chips-mais-natures-200g-ap0010-000.html","12.5")</f>
        <v>12.5</v>
      </c>
      <c r="G58" s="20" t="s">
        <v>15</v>
      </c>
      <c r="H58" s="23" t="str">
        <f>HYPERLINK("https://satoriz-comboire.bio/collections/epicerie-salee/products/po10","11.5")</f>
        <v>11.5</v>
      </c>
      <c r="I58" t="s">
        <v>15</v>
      </c>
      <c r="J58" s="23" t="str">
        <f>HYPERLINK("https://www.greenweez.com/produit/chips-de-mais-nature-125g/1PURA0072","13.76")</f>
        <v>13.76</v>
      </c>
      <c r="K58" s="21" t="s">
        <v>693</v>
      </c>
    </row>
    <row r="59" spans="1:12" x14ac:dyDescent="0.3">
      <c r="A59" t="s">
        <v>96</v>
      </c>
      <c r="B59" s="18" t="str">
        <f>HYPERLINK("https://lafourche.fr/products/trafo-chips-salees-125g","14.4")</f>
        <v>14.4</v>
      </c>
      <c r="C59" t="s">
        <v>15</v>
      </c>
      <c r="D59" s="23" t="str">
        <f>HYPERLINK("https://www.biocoop.fr/magasin-biocoop_champollion/chips-pdt-natures-100g-cs5010-000.html","27.0")</f>
        <v>27.0</v>
      </c>
      <c r="E59" s="20" t="s">
        <v>15</v>
      </c>
      <c r="F59" s="23" t="str">
        <f>HYPERLINK("https://www.biocoop.fr/magasin-biocoop_fontaine/chips-pdt-natures-200g-ao4005-000.html","19.95")</f>
        <v>19.95</v>
      </c>
      <c r="G59" s="20" t="s">
        <v>15</v>
      </c>
      <c r="H59" s="23" t="str">
        <f>HYPERLINK("https://satoriz-comboire.bio/collections/epicerie-salee/products/ma5776","15.6")</f>
        <v>15.6</v>
      </c>
      <c r="I59" t="s">
        <v>15</v>
      </c>
      <c r="J59" s="23" t="str">
        <f>HYPERLINK("https://www.greenweez.com/produit/chips-nature-format-familial-220g/1APER0002","18.39")</f>
        <v>18.39</v>
      </c>
      <c r="K59" t="s">
        <v>15</v>
      </c>
    </row>
    <row r="60" spans="1:12" x14ac:dyDescent="0.3">
      <c r="A60" t="s">
        <v>97</v>
      </c>
      <c r="B60" s="18" t="str">
        <f>HYPERLINK("https://lafourche.fr/products/la-fourche-250g-de-pistaches-en-coque-grillees-salees-en-vrac-bio","23.2")</f>
        <v>23.2</v>
      </c>
      <c r="C60" t="s">
        <v>15</v>
      </c>
      <c r="D60" s="23" t="str">
        <f>HYPERLINK("https://www.biocoop.fr/magasin-biocoop_champollion/pistaches-coques-grillees-salees-bio-ag3041-000.html","32.39")</f>
        <v>32.39</v>
      </c>
      <c r="E60" s="20" t="s">
        <v>15</v>
      </c>
      <c r="F60" s="23" t="str">
        <f>HYPERLINK("https://www.biocoop.fr/magasin-biocoop_fontaine/pistaches-coques-grillees-salees-bio-ag3041-000.html","888888")</f>
        <v>888888</v>
      </c>
      <c r="G60" s="19" t="s">
        <v>99</v>
      </c>
      <c r="H60" s="23" t="str">
        <f>HYPERLINK("https://satoriz-comboire.bio/collections/vrac/products/ag0653","24.9")</f>
        <v>24.9</v>
      </c>
      <c r="I60" t="s">
        <v>15</v>
      </c>
      <c r="J60" s="23" t="str">
        <f>HYPERLINK("https://www.greenweez.com/produit/pistaches-en-coques-grillees-salees-500g/2WEEZ0404","888888")</f>
        <v>888888</v>
      </c>
      <c r="K60" s="19" t="s">
        <v>99</v>
      </c>
      <c r="L60">
        <v>0.25</v>
      </c>
    </row>
    <row r="61" spans="1:12" x14ac:dyDescent="0.3">
      <c r="A61" t="s">
        <v>100</v>
      </c>
      <c r="B61" s="18" t="str">
        <f>HYPERLINK("https://lafourche.fr/products/la-fourche-cacahuetes-grillees-salees-bio-en-vrac-0-5kg","7.7")</f>
        <v>7.7</v>
      </c>
      <c r="C61" t="s">
        <v>15</v>
      </c>
      <c r="D61" s="23" t="str">
        <f>HYPERLINK("https://www.biocoop.fr/magasin-biocoop_champollion/arachide-grillee-nature-bio-ag3062-000.html","10.8")</f>
        <v>10.8</v>
      </c>
      <c r="E61" s="20" t="s">
        <v>15</v>
      </c>
      <c r="F61" s="23" t="str">
        <f>HYPERLINK("https://www.biocoop.fr/magasin-biocoop_fontaine/arachides-grillees-et-salees-egypte-bio-ag3063-000.html","11.8")</f>
        <v>11.8</v>
      </c>
      <c r="G61" s="20" t="s">
        <v>15</v>
      </c>
      <c r="H61" s="23" t="str">
        <f>HYPERLINK("https://satoriz-comboire.bio/collections/vrac/products/bof3707","8.15")</f>
        <v>8.15</v>
      </c>
      <c r="I61" t="s">
        <v>15</v>
      </c>
      <c r="J61" s="23" t="str">
        <f>HYPERLINK("https://www.greenweez.com/produit/arachides-decortiquees-grillees-nature-500g/2WEEZ0360","11.88")</f>
        <v>11.88</v>
      </c>
      <c r="K61" t="s">
        <v>15</v>
      </c>
    </row>
    <row r="62" spans="1:12" x14ac:dyDescent="0.3">
      <c r="A62" s="16" t="s">
        <v>101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</row>
    <row r="63" spans="1:12" x14ac:dyDescent="0.3">
      <c r="A63" t="s">
        <v>102</v>
      </c>
      <c r="B63" s="18" t="str">
        <f>HYPERLINK("https://lafourche.fr/products/philia-bouillon-de-legumes-cubes-66g-bio","15")</f>
        <v>15</v>
      </c>
      <c r="C63" t="s">
        <v>15</v>
      </c>
      <c r="D63" s="23" t="str">
        <f>HYPERLINK("https://www.biocoop.fr/magasin-biocoop_champollion/epicerie-salee/condiments-sauces-aides-culinaires/bouillons.html?product_list_order=price_ref_asc","22.16")</f>
        <v>22.16</v>
      </c>
      <c r="E63" s="20" t="s">
        <v>15</v>
      </c>
      <c r="F63" s="23" t="str">
        <f>HYPERLINK("https://www.biocoop.fr/magasin-biocoop_fontaine/bouillon-de-legumes-en-cube-hl1004-000.html","22.16")</f>
        <v>22.16</v>
      </c>
      <c r="G63" s="19" t="s">
        <v>15</v>
      </c>
      <c r="H63" s="23" t="str">
        <f>HYPERLINK("https://satoriz-comboire.bio/products/ralegplu?_pos=9&amp;_sid=deed539af&amp;_ss=r","16.4")</f>
        <v>16.4</v>
      </c>
      <c r="I63" t="s">
        <v>15</v>
      </c>
      <c r="J63" s="23" t="str">
        <f>HYPERLINK("https://www.greenweez.com/produit/bouillon-de-legumes-en-poudre-sans-levure-500g/1RAPU0182","16.8")</f>
        <v>16.8</v>
      </c>
      <c r="K63" t="s">
        <v>15</v>
      </c>
    </row>
    <row r="64" spans="1:12" x14ac:dyDescent="0.3">
      <c r="A64" t="s">
        <v>104</v>
      </c>
      <c r="B64" s="18" t="str">
        <f>HYPERLINK("https://lafourche.fr/products/danival-cube-miso-bio-8x10g-bio","40.75")</f>
        <v>40.75</v>
      </c>
      <c r="C64" t="s">
        <v>15</v>
      </c>
      <c r="D64" s="23" t="str">
        <f>HYPERLINK("https://www.biocoop.fr/magasin-biocoop_champollion/miso-cube-original-8-80g-dn1090-000.html","888888")</f>
        <v>888888</v>
      </c>
      <c r="E64" s="19" t="s">
        <v>99</v>
      </c>
      <c r="F64" s="23" t="str">
        <f>HYPERLINK("https://www.biocoop.fr/magasin-biocoop_fontaine/miso-cube-original-8-80g-dn1090-000.html","49.88")</f>
        <v>49.88</v>
      </c>
      <c r="G64" s="20" t="s">
        <v>15</v>
      </c>
      <c r="H64" s="23" t="str">
        <f>HYPERLINK("https://satoriz-comboire.bio/products/da2889?_pos=3&amp;_sid=9469a6a77&amp;_ss=r","45.63")</f>
        <v>45.63</v>
      </c>
      <c r="I64" t="s">
        <v>15</v>
      </c>
      <c r="J64" s="23" t="str">
        <f>HYPERLINK("https://www.greenweez.com/produit/miso-en-cubes-original-8x10g/1DANI0197","46.63")</f>
        <v>46.63</v>
      </c>
      <c r="K64" t="s">
        <v>15</v>
      </c>
    </row>
    <row r="65" spans="1:12" x14ac:dyDescent="0.3">
      <c r="A65" t="s">
        <v>108</v>
      </c>
      <c r="B65" s="18" t="str">
        <f>HYPERLINK("https://lafourche.fr/products/danival-miso-riz-bio-0-39kg","17.92")</f>
        <v>17.92</v>
      </c>
      <c r="C65" s="21" t="s">
        <v>694</v>
      </c>
      <c r="D65" s="23" t="str">
        <f>HYPERLINK("https://www.biocoop.fr/magasin-biocoop_champollion/miso-riz-200g-dn0733-000.html","24.95")</f>
        <v>24.95</v>
      </c>
      <c r="E65" s="20" t="s">
        <v>15</v>
      </c>
      <c r="F65" s="23" t="str">
        <f>HYPERLINK("https://www.biocoop.fr/magasin-biocoop_fontaine/miso-riz-200g-dn0733-000.html","24.75")</f>
        <v>24.75</v>
      </c>
      <c r="G65" s="20" t="s">
        <v>695</v>
      </c>
      <c r="H65" s="23" t="str">
        <f>HYPERLINK("https://satoriz-comboire.bio/products/re2573?_pos=8&amp;_sid=9469a6a77&amp;_ss=r","20.38")</f>
        <v>20.38</v>
      </c>
      <c r="I65" t="s">
        <v>15</v>
      </c>
      <c r="J65" s="23" t="str">
        <f>HYPERLINK("https://www.greenweez.com/produit/miso-de-riz-390g/1DANI0048","20.67")</f>
        <v>20.67</v>
      </c>
      <c r="K65" t="s">
        <v>15</v>
      </c>
    </row>
    <row r="66" spans="1:12" x14ac:dyDescent="0.3">
      <c r="A66" t="s">
        <v>111</v>
      </c>
      <c r="B66" s="18" t="str">
        <f>HYPERLINK("https://lafourche.fr/products/la-fourche-gomasio-bio-0-5kg","9.98")</f>
        <v>9.98</v>
      </c>
      <c r="C66" t="s">
        <v>15</v>
      </c>
      <c r="D66" s="23" t="str">
        <f>HYPERLINK("https://www.biocoop.fr/magasin-biocoop_champollion/gomasio-300g-he0775-000.html","20.17")</f>
        <v>20.17</v>
      </c>
      <c r="E66" s="20" t="s">
        <v>15</v>
      </c>
      <c r="F66" s="23" t="str">
        <f>HYPERLINK("https://www.biocoop.fr/magasin-biocoop_fontaine/gomasio-300g-he0775-000.html","20.33")</f>
        <v>20.33</v>
      </c>
      <c r="G66" s="20" t="s">
        <v>15</v>
      </c>
      <c r="H66" s="23" t="str">
        <f>HYPERLINK("https://satoriz-comboire.bio/products/go300?_pos=3&amp;_sid=8c4a51e31&amp;_ss=r","19.5")</f>
        <v>19.5</v>
      </c>
      <c r="I66" t="s">
        <v>15</v>
      </c>
      <c r="J66" s="23" t="str">
        <f>HYPERLINK("https://www.greenweez.com/produit/gomasio-loriginal-500g/1SENF0012","888888")</f>
        <v>888888</v>
      </c>
      <c r="K66" s="19" t="s">
        <v>99</v>
      </c>
    </row>
    <row r="67" spans="1:12" x14ac:dyDescent="0.3">
      <c r="A67" t="s">
        <v>115</v>
      </c>
      <c r="B67" s="23" t="str">
        <f>HYPERLINK("https://lafourche.fr/products/la-fourche-curcuma-moulu-bio-0-25kg","14.76")</f>
        <v>14.76</v>
      </c>
      <c r="C67" t="s">
        <v>15</v>
      </c>
      <c r="D67" s="23" t="str">
        <f>HYPERLINK("https://www.biocoop.fr/magasin-biocoop_champollion/curcuma-en-poudre-racine-bio-ck2048-000.html","19.7")</f>
        <v>19.7</v>
      </c>
      <c r="E67" s="20" t="s">
        <v>15</v>
      </c>
      <c r="F67" s="23" t="str">
        <f>HYPERLINK("https://www.biocoop.fr/magasin-biocoop_fontaine/curcuma-moulu-80g-ck1415-000.html","45.63")</f>
        <v>45.63</v>
      </c>
      <c r="G67" s="20" t="s">
        <v>15</v>
      </c>
      <c r="H67" s="23" t="str">
        <f>HYPERLINK("https://satoriz-comboire.bio/products/cocurcrapc500?_pos=5&amp;_sid=0aacfc20c&amp;_ss=r","23.7")</f>
        <v>23.7</v>
      </c>
      <c r="I67" t="s">
        <v>15</v>
      </c>
      <c r="J67" s="18" t="str">
        <f>HYPERLINK("https://www.greenweez.com/produit/curcuma-poudre-bio-250g/2WEEZ0074","14.36")</f>
        <v>14.36</v>
      </c>
      <c r="K67" t="s">
        <v>15</v>
      </c>
    </row>
    <row r="68" spans="1:12" x14ac:dyDescent="0.3">
      <c r="A68" t="s">
        <v>118</v>
      </c>
      <c r="B68" s="23" t="str">
        <f>HYPERLINK("https://lafourche.fr/products/la-fourche-curry-jaune-moulu-bio-0-15kg","30.6")</f>
        <v>30.6</v>
      </c>
      <c r="C68" t="s">
        <v>15</v>
      </c>
      <c r="D68" s="23" t="str">
        <f>HYPERLINK("https://www.biocoop.fr/magasin-biocoop_champollion/curry-poudre-bio-ck2049-000.html","29.5")</f>
        <v>29.5</v>
      </c>
      <c r="E68" s="20" t="s">
        <v>15</v>
      </c>
      <c r="F68" s="23" t="str">
        <f>HYPERLINK("https://www.biocoop.fr/magasin-biocoop_fontaine/curry-en-poudre-80g-ck1414-000.html","56.25")</f>
        <v>56.25</v>
      </c>
      <c r="G68" s="20" t="s">
        <v>15</v>
      </c>
      <c r="H68" s="23" t="str">
        <f>HYPERLINK("https://satoriz-comboire.bio/collections/epicerie-salee/products/cocurry1","51.25")</f>
        <v>51.25</v>
      </c>
      <c r="I68" t="s">
        <v>15</v>
      </c>
      <c r="J68" s="18" t="str">
        <f>HYPERLINK("https://www.greenweez.com/produit/curry-en-poudre-bio-150g/2WEEZ0162","13.27")</f>
        <v>13.27</v>
      </c>
      <c r="K68" s="20" t="s">
        <v>696</v>
      </c>
      <c r="L68">
        <v>0.02</v>
      </c>
    </row>
    <row r="69" spans="1:12" x14ac:dyDescent="0.3">
      <c r="A69" t="s">
        <v>120</v>
      </c>
      <c r="B69" s="23" t="str">
        <f>HYPERLINK("https://lafourche.fr/products/la-fourche-cannelle-moulue-bio-0-15kg","26.6")</f>
        <v>26.6</v>
      </c>
      <c r="C69" t="s">
        <v>15</v>
      </c>
      <c r="D69" s="23" t="str">
        <f>HYPERLINK("https://www.biocoop.fr/magasin-biocoop_champollion/cannelle-moulue-80g-ck2037-000.html","57.5")</f>
        <v>57.5</v>
      </c>
      <c r="E69" s="20" t="s">
        <v>15</v>
      </c>
      <c r="F69" s="23" t="str">
        <f>HYPERLINK("https://www.biocoop.fr/magasin-biocoop_fontaine/cannelle-moulue-80g-ck2037-000.html","57.5")</f>
        <v>57.5</v>
      </c>
      <c r="G69" s="20" t="s">
        <v>15</v>
      </c>
      <c r="H69" s="18" t="str">
        <f>HYPERLINK("https://satoriz-comboire.bio/products/cocannegpc?_pos=2&amp;_sid=a0e00fe60&amp;_ss=r","26.1")</f>
        <v>26.1</v>
      </c>
      <c r="I69" t="s">
        <v>15</v>
      </c>
      <c r="J69" s="23" t="str">
        <f>HYPERLINK("https://www.greenweez.com/produit/cannelle-de-ceylan-en-poudre-500g/1COOK0184","29.42")</f>
        <v>29.42</v>
      </c>
      <c r="K69" t="s">
        <v>15</v>
      </c>
    </row>
    <row r="70" spans="1:12" x14ac:dyDescent="0.3">
      <c r="A70" t="s">
        <v>124</v>
      </c>
      <c r="B70" s="23" t="str">
        <f>HYPERLINK("https://lafourche.fr/products/la-fourche-paprika-doux-bio-0-15kg","27.93")</f>
        <v>27.93</v>
      </c>
      <c r="C70" t="s">
        <v>15</v>
      </c>
      <c r="D70" s="23" t="str">
        <f>HYPERLINK("https://www.biocoop.fr/magasin-biocoop_champollion/paprika-doux-de-hongrie-40g-ck0922-000.html","88.75")</f>
        <v>88.75</v>
      </c>
      <c r="E70" s="20" t="s">
        <v>15</v>
      </c>
      <c r="F70" s="23" t="str">
        <f>HYPERLINK("https://www.biocoop.fr/magasin-biocoop_fontaine/paprika-doux-de-hongrie-40g-ck0922-000.html","87.5")</f>
        <v>87.5</v>
      </c>
      <c r="G70" s="20" t="s">
        <v>15</v>
      </c>
      <c r="H70" s="23" t="str">
        <f>HYPERLINK("https://satoriz-comboire.bio/products/copapdfr?_pos=2&amp;_sid=444323c97&amp;_ss=r","72.5")</f>
        <v>72.5</v>
      </c>
      <c r="I70" t="s">
        <v>15</v>
      </c>
      <c r="J70" s="18" t="str">
        <f>HYPERLINK("https://www.greenweez.com/produit/paprika-doux-en-poudre-bio-150g/2WEEZ0165","27.2")</f>
        <v>27.2</v>
      </c>
      <c r="K70" t="s">
        <v>15</v>
      </c>
      <c r="L70">
        <v>0.02</v>
      </c>
    </row>
    <row r="71" spans="1:12" x14ac:dyDescent="0.3">
      <c r="A71" t="s">
        <v>128</v>
      </c>
      <c r="B71" s="18" t="str">
        <f>HYPERLINK("https://lafourche.fr/products/la-fourche-paprika-fume-bio-0-15kg","33.27")</f>
        <v>33.27</v>
      </c>
      <c r="C71" t="s">
        <v>15</v>
      </c>
      <c r="D71" s="23" t="str">
        <f>HYPERLINK("https://www.biocoop.fr/magasin-biocoop_champollion/paprika-fume-fl1217-000.html","77.5")</f>
        <v>77.5</v>
      </c>
      <c r="E71" s="20" t="s">
        <v>15</v>
      </c>
      <c r="F71" s="23" t="str">
        <f>HYPERLINK("https://www.biocoop.fr/magasin-biocoop_fontaine/paprika-fume-fl1217-000.html","888888")</f>
        <v>888888</v>
      </c>
      <c r="G71" s="19" t="s">
        <v>99</v>
      </c>
      <c r="H71" s="23" t="str">
        <f>HYPERLINK("https://satoriz-comboire.bio/products/emhbe58b?_pos=2&amp;_sid=3ef3d1d3c&amp;_ss=r","53.33")</f>
        <v>53.33</v>
      </c>
      <c r="I71" t="s">
        <v>15</v>
      </c>
      <c r="J71" s="23" t="str">
        <f>HYPERLINK("https://www.greenweez.com/produit/paprika-fume-sachet-recharge-250g/1ECOI0084","888888")</f>
        <v>888888</v>
      </c>
      <c r="K71" s="19" t="s">
        <v>99</v>
      </c>
    </row>
    <row r="72" spans="1:12" x14ac:dyDescent="0.3">
      <c r="A72" t="s">
        <v>131</v>
      </c>
      <c r="B72" s="23" t="str">
        <f>HYPERLINK("https://lafourche.fr/products/la-fourche-paprika-doux-bio-0-15kg","27.93")</f>
        <v>27.93</v>
      </c>
      <c r="C72" t="s">
        <v>15</v>
      </c>
      <c r="D72" s="23" t="str">
        <f>HYPERLINK("https://www.biocoop.fr/magasin-biocoop_champollion/gingembre-racine-poudre-bio-ck2051-000.html","33.65")</f>
        <v>33.65</v>
      </c>
      <c r="E72" s="20" t="s">
        <v>15</v>
      </c>
      <c r="F72" s="23" t="str">
        <f>HYPERLINK("https://www.biocoop.fr/magasin-biocoop_fontaine/gingembre-moulu-80g-ck2062-000.html","67.5")</f>
        <v>67.5</v>
      </c>
      <c r="G72" s="20" t="s">
        <v>15</v>
      </c>
      <c r="H72" s="23" t="str">
        <f>HYPERLINK("https://satoriz-comboire.bio/products/cogingpp?_pos=2&amp;_sid=eb2485dcf&amp;_ss=r","56.88")</f>
        <v>56.88</v>
      </c>
      <c r="I72" t="s">
        <v>15</v>
      </c>
      <c r="J72" s="18" t="str">
        <f>HYPERLINK("https://www.greenweez.com/produit/gingembre-en-poudre-bio-200g/2WEEZ0161","24.75")</f>
        <v>24.75</v>
      </c>
      <c r="K72" s="20" t="s">
        <v>697</v>
      </c>
      <c r="L72">
        <v>0.02</v>
      </c>
    </row>
    <row r="73" spans="1:12" x14ac:dyDescent="0.3">
      <c r="A73" t="s">
        <v>132</v>
      </c>
      <c r="B73" s="18" t="str">
        <f>HYPERLINK("https://lafourche.fr/products/biodyssee-coriandre-en-poudre-bio-0-035kg","44")</f>
        <v>44</v>
      </c>
      <c r="C73" t="s">
        <v>15</v>
      </c>
      <c r="D73" s="23" t="str">
        <f>HYPERLINK("https://www.biocoop.fr/magasin-biocoop_champollion/coriandre-moulue-30g-ck0925-000.html","73.33")</f>
        <v>73.33</v>
      </c>
      <c r="E73" s="21" t="s">
        <v>698</v>
      </c>
      <c r="F73" s="23" t="str">
        <f>HYPERLINK("https://www.biocoop.fr/magasin-biocoop_fontaine/coriandre-moulue-30g-ck0925-000.html","75.0")</f>
        <v>75.0</v>
      </c>
      <c r="G73" s="20" t="s">
        <v>15</v>
      </c>
      <c r="H73" s="23" t="str">
        <f>HYPERLINK("https://satoriz-comboire.bio/collections/epicerie-salee/products/cocorpc","65.0")</f>
        <v>65.0</v>
      </c>
      <c r="I73" t="s">
        <v>15</v>
      </c>
      <c r="J73" s="23" t="str">
        <f>HYPERLINK("https://www.greenweez.com/produit/poudre-de-graines-de-coriandre-35g/2BIOD0049","55.43")</f>
        <v>55.43</v>
      </c>
      <c r="K73" s="20" t="s">
        <v>699</v>
      </c>
    </row>
    <row r="74" spans="1:12" x14ac:dyDescent="0.3">
      <c r="A74" t="s">
        <v>136</v>
      </c>
      <c r="B74" s="18" t="str">
        <f>HYPERLINK("https://lafourche.fr/products/cook-fenugrec-poudre-55g","37.82")</f>
        <v>37.82</v>
      </c>
      <c r="C74" t="s">
        <v>15</v>
      </c>
      <c r="D74" s="23" t="str">
        <f>HYPERLINK("https://www.biocoop.fr/magasin-biocoop_champollion/fenugrec-moulu-55g-ck1209-000.html","47.27")</f>
        <v>47.27</v>
      </c>
      <c r="E74" s="20" t="s">
        <v>15</v>
      </c>
      <c r="F74" s="23" t="str">
        <f>HYPERLINK("https://www.biocoop.fr/magasin-biocoop_fontaine/fenugrec-moulu-55g-ck1209-000.html","888888")</f>
        <v>888888</v>
      </c>
      <c r="G74" s="19" t="s">
        <v>99</v>
      </c>
      <c r="H74" s="23" t="str">
        <f>HYPERLINK("https://satoriz-comboire.bio/products/cofenuc?_pos=1&amp;_sid=a8a199e11&amp;_ss=r","41.82")</f>
        <v>41.82</v>
      </c>
      <c r="I74" t="s">
        <v>15</v>
      </c>
      <c r="J74" s="23" t="str">
        <f>HYPERLINK("https://www.greenweez.com/produit/fenugrec-poudre-bio-50g/1COOK0022","52.8")</f>
        <v>52.8</v>
      </c>
      <c r="K74" s="21" t="s">
        <v>700</v>
      </c>
    </row>
    <row r="75" spans="1:12" x14ac:dyDescent="0.3">
      <c r="A75" t="s">
        <v>139</v>
      </c>
      <c r="B75" s="18" t="str">
        <f>HYPERLINK("https://lafourche.fr/products/la-fourche-ras-el-hanout-bio-0-15kg","46.6")</f>
        <v>46.6</v>
      </c>
      <c r="C75" t="s">
        <v>15</v>
      </c>
      <c r="D75" s="23" t="str">
        <f>HYPERLINK("https://www.biocoop.fr/magasin-biocoop_champollion/ras-el-hanout-35g-ar0215-000.html","94.86")</f>
        <v>94.86</v>
      </c>
      <c r="E75" s="20" t="s">
        <v>15</v>
      </c>
      <c r="F75" s="23" t="str">
        <f>HYPERLINK("https://www.biocoop.fr/magasin-biocoop_fontaine/ras-el-hanout-35g-ar0215-000.html","102.86")</f>
        <v>102.86</v>
      </c>
      <c r="G75" s="20" t="s">
        <v>15</v>
      </c>
      <c r="H75" s="23" t="str">
        <f>HYPERLINK("https://satoriz-comboire.bio/products/corasec?_pos=3&amp;_sid=7032da4b7&amp;_ss=r","88.57")</f>
        <v>88.57</v>
      </c>
      <c r="I75" t="s">
        <v>15</v>
      </c>
      <c r="J75" s="23" t="str">
        <f>HYPERLINK("https://www.greenweez.com/produit/melange-ras-el-hanout-bio-35g/1COOK0072","98.57")</f>
        <v>98.57</v>
      </c>
      <c r="K75" t="s">
        <v>15</v>
      </c>
    </row>
    <row r="76" spans="1:12" x14ac:dyDescent="0.3">
      <c r="A76" t="s">
        <v>142</v>
      </c>
      <c r="B76" s="23" t="str">
        <f>HYPERLINK("https://lafourche.fr/products/la-fourche-herbes-de-provence-bio-0-2kg","47.5")</f>
        <v>47.5</v>
      </c>
      <c r="C76" t="s">
        <v>15</v>
      </c>
      <c r="D76" s="23" t="str">
        <f>HYPERLINK("https://www.biocoop.fr/magasin-biocoop_champollion/herbes-de-provence-50g-ar0035-000.html","66.0")</f>
        <v>66.0</v>
      </c>
      <c r="E76" s="20" t="s">
        <v>15</v>
      </c>
      <c r="F76" s="18" t="str">
        <f>HYPERLINK("https://www.biocoop.fr/magasin-biocoop_fontaine/herbes-de-provence-sans-marjolaine-bio-ck2106-000.html","34.0")</f>
        <v>34.0</v>
      </c>
      <c r="G76" s="20" t="s">
        <v>15</v>
      </c>
      <c r="H76" s="23" t="str">
        <f>HYPERLINK("https://satoriz-comboire.bio/products/coherb1?_pos=1&amp;_sid=64d9c02ce&amp;_ss=r","88.75")</f>
        <v>88.75</v>
      </c>
      <c r="I76" t="s">
        <v>15</v>
      </c>
      <c r="J76" s="23" t="str">
        <f>HYPERLINK("https://www.greenweez.com/produit/herbes-de-provence-60g/2BIOD0053","65.17")</f>
        <v>65.17</v>
      </c>
      <c r="K76" t="s">
        <v>15</v>
      </c>
      <c r="L76">
        <v>0.02</v>
      </c>
    </row>
    <row r="77" spans="1:12" x14ac:dyDescent="0.3">
      <c r="A77" t="s">
        <v>144</v>
      </c>
      <c r="B77" s="18" t="str">
        <f>HYPERLINK("https://lafourche.fr/products/la-fourche-cumin-graines-bio-0-15kg","59")</f>
        <v>59</v>
      </c>
      <c r="C77" t="s">
        <v>15</v>
      </c>
      <c r="D77" s="23" t="str">
        <f>HYPERLINK("https://www.biocoop.fr/magasin-biocoop_champollion/cumin-graines-40g-ck0924-000.html","96.25")</f>
        <v>96.25</v>
      </c>
      <c r="E77" s="20" t="s">
        <v>15</v>
      </c>
      <c r="F77" s="23" t="str">
        <f>HYPERLINK("https://www.biocoop.fr/magasin-biocoop_fontaine/cumin-graines-40g-ck0924-000.html","95.0")</f>
        <v>95.0</v>
      </c>
      <c r="G77" s="20" t="s">
        <v>15</v>
      </c>
      <c r="H77" s="23" t="str">
        <f>HYPERLINK("https://satoriz-comboire.bio/products/cocum?_pos=1&amp;_sid=d9ea7a39f&amp;_ss=r","87.5")</f>
        <v>87.5</v>
      </c>
      <c r="I77" t="s">
        <v>15</v>
      </c>
      <c r="J77" s="23" t="str">
        <f>HYPERLINK("https://www.greenweez.com/produit/graines-de-cumin-eco-recharge-40g/1COOK0177","87.0")</f>
        <v>87.0</v>
      </c>
      <c r="K77" s="21" t="s">
        <v>701</v>
      </c>
    </row>
    <row r="78" spans="1:12" x14ac:dyDescent="0.3">
      <c r="A78" t="s">
        <v>149</v>
      </c>
      <c r="B78" s="23" t="str">
        <f>HYPERLINK("https://lafourche.fr/products/la-fourche-cumin-moulu-bio-0-15kg","58.6")</f>
        <v>58.6</v>
      </c>
      <c r="C78" t="s">
        <v>15</v>
      </c>
      <c r="D78" s="23" t="str">
        <f>HYPERLINK("https://www.biocoop.fr/magasin-biocoop_champollion/cumin-moulu-80g-ck2038-000.html","87.38")</f>
        <v>87.38</v>
      </c>
      <c r="E78" s="20" t="s">
        <v>15</v>
      </c>
      <c r="F78" s="18" t="str">
        <f>HYPERLINK("https://www.biocoop.fr/magasin-biocoop_fontaine/graines-de-cumin-en-poudre-bio-ck2050-000.html","29.9")</f>
        <v>29.9</v>
      </c>
      <c r="G78" s="20" t="s">
        <v>15</v>
      </c>
      <c r="H78" s="23" t="str">
        <f>HYPERLINK("https://satoriz-comboire.bio/collections/epicerie-salee/products/cocumigrpr","80.0")</f>
        <v>80.0</v>
      </c>
      <c r="I78" t="s">
        <v>15</v>
      </c>
      <c r="J78" s="23" t="str">
        <f>HYPERLINK("https://www.greenweez.com/produit/cumin-poudre-bio-80g/1COOK0138","888888")</f>
        <v>888888</v>
      </c>
      <c r="K78" s="19" t="s">
        <v>99</v>
      </c>
      <c r="L78">
        <v>0.02</v>
      </c>
    </row>
    <row r="79" spans="1:12" x14ac:dyDescent="0.3">
      <c r="A79" t="s">
        <v>154</v>
      </c>
      <c r="B79" s="18" t="str">
        <f>HYPERLINK("https://lafourche.fr/products/biodyssee-noix-de-muscade-moulue-bio-0-05kg","64.8")</f>
        <v>64.8</v>
      </c>
      <c r="C79" t="s">
        <v>15</v>
      </c>
      <c r="D79" s="23" t="str">
        <f>HYPERLINK("https://www.biocoop.fr/magasin-biocoop_champollion/muscade-moulue-35g-ck0926-000.html","142.57")</f>
        <v>142.57</v>
      </c>
      <c r="E79" s="20" t="s">
        <v>15</v>
      </c>
      <c r="F79" s="23" t="str">
        <f>HYPERLINK("https://www.biocoop.fr/magasin-biocoop_fontaine/muscade-moulue-35g-ck0926-000.html","142.57")</f>
        <v>142.57</v>
      </c>
      <c r="G79" s="20" t="s">
        <v>15</v>
      </c>
      <c r="H79" s="23" t="str">
        <f>HYPERLINK("https://satoriz-comboire.bio/products/comusmou?_pos=1&amp;_sid=e5cb2307e&amp;_ss=r","120.0")</f>
        <v>120.0</v>
      </c>
      <c r="I79" t="s">
        <v>15</v>
      </c>
      <c r="J79" s="23" t="str">
        <f>HYPERLINK("https://www.greenweez.com/produit/noix-de-muscade-moulue-50g/2BIOD0044","888888")</f>
        <v>888888</v>
      </c>
      <c r="K79" s="19" t="s">
        <v>99</v>
      </c>
    </row>
    <row r="80" spans="1:12" x14ac:dyDescent="0.3">
      <c r="A80" t="s">
        <v>158</v>
      </c>
      <c r="B80" s="18" t="str">
        <f>HYPERLINK("https://lafourche.fr/products/cook-colombo-poudre-35g","57.14")</f>
        <v>57.14</v>
      </c>
      <c r="C80" t="s">
        <v>15</v>
      </c>
      <c r="D80" s="23" t="str">
        <f>HYPERLINK("https://www.biocoop.fr/magasin-biocoop_champollion/melange-epices-colombo-35g-ck0947-000.html","67.14")</f>
        <v>67.14</v>
      </c>
      <c r="E80" s="20" t="s">
        <v>15</v>
      </c>
      <c r="F80" s="23" t="str">
        <f>HYPERLINK("https://www.biocoop.fr/magasin-biocoop_fontaine/melange-epices-colombo-35g-ck0947-000.html","888888")</f>
        <v>888888</v>
      </c>
      <c r="G80" s="19" t="s">
        <v>99</v>
      </c>
      <c r="H80" s="23" t="str">
        <f>HYPERLINK("https://satoriz-comboire.bio/products/coloc?_pos=7&amp;_sid=0aacfc20c&amp;_ss=r","62.86")</f>
        <v>62.86</v>
      </c>
      <c r="I80" t="s">
        <v>15</v>
      </c>
      <c r="J80" s="23" t="str">
        <f>HYPERLINK("https://www.greenweez.com/produit/colombo-bio-50g/1LACA0042","888888")</f>
        <v>888888</v>
      </c>
      <c r="K80" s="19" t="s">
        <v>99</v>
      </c>
    </row>
    <row r="81" spans="1:11" x14ac:dyDescent="0.3">
      <c r="A81" t="s">
        <v>160</v>
      </c>
      <c r="B81" s="18" t="str">
        <f>HYPERLINK("https://lafourche.fr/products/cook-piment-doux-40g","65.5")</f>
        <v>65.5</v>
      </c>
      <c r="C81" t="s">
        <v>15</v>
      </c>
      <c r="D81" s="23" t="str">
        <f>HYPERLINK("https://www.biocoop.fr/magasin-biocoop_champollion/piment-doux-d-espagne-40g-ck0940-000.html","81.25")</f>
        <v>81.25</v>
      </c>
      <c r="E81" s="20" t="s">
        <v>15</v>
      </c>
      <c r="F81" s="23" t="str">
        <f>HYPERLINK("https://www.biocoop.fr/magasin-biocoop_fontaine/piment-doux-d-espagne-40g-ck0940-000.html","81.25")</f>
        <v>81.25</v>
      </c>
      <c r="G81" s="20" t="s">
        <v>15</v>
      </c>
      <c r="H81" s="23" t="str">
        <f>HYPERLINK("https://satoriz-comboire.bio/products/copimdou?_pos=2&amp;_sid=da3bb6d2d&amp;_ss=r","72.5")</f>
        <v>72.5</v>
      </c>
      <c r="I81" t="s">
        <v>15</v>
      </c>
      <c r="J81" s="23" t="str">
        <f>HYPERLINK("https://www.greenweez.com/produit/piment-doux-despagne-bio-40g/1COOK0038","81.0")</f>
        <v>81.0</v>
      </c>
      <c r="K81" t="s">
        <v>15</v>
      </c>
    </row>
    <row r="82" spans="1:11" x14ac:dyDescent="0.3">
      <c r="A82" t="s">
        <v>163</v>
      </c>
      <c r="B82" s="18" t="str">
        <f>HYPERLINK("https://lafourche.fr/products/cook-melange-pour-chili-35g","79.71")</f>
        <v>79.71</v>
      </c>
      <c r="C82" t="s">
        <v>15</v>
      </c>
      <c r="D82" s="23" t="str">
        <f>HYPERLINK("https://www.biocoop.fr/magasin-biocoop_champollion/melange-epices-du-chili-35g-ck2014-000.html","100.0")</f>
        <v>100.0</v>
      </c>
      <c r="E82" s="20" t="s">
        <v>15</v>
      </c>
      <c r="F82" s="23" t="str">
        <f>HYPERLINK("https://www.biocoop.fr/magasin-biocoop_fontaine/melange-epices-du-chili-35g-ck2014-000.html","888888")</f>
        <v>888888</v>
      </c>
      <c r="G82" s="19" t="s">
        <v>99</v>
      </c>
      <c r="H82" s="23" t="str">
        <f>HYPERLINK("https://satoriz-comboire.bio/products/cochilc?_pos=1&amp;_sid=6e691e7ce&amp;_ss=r","88.57")</f>
        <v>88.57</v>
      </c>
      <c r="I82" t="s">
        <v>15</v>
      </c>
      <c r="J82" s="23" t="str">
        <f>HYPERLINK("https://www.greenweez.com/produit/melange-bio-chili-35g/1COOK0075","101.71")</f>
        <v>101.71</v>
      </c>
      <c r="K82" s="21" t="s">
        <v>702</v>
      </c>
    </row>
    <row r="83" spans="1:11" x14ac:dyDescent="0.3">
      <c r="A83" t="s">
        <v>168</v>
      </c>
      <c r="B83" s="18" t="str">
        <f>HYPERLINK("https://lafourche.fr/products/garam-masala","84.57")</f>
        <v>84.57</v>
      </c>
      <c r="C83" t="s">
        <v>15</v>
      </c>
      <c r="D83" s="23" t="str">
        <f>HYPERLINK("https://www.biocoop.fr/magasin-biocoop_champollion/garam-masala-35g-ck2059-000.html","110.0")</f>
        <v>110.0</v>
      </c>
      <c r="E83" s="20" t="s">
        <v>15</v>
      </c>
      <c r="F83" s="23" t="str">
        <f>HYPERLINK("https://www.biocoop.fr/magasin-biocoop_fontaine/garam-masala-35g-ck2059-000.html","110.0")</f>
        <v>110.0</v>
      </c>
      <c r="G83" s="20" t="s">
        <v>15</v>
      </c>
      <c r="H83" s="23" t="str">
        <f>HYPERLINK("https://satoriz-comboire.bio/products/map2garp?_pos=1&amp;_sid=a1f143f38&amp;_ss=r","94.29")</f>
        <v>94.29</v>
      </c>
      <c r="I83" t="s">
        <v>15</v>
      </c>
      <c r="J83" s="23" t="str">
        <f>HYPERLINK("https://www.greenweez.com/produit/melange-garam-masala-bio-35g/1COOK0071","110.86")</f>
        <v>110.86</v>
      </c>
      <c r="K83" t="s">
        <v>15</v>
      </c>
    </row>
    <row r="84" spans="1:11" x14ac:dyDescent="0.3">
      <c r="A84" t="s">
        <v>170</v>
      </c>
      <c r="B84" s="18" t="str">
        <f>HYPERLINK("https://lafourche.fr/products/la-fourche-origan-bio-0-15kg","84.67")</f>
        <v>84.67</v>
      </c>
      <c r="C84" t="s">
        <v>15</v>
      </c>
      <c r="D84" s="23" t="str">
        <f>HYPERLINK("https://www.biocoop.fr/magasin-biocoop_champollion/feuille-coupees-d-origan-13g-ck1216-000.html","160.0")</f>
        <v>160.0</v>
      </c>
      <c r="E84" s="20" t="s">
        <v>15</v>
      </c>
      <c r="F84" s="23" t="str">
        <f>HYPERLINK("https://www.biocoop.fr/magasin-biocoop_fontaine/feuille-coupees-d-origan-13g-ck1216-000.html","170.0")</f>
        <v>170.0</v>
      </c>
      <c r="G84" s="20" t="s">
        <v>15</v>
      </c>
      <c r="H84" s="23" t="str">
        <f>HYPERLINK("https://satoriz-comboire.bio/collections/epicerie-salee/products/coorigfeer","119.23")</f>
        <v>119.23</v>
      </c>
      <c r="I84" t="s">
        <v>15</v>
      </c>
      <c r="J84" s="23" t="str">
        <f>HYPERLINK("https://www.greenweez.com/produit/origan-12g/2BIOD0050","97.5")</f>
        <v>97.5</v>
      </c>
      <c r="K84" s="20" t="s">
        <v>703</v>
      </c>
    </row>
    <row r="85" spans="1:11" x14ac:dyDescent="0.3">
      <c r="A85" t="s">
        <v>173</v>
      </c>
      <c r="B85" s="45" t="str">
        <f>HYPERLINK("https://lafourche.fr/products/cook-thym-feuilles-bio-45g","888888")</f>
        <v>888888</v>
      </c>
      <c r="C85" s="19" t="s">
        <v>99</v>
      </c>
      <c r="D85" s="23" t="str">
        <f>HYPERLINK("https://www.biocoop.fr/magasin-biocoop_champollion/feuilles-de-thym-15g-ck1239-000.html","180.0")</f>
        <v>180.0</v>
      </c>
      <c r="E85" s="20" t="s">
        <v>15</v>
      </c>
      <c r="F85" s="23" t="str">
        <f>HYPERLINK("https://www.biocoop.fr/magasin-biocoop_fontaine/feuilles-de-thym-15g-ck1239-000.html","183.33")</f>
        <v>183.33</v>
      </c>
      <c r="G85" s="20" t="s">
        <v>15</v>
      </c>
      <c r="H85" s="18" t="str">
        <f>HYPERLINK("https://satoriz-comboire.bio/products/cothym?_pos=1&amp;_psq=thym%20feuille&amp;_ss=e&amp;_v=1.0","68.0")</f>
        <v>68.0</v>
      </c>
      <c r="I85" t="s">
        <v>15</v>
      </c>
      <c r="J85" s="23" t="str">
        <f>HYPERLINK("https://www.greenweez.com/produit/thym-feuilles-bio-45-g/1COOK0085","111.11")</f>
        <v>111.11</v>
      </c>
      <c r="K85" t="s">
        <v>15</v>
      </c>
    </row>
    <row r="86" spans="1:11" x14ac:dyDescent="0.3">
      <c r="A86" t="s">
        <v>177</v>
      </c>
      <c r="B86" s="23" t="str">
        <f>HYPERLINK("https://lafourche.fr/products/cook-moutarde-jaune-graines-60g","34.67")</f>
        <v>34.67</v>
      </c>
      <c r="C86" t="s">
        <v>15</v>
      </c>
      <c r="D86" s="23" t="str">
        <f>HYPERLINK("https://www.biocoop.fr/magasin-biocoop_champollion/epicerie-salee/condiments-sauces-aides-culinaires/epices-poivres.html?product_list_order=price_ref_asc","19.7")</f>
        <v>19.7</v>
      </c>
      <c r="E86" s="20" t="s">
        <v>15</v>
      </c>
      <c r="F86" s="23" t="str">
        <f>HYPERLINK("https://www.biocoop.fr/magasin-biocoop_fontaine/moutarde-jaune-graines-60g-ck0928-000.html","42.5")</f>
        <v>42.5</v>
      </c>
      <c r="G86" s="21" t="s">
        <v>704</v>
      </c>
      <c r="H86" s="23" t="str">
        <f>HYPERLINK("https://satoriz-comboire.bio/products/comoutc?_pos=1&amp;_psq=moutarde%20jaune&amp;_ss=e&amp;_v=1.0","38.33")</f>
        <v>38.33</v>
      </c>
      <c r="I86" t="s">
        <v>15</v>
      </c>
      <c r="J86" s="23" t="str">
        <f>HYPERLINK("https://www.greenweez.com/produit/moutarde-jaune-graine-bio-55g/1LACA0026","888888")</f>
        <v>888888</v>
      </c>
      <c r="K86" s="19" t="s">
        <v>99</v>
      </c>
    </row>
    <row r="87" spans="1:11" x14ac:dyDescent="0.3">
      <c r="A87" t="s">
        <v>179</v>
      </c>
      <c r="B87" s="18" t="str">
        <f>HYPERLINK("https://lafourche.fr/products/cook-nigelle-graines-50g","59.8")</f>
        <v>59.8</v>
      </c>
      <c r="C87" t="s">
        <v>15</v>
      </c>
      <c r="D87" s="23" t="str">
        <f>HYPERLINK("https://www.biocoop.fr/magasin-biocoop_champollion/nigelle-graines-50g-ck2033-000.html","73.0")</f>
        <v>73.0</v>
      </c>
      <c r="E87" s="20" t="s">
        <v>15</v>
      </c>
      <c r="F87" s="23" t="str">
        <f>HYPERLINK("https://www.biocoop.fr/magasin-biocoop_fontaine/nigelle-graines-50g-ck2033-000.html","74.0")</f>
        <v>74.0</v>
      </c>
      <c r="G87" s="20" t="s">
        <v>15</v>
      </c>
      <c r="H87" s="23" t="str">
        <f>HYPERLINK("https://satoriz-comboire.bio/products/conig?_pos=2&amp;_sid=d9ea7a39f&amp;_ss=r","68.0")</f>
        <v>68.0</v>
      </c>
      <c r="I87" t="s">
        <v>15</v>
      </c>
      <c r="J87" s="23" t="str">
        <f>HYPERLINK("https://www.greenweez.com/produit/nigelle-graines-bio-50g/1COOK0120","75.8")</f>
        <v>75.8</v>
      </c>
      <c r="K87" t="s">
        <v>15</v>
      </c>
    </row>
    <row r="88" spans="1:11" x14ac:dyDescent="0.3">
      <c r="A88" t="s">
        <v>183</v>
      </c>
      <c r="B88" s="18" t="str">
        <f>HYPERLINK("https://lafourche.fr/products/cook-curry-madras-35g","71.43")</f>
        <v>71.43</v>
      </c>
      <c r="C88" t="s">
        <v>15</v>
      </c>
      <c r="D88" s="23" t="str">
        <f>HYPERLINK("https://www.biocoop.fr/magasin-biocoop_champollion/curry-madras-35g-ck2053-000.html","90.0")</f>
        <v>90.0</v>
      </c>
      <c r="E88" s="20" t="s">
        <v>15</v>
      </c>
      <c r="F88" s="23" t="str">
        <f>HYPERLINK("https://www.biocoop.fr/magasin-biocoop_fontaine/curry-madras-35g-ck2053-000.html","888888")</f>
        <v>888888</v>
      </c>
      <c r="G88" s="19" t="s">
        <v>99</v>
      </c>
      <c r="H88" s="23" t="str">
        <f>HYPERLINK("https://satoriz-comboire.bio/products/cocumac?_pos=2&amp;_sid=f282e7faa&amp;_ss=r","78.57")</f>
        <v>78.57</v>
      </c>
      <c r="I88" t="s">
        <v>15</v>
      </c>
      <c r="J88" s="23" t="str">
        <f>HYPERLINK("https://www.greenweez.com/produit/curry-de-madras-poudre-bio-35g/1COOK0128","90.0")</f>
        <v>90.0</v>
      </c>
      <c r="K88" s="21" t="s">
        <v>705</v>
      </c>
    </row>
    <row r="89" spans="1:11" x14ac:dyDescent="0.3">
      <c r="A89" t="s">
        <v>188</v>
      </c>
      <c r="B89" s="18" t="str">
        <f>HYPERLINK("https://lafourche.fr/products/cook-melange-4-epices-bio-35g","87.14")</f>
        <v>87.14</v>
      </c>
      <c r="C89" t="s">
        <v>15</v>
      </c>
      <c r="D89" s="23" t="str">
        <f>HYPERLINK("https://www.biocoop.fr/magasin-biocoop_champollion/melange-4-epices-35g-ck1237-000.html","100.0")</f>
        <v>100.0</v>
      </c>
      <c r="E89" s="20" t="s">
        <v>15</v>
      </c>
      <c r="F89" s="23" t="str">
        <f>HYPERLINK("https://www.biocoop.fr/magasin-biocoop_fontaine/melange-4-epices-35g-ck1237-000.html","100.0")</f>
        <v>100.0</v>
      </c>
      <c r="G89" s="20" t="s">
        <v>15</v>
      </c>
      <c r="H89" s="45" t="str">
        <f>HYPERLINK("https://satoriz-comboire.bio/products/co4epic","88.57")</f>
        <v>88.57</v>
      </c>
      <c r="I89" s="19" t="s">
        <v>99</v>
      </c>
      <c r="J89" s="23" t="str">
        <f>HYPERLINK("https://www.greenweez.com/produit/quatre-epices-bio-50g/1LACA0043","888888")</f>
        <v>888888</v>
      </c>
      <c r="K89" s="19" t="s">
        <v>99</v>
      </c>
    </row>
    <row r="90" spans="1:11" x14ac:dyDescent="0.3">
      <c r="A90" t="s">
        <v>189</v>
      </c>
      <c r="B90" s="18" t="str">
        <f>HYPERLINK("https://lafourche.fr/products/cook-piment-cayenne-poudre-40g","111.25")</f>
        <v>111.25</v>
      </c>
      <c r="C90" t="s">
        <v>15</v>
      </c>
      <c r="D90" s="23" t="str">
        <f>HYPERLINK("https://www.biocoop.fr/magasin-biocoop_champollion/piment-de-cayenne-poudre-40g-ck0910-000.html","128.75")</f>
        <v>128.75</v>
      </c>
      <c r="E90" s="20" t="s">
        <v>15</v>
      </c>
      <c r="F90" s="23" t="str">
        <f>HYPERLINK("https://www.biocoop.fr/magasin-biocoop_fontaine/piment-de-cayenne-poudre-40g-ck0910-000.html","130.0")</f>
        <v>130.0</v>
      </c>
      <c r="G90" s="20" t="s">
        <v>15</v>
      </c>
      <c r="H90" s="23" t="str">
        <f>HYPERLINK("https://satoriz-comboire.bio/products/copimpc?_pos=1&amp;_psq=cook%20piment&amp;_ss=e&amp;_v=1.0","116.25")</f>
        <v>116.25</v>
      </c>
      <c r="I90" t="s">
        <v>15</v>
      </c>
      <c r="J90" s="23" t="str">
        <f>HYPERLINK("https://www.greenweez.com/produit/piment-de-cayenne-poudre-bio-40g/1COOK0040","888888")</f>
        <v>888888</v>
      </c>
      <c r="K90" s="19" t="s">
        <v>99</v>
      </c>
    </row>
    <row r="91" spans="1:11" x14ac:dyDescent="0.3">
      <c r="A91" t="s">
        <v>193</v>
      </c>
      <c r="B91" s="23" t="str">
        <f>HYPERLINK("https://lafourche.fr/products/cook-cardamome-moulue-35g","157.14")</f>
        <v>157.14</v>
      </c>
      <c r="C91" t="s">
        <v>15</v>
      </c>
      <c r="D91" s="23" t="str">
        <f>HYPERLINK("https://www.biocoop.fr/magasin-biocoop_champollion/cardamome-moulue-35g-ck0900-000.html","161.43")</f>
        <v>161.43</v>
      </c>
      <c r="E91" s="20" t="s">
        <v>15</v>
      </c>
      <c r="F91" s="23" t="str">
        <f>HYPERLINK("https://www.biocoop.fr/magasin-biocoop_fontaine/cardamome-moulue-35g-ck0900-000.html","160.0")</f>
        <v>160.0</v>
      </c>
      <c r="G91" s="20" t="s">
        <v>15</v>
      </c>
      <c r="H91" s="18" t="str">
        <f>HYPERLINK("https://satoriz-comboire.bio/products/cocard?_pos=4&amp;_sid=d84ba935d&amp;_ss=r","154.29")</f>
        <v>154.29</v>
      </c>
      <c r="I91" t="s">
        <v>15</v>
      </c>
      <c r="J91" s="23" t="str">
        <f>HYPERLINK("https://www.greenweez.com/produit/cardamome-poudre-bio-35g/1COOK0010","169.71")</f>
        <v>169.71</v>
      </c>
      <c r="K91" t="s">
        <v>15</v>
      </c>
    </row>
    <row r="92" spans="1:11" x14ac:dyDescent="0.3">
      <c r="A92" t="s">
        <v>196</v>
      </c>
      <c r="B92" s="18" t="str">
        <f>HYPERLINK("https://lafourche.fr/products/cook-safran-poudre-1g","10380")</f>
        <v>10380</v>
      </c>
      <c r="C92" t="s">
        <v>15</v>
      </c>
      <c r="D92" s="23" t="str">
        <f>HYPERLINK("https://www.biocoop.fr/magasin-biocoop_champollion/safran-stigmates-entiers-1g-ck0945-000.html","11350.0")</f>
        <v>11350.0</v>
      </c>
      <c r="E92" s="20" t="s">
        <v>15</v>
      </c>
      <c r="F92" s="23" t="str">
        <f>HYPERLINK("https://www.biocoop.fr/magasin-biocoop_fontaine/safran-stigmates-entiers-1g-ck0945-000.html","11850.0")</f>
        <v>11850.0</v>
      </c>
      <c r="G92" s="19" t="s">
        <v>15</v>
      </c>
      <c r="H92" s="45" t="str">
        <f>HYPERLINK("https://satoriz-comboire.bio/products/cosaf","10600")</f>
        <v>10600</v>
      </c>
      <c r="I92" s="19" t="s">
        <v>99</v>
      </c>
      <c r="J92" s="23" t="str">
        <f>HYPERLINK("https://www.greenweez.com/produit/safran-stigmates-bio-1g/1COOK0052","11980.0")</f>
        <v>11980.0</v>
      </c>
      <c r="K92" t="s">
        <v>15</v>
      </c>
    </row>
    <row r="93" spans="1:11" x14ac:dyDescent="0.3">
      <c r="A93" t="s">
        <v>201</v>
      </c>
      <c r="B93" s="23" t="str">
        <f>HYPERLINK("https://lafourche.fr/products/cook-ail-des-ours-coupe-16g","121.88")</f>
        <v>121.88</v>
      </c>
      <c r="C93" t="s">
        <v>15</v>
      </c>
      <c r="D93" s="23" t="str">
        <f>HYPERLINK("https://www.biocoop.fr/magasin-biocoop_champollion/ail-des-ours-feuille-coupes-16g-ck2032-000.html","168.75")</f>
        <v>168.75</v>
      </c>
      <c r="E93" s="20" t="s">
        <v>15</v>
      </c>
      <c r="F93" s="18" t="str">
        <f>HYPERLINK("https://www.biocoop.fr/magasin-biocoop_fontaine/ail-des-ours-en-poudre-ec2115-000.html","98.0")</f>
        <v>98.0</v>
      </c>
      <c r="G93" s="20" t="s">
        <v>15</v>
      </c>
      <c r="H93" s="23" t="str">
        <f>HYPERLINK("https://satoriz-comboire.bio/products/coailo?_pos=2&amp;_psq=ail%20des%20ours&amp;_ss=e&amp;_v=1.0","143.75")</f>
        <v>143.75</v>
      </c>
      <c r="I93" t="s">
        <v>15</v>
      </c>
      <c r="J93" s="23" t="str">
        <f>HYPERLINK("https://www.greenweez.com/produit/ail-des-ours-feuille-coupes-bio-16g/1COOK0110","169.38")</f>
        <v>169.38</v>
      </c>
      <c r="K93" s="21" t="s">
        <v>706</v>
      </c>
    </row>
    <row r="94" spans="1:11" x14ac:dyDescent="0.3">
      <c r="A94" t="s">
        <v>205</v>
      </c>
      <c r="B94" s="23" t="str">
        <f>HYPERLINK("https://lafourche.fr/products/philia-levure-maltee-en-flocons-bio-0-15kg","35.67")</f>
        <v>35.67</v>
      </c>
      <c r="D94" s="45" t="str">
        <f>HYPERLINK("https://www.biocoop.fr/magasin-biocoop_champollion/flocons-de-levure-maltee-biologique-bio-ag2000-000.html","888888")</f>
        <v>888888</v>
      </c>
      <c r="F94" s="18" t="str">
        <f>HYPERLINK("https://www.biocoop.fr/magasin-biocoop_fontaine/flocons-de-levure-maltee-biologique-bio-ag2000-000.html","30.0")</f>
        <v>30.0</v>
      </c>
      <c r="H94" s="18" t="str">
        <f>HYPERLINK("https://satoriz-comboire.bio/products/re42572?_pos=1&amp;_sid=c597614d8&amp;_ss=r","30.0")</f>
        <v>30.0</v>
      </c>
      <c r="J94" s="23" t="str">
        <f>HYPERLINK("https://www.greenweez.com/produit/flocons-de-levure-maltee-150g/1RAPU0059","45.6")</f>
        <v>45.6</v>
      </c>
    </row>
    <row r="95" spans="1:11" x14ac:dyDescent="0.3">
      <c r="A95" t="s">
        <v>206</v>
      </c>
      <c r="B95" s="23" t="str">
        <f>HYPERLINK("https://lafourche.fr/products/celiane-fecule-de-pomme-de-terre-sans-gluten-500g","888888")</f>
        <v>888888</v>
      </c>
      <c r="C95" s="19" t="s">
        <v>99</v>
      </c>
      <c r="D95" s="23" t="str">
        <f>HYPERLINK("https://www.biocoop.fr/magasin-biocoop_champollion/fecule-de-pomme-de-terre-500g-al3026-000.html","8.84")</f>
        <v>8.84</v>
      </c>
      <c r="E95" s="20" t="s">
        <v>15</v>
      </c>
      <c r="F95" s="23" t="str">
        <f>HYPERLINK("https://www.biocoop.fr/magasin-biocoop_fontaine/fecule-de-pomme-de-terre-500g-al3026-000.html","8.8")</f>
        <v>8.8</v>
      </c>
      <c r="G95" s="20" t="s">
        <v>15</v>
      </c>
      <c r="H95" s="23" t="str">
        <f>HYPERLINK("https://satoriz-comboire.bio/products/ma5005?_pos=1&amp;_sid=7918f591f&amp;_ss=r","6.3")</f>
        <v>6.3</v>
      </c>
      <c r="I95" t="s">
        <v>15</v>
      </c>
      <c r="J95" s="18" t="str">
        <f>HYPERLINK("https://www.greenweez.com/produit/fecule-de-pomme-de-terre-500g-1/1MKAL0230","6.14")</f>
        <v>6.14</v>
      </c>
      <c r="K95" t="s">
        <v>15</v>
      </c>
    </row>
    <row r="96" spans="1:11" x14ac:dyDescent="0.3">
      <c r="A96" t="s">
        <v>207</v>
      </c>
      <c r="B96" s="23" t="str">
        <f>HYPERLINK("https://lafourche.fr/products/celnat-tapioca-250g","9.68")</f>
        <v>9.68</v>
      </c>
      <c r="C96" t="s">
        <v>15</v>
      </c>
      <c r="D96">
        <v>888888</v>
      </c>
      <c r="F96">
        <v>888888</v>
      </c>
      <c r="H96" s="18" t="str">
        <f>HYPERLINK("https://satoriz-comboire.bio/products/eu7671?_pos=3&amp;_sid=7918f591f&amp;_ss=r","9.4")</f>
        <v>9.4</v>
      </c>
      <c r="I96" t="s">
        <v>15</v>
      </c>
      <c r="J96" s="23" t="str">
        <f>HYPERLINK("https://www.greenweez.com/produit/fecule-de-tapioca-500g/1MAVI0037","9.8")</f>
        <v>9.8</v>
      </c>
      <c r="K96" t="s">
        <v>15</v>
      </c>
    </row>
    <row r="97" spans="1:12" x14ac:dyDescent="0.3">
      <c r="A97" t="s">
        <v>209</v>
      </c>
      <c r="B97" s="18" t="str">
        <f>HYPERLINK("https://lafourche.fr/products/joannusmolen-maizena-250g","11.96")</f>
        <v>11.96</v>
      </c>
      <c r="C97" t="s">
        <v>15</v>
      </c>
      <c r="D97" s="23" t="str">
        <f>HYPERLINK("https://www.biocoop.fr/magasin-biocoop_champollion/amidon-de-mais-250g-jm1111-000.html","888888")</f>
        <v>888888</v>
      </c>
      <c r="E97" s="19" t="s">
        <v>99</v>
      </c>
      <c r="F97" s="23" t="str">
        <f>HYPERLINK("https://www.biocoop.fr/magasin-biocoop_fontaine/amidon-de-mais-250g-jm1111-000.html","14.8")</f>
        <v>14.8</v>
      </c>
      <c r="G97" s="20" t="s">
        <v>15</v>
      </c>
      <c r="H97" s="23" t="str">
        <f>HYPERLINK("https://satoriz-comboire.bio/products/eu2350?_pos=2&amp;_sid=7918f591f&amp;_ss=r","13.4")</f>
        <v>13.4</v>
      </c>
      <c r="I97" t="s">
        <v>15</v>
      </c>
      <c r="J97" s="23" t="str">
        <f>HYPERLINK("https://www.greenweez.com/produit/amidon-de-mais-sans-gluten-bio-500g/2WEEZ0207","888888")</f>
        <v>888888</v>
      </c>
      <c r="K97" s="19" t="s">
        <v>99</v>
      </c>
    </row>
    <row r="98" spans="1:12" x14ac:dyDescent="0.3">
      <c r="A98" t="s">
        <v>213</v>
      </c>
      <c r="B98" s="18" t="str">
        <f>HYPERLINK("https://lafourche.fr/products/la-fourche-tomates-sechees-a-lhuile-bio-0-28kg","12.11")</f>
        <v>12.11</v>
      </c>
      <c r="C98" t="s">
        <v>15</v>
      </c>
      <c r="D98" s="23" t="str">
        <f>HYPERLINK("https://www.biocoop.fr/magasin-biocoop_champollion/tomates-sechees-a-l-huile-190g-oi5058-000.html","888888")</f>
        <v>888888</v>
      </c>
      <c r="E98" s="19" t="s">
        <v>99</v>
      </c>
      <c r="F98" s="23" t="str">
        <f>HYPERLINK("https://www.biocoop.fr/magasin-biocoop_fontaine/tomates-sechees-a-l-huile-190g-oi5058-000.html","21.0")</f>
        <v>21.0</v>
      </c>
      <c r="G98" s="20" t="s">
        <v>15</v>
      </c>
      <c r="H98" s="23" t="str">
        <f>HYPERLINK("https://satoriz-comboire.bio/products/igpose06?_pos=3&amp;_sid=2863f3a20&amp;_ss=r","15.53")</f>
        <v>15.53</v>
      </c>
      <c r="I98" t="s">
        <v>15</v>
      </c>
      <c r="J98" s="23" t="str">
        <f>HYPERLINK("https://www.greenweez.com/produit/tomates-sechees-a-lhuile-190g-3/1BIOO0004","25.79")</f>
        <v>25.79</v>
      </c>
      <c r="K98" t="s">
        <v>15</v>
      </c>
    </row>
    <row r="99" spans="1:12" x14ac:dyDescent="0.3">
      <c r="A99" t="s">
        <v>214</v>
      </c>
      <c r="B99" s="23" t="str">
        <f>HYPERLINK("https://lafourche.fr/products/la-fourche-poivrons-grilles-a-lhuile-bio-0-19kg","15.53")</f>
        <v>15.53</v>
      </c>
      <c r="C99" t="s">
        <v>15</v>
      </c>
      <c r="D99" s="23" t="str">
        <f>HYPERLINK("https://www.biocoop.fr/magasin-biocoop_champollion/poivrons-grilles-a-l-huile-190g-oi5057-000.html","888888")</f>
        <v>888888</v>
      </c>
      <c r="E99" s="19" t="s">
        <v>99</v>
      </c>
      <c r="F99" s="23" t="str">
        <f>HYPERLINK("https://www.biocoop.fr/magasin-biocoop_fontaine/poivrons-grilles-a-l-huile-190g-oi5057-000.html","17.89")</f>
        <v>17.89</v>
      </c>
      <c r="G99" s="20" t="s">
        <v>15</v>
      </c>
      <c r="H99" s="23" t="str">
        <f>HYPERLINK("https://satoriz-comboire.bio/products/ig23?_pos=1&amp;_sid=bd3227372&amp;_ss=r","14.21")</f>
        <v>14.21</v>
      </c>
      <c r="I99" t="s">
        <v>15</v>
      </c>
      <c r="J99" s="18" t="str">
        <f>HYPERLINK("https://www.greenweez.com/produit/poivrons-rouges-grilles-en-saumure-310g/1RAPU0184","9.65")</f>
        <v>9.65</v>
      </c>
      <c r="K99" t="s">
        <v>15</v>
      </c>
    </row>
    <row r="100" spans="1:12" x14ac:dyDescent="0.3">
      <c r="A100" t="s">
        <v>215</v>
      </c>
      <c r="B100" s="18" t="str">
        <f>HYPERLINK("https://lafourche.fr/products/la-fourche-artichauts-grilles-a-lhuile-bio-0-19kg","15.74")</f>
        <v>15.74</v>
      </c>
      <c r="C100" t="s">
        <v>15</v>
      </c>
      <c r="D100" s="23" t="str">
        <f>HYPERLINK("https://www.biocoop.fr/magasin-biocoop_champollion/artichaut-grille-a-l-huile-190g-oi5055-000.html","888888")</f>
        <v>888888</v>
      </c>
      <c r="E100" s="19" t="s">
        <v>99</v>
      </c>
      <c r="F100" s="23" t="str">
        <f>HYPERLINK("https://www.biocoop.fr/magasin-biocoop_fontaine/artichaut-grille-a-l-huile-190g-oi5055-000.html","23.42")</f>
        <v>23.42</v>
      </c>
      <c r="G100" s="20" t="s">
        <v>15</v>
      </c>
      <c r="H100" s="23" t="str">
        <f>HYPERLINK("https://satoriz-comboire.bio/products/iggrca03?_pos=1&amp;_sid=a6f336c8a&amp;_ss=r","18.95")</f>
        <v>18.95</v>
      </c>
      <c r="I100" t="s">
        <v>15</v>
      </c>
      <c r="J100" s="23" t="str">
        <f>HYPERLINK("https://www.greenweez.com/produit/artichauts-grilles-a-lhuile-190g/1BIOO0006","27.84")</f>
        <v>27.84</v>
      </c>
      <c r="K100" t="s">
        <v>15</v>
      </c>
    </row>
    <row r="101" spans="1:12" x14ac:dyDescent="0.3">
      <c r="A101" t="s">
        <v>216</v>
      </c>
      <c r="B101" s="23" t="str">
        <f>HYPERLINK("https://lafourche.fr/products/philia-olives-vertes-entiere-bio-0-35kg","12.47")</f>
        <v>12.47</v>
      </c>
      <c r="C101" t="s">
        <v>15</v>
      </c>
      <c r="D101" s="23" t="str">
        <f>HYPERLINK("https://www.biocoop.fr/magasin-biocoop_champollion/olive-verte-nature-500g-net-egoutte-pm0931-000.html","888888")</f>
        <v>888888</v>
      </c>
      <c r="E101" s="19" t="s">
        <v>99</v>
      </c>
      <c r="F101" s="23" t="str">
        <f>HYPERLINK("https://www.biocoop.fr/magasin-biocoop_fontaine/olive-verte-nature-500g-net-egoutte-pm0931-000.html","11.14")</f>
        <v>11.14</v>
      </c>
      <c r="G101" s="20" t="s">
        <v>707</v>
      </c>
      <c r="H101" s="23" t="str">
        <f>HYPERLINK("https://satoriz-comboire.bio/products/re39209?_pos=8&amp;_sid=06b61fa87&amp;_ss=r","14.21")</f>
        <v>14.21</v>
      </c>
      <c r="I101" t="s">
        <v>15</v>
      </c>
      <c r="J101" s="18" t="str">
        <f>HYPERLINK("https://www.greenweez.com/produit/olives-vertes-550g/1BIOO0015","9.91")</f>
        <v>9.91</v>
      </c>
      <c r="K101" s="20" t="s">
        <v>638</v>
      </c>
    </row>
    <row r="102" spans="1:12" x14ac:dyDescent="0.3">
      <c r="A102" t="s">
        <v>217</v>
      </c>
      <c r="B102" s="23" t="str">
        <f>HYPERLINK("https://lafourche.fr/products/philia-olives-noires-kalamata-entieres-bio-0-35kg","14")</f>
        <v>14</v>
      </c>
      <c r="C102" t="s">
        <v>15</v>
      </c>
      <c r="D102" s="23" t="str">
        <f>HYPERLINK("https://www.biocoop.fr/magasin-biocoop_champollion/olive-noire-nature-410g-net-egoutte-oi5062-000.html","11.95")</f>
        <v>11.95</v>
      </c>
      <c r="E102" s="20" t="s">
        <v>15</v>
      </c>
      <c r="F102" s="23" t="str">
        <f>HYPERLINK("https://www.biocoop.fr/magasin-biocoop_fontaine/olive-noire-nature-410g-net-egoutte-oi5062-000.html","12.07")</f>
        <v>12.07</v>
      </c>
      <c r="G102" s="21" t="s">
        <v>708</v>
      </c>
      <c r="H102" s="18" t="str">
        <f>HYPERLINK("https://satoriz-comboire.bio/products/re44555?_pos=1&amp;_sid=add1402fc&amp;_ss=r","10.7")</f>
        <v>10.7</v>
      </c>
      <c r="I102" t="s">
        <v>15</v>
      </c>
      <c r="J102" s="23" t="str">
        <f>HYPERLINK("https://www.greenweez.com/produit/olives-noires-au-naturel-500g/2EMIL0096","15.8")</f>
        <v>15.8</v>
      </c>
      <c r="K102" s="21" t="s">
        <v>709</v>
      </c>
    </row>
    <row r="103" spans="1:12" x14ac:dyDescent="0.3">
      <c r="A103" t="s">
        <v>218</v>
      </c>
      <c r="B103" s="23" t="str">
        <f>HYPERLINK("https://lafourche.fr/products/nefeli-olives-vertes-denoyautees-bio-0-98kg","15.37")</f>
        <v>15.37</v>
      </c>
      <c r="C103" t="s">
        <v>15</v>
      </c>
      <c r="D103" s="23" t="str">
        <f>HYPERLINK("https://www.biocoop.fr/magasin-biocoop_champollion/olive-noire-denoyautee-370g-net-egoutte-oi5060-000.html","888888")</f>
        <v>888888</v>
      </c>
      <c r="E103" s="19" t="s">
        <v>99</v>
      </c>
      <c r="F103" s="23" t="str">
        <f>HYPERLINK("https://www.biocoop.fr/magasin-biocoop_fontaine/olive-noire-denoyautee-370g-net-egoutte-oi5060-000.html","16.49")</f>
        <v>16.49</v>
      </c>
      <c r="G103" s="21" t="s">
        <v>192</v>
      </c>
      <c r="H103" s="23" t="str">
        <f>HYPERLINK("https://satoriz-comboire.bio/products/igovsd01?_pos=1&amp;_sid=06b61fa87&amp;_ss=r","16.67")</f>
        <v>16.67</v>
      </c>
      <c r="I103" t="s">
        <v>15</v>
      </c>
      <c r="J103" s="18" t="str">
        <f>HYPERLINK("https://www.greenweez.com/produit/olives-vertes-denoyautees-au-naturel-bio-de-grece-160g/2WEEZ0541","8.6")</f>
        <v>8.6</v>
      </c>
      <c r="K103" s="21" t="s">
        <v>174</v>
      </c>
    </row>
    <row r="104" spans="1:12" x14ac:dyDescent="0.3">
      <c r="A104" t="s">
        <v>219</v>
      </c>
      <c r="B104" s="23" t="str">
        <f>HYPERLINK("https://lafourche.fr/products/nefeli-olives-kalamata-denoyautes-bio-0-97kg","17.22")</f>
        <v>17.22</v>
      </c>
      <c r="C104" t="s">
        <v>15</v>
      </c>
      <c r="D104" s="23" t="str">
        <f>HYPERLINK("https://www.biocoop.fr/magasin-biocoop_champollion/olive-verte-denoyautee-370g-net-egoutte-oi5066-000.html","888888")</f>
        <v>888888</v>
      </c>
      <c r="E104" s="19" t="s">
        <v>99</v>
      </c>
      <c r="F104" s="23" t="str">
        <f>HYPERLINK("https://www.biocoop.fr/magasin-biocoop_fontaine/olive-verte-denoyautee-370g-net-egoutte-oi5066-000.html","18.11")</f>
        <v>18.11</v>
      </c>
      <c r="G104" s="20" t="s">
        <v>15</v>
      </c>
      <c r="H104" s="23" t="str">
        <f>HYPERLINK("https://satoriz-comboire.bio/products/igondevo02?_pos=14&amp;_sid=add1402fc&amp;_ss=r","15.0")</f>
        <v>15.0</v>
      </c>
      <c r="I104" t="s">
        <v>15</v>
      </c>
      <c r="J104" s="18" t="str">
        <f>HYPERLINK("https://www.greenweez.com/produit/olives-noires-kalamata-denoyautees-bio-de-grece-160g/2WEEZ0540","8.93")</f>
        <v>8.93</v>
      </c>
      <c r="K104" s="21" t="s">
        <v>710</v>
      </c>
    </row>
    <row r="105" spans="1:12" x14ac:dyDescent="0.3">
      <c r="A105" t="s">
        <v>220</v>
      </c>
      <c r="B105" s="23" t="str">
        <f>HYPERLINK("https://lafourche.fr/products/la-fourche-cornichons-aigre-doux-bio-0-36kg","11.08")</f>
        <v>11.08</v>
      </c>
      <c r="C105" t="s">
        <v>15</v>
      </c>
      <c r="D105" s="23" t="str">
        <f>HYPERLINK("https://www.biocoop.fr/magasin-biocoop_champollion/cornichons-mi-fins-180g-net-egoutte-bs4006-000.html","18.61")</f>
        <v>18.61</v>
      </c>
      <c r="E105" s="20" t="s">
        <v>15</v>
      </c>
      <c r="F105" s="23" t="str">
        <f>HYPERLINK("https://www.biocoop.fr/magasin-biocoop_fontaine/cornichon-aigre-doux-aneth-360g-net-egoutte-ch0048-000.html","18.19")</f>
        <v>18.19</v>
      </c>
      <c r="G105" s="20" t="s">
        <v>15</v>
      </c>
      <c r="H105" s="23" t="str">
        <f>HYPERLINK("https://satoriz-comboire.bio/products/re22746?_pos=5&amp;_sid=847aca358&amp;_ss=r","13.75")</f>
        <v>13.75</v>
      </c>
      <c r="I105" t="s">
        <v>15</v>
      </c>
      <c r="J105" s="18" t="str">
        <f>HYPERLINK("https://www.greenweez.com/produit/cornichons-aigres-doux-bio-entiers-72cl/2WEEZ0494","6.1")</f>
        <v>6.1</v>
      </c>
      <c r="K105" t="s">
        <v>15</v>
      </c>
    </row>
    <row r="106" spans="1:12" x14ac:dyDescent="0.3">
      <c r="A106" t="s">
        <v>223</v>
      </c>
      <c r="B106" s="23" t="str">
        <f>HYPERLINK("https://lafourche.fr/products/philia-capres-bio-au-vinaigre-90g","24.44")</f>
        <v>24.44</v>
      </c>
      <c r="C106" t="s">
        <v>15</v>
      </c>
      <c r="D106" s="23" t="str">
        <f>HYPERLINK("https://www.biocoop.fr/magasin-biocoop_champollion/capres-huile-d-olive-oi5030-000.html","29.44")</f>
        <v>29.44</v>
      </c>
      <c r="E106" s="20" t="s">
        <v>15</v>
      </c>
      <c r="F106" s="23" t="str">
        <f>HYPERLINK("https://www.biocoop.fr/magasin-biocoop_fontaine/capres-au-vinaigre-90g-net-egoutte-oi5002-000.html","32.22")</f>
        <v>32.22</v>
      </c>
      <c r="G106" s="20" t="s">
        <v>15</v>
      </c>
      <c r="H106" s="23" t="str">
        <f>HYPERLINK("https://satoriz-comboire.bio/products/igcaac06?_pos=1&amp;_sid=f306db1db&amp;_ss=r","21.67")</f>
        <v>21.67</v>
      </c>
      <c r="I106" t="s">
        <v>15</v>
      </c>
      <c r="J106" s="18" t="str">
        <f>HYPERLINK("https://www.greenweez.com/produit/capres-surfines-a-lestragon-22-8cl/1BRAV0002","15.53")</f>
        <v>15.53</v>
      </c>
      <c r="K106" t="s">
        <v>15</v>
      </c>
    </row>
    <row r="107" spans="1:12" x14ac:dyDescent="0.3">
      <c r="A107" t="s">
        <v>225</v>
      </c>
      <c r="B107" s="18" t="str">
        <f>HYPERLINK("https://lafourche.fr/products/biodyssee-poivre-noir-moulu-bio-0-5kg","25.82")</f>
        <v>25.82</v>
      </c>
      <c r="C107" t="s">
        <v>15</v>
      </c>
      <c r="D107" s="23" t="str">
        <f>HYPERLINK("https://www.biocoop.fr/magasin-biocoop_champollion/poivre-noir-moulu-45g-ck1425-000.html","87.78")</f>
        <v>87.78</v>
      </c>
      <c r="E107" s="20" t="s">
        <v>15</v>
      </c>
      <c r="F107" s="23" t="str">
        <f>HYPERLINK("https://www.biocoop.fr/magasin-biocoop_fontaine/poivre-noir-poudre-bio-ck2103-000.html","36.35")</f>
        <v>36.35</v>
      </c>
      <c r="G107" s="20" t="s">
        <v>15</v>
      </c>
      <c r="H107" s="45" t="str">
        <f>HYPERLINK("https://satoriz-comboire.bio/products/coponpse","45")</f>
        <v>45</v>
      </c>
      <c r="I107" s="19" t="s">
        <v>99</v>
      </c>
      <c r="J107" s="23" t="str">
        <f>HYPERLINK("https://www.greenweez.com/produit/poivre-noir-moulu-220g/1COOK0090","49.73")</f>
        <v>49.73</v>
      </c>
      <c r="K107" s="21" t="s">
        <v>711</v>
      </c>
      <c r="L107">
        <v>0.02</v>
      </c>
    </row>
    <row r="108" spans="1:12" x14ac:dyDescent="0.3">
      <c r="A108" t="s">
        <v>230</v>
      </c>
      <c r="B108" s="18" t="str">
        <f>HYPERLINK("https://lafourche.fr/products/la-fourche-poivre-noir-en-grains-bio-0-5kg","27.98")</f>
        <v>27.98</v>
      </c>
      <c r="C108" t="s">
        <v>15</v>
      </c>
      <c r="D108" s="23" t="str">
        <f>HYPERLINK("https://www.biocoop.fr/magasin-biocoop_champollion/poivre-noir-en-grains-200g-ck1402-000.html","61.25")</f>
        <v>61.25</v>
      </c>
      <c r="E108" s="20" t="s">
        <v>15</v>
      </c>
      <c r="F108" s="23" t="str">
        <f>HYPERLINK("https://www.biocoop.fr/magasin-biocoop_fontaine/poivre-noir-en-grains-200g-ck1402-000.html","56.25")</f>
        <v>56.25</v>
      </c>
      <c r="G108" s="20" t="s">
        <v>15</v>
      </c>
      <c r="H108" s="23" t="str">
        <f>HYPERLINK("https://satoriz-comboire.bio/products/copovngrec?_pos=4&amp;_sid=62a891f1e&amp;_ss=r","33.9")</f>
        <v>33.9</v>
      </c>
      <c r="I108" t="s">
        <v>15</v>
      </c>
      <c r="J108" s="23" t="str">
        <f>HYPERLINK("https://www.greenweez.com/produit/poivre-noir-entier-500g/2BIOD0103","31.0")</f>
        <v>31.0</v>
      </c>
      <c r="K108" t="s">
        <v>15</v>
      </c>
    </row>
    <row r="109" spans="1:12" x14ac:dyDescent="0.3">
      <c r="A109" t="s">
        <v>233</v>
      </c>
      <c r="B109" s="23" t="str">
        <f>HYPERLINK("https://lafourche.fr/products/cook-poivre-blanc-en-grains-bio-0-05kg","100.4")</f>
        <v>100.4</v>
      </c>
      <c r="C109" t="s">
        <v>15</v>
      </c>
      <c r="D109" s="23" t="str">
        <f>HYPERLINK("https://www.biocoop.fr/magasin-biocoop_champollion/poivre-blanc-moulin-50g-sm0364-000.html","102.4")</f>
        <v>102.4</v>
      </c>
      <c r="E109" s="21" t="s">
        <v>245</v>
      </c>
      <c r="F109" s="23" t="str">
        <f>HYPERLINK("https://www.biocoop.fr/magasin-biocoop_fontaine/poivre-blanc-moulin-50g-sm0364-000.html","888888")</f>
        <v>888888</v>
      </c>
      <c r="G109" s="19" t="s">
        <v>99</v>
      </c>
      <c r="H109" s="23" t="str">
        <f>HYPERLINK("https://satoriz-comboire.bio/products/copobgc?_pos=1&amp;_sid=62a891f1e&amp;_ss=r","113.0")</f>
        <v>113.0</v>
      </c>
      <c r="I109" t="s">
        <v>15</v>
      </c>
      <c r="J109" s="18" t="str">
        <f>HYPERLINK("https://www.greenweez.com/produit/poivre-blanc-entier-moulin-rechargeable-50g/2BIOD0036","83.0")</f>
        <v>83.0</v>
      </c>
      <c r="K109" s="20" t="s">
        <v>712</v>
      </c>
    </row>
    <row r="110" spans="1:12" x14ac:dyDescent="0.3">
      <c r="A110" t="s">
        <v>237</v>
      </c>
      <c r="B110" s="23" t="str">
        <f>HYPERLINK("https://lafourche.fr/products/cook-melange-3-baies-bio-45g","107.78")</f>
        <v>107.78</v>
      </c>
      <c r="C110" t="s">
        <v>15</v>
      </c>
      <c r="D110" s="23" t="str">
        <f>HYPERLINK("https://www.biocoop.fr/magasin-biocoop_champollion/poivre-melange-3-baies-45g-ck1224-000.html","127.78")</f>
        <v>127.78</v>
      </c>
      <c r="E110" s="20" t="s">
        <v>15</v>
      </c>
      <c r="F110" s="23" t="str">
        <f>HYPERLINK("https://www.biocoop.fr/magasin-biocoop_fontaine/poivre-melange-3-baies-45g-ck1224-000.html","127.78")</f>
        <v>127.78</v>
      </c>
      <c r="G110" s="20" t="s">
        <v>15</v>
      </c>
      <c r="H110" s="18" t="str">
        <f>HYPERLINK("https://satoriz-comboire.bio/products/co3b?_pos=2&amp;_sid=7800f3f38&amp;_ss=r","106.67")</f>
        <v>106.67</v>
      </c>
      <c r="I110" t="s">
        <v>15</v>
      </c>
      <c r="J110" s="23" t="str">
        <f>HYPERLINK("https://www.greenweez.com/produit/melange-de-poivres-50g/1LEBE0023","888888")</f>
        <v>888888</v>
      </c>
      <c r="K110" s="19" t="s">
        <v>99</v>
      </c>
    </row>
    <row r="111" spans="1:12" x14ac:dyDescent="0.3">
      <c r="A111" t="s">
        <v>240</v>
      </c>
      <c r="B111" s="18" t="str">
        <f>HYPERLINK("https://lafourche.fr/products/cook-baies-de-genievre-bio-0-025kg","93.2")</f>
        <v>93.2</v>
      </c>
      <c r="C111" t="s">
        <v>15</v>
      </c>
      <c r="D111" s="23" t="str">
        <f>HYPERLINK("https://www.biocoop.fr/magasin-biocoop_champollion/baies-de-genievre-25g-ck1210-000.html","104.0")</f>
        <v>104.0</v>
      </c>
      <c r="E111" s="20" t="s">
        <v>15</v>
      </c>
      <c r="F111" s="23" t="str">
        <f>HYPERLINK("https://www.biocoop.fr/magasin-biocoop_fontaine/baies-de-genievre-25g-ck1210-000.html","110.0")</f>
        <v>110.0</v>
      </c>
      <c r="G111" s="20" t="s">
        <v>15</v>
      </c>
      <c r="H111" s="23" t="str">
        <f>HYPERLINK("https://satoriz-comboire.bio/products/cogen?_pos=1&amp;_sid=7910a3a2a&amp;_ss=r","102.0")</f>
        <v>102.0</v>
      </c>
      <c r="I111" t="s">
        <v>15</v>
      </c>
      <c r="J111" s="23" t="str">
        <f>HYPERLINK("https://www.greenweez.com/produit/genievre-baies-bio-50g/1LACA0017","888888")</f>
        <v>888888</v>
      </c>
      <c r="K111" s="19" t="s">
        <v>99</v>
      </c>
    </row>
    <row r="112" spans="1:12" x14ac:dyDescent="0.3">
      <c r="A112" t="s">
        <v>241</v>
      </c>
      <c r="B112" s="18" t="str">
        <f>HYPERLINK("https://lafourche.fr/products/danival-sel-gros-atlantique-1kg","1.49")</f>
        <v>1.49</v>
      </c>
      <c r="C112" t="s">
        <v>15</v>
      </c>
      <c r="D112" s="23" t="str">
        <f>HYPERLINK("https://www.biocoop.fr/magasin-biocoop_champollion/gros-sel-de-guerande-gu0133-000.html","2.7")</f>
        <v>2.7</v>
      </c>
      <c r="E112" t="s">
        <v>15</v>
      </c>
      <c r="F112" s="23" t="str">
        <f>HYPERLINK("https://www.biocoop.fr/magasin-biocoop_fontaine/gros-sel-de-guerande-gu0133-000.html","2.7")</f>
        <v>2.7</v>
      </c>
      <c r="G112" t="s">
        <v>15</v>
      </c>
      <c r="H112" s="23" t="str">
        <f>HYPERLINK("https://satoriz-comboire.bio/collections/epicerie-salee/products/da0052","1.55")</f>
        <v>1.55</v>
      </c>
      <c r="I112" t="s">
        <v>15</v>
      </c>
      <c r="J112" s="23" t="str">
        <f>HYPERLINK("https://www.greenweez.com/produit/sel-gros-de-latlantique-1kg/1DANI0333","1.81")</f>
        <v>1.81</v>
      </c>
      <c r="K112" s="21" t="s">
        <v>713</v>
      </c>
    </row>
    <row r="113" spans="1:12" x14ac:dyDescent="0.3">
      <c r="A113" t="s">
        <v>243</v>
      </c>
      <c r="B113" s="23" t="str">
        <f>HYPERLINK("https://lafourche.fr/products/danival-sel-fin-atlantique-1kg","1.86")</f>
        <v>1.86</v>
      </c>
      <c r="C113" s="21" t="s">
        <v>622</v>
      </c>
      <c r="D113" s="23" t="str">
        <f>HYPERLINK("https://www.biocoop.fr/magasin-biocoop_champollion/sel-fin-de-guerande-gu0105-000.html","5.0")</f>
        <v>5.0</v>
      </c>
      <c r="E113" s="20" t="s">
        <v>15</v>
      </c>
      <c r="F113" s="23" t="str">
        <f>HYPERLINK("https://www.biocoop.fr/magasin-biocoop_fontaine/sel-fin-de-guerande-gu0105-000.html","5.0")</f>
        <v>5.0</v>
      </c>
      <c r="G113" s="20" t="s">
        <v>15</v>
      </c>
      <c r="H113" s="18" t="str">
        <f>HYPERLINK("https://satoriz-comboire.bio/collections/epicerie-salee/products/da0021","1.85")</f>
        <v>1.85</v>
      </c>
      <c r="I113" t="s">
        <v>15</v>
      </c>
      <c r="J113" s="23" t="str">
        <f>HYPERLINK("https://www.greenweez.com/produit/sel-fin-de-guerande-500g/1LEGU0004","7.08")</f>
        <v>7.08</v>
      </c>
      <c r="K113" t="s">
        <v>15</v>
      </c>
    </row>
    <row r="114" spans="1:12" x14ac:dyDescent="0.3">
      <c r="A114" s="16" t="s">
        <v>246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</row>
    <row r="115" spans="1:12" x14ac:dyDescent="0.3">
      <c r="A115" t="s">
        <v>247</v>
      </c>
      <c r="B115" s="18" t="str">
        <f>HYPERLINK("https://lafourche.fr/products/prosain-couscous-aux-7-legumes-bio-1kg","5.98")</f>
        <v>5.98</v>
      </c>
      <c r="C115" t="s">
        <v>15</v>
      </c>
      <c r="D115" s="23" t="str">
        <f>HYPERLINK("https://www.biocoop.fr/magasin-biocoop_champollion/couscous-7-legumes-pr5174-000.html","5.99")</f>
        <v>5.99</v>
      </c>
      <c r="E115" t="s">
        <v>15</v>
      </c>
      <c r="F115" s="23" t="str">
        <f>HYPERLINK("https://www.biocoop.fr/magasin-biocoop_fontaine/couscous-7-legumes-pr5174-000.html","5.99")</f>
        <v>5.99</v>
      </c>
      <c r="G115" t="s">
        <v>15</v>
      </c>
      <c r="H115" s="23" t="str">
        <f>HYPERLINK("https://satoriz-comboire.bio/products/fd000623?_pos=2&amp;_sid=7511bf09f&amp;_ss=r","7.15")</f>
        <v>7.15</v>
      </c>
      <c r="I115" t="s">
        <v>15</v>
      </c>
      <c r="J115" s="23" t="str">
        <f>HYPERLINK("https://www.greenweez.com/produit/couscous-aux-7-legumes-1kg/1PROS0058","7.75")</f>
        <v>7.75</v>
      </c>
      <c r="K115" t="s">
        <v>15</v>
      </c>
    </row>
    <row r="116" spans="1:12" x14ac:dyDescent="0.3">
      <c r="A116" t="s">
        <v>248</v>
      </c>
      <c r="B116" s="13" t="str">
        <f>HYPERLINK("https://lafourche.fr/products/la-fourche-petits-pois-bio-0-265kg","5.32")</f>
        <v>5.32</v>
      </c>
      <c r="C116" s="19" t="s">
        <v>99</v>
      </c>
      <c r="D116" s="23" t="str">
        <f>HYPERLINK("https://www.biocoop.fr/magasin-biocoop_champollion/petits-pois-extra-fins-sans-sel-240g-net-egoutte-pr5177-000.html","15.0")</f>
        <v>15.0</v>
      </c>
      <c r="E116" s="20" t="s">
        <v>15</v>
      </c>
      <c r="F116" s="23" t="str">
        <f>HYPERLINK("https://www.biocoop.fr/magasin-biocoop_fontaine/petits-pois-530g-net-egoutte-mg5035-000.html","7.17")</f>
        <v>7.17</v>
      </c>
      <c r="G116" s="20" t="s">
        <v>15</v>
      </c>
      <c r="H116" s="23" t="str">
        <f>HYPERLINK("https://satoriz-comboire.bio/products/re44454?_pos=6&amp;_sid=dd8a0af67&amp;_ss=r","6.25")</f>
        <v>6.25</v>
      </c>
      <c r="I116" t="s">
        <v>15</v>
      </c>
      <c r="J116" s="23" t="str">
        <f>HYPERLINK("https://www.greenweez.com/produit/petits-pois-a-letuvee-400g/1LUCE0019","6.58")</f>
        <v>6.58</v>
      </c>
      <c r="K116" t="s">
        <v>15</v>
      </c>
    </row>
    <row r="117" spans="1:12" x14ac:dyDescent="0.3">
      <c r="A117" t="s">
        <v>249</v>
      </c>
      <c r="B117" s="18" t="str">
        <f>HYPERLINK("https://lafourche.fr/products/elibio-mais-doux-bio-300g","5.58")</f>
        <v>5.58</v>
      </c>
      <c r="C117" s="21" t="s">
        <v>395</v>
      </c>
      <c r="D117" s="23" t="str">
        <f>HYPERLINK("https://www.biocoop.fr/magasin-biocoop_champollion/mais-doux-285g-net-egoutte-cf7000-000.html","6.32")</f>
        <v>6.32</v>
      </c>
      <c r="E117" s="20" t="s">
        <v>15</v>
      </c>
      <c r="F117" s="23" t="str">
        <f>HYPERLINK("https://www.biocoop.fr/magasin-biocoop_fontaine/mais-doux-285g-net-egoutte-cf7000-000.html","6.32")</f>
        <v>6.32</v>
      </c>
      <c r="G117" s="20" t="s">
        <v>15</v>
      </c>
      <c r="H117" s="23" t="str">
        <f>HYPERLINK("https://satoriz-comboire.bio/products/re44453?_pos=1&amp;_sid=648b2db9d&amp;_ss=r","5.96")</f>
        <v>5.96</v>
      </c>
      <c r="I117" t="s">
        <v>15</v>
      </c>
      <c r="J117" s="23" t="str">
        <f>HYPERLINK("https://www.greenweez.com/produit/lot-de-3-mais-bio-origine-france-300g/1PACK3606","888888")</f>
        <v>888888</v>
      </c>
      <c r="K117" s="19" t="s">
        <v>99</v>
      </c>
    </row>
    <row r="118" spans="1:12" x14ac:dyDescent="0.3">
      <c r="A118" t="s">
        <v>250</v>
      </c>
      <c r="B118" s="23" t="str">
        <f>HYPERLINK("https://lafourche.fr/products/elibio-haricots-verts-bio-800g","5.39")</f>
        <v>5.39</v>
      </c>
      <c r="C118" t="s">
        <v>15</v>
      </c>
      <c r="D118" s="23" t="str">
        <f>HYPERLINK("https://www.biocoop.fr/magasin-biocoop_champollion/haricots-verts-extra-fins-220g-net-egoutte-cf7001-000.html","10.91")</f>
        <v>10.91</v>
      </c>
      <c r="E118" s="20" t="s">
        <v>15</v>
      </c>
      <c r="F118" s="23" t="str">
        <f>HYPERLINK("https://www.biocoop.fr/magasin-biocoop_fontaine/haricots-verts-extra-fins-440g-net-egoutte-mg5033-000.html","8.87")</f>
        <v>8.87</v>
      </c>
      <c r="G118" s="20" t="s">
        <v>15</v>
      </c>
      <c r="H118" s="23" t="str">
        <f>HYPERLINK("https://satoriz-comboire.bio/products/re44456?_pos=4&amp;_sid=de1e57aee&amp;_ss=r","6.36")</f>
        <v>6.36</v>
      </c>
      <c r="I118" t="s">
        <v>15</v>
      </c>
      <c r="J118" s="18" t="str">
        <f>HYPERLINK("https://www.greenweez.com/produit/lot-de-2-haricots-verts-bio-origine-france-800g/1PACK3593","2.78")</f>
        <v>2.78</v>
      </c>
      <c r="K118" t="s">
        <v>15</v>
      </c>
    </row>
    <row r="119" spans="1:12" x14ac:dyDescent="0.3">
      <c r="A119" t="s">
        <v>685</v>
      </c>
      <c r="B119" s="23" t="str">
        <f>HYPERLINK("https://lafourche.fr/products/macedoine","11.09")</f>
        <v>11.09</v>
      </c>
      <c r="C119" t="s">
        <v>15</v>
      </c>
      <c r="D119" s="23" t="str">
        <f>HYPERLINK("https://www.biocoop.fr/magasin-biocoop_champollion/macedoine-de-legumes-445g-rc0863-000.html","8.43")</f>
        <v>8.43</v>
      </c>
      <c r="E119" s="20" t="s">
        <v>15</v>
      </c>
      <c r="F119" s="23" t="str">
        <f>HYPERLINK("https://www.biocoop.fr/magasin-biocoop_fontaine/macedoine-de-legumes-240g-net-egoutte-rc0864-000.html","12.46")</f>
        <v>12.46</v>
      </c>
      <c r="G119" s="20" t="s">
        <v>15</v>
      </c>
      <c r="H119" s="23" t="str">
        <f>HYPERLINK("https://satoriz-comboire.bio/products/ch720?_pos=1&amp;_psq=mac%C3%A9doine&amp;_ss=e&amp;_v=1.0","7.64")</f>
        <v>7.64</v>
      </c>
      <c r="I119" t="s">
        <v>15</v>
      </c>
      <c r="J119" s="18" t="str">
        <f>HYPERLINK("https://www.greenweez.com/produit/macedoine-de-legumes-370ml/1PRIM0832","7.6")</f>
        <v>7.6</v>
      </c>
      <c r="K119" s="20" t="s">
        <v>714</v>
      </c>
    </row>
    <row r="120" spans="1:12" x14ac:dyDescent="0.3">
      <c r="A120" s="16" t="s">
        <v>252</v>
      </c>
      <c r="B120" s="17"/>
      <c r="C120" s="17"/>
      <c r="D120" s="17"/>
      <c r="E120" s="17"/>
      <c r="F120" s="17"/>
      <c r="G120" s="17"/>
      <c r="H120" s="17"/>
      <c r="I120" s="17"/>
      <c r="J120" s="17"/>
      <c r="K120" s="17"/>
    </row>
    <row r="121" spans="1:12" x14ac:dyDescent="0.3">
      <c r="A121" t="s">
        <v>253</v>
      </c>
      <c r="B121" s="23" t="str">
        <f>HYPERLINK("https://lafourche.fr/products/la-fourche-huile-dolive-vierge-extra-origine-espagne-bio-3l","11.89")</f>
        <v>11.89</v>
      </c>
      <c r="C121" t="s">
        <v>15</v>
      </c>
      <c r="D121" s="18" t="str">
        <f>HYPERLINK("https://www.biocoop.fr/magasin-biocoop_champollion/huile-d-olive-vierge-extra-1l-mg1090-000.html","8.95")</f>
        <v>8.95</v>
      </c>
      <c r="E121" s="19" t="s">
        <v>15</v>
      </c>
      <c r="F121" s="23" t="str">
        <f>HYPERLINK("https://www.biocoop.fr/magasin-biocoop_fontaine/huile-d-olive-1l-co7008-000.html","10.99")</f>
        <v>10.99</v>
      </c>
      <c r="G121" t="s">
        <v>15</v>
      </c>
      <c r="H121" s="23" t="str">
        <f>HYPERLINK("https://satoriz-comboire.bio/collections/epicerie-salee/products/vo1","15.35")</f>
        <v>15.35</v>
      </c>
      <c r="I121" t="s">
        <v>15</v>
      </c>
      <c r="J121" s="23" t="str">
        <f>HYPERLINK("https://www.greenweez.com/produit/huile-dolive-vierge-extra-1l-1/1LUCE0020","15.96")</f>
        <v>15.96</v>
      </c>
      <c r="K121" t="s">
        <v>15</v>
      </c>
      <c r="L121">
        <v>0.5</v>
      </c>
    </row>
    <row r="122" spans="1:12" x14ac:dyDescent="0.3">
      <c r="A122" t="s">
        <v>257</v>
      </c>
      <c r="B122" s="18" t="str">
        <f>HYPERLINK("https://lafourche.fr/products/la-fourche-huile-de-tournesol-vierge-origine-france-bio-3l","3.5")</f>
        <v>3.5</v>
      </c>
      <c r="C122" t="s">
        <v>15</v>
      </c>
      <c r="D122" s="23" t="str">
        <f>HYPERLINK("https://www.biocoop.fr/magasin-biocoop_champollion/huile-de-tournesol-france-1l-mg1154-000.html","5.25")</f>
        <v>5.25</v>
      </c>
      <c r="E122" s="21" t="s">
        <v>715</v>
      </c>
      <c r="F122" s="23" t="str">
        <f>HYPERLINK("https://www.biocoop.fr/magasin-biocoop_fontaine/huile-de-tournesol-france-1l-mg1154-000.html","5.25")</f>
        <v>5.25</v>
      </c>
      <c r="G122" s="21" t="s">
        <v>716</v>
      </c>
      <c r="H122" s="23" t="str">
        <f>HYPERLINK("https://satoriz-comboire.bio/collections/epicerie-salee/products/re38671","3.8")</f>
        <v>3.8</v>
      </c>
      <c r="I122" t="s">
        <v>15</v>
      </c>
      <c r="J122" s="23" t="str">
        <f>HYPERLINK("https://www.greenweez.com/produit/huile-de-tournesol-vierge-3l/1OILI0003","6.68")</f>
        <v>6.68</v>
      </c>
      <c r="K122" s="21" t="s">
        <v>717</v>
      </c>
      <c r="L122">
        <v>0.5</v>
      </c>
    </row>
    <row r="123" spans="1:12" x14ac:dyDescent="0.3">
      <c r="A123" t="s">
        <v>262</v>
      </c>
      <c r="B123" s="18" t="str">
        <f>HYPERLINK("https://lafourche.fr/products/la-fourche-huile-de-colza-vierge-bio-3l","4.65")</f>
        <v>4.65</v>
      </c>
      <c r="C123" t="s">
        <v>15</v>
      </c>
      <c r="D123" s="23" t="str">
        <f>HYPERLINK("https://www.biocoop.fr/magasin-biocoop_champollion/huile-colza-1l-co7002-000.html","7.05")</f>
        <v>7.05</v>
      </c>
      <c r="E123" t="s">
        <v>15</v>
      </c>
      <c r="F123" s="23" t="str">
        <f>HYPERLINK("https://www.biocoop.fr/magasin-biocoop_fontaine/huile-colza-1l-co7002-000.html","6.45")</f>
        <v>6.45</v>
      </c>
      <c r="G123" t="s">
        <v>15</v>
      </c>
      <c r="H123" s="23" t="str">
        <f>HYPERLINK("https://satoriz-comboire.bio/collections/epicerie-salee/products/re42186","5.65")</f>
        <v>5.65</v>
      </c>
      <c r="I123" t="s">
        <v>15</v>
      </c>
      <c r="J123" s="23" t="str">
        <f>HYPERLINK("https://www.greenweez.com/produit/huile-de-colza-vierge-bio-1l/2WEEZ0242","4.98")</f>
        <v>4.98</v>
      </c>
      <c r="K123" s="20" t="s">
        <v>718</v>
      </c>
    </row>
    <row r="124" spans="1:12" x14ac:dyDescent="0.3">
      <c r="A124" t="s">
        <v>265</v>
      </c>
      <c r="B124" s="18" t="str">
        <f>HYPERLINK("https://lafourche.fr/products/la-fourche-huile-de-coco-desodorisee-bio-et-equitable-1l","8.99")</f>
        <v>8.99</v>
      </c>
      <c r="C124" t="s">
        <v>15</v>
      </c>
      <c r="D124" s="23" t="str">
        <f>HYPERLINK("https://www.biocoop.fr/magasin-biocoop_champollion/huile-de-coco-desodorisee-950ml-mg1141-000.html","14.89")</f>
        <v>14.89</v>
      </c>
      <c r="E124" s="20" t="s">
        <v>15</v>
      </c>
      <c r="F124" s="23" t="str">
        <f>HYPERLINK("https://www.biocoop.fr/magasin-biocoop_fontaine/huile-de-coco-desodorisee-950ml-mg1141-000.html","12.89")</f>
        <v>12.89</v>
      </c>
      <c r="G124" s="20" t="s">
        <v>15</v>
      </c>
      <c r="H124" s="23" t="str">
        <f>HYPERLINK("https://satoriz-comboire.bio/collections/epicerie-salee/products/pr1424","11.7")</f>
        <v>11.7</v>
      </c>
      <c r="I124" t="s">
        <v>15</v>
      </c>
      <c r="J124" s="23" t="str">
        <f>HYPERLINK("https://www.greenweez.com/produit/huile-de-coco-du-sri-lanka-1l/1BASE0016","9.87")</f>
        <v>9.87</v>
      </c>
      <c r="K124" s="21" t="s">
        <v>719</v>
      </c>
    </row>
    <row r="125" spans="1:12" x14ac:dyDescent="0.3">
      <c r="A125" t="s">
        <v>268</v>
      </c>
      <c r="B125">
        <v>888888</v>
      </c>
      <c r="D125" s="23" t="str">
        <f>HYPERLINK("https://www.biocoop.fr/magasin-biocoop_champollion/vinaigrette-curcuma-gingembre-citron-36cl-bq0007-000.html","19.31")</f>
        <v>19.31</v>
      </c>
      <c r="F125" s="23" t="str">
        <f>HYPERLINK("https://www.biocoop.fr/magasin-biocoop_fontaine/vinaigrette-curcuma-gingembre-citron-36cl-bq0007-000.html","19.31")</f>
        <v>19.31</v>
      </c>
      <c r="H125" s="23" t="str">
        <f>HYPERLINK("https://satoriz-comboire.bio/products/re21497?_pos=1&amp;_sid=00ea134f4&amp;_ss=r","18.61")</f>
        <v>18.61</v>
      </c>
      <c r="J125" s="18" t="str">
        <f>HYPERLINK("https://www.greenweez.com/produit/vinaigrette-assaisonnette-la-tonique-36cl/3QUIN0011","18.47")</f>
        <v>18.47</v>
      </c>
    </row>
    <row r="126" spans="1:12" x14ac:dyDescent="0.3">
      <c r="A126" t="s">
        <v>269</v>
      </c>
      <c r="B126" s="18" t="str">
        <f>HYPERLINK("https://lafourche.fr/products/la-fourche-vinaigre-de-cidre-bio-1l","2.7")</f>
        <v>2.7</v>
      </c>
      <c r="C126" t="s">
        <v>15</v>
      </c>
      <c r="D126" s="23" t="str">
        <f>HYPERLINK("https://www.biocoop.fr/magasin-biocoop_champollion/vinaigre-de-cidre-75cl-cn0222-000.html","4.33")</f>
        <v>4.33</v>
      </c>
      <c r="E126" s="20" t="s">
        <v>15</v>
      </c>
      <c r="F126" s="23" t="str">
        <f>HYPERLINK("https://www.biocoop.fr/magasin-biocoop_fontaine/vinaigre-de-cidre-75cl-cn0222-000.html","4.33")</f>
        <v>4.33</v>
      </c>
      <c r="G126" s="20" t="s">
        <v>15</v>
      </c>
      <c r="H126" s="23" t="str">
        <f>HYPERLINK("https://satoriz-comboire.bio/collections/epicerie-salee/products/re38988","3.4")</f>
        <v>3.4</v>
      </c>
      <c r="I126" t="s">
        <v>15</v>
      </c>
      <c r="J126" s="23" t="str">
        <f>HYPERLINK("https://www.greenweez.com/produit/vinaigre-de-cidre-bio-75cl/2WEEZ0409","3.57")</f>
        <v>3.57</v>
      </c>
      <c r="K126" s="21" t="s">
        <v>65</v>
      </c>
      <c r="L126">
        <v>0.2</v>
      </c>
    </row>
    <row r="127" spans="1:12" x14ac:dyDescent="0.3">
      <c r="A127" t="s">
        <v>271</v>
      </c>
      <c r="B127" s="18" t="str">
        <f>HYPERLINK("https://lafourche.fr/products/la-fourche-vinaigre-balsamique-de-modene-bio-1l","6.39")</f>
        <v>6.39</v>
      </c>
      <c r="C127" s="21" t="s">
        <v>720</v>
      </c>
      <c r="D127" s="23" t="str">
        <f>HYPERLINK("https://www.biocoop.fr/magasin-biocoop_champollion/vinaigre-balsamique-de-modene-50cl-po2022-000.html","888888")</f>
        <v>888888</v>
      </c>
      <c r="E127" s="19" t="s">
        <v>99</v>
      </c>
      <c r="F127" s="23" t="str">
        <f>HYPERLINK("https://www.biocoop.fr/magasin-biocoop_fontaine/vinaigre-balsamique-de-modene-50cl-po2022-000.html","9.1")</f>
        <v>9.1</v>
      </c>
      <c r="G127" s="20" t="s">
        <v>15</v>
      </c>
      <c r="H127" s="23" t="str">
        <f>HYPERLINK("https://satoriz-comboire.bio/collections/epicerie-salee/products/re38990","7.27")</f>
        <v>7.27</v>
      </c>
      <c r="I127" t="s">
        <v>15</v>
      </c>
      <c r="J127" s="23" t="str">
        <f>HYPERLINK("https://www.greenweez.com/produit/vinaigre-balsamique-de-modene-bio-50cl/2WEEZ0408","7.36")</f>
        <v>7.36</v>
      </c>
      <c r="K127" s="21" t="s">
        <v>721</v>
      </c>
    </row>
    <row r="128" spans="1:12" x14ac:dyDescent="0.3">
      <c r="A128" t="s">
        <v>273</v>
      </c>
      <c r="B128" s="23" t="str">
        <f>HYPERLINK("https://lafourche.fr/products/laselva-vinaigre-balsamique-blanc-500ml-bio","9.98")</f>
        <v>9.98</v>
      </c>
      <c r="C128" s="21" t="s">
        <v>722</v>
      </c>
      <c r="D128">
        <v>888888</v>
      </c>
      <c r="F128">
        <v>888888</v>
      </c>
      <c r="H128" s="18" t="str">
        <f>HYPERLINK("https://satoriz-comboire.bio/collections/epicerie-salee/products/sd09327118331","6.6")</f>
        <v>6.6</v>
      </c>
      <c r="I128" t="s">
        <v>15</v>
      </c>
      <c r="J128" s="23" t="str">
        <f>HYPERLINK("https://www.greenweez.com/produit/vinaigre-balsamique-blanc-500ml/1SELV0040","10.7")</f>
        <v>10.7</v>
      </c>
      <c r="K128" s="20" t="s">
        <v>723</v>
      </c>
    </row>
    <row r="129" spans="1:12" x14ac:dyDescent="0.3">
      <c r="A129" s="16" t="s">
        <v>275</v>
      </c>
      <c r="B129" s="17"/>
      <c r="C129" s="17"/>
      <c r="D129" s="17"/>
      <c r="E129" s="17"/>
      <c r="F129" s="17"/>
      <c r="G129" s="17"/>
      <c r="H129" s="17"/>
      <c r="I129" s="17"/>
      <c r="J129" s="17"/>
      <c r="K129" s="17"/>
    </row>
    <row r="130" spans="1:12" x14ac:dyDescent="0.3">
      <c r="A130" t="s">
        <v>276</v>
      </c>
      <c r="B130" s="18" t="str">
        <f>HYPERLINK("https://lafourche.fr/products/la-fourche-petit-epeautre-bio-en-vrac-1kg","4.29")</f>
        <v>4.29</v>
      </c>
      <c r="C130" t="s">
        <v>15</v>
      </c>
      <c r="D130" s="23" t="str">
        <f>HYPERLINK("https://www.biocoop.fr/magasin-biocoop_champollion/petit-epeautre-decortique-500g-br0273-000.html","6.9")</f>
        <v>6.9</v>
      </c>
      <c r="E130" s="20" t="s">
        <v>15</v>
      </c>
      <c r="F130" s="23" t="str">
        <f>HYPERLINK("https://www.biocoop.fr/magasin-biocoop_fontaine/petit-epeautre-decortique-500g-br0273-000.html","888888")</f>
        <v>888888</v>
      </c>
      <c r="G130" s="19" t="s">
        <v>99</v>
      </c>
      <c r="H130" s="23" t="str">
        <f>HYPERLINK("https://satoriz-comboire.bio/collections/vrac/products/re42050","4.55")</f>
        <v>4.55</v>
      </c>
      <c r="I130" t="s">
        <v>15</v>
      </c>
      <c r="J130" s="23" t="str">
        <f>HYPERLINK("https://www.greenweez.com/produit/petit-epeautre-500g/1MKAL0113","6.06")</f>
        <v>6.06</v>
      </c>
      <c r="K130" s="21" t="s">
        <v>724</v>
      </c>
      <c r="L130">
        <v>0.5</v>
      </c>
    </row>
    <row r="131" spans="1:12" x14ac:dyDescent="0.3">
      <c r="A131" t="s">
        <v>280</v>
      </c>
      <c r="B131" s="18" t="str">
        <f>HYPERLINK("https://lafourche.fr/products/la-fourche-graines-tournesol-bio-en-vrac-1kg","4.3")</f>
        <v>4.3</v>
      </c>
      <c r="C131" t="s">
        <v>15</v>
      </c>
      <c r="D131" s="23" t="str">
        <f>HYPERLINK("https://www.biocoop.fr/magasin-biocoop_champollion/sarrasin-decortique-bio-ra6027-000.html","5.99")</f>
        <v>5.99</v>
      </c>
      <c r="E131" s="20" t="s">
        <v>15</v>
      </c>
      <c r="F131" s="23" t="str">
        <f>HYPERLINK("https://www.biocoop.fr/magasin-biocoop_fontaine/sarrasin-decortique-bio-ra6027-000.html","6.99")</f>
        <v>6.99</v>
      </c>
      <c r="G131" s="19" t="s">
        <v>15</v>
      </c>
      <c r="H131" s="23" t="str">
        <f>HYPERLINK("https://satoriz-comboire.bio/collections/vrac/products/eco759","7.05")</f>
        <v>7.05</v>
      </c>
      <c r="I131" t="s">
        <v>15</v>
      </c>
      <c r="J131" s="23" t="str">
        <f>HYPERLINK("https://www.greenweez.com/produit/sarrasin-decortique-3kg/5GREE0100","5.33")</f>
        <v>5.33</v>
      </c>
      <c r="K131" t="s">
        <v>15</v>
      </c>
      <c r="L131">
        <v>0.5</v>
      </c>
    </row>
    <row r="132" spans="1:12" x14ac:dyDescent="0.3">
      <c r="A132" t="s">
        <v>282</v>
      </c>
      <c r="B132" s="18" t="str">
        <f>HYPERLINK("https://lafourche.fr/products/solid-food-1kg-de-quinoa-blanc-en-vrac-bio","6.3")</f>
        <v>6.3</v>
      </c>
      <c r="C132" t="s">
        <v>15</v>
      </c>
      <c r="D132" s="23" t="str">
        <f>HYPERLINK("https://www.biocoop.fr/magasin-biocoop_champollion/quinoa-france-bio-br0263-000.html","8.4")</f>
        <v>8.4</v>
      </c>
      <c r="E132" s="20" t="s">
        <v>15</v>
      </c>
      <c r="F132" s="23" t="str">
        <f>HYPERLINK("https://www.biocoop.fr/magasin-biocoop_fontaine/quinoa-france-bio-br0263-000.html","8.4")</f>
        <v>8.4</v>
      </c>
      <c r="G132" s="20" t="s">
        <v>15</v>
      </c>
      <c r="H132" s="23" t="str">
        <f>HYPERLINK("https://satoriz-comboire.bio/collections/vrac/products/bg1","8.8")</f>
        <v>8.8</v>
      </c>
      <c r="I132" t="s">
        <v>15</v>
      </c>
      <c r="J132" s="23" t="str">
        <f>HYPERLINK("https://www.greenweez.com/produit/quinoa-real-blanc-1kg/1MKAL0120","9.12")</f>
        <v>9.12</v>
      </c>
      <c r="K132" t="s">
        <v>15</v>
      </c>
      <c r="L132">
        <v>0.5</v>
      </c>
    </row>
    <row r="133" spans="1:12" x14ac:dyDescent="0.3">
      <c r="A133" t="s">
        <v>285</v>
      </c>
      <c r="B133" s="18" t="str">
        <f>HYPERLINK("https://lafourche.fr/products/la-fourche-quinoa-tricolore-bio-en-vrac-1kg","6.95")</f>
        <v>6.95</v>
      </c>
      <c r="C133" t="s">
        <v>15</v>
      </c>
      <c r="D133" s="23" t="str">
        <f>HYPERLINK("https://www.biocoop.fr/magasin-biocoop_champollion/quinoa-real-bolivie-3-couleurs-bio-sm0366-000.html","8.9")</f>
        <v>8.9</v>
      </c>
      <c r="E133" s="20" t="s">
        <v>15</v>
      </c>
      <c r="F133" s="23" t="str">
        <f>HYPERLINK("https://www.biocoop.fr/magasin-biocoop_fontaine/quinoa-real-bolivie-3-couleurs-bio-sm0366-000.html","8.6")</f>
        <v>8.6</v>
      </c>
      <c r="G133" s="20" t="s">
        <v>15</v>
      </c>
      <c r="H133" s="23" t="str">
        <f>HYPERLINK("https://satoriz-comboire.bio/products/eu7921?_pos=2&amp;_sid=f28a0cca6&amp;_ss=r","7.2")</f>
        <v>7.2</v>
      </c>
      <c r="I133" t="s">
        <v>15</v>
      </c>
      <c r="J133" s="23" t="str">
        <f>HYPERLINK("https://www.greenweez.com/produit/quinoa-tricolore-bio-500g/2WEEZ0157","9.9")</f>
        <v>9.9</v>
      </c>
      <c r="K133" t="s">
        <v>15</v>
      </c>
    </row>
    <row r="134" spans="1:12" x14ac:dyDescent="0.3">
      <c r="A134" t="s">
        <v>288</v>
      </c>
      <c r="B134" s="18" t="str">
        <f>HYPERLINK("https://lafourche.fr/products/la-fourche-1kg-de-boulgour-gros-bio-en-vrac","2.79")</f>
        <v>2.79</v>
      </c>
      <c r="C134" t="s">
        <v>15</v>
      </c>
      <c r="D134" s="23" t="str">
        <f>HYPERLINK("https://www.biocoop.fr/magasin-biocoop_champollion/boulgour-ble-gros-france-1kg-ma8005-000.html","3.99")</f>
        <v>3.99</v>
      </c>
      <c r="E134" t="s">
        <v>15</v>
      </c>
      <c r="F134" s="23" t="str">
        <f>HYPERLINK("https://www.biocoop.fr/magasin-biocoop_fontaine/boulgour-ble-gros-france-1kg-ma8005-000.html","3.6")</f>
        <v>3.6</v>
      </c>
      <c r="G134" t="s">
        <v>15</v>
      </c>
      <c r="H134" s="23" t="str">
        <f>HYPERLINK("https://satoriz-comboire.bio/collections/vrac/products/ma11050","3.5")</f>
        <v>3.5</v>
      </c>
      <c r="I134" t="s">
        <v>15</v>
      </c>
      <c r="J134" s="23" t="str">
        <f>HYPERLINK("https://www.greenweez.com/produit/boulgour-traditionnel-bio-2-5kg/2WEEZ0215","3.58")</f>
        <v>3.58</v>
      </c>
      <c r="K134" t="s">
        <v>15</v>
      </c>
      <c r="L134">
        <v>0.2</v>
      </c>
    </row>
    <row r="135" spans="1:12" x14ac:dyDescent="0.3">
      <c r="A135" t="s">
        <v>291</v>
      </c>
      <c r="B135" s="18" t="str">
        <f>HYPERLINK("https://lafourche.fr/products/la-fourche-1kg-de-graines-de-millet-bio-en-vrac","3.5")</f>
        <v>3.5</v>
      </c>
      <c r="C135" t="s">
        <v>15</v>
      </c>
      <c r="D135" s="23" t="str">
        <f>HYPERLINK("https://www.biocoop.fr/magasin-biocoop_champollion/millet-decortique-bio-md1001-000.html","4.3")</f>
        <v>4.3</v>
      </c>
      <c r="E135" s="20" t="s">
        <v>15</v>
      </c>
      <c r="F135" s="23" t="str">
        <f>HYPERLINK("https://www.biocoop.fr/magasin-biocoop_fontaine/millet-decortique-france-500g-al8046-000.html","5.8")</f>
        <v>5.8</v>
      </c>
      <c r="G135" s="20" t="s">
        <v>15</v>
      </c>
      <c r="H135" s="18" t="str">
        <f>HYPERLINK("https://satoriz-comboire.bio/collections/vrac/products/re39809","3.5")</f>
        <v>3.5</v>
      </c>
      <c r="I135" t="s">
        <v>15</v>
      </c>
      <c r="J135" s="23" t="str">
        <f>HYPERLINK("https://www.greenweez.com/produit/millet-bio-2-5kg/2WEEZ0528","888888")</f>
        <v>888888</v>
      </c>
      <c r="K135" s="19" t="s">
        <v>99</v>
      </c>
    </row>
    <row r="136" spans="1:12" x14ac:dyDescent="0.3">
      <c r="A136" t="s">
        <v>295</v>
      </c>
      <c r="B136" s="18" t="str">
        <f>HYPERLINK("https://lafourche.fr/products/la-fourche-1kg-de-couscous-complet-bio-en-vrac","2.3")</f>
        <v>2.3</v>
      </c>
      <c r="C136" t="s">
        <v>15</v>
      </c>
      <c r="D136" s="23" t="str">
        <f>HYPERLINK("https://www.biocoop.fr/magasin-biocoop_champollion/couscous-ble-dur-complet-bio-bi9030-000.html","3.15")</f>
        <v>3.15</v>
      </c>
      <c r="E136" s="20" t="s">
        <v>725</v>
      </c>
      <c r="F136" s="23" t="str">
        <f>HYPERLINK("https://www.biocoop.fr/magasin-biocoop_fontaine/couscous-ble-dur-complet-500g-bi9019-000.html","4.3")</f>
        <v>4.3</v>
      </c>
      <c r="G136" s="20" t="s">
        <v>726</v>
      </c>
      <c r="H136" s="23" t="str">
        <f>HYPERLINK("https://satoriz-comboire.bio/collections/vrac/products/re40833","2.55")</f>
        <v>2.55</v>
      </c>
      <c r="I136" t="s">
        <v>15</v>
      </c>
      <c r="J136" s="23" t="str">
        <f>HYPERLINK("https://www.greenweez.com/produit/couscous-complet-bio-2-5kg/2WEEZ0216","3.79")</f>
        <v>3.79</v>
      </c>
      <c r="K136" t="s">
        <v>15</v>
      </c>
    </row>
    <row r="137" spans="1:12" x14ac:dyDescent="0.3">
      <c r="A137" t="s">
        <v>298</v>
      </c>
      <c r="B137" s="18" t="str">
        <f>HYPERLINK("https://lafourche.fr/products/la-fourche-ble-tendre-complet-bio-en-vrac-1kg","1.59")</f>
        <v>1.59</v>
      </c>
      <c r="C137" t="s">
        <v>15</v>
      </c>
      <c r="D137">
        <v>888888</v>
      </c>
      <c r="F137">
        <v>888888</v>
      </c>
      <c r="H137" s="23" t="str">
        <f>HYPERLINK("https://satoriz-comboire.bio/products/eco608?_pos=3&amp;_sid=c145f4454&amp;_ss=r","1.65")</f>
        <v>1.65</v>
      </c>
      <c r="I137" t="s">
        <v>15</v>
      </c>
      <c r="J137" s="23" t="str">
        <f>HYPERLINK("https://www.greenweez.com/produit/ble-tendre-complet-500g/1MKAL0007","2.56")</f>
        <v>2.56</v>
      </c>
      <c r="K137" t="s">
        <v>15</v>
      </c>
    </row>
    <row r="138" spans="1:12" x14ac:dyDescent="0.3">
      <c r="A138" t="s">
        <v>301</v>
      </c>
      <c r="B138" s="23" t="str">
        <f>HYPERLINK("https://lafourche.fr/products/la-fourche-polenta-bio-en-vrac-1kg","3.55")</f>
        <v>3.55</v>
      </c>
      <c r="C138" t="s">
        <v>15</v>
      </c>
      <c r="D138" s="23" t="str">
        <f>HYPERLINK("https://www.biocoop.fr/magasin-biocoop_champollion/semoule-de-mais-instantanee-polenta-bio-ma8079-000.html","3.65")</f>
        <v>3.65</v>
      </c>
      <c r="E138" s="20" t="s">
        <v>300</v>
      </c>
      <c r="F138" s="23" t="str">
        <f>HYPERLINK("https://www.biocoop.fr/magasin-biocoop_fontaine/semoule-de-mais-instantanee-polenta-bio-ma8079-000.html","3.6")</f>
        <v>3.6</v>
      </c>
      <c r="G138" s="20" t="s">
        <v>15</v>
      </c>
      <c r="H138" s="23" t="str">
        <f>HYPERLINK("https://satoriz-comboire.bio/products/ma71051?_pos=5&amp;_sid=36154f2e5&amp;_ss=r","3.6")</f>
        <v>3.6</v>
      </c>
      <c r="I138" t="s">
        <v>15</v>
      </c>
      <c r="J138" s="18" t="str">
        <f>HYPERLINK("https://www.greenweez.com/produit/semoule-mais-fine-1kg/1MKAL0272","3.43")</f>
        <v>3.43</v>
      </c>
      <c r="K138" t="s">
        <v>15</v>
      </c>
    </row>
    <row r="139" spans="1:12" x14ac:dyDescent="0.3">
      <c r="A139" t="s">
        <v>305</v>
      </c>
      <c r="B139" s="18" t="str">
        <f>HYPERLINK("https://lafourche.fr/products/la-fourche-500g-de-graines-de-tournesol-en-vrac-bio","3.7")</f>
        <v>3.7</v>
      </c>
      <c r="C139" t="s">
        <v>15</v>
      </c>
      <c r="D139" s="23" t="str">
        <f>HYPERLINK("https://www.biocoop.fr/magasin-biocoop_champollion/tournesol-decortique-bio-al8034-000.html","10.35")</f>
        <v>10.35</v>
      </c>
      <c r="E139" s="20" t="s">
        <v>15</v>
      </c>
      <c r="F139" s="23" t="str">
        <f>HYPERLINK("https://www.biocoop.fr/magasin-biocoop_fontaine/tournesol-decortique-250g-al8033-000.html","11.96")</f>
        <v>11.96</v>
      </c>
      <c r="G139" s="20" t="s">
        <v>15</v>
      </c>
      <c r="H139" s="45" t="str">
        <f>HYPERLINK("https://satoriz-comboire.bio/products/senfgtv","6.2")</f>
        <v>6.2</v>
      </c>
      <c r="I139" s="19" t="s">
        <v>99</v>
      </c>
      <c r="J139" s="23" t="str">
        <f>HYPERLINK("https://www.greenweez.com/produit/graines-de-tournesol-decortiquees-bio-500g/2WEEZ0020","5.36")</f>
        <v>5.36</v>
      </c>
      <c r="K139" t="s">
        <v>15</v>
      </c>
      <c r="L139">
        <v>0.1</v>
      </c>
    </row>
    <row r="140" spans="1:12" x14ac:dyDescent="0.3">
      <c r="A140" t="s">
        <v>307</v>
      </c>
      <c r="B140" s="23" t="str">
        <f>HYPERLINK("https://lafourche.fr/products/la-fourche-500g-de-graines-de-lin-brun-bio-en-vrac","4.76")</f>
        <v>4.76</v>
      </c>
      <c r="C140" t="s">
        <v>15</v>
      </c>
      <c r="D140" s="23" t="str">
        <f>HYPERLINK("https://www.biocoop.fr/magasin-biocoop_champollion/graine-de-lin-brun-bio-br0236-000.html","6.15")</f>
        <v>6.15</v>
      </c>
      <c r="E140" s="21" t="s">
        <v>727</v>
      </c>
      <c r="F140" s="23" t="str">
        <f>HYPERLINK("https://www.biocoop.fr/magasin-biocoop_fontaine/graine-de-lin-brun-bio-br0236-000.html","5.8")</f>
        <v>5.8</v>
      </c>
      <c r="G140" s="20" t="s">
        <v>15</v>
      </c>
      <c r="H140" s="18" t="str">
        <f>HYPERLINK("https://satoriz-comboire.bio/products/re39808?_pos=9&amp;_sid=2d728524c&amp;_ss=r","4.75")</f>
        <v>4.75</v>
      </c>
      <c r="I140" t="s">
        <v>15</v>
      </c>
      <c r="J140" s="23" t="str">
        <f>HYPERLINK("https://www.greenweez.com/produit/graines-de-lin-brun-bio-500g/2WEEZ0019","4.76")</f>
        <v>4.76</v>
      </c>
      <c r="K140" t="s">
        <v>15</v>
      </c>
    </row>
    <row r="141" spans="1:12" x14ac:dyDescent="0.3">
      <c r="A141" t="s">
        <v>311</v>
      </c>
      <c r="B141" s="18" t="str">
        <f>HYPERLINK("https://lafourche.fr/products/la-fourche-500g-de-graines-de-sesames-bio-en-vrac","5.94")</f>
        <v>5.94</v>
      </c>
      <c r="C141" s="21" t="s">
        <v>728</v>
      </c>
      <c r="D141">
        <v>888888</v>
      </c>
      <c r="F141">
        <v>888888</v>
      </c>
      <c r="H141" s="23" t="str">
        <f>HYPERLINK("https://satoriz-comboire.bio/products/eu203?_pos=5&amp;_sid=2bd1fd04d&amp;_ss=r","5.95")</f>
        <v>5.95</v>
      </c>
      <c r="I141" t="s">
        <v>15</v>
      </c>
      <c r="J141" s="23" t="str">
        <f>HYPERLINK("https://www.greenweez.com/produit/sesame-complet-bio-500g/2WEEZ0028","7.9")</f>
        <v>7.9</v>
      </c>
      <c r="K141" t="s">
        <v>15</v>
      </c>
    </row>
    <row r="142" spans="1:12" x14ac:dyDescent="0.3">
      <c r="A142" t="s">
        <v>314</v>
      </c>
      <c r="B142" s="18" t="str">
        <f>HYPERLINK("https://lafourche.fr/products/la-fourche-500g-de-graines-de-chia-bio-en-vrac","6.8")</f>
        <v>6.8</v>
      </c>
      <c r="C142" t="s">
        <v>15</v>
      </c>
      <c r="D142" s="23" t="str">
        <f>HYPERLINK("https://www.biocoop.fr/magasin-biocoop_champollion/graines-de-chia-qu1026-000.html","888888")</f>
        <v>888888</v>
      </c>
      <c r="E142" s="19" t="s">
        <v>99</v>
      </c>
      <c r="F142" s="23" t="str">
        <f>HYPERLINK("https://www.biocoop.fr/magasin-biocoop_fontaine/graines-de-chia-qu1026-000.html","888888")</f>
        <v>888888</v>
      </c>
      <c r="G142" s="19" t="s">
        <v>99</v>
      </c>
      <c r="H142" s="18" t="str">
        <f>HYPERLINK("https://satoriz-comboire.bio/products/bofchia?_pos=6&amp;_sid=c84fead2c&amp;_ss=r","6.8")</f>
        <v>6.8</v>
      </c>
      <c r="I142" t="s">
        <v>15</v>
      </c>
      <c r="J142" s="23" t="str">
        <f>HYPERLINK("https://www.greenweez.com/produit/graines-de-chia-bio-500g/2WEEZ0337","9.96")</f>
        <v>9.96</v>
      </c>
      <c r="K142" t="s">
        <v>15</v>
      </c>
    </row>
    <row r="143" spans="1:12" x14ac:dyDescent="0.3">
      <c r="A143" t="s">
        <v>316</v>
      </c>
      <c r="B143" s="23" t="str">
        <f>HYPERLINK("https://lafourche.fr/products/la-fourche-500g-de-graines-de-courge-en-vrac-bio","12.6")</f>
        <v>12.6</v>
      </c>
      <c r="C143" t="s">
        <v>15</v>
      </c>
      <c r="D143" s="23" t="str">
        <f>HYPERLINK("https://www.biocoop.fr/magasin-biocoop_champollion/graine-de-courge-france-250g-al8045-000.html","22.76")</f>
        <v>22.76</v>
      </c>
      <c r="F143" s="23" t="str">
        <f>HYPERLINK("https://www.biocoop.fr/magasin-biocoop_fontaine/graine-de-courge-france-250g-al8045-000.html","20.8")</f>
        <v>20.8</v>
      </c>
      <c r="G143" s="20" t="s">
        <v>15</v>
      </c>
      <c r="H143" s="23" t="str">
        <f>HYPERLINK("https://satoriz-comboire.bio/products/ec008?_pos=3&amp;_sid=8f28a5498&amp;_ss=r","14.95")</f>
        <v>14.95</v>
      </c>
      <c r="I143" t="s">
        <v>15</v>
      </c>
      <c r="J143" s="18" t="str">
        <f>HYPERLINK("https://www.greenweez.com/produit/graines-de-courge-bio-500g/2WEEZ0530","11.88")</f>
        <v>11.88</v>
      </c>
      <c r="K143" t="s">
        <v>15</v>
      </c>
    </row>
    <row r="144" spans="1:12" x14ac:dyDescent="0.3">
      <c r="A144" t="s">
        <v>318</v>
      </c>
      <c r="B144" s="23" t="str">
        <f>HYPERLINK("https://lafourche.fr/products/la-fourche-250g-de-pignons-de-cedre-en-vrac-bio","43.6")</f>
        <v>43.6</v>
      </c>
      <c r="C144" t="s">
        <v>15</v>
      </c>
      <c r="D144">
        <v>888888</v>
      </c>
      <c r="F144">
        <v>888888</v>
      </c>
      <c r="H144" s="18" t="str">
        <f>HYPERLINK("https://satoriz-comboire.bio/products/bof3007?_pos=1&amp;_sid=3170df032&amp;_ss=r","41.4")</f>
        <v>41.4</v>
      </c>
      <c r="I144" t="s">
        <v>15</v>
      </c>
      <c r="J144" s="23" t="str">
        <f>HYPERLINK("https://www.greenweez.com/produit/pignons-de-cedre-500g/2WEEZ0403","47.9")</f>
        <v>47.9</v>
      </c>
      <c r="K144" t="s">
        <v>15</v>
      </c>
    </row>
    <row r="145" spans="1:12" x14ac:dyDescent="0.3">
      <c r="A145" t="s">
        <v>321</v>
      </c>
      <c r="B145" s="18" t="str">
        <f>HYPERLINK("https://lafourche.fr/products/la-fourche-pignons-de-pin-bio-0-25kg","57.92")</f>
        <v>57.92</v>
      </c>
      <c r="C145" t="s">
        <v>15</v>
      </c>
      <c r="D145">
        <v>888888</v>
      </c>
      <c r="F145">
        <v>888888</v>
      </c>
      <c r="H145" s="23" t="str">
        <f>HYPERLINK("https://satoriz-comboire.bio/products/ag639?_pos=2&amp;_sid=265828df9&amp;_ss=r","94.8")</f>
        <v>94.8</v>
      </c>
      <c r="I145" t="s">
        <v>15</v>
      </c>
      <c r="J145" s="23" t="str">
        <f>HYPERLINK("https://www.greenweez.com/produit/pignons-de-pin-bio-125g/1DPFS0044","102.0")</f>
        <v>102.0</v>
      </c>
      <c r="K145" t="s">
        <v>15</v>
      </c>
    </row>
    <row r="146" spans="1:12" x14ac:dyDescent="0.3">
      <c r="A146" t="s">
        <v>325</v>
      </c>
      <c r="B146" s="18" t="str">
        <f>HYPERLINK("https://lafourche.fr/products/la-fourche-1kg-de-pois-chiches-en-vrac-bio","3.61")</f>
        <v>3.61</v>
      </c>
      <c r="C146" t="s">
        <v>15</v>
      </c>
      <c r="D146" s="23" t="str">
        <f>HYPERLINK("https://www.biocoop.fr/magasin-biocoop_champollion/pois-chiches-bio-al8031-000.html","4.95")</f>
        <v>4.95</v>
      </c>
      <c r="E146" s="20" t="s">
        <v>15</v>
      </c>
      <c r="F146" s="23" t="str">
        <f>HYPERLINK("https://www.biocoop.fr/magasin-biocoop_fontaine/pois-chiches-bio-al8031-000.html","4.5")</f>
        <v>4.5</v>
      </c>
      <c r="G146" s="20" t="s">
        <v>15</v>
      </c>
      <c r="H146" s="45" t="str">
        <f>HYPERLINK("https://satoriz-comboire.bio/collections/vrac/products/re40037","888888")</f>
        <v>888888</v>
      </c>
      <c r="I146" s="19" t="s">
        <v>99</v>
      </c>
      <c r="J146" s="23" t="str">
        <f>HYPERLINK("https://www.greenweez.com/produit/pois-chiches-origine-france-3kg/5GREE0125","4.65")</f>
        <v>4.65</v>
      </c>
      <c r="K146" t="s">
        <v>15</v>
      </c>
      <c r="L146">
        <v>0</v>
      </c>
    </row>
    <row r="147" spans="1:12" x14ac:dyDescent="0.3">
      <c r="A147" t="s">
        <v>328</v>
      </c>
      <c r="B147" s="18" t="str">
        <f>HYPERLINK("https://lafourche.fr/products/la-fourche-1kg-de-lentilles-corail-bio-en-vrac","3.3")</f>
        <v>3.3</v>
      </c>
      <c r="C147" t="s">
        <v>15</v>
      </c>
      <c r="D147" s="23" t="str">
        <f>HYPERLINK("https://www.biocoop.fr/magasin-biocoop_champollion/lentilles-corail-500g-al8038-000.html","8.7")</f>
        <v>8.7</v>
      </c>
      <c r="E147" s="20" t="s">
        <v>15</v>
      </c>
      <c r="F147" s="23" t="str">
        <f>HYPERLINK("https://www.biocoop.fr/magasin-biocoop_fontaine/lentilles-corail-500g-al8038-000.html","8.4")</f>
        <v>8.4</v>
      </c>
      <c r="G147" s="20" t="s">
        <v>15</v>
      </c>
      <c r="H147" s="18" t="str">
        <f>HYPERLINK("https://satoriz-comboire.bio/collections/vrac/products/eu1380","3.3")</f>
        <v>3.3</v>
      </c>
      <c r="I147" t="s">
        <v>15</v>
      </c>
      <c r="J147" s="23" t="str">
        <f>HYPERLINK("https://www.greenweez.com/produit/lentilles-corail-3kg/5GREE0154","4.0")</f>
        <v>4.0</v>
      </c>
      <c r="K147" t="s">
        <v>15</v>
      </c>
      <c r="L147">
        <v>0.5</v>
      </c>
    </row>
    <row r="148" spans="1:12" x14ac:dyDescent="0.3">
      <c r="A148" t="s">
        <v>332</v>
      </c>
      <c r="B148" s="18" t="str">
        <f>HYPERLINK("https://lafourche.fr/products/la-fourche-1kg-de-pois-casses-bio-en-vrac","3.99")</f>
        <v>3.99</v>
      </c>
      <c r="C148" t="s">
        <v>15</v>
      </c>
      <c r="D148" s="23" t="str">
        <f>HYPERLINK("https://www.biocoop.fr/magasin-biocoop_champollion/pois-casses-france-cuisson-rapide-250g-sa1122-000.html","8.32")</f>
        <v>8.32</v>
      </c>
      <c r="E148" s="19" t="s">
        <v>15</v>
      </c>
      <c r="F148" s="23" t="str">
        <f>HYPERLINK("https://www.biocoop.fr/magasin-biocoop_fontaine/pois-casses-france-500g-al8048-000.html","4.94")</f>
        <v>4.94</v>
      </c>
      <c r="G148" s="19" t="s">
        <v>15</v>
      </c>
      <c r="H148" s="23" t="str">
        <f>HYPERLINK("https://satoriz-comboire.bio/collections/vrac/products/eu1363","4.2")</f>
        <v>4.2</v>
      </c>
      <c r="I148" t="s">
        <v>15</v>
      </c>
      <c r="J148" s="18" t="str">
        <f>HYPERLINK("https://www.greenweez.com/produit/pois-casses-verts-3kg/5GREE0169","3.99")</f>
        <v>3.99</v>
      </c>
      <c r="K148" t="s">
        <v>15</v>
      </c>
    </row>
    <row r="149" spans="1:12" x14ac:dyDescent="0.3">
      <c r="A149" t="s">
        <v>335</v>
      </c>
      <c r="B149" s="18" t="str">
        <f>HYPERLINK("https://lafourche.fr/products/la-fourche-1kg-de-lentilles-vertes-bio-en-vrac","4.56")</f>
        <v>4.56</v>
      </c>
      <c r="C149" t="s">
        <v>15</v>
      </c>
      <c r="D149" s="23" t="str">
        <f>HYPERLINK("https://www.biocoop.fr/magasin-biocoop_champollion/lentilles-vertes-bio-br0278-000.html","5.25")</f>
        <v>5.25</v>
      </c>
      <c r="E149" s="20" t="s">
        <v>15</v>
      </c>
      <c r="F149" s="23" t="str">
        <f>HYPERLINK("https://www.biocoop.fr/magasin-biocoop_fontaine/lentilles-vertes-bio-br0278-000.html","5.3")</f>
        <v>5.3</v>
      </c>
      <c r="G149" s="20" t="s">
        <v>15</v>
      </c>
      <c r="H149" s="23" t="str">
        <f>HYPERLINK("https://satoriz-comboire.bio/collections/vrac/products/re39341","4.8")</f>
        <v>4.8</v>
      </c>
      <c r="I149" t="s">
        <v>15</v>
      </c>
      <c r="J149" s="23" t="str">
        <f>HYPERLINK("https://www.greenweez.com/produit/lentilles-vertes-bio-france-2-5kg/2WEEZ0296","5.38")</f>
        <v>5.38</v>
      </c>
      <c r="K149" t="s">
        <v>15</v>
      </c>
      <c r="L149">
        <v>0.5</v>
      </c>
    </row>
    <row r="150" spans="1:12" x14ac:dyDescent="0.3">
      <c r="A150" t="s">
        <v>338</v>
      </c>
      <c r="B150" s="18" t="str">
        <f>HYPERLINK("https://lafourche.fr/products/celnat-haricots-blancs-lingots-de-vendee-500g","6.52")</f>
        <v>6.52</v>
      </c>
      <c r="C150" t="s">
        <v>15</v>
      </c>
      <c r="D150" s="23" t="str">
        <f>HYPERLINK("https://www.biocoop.fr/magasin-biocoop_champollion/haricots-blancs-lingots-500g-fc1002-000.html","8.4")</f>
        <v>8.4</v>
      </c>
      <c r="E150" s="20" t="s">
        <v>15</v>
      </c>
      <c r="F150" s="23" t="str">
        <f>HYPERLINK("https://www.biocoop.fr/magasin-biocoop_fontaine/haricots-blancs-lingots-bio-al8036-000.html","6.9")</f>
        <v>6.9</v>
      </c>
      <c r="G150" s="20" t="s">
        <v>15</v>
      </c>
      <c r="H150" s="23" t="str">
        <f>HYPERLINK("https://satoriz-comboire.bio/products/ra1?_pos=1&amp;_sid=ae7e90580&amp;_ss=r","6.95")</f>
        <v>6.95</v>
      </c>
      <c r="I150" t="s">
        <v>15</v>
      </c>
      <c r="J150">
        <v>888888</v>
      </c>
    </row>
    <row r="151" spans="1:12" x14ac:dyDescent="0.3">
      <c r="A151" t="s">
        <v>339</v>
      </c>
      <c r="B151" s="18" t="str">
        <f>HYPERLINK("https://lafourche.fr/products/la-fourche-penne-complete-bio-en-vrac-1kg","2.2")</f>
        <v>2.2</v>
      </c>
      <c r="C151" t="s">
        <v>15</v>
      </c>
      <c r="D151" s="23" t="str">
        <f>HYPERLINK("https://www.biocoop.fr/magasin-biocoop_champollion/pennes-complet-bio-al0143-000.html","3.05")</f>
        <v>3.05</v>
      </c>
      <c r="E151" s="20" t="s">
        <v>15</v>
      </c>
      <c r="F151" s="23" t="str">
        <f>HYPERLINK("https://www.biocoop.fr/magasin-biocoop_fontaine/penne-completes-500g-al0137-000.html","3.0")</f>
        <v>3.0</v>
      </c>
      <c r="G151" s="20" t="s">
        <v>15</v>
      </c>
      <c r="H151" s="45" t="str">
        <f>HYPERLINK("https://satoriz-comboire.bio/collections/vrac/products/eu1054","888888")</f>
        <v>888888</v>
      </c>
      <c r="I151" s="19" t="s">
        <v>99</v>
      </c>
      <c r="J151" s="23" t="str">
        <f>HYPERLINK("https://www.greenweez.com/produit/penne-bio-semi-complete-500g/2WEEZ0490","888888")</f>
        <v>888888</v>
      </c>
      <c r="K151" s="19" t="s">
        <v>99</v>
      </c>
      <c r="L151">
        <v>0</v>
      </c>
    </row>
    <row r="152" spans="1:12" x14ac:dyDescent="0.3">
      <c r="A152" t="s">
        <v>341</v>
      </c>
      <c r="B152" s="18" t="str">
        <f>HYPERLINK("https://lafourche.fr/products/la-fourche-coquillettes-completes-bio-en-vrac-1kg","1.99")</f>
        <v>1.99</v>
      </c>
      <c r="C152" t="s">
        <v>15</v>
      </c>
      <c r="D152" s="23" t="str">
        <f>HYPERLINK("https://www.biocoop.fr/magasin-biocoop_champollion/coquillettes-1-2-completes-bio-al0060-000.html","2.2")</f>
        <v>2.2</v>
      </c>
      <c r="E152" s="20" t="s">
        <v>15</v>
      </c>
      <c r="F152" s="23" t="str">
        <f>HYPERLINK("https://www.biocoop.fr/magasin-biocoop_fontaine/coquillettes-completes-500g-al0028-000.html","3.2")</f>
        <v>3.2</v>
      </c>
      <c r="G152" s="20" t="s">
        <v>15</v>
      </c>
      <c r="H152" s="23" t="str">
        <f>HYPERLINK("https://satoriz-comboire.bio/collections/vrac/products/eu1053","888888")</f>
        <v>888888</v>
      </c>
      <c r="I152" s="19" t="s">
        <v>99</v>
      </c>
      <c r="J152" s="23" t="str">
        <f>HYPERLINK("https://www.greenweez.com/produit/coquillettes-demi-completes-1kg/1PRIM0788","2.44")</f>
        <v>2.44</v>
      </c>
      <c r="K152" s="20" t="s">
        <v>729</v>
      </c>
      <c r="L152">
        <v>0</v>
      </c>
    </row>
    <row r="153" spans="1:12" x14ac:dyDescent="0.3">
      <c r="A153" t="s">
        <v>345</v>
      </c>
      <c r="B153" s="23" t="str">
        <f>HYPERLINK("https://lafourche.fr/products/bio-pour-tous-spaghetti-complets-bio-500g","2.4")</f>
        <v>2.4</v>
      </c>
      <c r="C153" t="s">
        <v>15</v>
      </c>
      <c r="D153" s="23" t="str">
        <f>HYPERLINK("https://www.biocoop.fr/magasin-biocoop_champollion/spaghettis-complets-500g-al0001-000.html","3.14")</f>
        <v>3.14</v>
      </c>
      <c r="E153" s="20" t="s">
        <v>15</v>
      </c>
      <c r="F153" s="23" t="str">
        <f>HYPERLINK("https://www.biocoop.fr/magasin-biocoop_fontaine/spaghettis-complets-500g-al0001-000.html","2.9")</f>
        <v>2.9</v>
      </c>
      <c r="G153" s="20" t="s">
        <v>15</v>
      </c>
      <c r="H153" s="18" t="str">
        <f>HYPERLINK("https://satoriz-comboire.bio/products/re44650?_pos=5&amp;_sid=376ef8b42&amp;_ss=r","2.15")</f>
        <v>2.15</v>
      </c>
      <c r="I153" t="s">
        <v>15</v>
      </c>
      <c r="J153" s="23" t="str">
        <f>HYPERLINK("https://www.greenweez.com/produit/spaghettis-complets-bio-italie-500g/2WEEZ0029","3.38")</f>
        <v>3.38</v>
      </c>
      <c r="K153" t="s">
        <v>15</v>
      </c>
    </row>
    <row r="154" spans="1:12" x14ac:dyDescent="0.3">
      <c r="A154" t="s">
        <v>346</v>
      </c>
      <c r="B154" s="23" t="str">
        <f>HYPERLINK("https://lafourche.fr/products/bio-pour-tous-fusilli-integrales-bio-500g","2.52")</f>
        <v>2.52</v>
      </c>
      <c r="C154" t="s">
        <v>15</v>
      </c>
      <c r="D154" s="23" t="str">
        <f>HYPERLINK("https://www.biocoop.fr/magasin-biocoop_champollion/spirales-completes-500g-al0025-000.html","3.24")</f>
        <v>3.24</v>
      </c>
      <c r="E154" s="20" t="s">
        <v>15</v>
      </c>
      <c r="F154" s="23" t="str">
        <f>HYPERLINK("https://www.biocoop.fr/magasin-biocoop_fontaine/spirales-completes-500g-al0025-000.html","3.2")</f>
        <v>3.2</v>
      </c>
      <c r="G154" s="20" t="s">
        <v>15</v>
      </c>
      <c r="H154" s="18" t="str">
        <f>HYPERLINK("https://satoriz-comboire.bio/products/re39052?_pos=1&amp;_sid=2d3ebab7a&amp;_ss=r","2.3")</f>
        <v>2.3</v>
      </c>
      <c r="I154" t="s">
        <v>15</v>
      </c>
      <c r="J154" s="23" t="str">
        <f>HYPERLINK("https://www.greenweez.com/produit/torsades-completes-bio-italie-500g/2WEEZ0024","3.38")</f>
        <v>3.38</v>
      </c>
      <c r="K154" t="s">
        <v>15</v>
      </c>
    </row>
    <row r="155" spans="1:12" x14ac:dyDescent="0.3">
      <c r="A155" t="s">
        <v>347</v>
      </c>
      <c r="B155" s="18" t="str">
        <f>HYPERLINK("https://lafourche.fr/products/la-fourche-1kg-de-riz-basmati-complet-en-vrac-bio","3.5")</f>
        <v>3.5</v>
      </c>
      <c r="C155" t="s">
        <v>15</v>
      </c>
      <c r="D155" s="23" t="str">
        <f>HYPERLINK("https://www.biocoop.fr/magasin-biocoop_champollion/riz-basmati-complet-bio-mf0081-000.html","4.4")</f>
        <v>4.4</v>
      </c>
      <c r="E155" s="20" t="s">
        <v>15</v>
      </c>
      <c r="F155" s="23" t="str">
        <f>HYPERLINK("https://www.biocoop.fr/magasin-biocoop_fontaine/riz-basmati-complet-mf0014-000.html","6.2")</f>
        <v>6.2</v>
      </c>
      <c r="G155" s="20" t="s">
        <v>15</v>
      </c>
      <c r="H155" s="23" t="str">
        <f>HYPERLINK("https://satoriz-comboire.bio/collections/vrac/products/eu2292","3.7")</f>
        <v>3.7</v>
      </c>
      <c r="I155" t="s">
        <v>15</v>
      </c>
      <c r="J155" s="23" t="str">
        <f>HYPERLINK("https://www.greenweez.com/produit/riz-basmati-complet-bio-2-5kg/2WEEZ0124","4.38")</f>
        <v>4.38</v>
      </c>
      <c r="K155" t="s">
        <v>15</v>
      </c>
    </row>
    <row r="156" spans="1:12" x14ac:dyDescent="0.3">
      <c r="A156" t="s">
        <v>351</v>
      </c>
      <c r="B156" s="23" t="str">
        <f>HYPERLINK("https://lafourche.fr/products/la-fourche-3kg-de-riz-long-complet-en-vrac-bio-gros-format","4.27")</f>
        <v>4.27</v>
      </c>
      <c r="C156" t="s">
        <v>15</v>
      </c>
      <c r="D156" s="23" t="str">
        <f>HYPERLINK("https://www.biocoop.fr/magasin-biocoop_champollion/riz-long-complet-camargue-1kg-bo0100-000.html","4.61")</f>
        <v>4.61</v>
      </c>
      <c r="E156" t="s">
        <v>15</v>
      </c>
      <c r="F156" s="23" t="str">
        <f>HYPERLINK("https://www.biocoop.fr/magasin-biocoop_fontaine/riz-long-complet-camargue-1kg-bo0100-000.html","4.8")</f>
        <v>4.8</v>
      </c>
      <c r="G156" t="s">
        <v>15</v>
      </c>
      <c r="H156" s="18" t="str">
        <f>HYPERLINK("https://satoriz-comboire.bio/collections/vrac/products/eu629","3.1")</f>
        <v>3.1</v>
      </c>
      <c r="I156" t="s">
        <v>15</v>
      </c>
      <c r="J156" s="23" t="str">
        <f>HYPERLINK("https://www.greenweez.com/produit/riz-long-brun-bio-2-5kg/2WEEZ0472","3.88")</f>
        <v>3.88</v>
      </c>
      <c r="K156" t="s">
        <v>15</v>
      </c>
      <c r="L156">
        <v>0.5</v>
      </c>
    </row>
    <row r="157" spans="1:12" x14ac:dyDescent="0.3">
      <c r="A157" t="s">
        <v>353</v>
      </c>
      <c r="B157" s="23" t="str">
        <f>HYPERLINK("https://lafourche.fr/products/celnat-riz-rond-complet-de-camargue-igp-bio-0-5kg","5.54")</f>
        <v>5.54</v>
      </c>
      <c r="C157" t="s">
        <v>15</v>
      </c>
      <c r="D157" s="23" t="str">
        <f>HYPERLINK("https://www.biocoop.fr/magasin-biocoop_champollion/riz-de-camargue-rond-1-2-complet-1kg-bo0106-000.html","5.25")</f>
        <v>5.25</v>
      </c>
      <c r="E157" t="s">
        <v>15</v>
      </c>
      <c r="F157" s="23" t="str">
        <f>HYPERLINK("https://www.biocoop.fr/magasin-biocoop_fontaine/riz-de-camargue-rond-1-2-complet-1kg-bo0106-000.html","4.95")</f>
        <v>4.95</v>
      </c>
      <c r="G157" t="s">
        <v>15</v>
      </c>
      <c r="H157" s="18" t="str">
        <f>HYPERLINK("https://satoriz-comboire.bio/collections/vrac/products/eu624","3.3")</f>
        <v>3.3</v>
      </c>
      <c r="I157" t="s">
        <v>15</v>
      </c>
      <c r="J157" s="23" t="str">
        <f>HYPERLINK("https://www.greenweez.com/produit/riz-rond-complet-bio-2-5kg/2WEEZ0126","4.38")</f>
        <v>4.38</v>
      </c>
      <c r="K157" t="s">
        <v>15</v>
      </c>
    </row>
    <row r="158" spans="1:12" x14ac:dyDescent="0.3">
      <c r="A158" s="16" t="s">
        <v>356</v>
      </c>
      <c r="B158" s="17"/>
      <c r="C158" s="17"/>
      <c r="D158" s="17"/>
      <c r="E158" s="17"/>
      <c r="F158" s="17"/>
      <c r="G158" s="17"/>
      <c r="H158" s="17"/>
      <c r="I158" s="17"/>
      <c r="J158" s="17"/>
      <c r="K158" s="17"/>
    </row>
    <row r="159" spans="1:12" x14ac:dyDescent="0.3">
      <c r="A159" t="s">
        <v>357</v>
      </c>
      <c r="B159" s="23" t="str">
        <f>HYPERLINK("https://lafourche.fr/products/la-fourche-creme-entiere-liquide-bio-3x20cl-0-6l","6.63")</f>
        <v>6.63</v>
      </c>
      <c r="D159" s="23" t="str">
        <f>HYPERLINK("https://www.biocoop.fr/magasin-biocoop_champollion/creme-entiere-fluide-30-mg-ls3001-000.html","7.25")</f>
        <v>7.25</v>
      </c>
      <c r="F159" s="23" t="str">
        <f>HYPERLINK("https://www.biocoop.fr/magasin-biocoop_fontaine/creme-entiere-fluide-30-mg-ls3001-000.html","7.25")</f>
        <v>7.25</v>
      </c>
      <c r="H159" s="18" t="str">
        <f>HYPERLINK("https://satoriz-comboire.bio/products/re16270?_pos=1&amp;_sid=9d4552554&amp;_ss=r","6.25")</f>
        <v>6.25</v>
      </c>
      <c r="J159" s="23" t="str">
        <f>HYPERLINK("https://www.greenweez.com/produit/creme-liquide-entiere-uht-30-mg-pf-3x20cl/1LAIP0002","8.25")</f>
        <v>8.25</v>
      </c>
    </row>
    <row r="160" spans="1:12" x14ac:dyDescent="0.3">
      <c r="A160" t="s">
        <v>358</v>
      </c>
      <c r="B160" s="23" t="str">
        <f>HYPERLINK("https://lafourche.fr/products/la-fourche-lait-de-coco-bio-0-4l","4.25")</f>
        <v>4.25</v>
      </c>
      <c r="C160" t="s">
        <v>15</v>
      </c>
      <c r="D160" s="23" t="str">
        <f>HYPERLINK("https://www.biocoop.fr/magasin-biocoop_champollion/lait-coco-a-cuisiner-17-mg-tetra-1l-bc9029-000.html","5.14")</f>
        <v>5.14</v>
      </c>
      <c r="E160" t="s">
        <v>15</v>
      </c>
      <c r="F160" s="23" t="str">
        <f>HYPERLINK("https://www.biocoop.fr/magasin-biocoop_fontaine/lait-coco-40cl-mc0002-000.html","5.25")</f>
        <v>5.25</v>
      </c>
      <c r="G160" s="20" t="s">
        <v>15</v>
      </c>
      <c r="H160" s="18" t="str">
        <f>HYPERLINK("https://satoriz-comboire.bio/products/re41359","3.75")</f>
        <v>3.75</v>
      </c>
      <c r="I160" t="s">
        <v>15</v>
      </c>
      <c r="J160" s="23" t="str">
        <f>HYPERLINK("https://www.greenweez.com/produit/lait-de-coco-17-mg-400ml-equitable/2WEEZ0407","4.25")</f>
        <v>4.25</v>
      </c>
      <c r="K160" t="s">
        <v>15</v>
      </c>
      <c r="L160">
        <v>0.3</v>
      </c>
    </row>
    <row r="161" spans="1:12" x14ac:dyDescent="0.3">
      <c r="A161" t="s">
        <v>359</v>
      </c>
      <c r="B161" s="23" t="str">
        <f>HYPERLINK("https://lafourche.fr/products/la-fourche-creme-de-coco-22-de-mg-bio-et-equitable-0-4l","4.63")</f>
        <v>4.63</v>
      </c>
      <c r="C161" t="s">
        <v>15</v>
      </c>
      <c r="D161" s="23" t="str">
        <f>HYPERLINK("https://www.biocoop.fr/magasin-biocoop_champollion/creme-coco-a-fouetter-400ml-bc9028-000.html","8.25")</f>
        <v>8.25</v>
      </c>
      <c r="E161" s="20" t="s">
        <v>15</v>
      </c>
      <c r="F161" s="23" t="str">
        <f>HYPERLINK("https://www.biocoop.fr/magasin-biocoop_fontaine/creme-de-coco-a-cuisiner-mc0003-000.html","5.75")</f>
        <v>5.75</v>
      </c>
      <c r="G161" s="20" t="s">
        <v>15</v>
      </c>
      <c r="H161" s="18" t="str">
        <f>HYPERLINK("https://satoriz-comboire.bio/collections/produits-frais/products/re41360","4.13")</f>
        <v>4.13</v>
      </c>
      <c r="I161" t="s">
        <v>15</v>
      </c>
      <c r="J161" s="23" t="str">
        <f>HYPERLINK("https://www.greenweez.com/produit/creme-de-coco-22-mg-40cl/1BASE0009","5.15")</f>
        <v>5.15</v>
      </c>
      <c r="K161" t="s">
        <v>15</v>
      </c>
    </row>
    <row r="162" spans="1:12" x14ac:dyDescent="0.3">
      <c r="A162" t="s">
        <v>362</v>
      </c>
      <c r="B162" s="18" t="str">
        <f>HYPERLINK("https://lafourche.fr/products/la-fourche-soja-cuisine-bio-3x20cl-0-6l","3.8")</f>
        <v>3.8</v>
      </c>
      <c r="C162" t="s">
        <v>15</v>
      </c>
      <c r="D162" s="23" t="str">
        <f>HYPERLINK("https://www.biocoop.fr/magasin-biocoop_champollion/cuisine-soja-20cl-sy1605-000.html","7.65")</f>
        <v>7.65</v>
      </c>
      <c r="E162" s="20" t="s">
        <v>15</v>
      </c>
      <c r="F162" s="23" t="str">
        <f>HYPERLINK("https://www.biocoop.fr/magasin-biocoop_fontaine/cuisine-soja-20cl-so-soja-cuisine-ti3018-000.html","5.5")</f>
        <v>5.5</v>
      </c>
      <c r="G162" s="20" t="s">
        <v>15</v>
      </c>
      <c r="H162" s="23" t="str">
        <f>HYPERLINK("https://satoriz-comboire.bio/collections/produits-frais/products/aa197367","4.8")</f>
        <v>4.8</v>
      </c>
      <c r="I162" t="s">
        <v>15</v>
      </c>
      <c r="J162" s="23" t="str">
        <f>HYPERLINK("https://www.greenweez.com/produit/lot-de-3-x-creme-soja-du-chef-25cl/1PACK3768","6.13")</f>
        <v>6.13</v>
      </c>
      <c r="K162" t="s">
        <v>15</v>
      </c>
      <c r="L162">
        <v>0.2</v>
      </c>
    </row>
    <row r="163" spans="1:12" x14ac:dyDescent="0.3">
      <c r="A163" t="s">
        <v>364</v>
      </c>
      <c r="B163" s="18" t="str">
        <f>HYPERLINK("https://lafourche.fr/products/lima-creme-cuisine-a-base-de-riz-bio-0-2kg","4.5")</f>
        <v>4.5</v>
      </c>
      <c r="C163" t="s">
        <v>15</v>
      </c>
      <c r="D163" s="23" t="str">
        <f>HYPERLINK("https://www.biocoop.fr/magasin-biocoop_champollion/cuisine-riz-liquide-20cl-ab5020-000.html","4.95")</f>
        <v>4.95</v>
      </c>
      <c r="E163" s="20" t="s">
        <v>15</v>
      </c>
      <c r="F163" s="23" t="str">
        <f>HYPERLINK("https://www.biocoop.fr/magasin-biocoop_fontaine/cuisine-riz-liquide-20cl-ab5020-000.html","4.95")</f>
        <v>4.95</v>
      </c>
      <c r="G163" s="20" t="s">
        <v>15</v>
      </c>
      <c r="H163" s="23" t="str">
        <f>HYPERLINK("https://satoriz-comboire.bio/collections/produits-frais/products/aa212388","4.9")</f>
        <v>4.9</v>
      </c>
      <c r="I163" t="s">
        <v>15</v>
      </c>
      <c r="J163" s="23" t="str">
        <f>HYPERLINK("https://www.greenweez.com/produit/preparation-de-riz-cuisine-200ml/1BRID0019","16.7")</f>
        <v>16.7</v>
      </c>
      <c r="K163" t="s">
        <v>15</v>
      </c>
      <c r="L163">
        <v>0.2</v>
      </c>
    </row>
    <row r="164" spans="1:12" x14ac:dyDescent="0.3">
      <c r="A164" t="s">
        <v>366</v>
      </c>
      <c r="B164" s="18" t="str">
        <f>HYPERLINK("https://lafourche.fr/products/lima-oat-avoine-cuisine-20cl","4.5")</f>
        <v>4.5</v>
      </c>
      <c r="C164" t="s">
        <v>15</v>
      </c>
      <c r="D164" s="23" t="str">
        <f>HYPERLINK("https://www.biocoop.fr/magasin-biocoop_champollion/avoine-cuisine-20cl-tb0030-000.html","4.5")</f>
        <v>4.5</v>
      </c>
      <c r="E164" s="20" t="s">
        <v>15</v>
      </c>
      <c r="F164" s="23" t="str">
        <f>HYPERLINK("https://www.biocoop.fr/magasin-biocoop_fontaine/avoine-cuisine-20cl-tb0030-000.html","4.5")</f>
        <v>4.5</v>
      </c>
      <c r="G164" s="20" t="s">
        <v>15</v>
      </c>
      <c r="H164" s="23" t="str">
        <f>HYPERLINK("https://satoriz-comboire.bio/collections/produits-frais/products/tb6","5.75")</f>
        <v>5.75</v>
      </c>
      <c r="I164" t="s">
        <v>15</v>
      </c>
      <c r="J164" s="23" t="str">
        <f>HYPERLINK("https://www.greenweez.com/produit/puree-davoine-cuisine-200ml/1LIMA0106","6.0")</f>
        <v>6.0</v>
      </c>
      <c r="K164" s="21" t="s">
        <v>730</v>
      </c>
      <c r="L164">
        <v>0.2</v>
      </c>
    </row>
    <row r="165" spans="1:12" x14ac:dyDescent="0.3">
      <c r="A165" t="s">
        <v>369</v>
      </c>
      <c r="B165" s="18" t="str">
        <f>HYPERLINK("https://lafourche.fr/products/lima-creme-cuisine-amande-bio-0-2l","4.9")</f>
        <v>4.9</v>
      </c>
      <c r="C165" t="s">
        <v>15</v>
      </c>
      <c r="D165" s="23" t="str">
        <f>HYPERLINK("https://www.biocoop.fr/magasin-biocoop_champollion/cuisine-amande-20cl-hm1061-000.html","9.0")</f>
        <v>9.0</v>
      </c>
      <c r="E165" s="20" t="s">
        <v>15</v>
      </c>
      <c r="F165" s="23" t="str">
        <f>HYPERLINK("https://www.biocoop.fr/magasin-biocoop_fontaine/amande-cuisine-25cl-ma0021-000.html","8.8")</f>
        <v>8.8</v>
      </c>
      <c r="G165" s="20" t="s">
        <v>15</v>
      </c>
      <c r="H165" s="23" t="str">
        <f>HYPERLINK("https://satoriz-comboire.bio/collections/produits-frais/products/pera6902a","9.5")</f>
        <v>9.5</v>
      </c>
      <c r="I165" t="s">
        <v>15</v>
      </c>
      <c r="J165" s="23" t="str">
        <f>HYPERLINK("https://www.greenweez.com/produit/amande-cuisine-20cl-1/1PERL0118","10.15")</f>
        <v>10.15</v>
      </c>
      <c r="K165" t="s">
        <v>15</v>
      </c>
    </row>
    <row r="166" spans="1:12" x14ac:dyDescent="0.3">
      <c r="A166" t="s">
        <v>372</v>
      </c>
      <c r="B166" s="18" t="str">
        <f>HYPERLINK("https://lafourche.fr/products/autour-du-riz-shoyu-sauce-soja-traditionnelle-bio-600ml","9.37")</f>
        <v>9.37</v>
      </c>
      <c r="C166" t="s">
        <v>15</v>
      </c>
      <c r="D166" s="23" t="str">
        <f>HYPERLINK("https://www.biocoop.fr/magasin-biocoop_champollion/shoyu-traditionnel-sauce-soja-mf1139-000.html","9.92")</f>
        <v>9.92</v>
      </c>
      <c r="E166" s="20" t="s">
        <v>15</v>
      </c>
      <c r="F166" s="23" t="str">
        <f>HYPERLINK("https://www.biocoop.fr/magasin-biocoop_fontaine/shoyu-traditionnel-sauce-soja-mf1139-000.html","9.92")</f>
        <v>9.92</v>
      </c>
      <c r="G166" s="20" t="s">
        <v>15</v>
      </c>
      <c r="H166" s="23" t="str">
        <f>HYPERLINK("https://satoriz-comboire.bio/collections/epicerie-salee/products/re2583","11.3")</f>
        <v>11.3</v>
      </c>
      <c r="I166" t="s">
        <v>15</v>
      </c>
      <c r="J166" s="23" t="str">
        <f>HYPERLINK("https://www.greenweez.com/produit/sauce-soja-shoyu-traditionnel-60cl/1FITN0063","11.23")</f>
        <v>11.23</v>
      </c>
      <c r="K166" t="s">
        <v>15</v>
      </c>
    </row>
    <row r="167" spans="1:12" x14ac:dyDescent="0.3">
      <c r="A167" t="s">
        <v>376</v>
      </c>
      <c r="B167" s="18" t="str">
        <f>HYPERLINK("https://lafourche.fr/products/autour-du-riz-veritable-sauce-tamari-bio-600ml","10.08")</f>
        <v>10.08</v>
      </c>
      <c r="C167" t="s">
        <v>15</v>
      </c>
      <c r="D167" s="23" t="str">
        <f>HYPERLINK("https://www.biocoop.fr/magasin-biocoop_champollion/veritable-tamari-sauce-soja-mf1140-000.html","11.58")</f>
        <v>11.58</v>
      </c>
      <c r="E167" s="20" t="s">
        <v>15</v>
      </c>
      <c r="F167" s="23" t="str">
        <f>HYPERLINK("https://www.biocoop.fr/magasin-biocoop_fontaine/veritable-tamari-sauce-soja-mf1140-000.html","11.58")</f>
        <v>11.58</v>
      </c>
      <c r="G167" s="20" t="s">
        <v>15</v>
      </c>
      <c r="H167" s="23" t="str">
        <f>HYPERLINK("https://satoriz-comboire.bio/products/da2810?_pos=1&amp;_sid=897b7d14d&amp;_ss=r","14.4")</f>
        <v>14.4</v>
      </c>
      <c r="I167" t="s">
        <v>15</v>
      </c>
      <c r="J167" s="23" t="str">
        <f>HYPERLINK("https://www.greenweez.com/produit/tamari-sauce-soja-60cl/1FITN0065","13.07")</f>
        <v>13.07</v>
      </c>
      <c r="K167" s="20" t="s">
        <v>731</v>
      </c>
    </row>
    <row r="168" spans="1:12" x14ac:dyDescent="0.3">
      <c r="A168" t="s">
        <v>379</v>
      </c>
      <c r="B168" s="23" t="str">
        <f>HYPERLINK("https://lafourche.fr/products/autour-du-riz-marinade-teriyaki-bio-200ml","17.45")</f>
        <v>17.45</v>
      </c>
      <c r="C168" t="s">
        <v>15</v>
      </c>
      <c r="D168" s="23" t="str">
        <f>HYPERLINK("https://www.biocoop.fr/magasin-biocoop_champollion/marinade-teriyaki-sauce-soja-douce-200ml-mf1135-000.html","18.65")</f>
        <v>18.65</v>
      </c>
      <c r="E168" s="20" t="s">
        <v>15</v>
      </c>
      <c r="F168" s="23" t="str">
        <f>HYPERLINK("https://www.biocoop.fr/magasin-biocoop_fontaine/marinade-teriyaki-sauce-soja-douce-200ml-mf1135-000.html","888888")</f>
        <v>888888</v>
      </c>
      <c r="G168" s="19" t="s">
        <v>99</v>
      </c>
      <c r="H168" s="18" t="str">
        <f>HYPERLINK("https://satoriz-comboire.bio/products/re31762?_pos=2&amp;_sid=a4310e210&amp;_ss=r","17.0")</f>
        <v>17.0</v>
      </c>
      <c r="I168" t="s">
        <v>15</v>
      </c>
      <c r="J168" s="23" t="str">
        <f>HYPERLINK("https://www.greenweez.com/produit/marinade-teriyaki-20cl/1FITN0068","19.7")</f>
        <v>19.7</v>
      </c>
      <c r="K168" t="s">
        <v>15</v>
      </c>
    </row>
    <row r="169" spans="1:12" x14ac:dyDescent="0.3">
      <c r="A169" t="s">
        <v>383</v>
      </c>
      <c r="B169" s="23" t="str">
        <f>HYPERLINK("https://lafourche.fr/products/prosain-coulis-de-tomates-du-sud-ouest-bio-425ml","3.51")</f>
        <v>3.51</v>
      </c>
      <c r="C169" t="s">
        <v>15</v>
      </c>
      <c r="D169" s="23" t="str">
        <f>HYPERLINK("https://www.biocoop.fr/magasin-biocoop_champollion/coulis-de-tomates-pr5266-000.html","4.27")</f>
        <v>4.27</v>
      </c>
      <c r="E169" s="20" t="s">
        <v>15</v>
      </c>
      <c r="F169" s="23" t="str">
        <f>HYPERLINK("https://www.biocoop.fr/magasin-biocoop_fontaine/coulis-de-tomates-pr5266-000.html","4.27")</f>
        <v>4.27</v>
      </c>
      <c r="G169" s="20" t="s">
        <v>15</v>
      </c>
      <c r="H169" s="23" t="str">
        <f>HYPERLINK("https://satoriz-comboire.bio/products/tdsppr5?_pos=4&amp;_sid=41218c552&amp;_ss=r","4.12")</f>
        <v>4.12</v>
      </c>
      <c r="I169" t="s">
        <v>15</v>
      </c>
      <c r="J169" s="18" t="str">
        <f>HYPERLINK("https://www.greenweez.com/produit/coulis-de-tomates-bio-500g/2WEEZ0415","2.28")</f>
        <v>2.28</v>
      </c>
      <c r="K169" s="20" t="s">
        <v>732</v>
      </c>
      <c r="L169">
        <v>0.5</v>
      </c>
    </row>
    <row r="170" spans="1:12" x14ac:dyDescent="0.3">
      <c r="A170" t="s">
        <v>385</v>
      </c>
      <c r="B170" s="13" t="str">
        <f>HYPERLINK("https://lafourche.fr/products/la-fourche-passata-bio-0-68kg","2.28")</f>
        <v>2.28</v>
      </c>
      <c r="C170" s="19" t="s">
        <v>99</v>
      </c>
      <c r="D170" s="23" t="str">
        <f>HYPERLINK("https://www.biocoop.fr/magasin-biocoop_champollion/sauce-tomate-passata-rustique-510g-ts5102-000.html","5.86")</f>
        <v>5.86</v>
      </c>
      <c r="E170" s="20" t="s">
        <v>15</v>
      </c>
      <c r="F170" s="23" t="str">
        <f>HYPERLINK("https://www.biocoop.fr/magasin-biocoop_fontaine/sauce-tomate-passata-rustique-510g-ts5102-000.html","5.49")</f>
        <v>5.49</v>
      </c>
      <c r="G170" s="20" t="s">
        <v>15</v>
      </c>
      <c r="H170" s="18" t="str">
        <f>HYPERLINK("https://satoriz-comboire.bio/products/re43264?_pos=1&amp;_sid=c9497427a&amp;_ss=r","2.28")</f>
        <v>2.28</v>
      </c>
      <c r="I170" t="s">
        <v>15</v>
      </c>
      <c r="J170" s="23" t="str">
        <f>HYPERLINK("https://www.greenweez.com/produit/sauce-tomate-passata-nature-690g-1/1LUCE0026","888888")</f>
        <v>888888</v>
      </c>
      <c r="K170" s="19" t="s">
        <v>99</v>
      </c>
    </row>
    <row r="171" spans="1:12" x14ac:dyDescent="0.3">
      <c r="A171" t="s">
        <v>389</v>
      </c>
      <c r="B171" s="23" t="str">
        <f>HYPERLINK("https://lafourche.fr/products/bio-pour-tous-passata-basilic-bio-0-68kg","2.5")</f>
        <v>2.5</v>
      </c>
      <c r="C171" t="s">
        <v>15</v>
      </c>
      <c r="D171" s="23" t="str">
        <f>HYPERLINK("https://www.biocoop.fr/magasin-biocoop_champollion/sauce-tomate-basilic-300g-ts5100-000.html","7.0")</f>
        <v>7.0</v>
      </c>
      <c r="E171" s="20" t="s">
        <v>15</v>
      </c>
      <c r="F171" s="23" t="str">
        <f>HYPERLINK("https://www.biocoop.fr/magasin-biocoop_fontaine/passata-au-basilic-350g-ts5128-000.html","6.0")</f>
        <v>6.0</v>
      </c>
      <c r="G171" s="20" t="s">
        <v>15</v>
      </c>
      <c r="H171" s="18" t="str">
        <f>HYPERLINK("https://satoriz-comboire.bio/collections/epicerie-salee/products/re43265","2.35")</f>
        <v>2.35</v>
      </c>
      <c r="I171" t="s">
        <v>15</v>
      </c>
      <c r="J171" s="23" t="str">
        <f>HYPERLINK("https://www.greenweez.com/produit/passata-basilic-680g/1LUCE0028","3.47")</f>
        <v>3.47</v>
      </c>
      <c r="K171" s="21" t="s">
        <v>733</v>
      </c>
    </row>
    <row r="172" spans="1:12" x14ac:dyDescent="0.3">
      <c r="A172" t="s">
        <v>393</v>
      </c>
      <c r="B172" s="18" t="str">
        <f>HYPERLINK("https://lafourche.fr/products/la-fourche-tomates-pelees-bio-800g-0-8kg","2.37")</f>
        <v>2.37</v>
      </c>
      <c r="C172" t="s">
        <v>15</v>
      </c>
      <c r="D172" s="23" t="str">
        <f>HYPERLINK("https://www.biocoop.fr/magasin-biocoop_champollion/tomates-entieres-pelees-240g-net-egoutte-ca0004-000.html","8.17")</f>
        <v>8.17</v>
      </c>
      <c r="E172" s="20" t="s">
        <v>15</v>
      </c>
      <c r="F172" s="23" t="str">
        <f>HYPERLINK("https://www.biocoop.fr/magasin-biocoop_fontaine/tomates-entieres-pelees-480g-net-egoutte-ca0014-000.html","5.52")</f>
        <v>5.52</v>
      </c>
      <c r="G172" s="20" t="s">
        <v>15</v>
      </c>
      <c r="H172" s="23" t="str">
        <f>HYPERLINK("https://satoriz-comboire.bio/products/re43269?_pos=1&amp;_sid=31eef6622&amp;_ss=r","4.27")</f>
        <v>4.27</v>
      </c>
      <c r="I172" t="s">
        <v>15</v>
      </c>
      <c r="J172" s="23" t="str">
        <f>HYPERLINK("https://www.greenweez.com/produit/tomates-pelees-format-familial-800g/1LUCE0032","3.35")</f>
        <v>3.35</v>
      </c>
      <c r="K172" t="s">
        <v>15</v>
      </c>
    </row>
    <row r="173" spans="1:12" x14ac:dyDescent="0.3">
      <c r="A173" t="s">
        <v>396</v>
      </c>
      <c r="B173" s="18" t="str">
        <f>HYPERLINK("https://lafourche.fr/products/la-fourche-tomates-concassees-bio-800g-0-8kg","2.44")</f>
        <v>2.44</v>
      </c>
      <c r="C173" t="s">
        <v>15</v>
      </c>
      <c r="D173" s="23" t="str">
        <f>HYPERLINK("https://www.biocoop.fr/magasin-biocoop_champollion/tomates-concassees-400g-ca0006-000.html","4.45")</f>
        <v>4.45</v>
      </c>
      <c r="E173" s="20" t="s">
        <v>15</v>
      </c>
      <c r="F173" s="23" t="str">
        <f>HYPERLINK("https://www.biocoop.fr/magasin-biocoop_fontaine/tomates-concassees-400g-ca0006-000.html","3.5")</f>
        <v>3.5</v>
      </c>
      <c r="G173" s="20" t="s">
        <v>15</v>
      </c>
      <c r="H173" s="23" t="str">
        <f>HYPERLINK("https://satoriz-comboire.bio/products/re43267?_pos=1&amp;_psq=Tomates%20concass%C3%A9e&amp;_ss=e&amp;_v=1.0","4.38")</f>
        <v>4.38</v>
      </c>
      <c r="I173" t="s">
        <v>15</v>
      </c>
      <c r="J173" s="23" t="str">
        <f>HYPERLINK("https://www.greenweez.com/produit/tomates-concassees-400g-1/1LUCE0025","4.1")</f>
        <v>4.1</v>
      </c>
      <c r="K173" t="s">
        <v>15</v>
      </c>
    </row>
    <row r="175" spans="1:12" ht="18.75" customHeight="1" x14ac:dyDescent="0.35">
      <c r="A175" s="14" t="s">
        <v>398</v>
      </c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2" x14ac:dyDescent="0.3">
      <c r="A176" s="16" t="s">
        <v>399</v>
      </c>
      <c r="B176" s="17"/>
      <c r="C176" s="17"/>
      <c r="D176" s="17"/>
      <c r="E176" s="17"/>
      <c r="F176" s="17"/>
      <c r="G176" s="17"/>
      <c r="H176" s="17"/>
      <c r="I176" s="17"/>
      <c r="J176" s="17"/>
      <c r="K176" s="17"/>
    </row>
    <row r="177" spans="1:12" x14ac:dyDescent="0.3">
      <c r="A177" t="s">
        <v>400</v>
      </c>
      <c r="B177" s="18" t="str">
        <f>HYPERLINK("https://lafourche.fr/products/la-pateliere-arome-naturel-fleur-d-oranger-bio-1l","7.39")</f>
        <v>7.39</v>
      </c>
      <c r="D177" s="23" t="str">
        <f>HYPERLINK("https://www.biocoop.fr/magasin-biocoop_champollion/eau-de-fleur-d-oranger-50ml-ck2004-000.html","72.0")</f>
        <v>72.0</v>
      </c>
      <c r="F177" s="23" t="str">
        <f>HYPERLINK("https://www.biocoop.fr/magasin-biocoop_fontaine/eau-de-fleur-d-oranger-50ml-ck2004-000.html","73.0")</f>
        <v>73.0</v>
      </c>
      <c r="H177" s="23" t="str">
        <f>HYPERLINK("https://satoriz-comboire.bio/collections/epicerie-sucree/products/sero20201","10.45")</f>
        <v>10.45</v>
      </c>
      <c r="J177" s="23" t="str">
        <f>HYPERLINK("https://www.greenweez.com/produit/eau-florale-de-fleur-doranger-200ml/1LADR0102","37.05")</f>
        <v>37.05</v>
      </c>
    </row>
    <row r="178" spans="1:12" x14ac:dyDescent="0.3">
      <c r="A178" t="s">
        <v>401</v>
      </c>
      <c r="B178" s="18" t="str">
        <f>HYPERLINK("https://lafourche.fr/products/culinat-arome-naturel-damande-amere-bio-0-06l","57.17")</f>
        <v>57.17</v>
      </c>
      <c r="D178" s="23" t="str">
        <f>HYPERLINK("https://www.biocoop.fr/magasin-biocoop_champollion/arome-amande-amere-60ml-bp5140-000.html","888888")</f>
        <v>888888</v>
      </c>
      <c r="F178" s="23" t="str">
        <f>HYPERLINK("https://www.biocoop.fr/magasin-biocoop_fontaine/arome-amande-amere-60ml-bp5140-000.html","62.5")</f>
        <v>62.5</v>
      </c>
      <c r="H178">
        <v>888888</v>
      </c>
      <c r="J178" s="23" t="str">
        <f>HYPERLINK("https://www.greenweez.com/produit/arome-naturel-damande-amere-60ml/1CULI0015","66.5")</f>
        <v>66.5</v>
      </c>
    </row>
    <row r="179" spans="1:12" x14ac:dyDescent="0.3">
      <c r="A179" t="s">
        <v>402</v>
      </c>
      <c r="B179" s="23" t="str">
        <f>HYPERLINK("https://lafourche.fr/products/cook-extrait-de-vanille-40ml","269")</f>
        <v>269</v>
      </c>
      <c r="D179" s="23" t="str">
        <f>HYPERLINK("https://www.biocoop.fr/magasin-biocoop_champollion/extrait-naturel-de-vanille-bourbon-40ml-da9015-000.html","287.5")</f>
        <v>287.5</v>
      </c>
      <c r="F179" s="23" t="str">
        <f>HYPERLINK("https://www.biocoop.fr/magasin-biocoop_fontaine/extrait-naturel-de-vanille-bourbon-40ml-da9015-000.html","888888")</f>
        <v>888888</v>
      </c>
      <c r="H179" s="18" t="str">
        <f>HYPERLINK("https://satoriz-comboire.bio/collections/epicerie-sucree/products/cova","263.75")</f>
        <v>263.75</v>
      </c>
      <c r="J179" s="23" t="str">
        <f>HYPERLINK("https://www.greenweez.com/produit/extrait-de-vanille-30ml/6NATU0064","294.33")</f>
        <v>294.33</v>
      </c>
    </row>
    <row r="180" spans="1:12" x14ac:dyDescent="0.3">
      <c r="A180" t="s">
        <v>403</v>
      </c>
      <c r="B180" s="23" t="str">
        <f>HYPERLINK("https://lafourche.fr/products/cook-vanille-gousse-poudre-10g","1099")</f>
        <v>1099</v>
      </c>
      <c r="D180">
        <v>888888</v>
      </c>
      <c r="F180">
        <v>888888</v>
      </c>
      <c r="H180" s="18" t="str">
        <f>HYPERLINK("https://satoriz-comboire.bio/collections/epicerie-sucree/products/covanil1","1040.0")</f>
        <v>1040.0</v>
      </c>
      <c r="J180" s="23" t="str">
        <f>HYPERLINK("https://www.greenweez.com/produit/vanille-poudre-bio-10g/1COOK0108","1194.0")</f>
        <v>1194.0</v>
      </c>
    </row>
    <row r="181" spans="1:12" x14ac:dyDescent="0.3">
      <c r="A181" t="s">
        <v>404</v>
      </c>
      <c r="B181" s="18" t="str">
        <f>HYPERLINK("https://lafourche.fr/products/culinat-poudre-a-lever-sans-phosphate-bio-8x10g","15.13")</f>
        <v>15.13</v>
      </c>
      <c r="D181" s="23" t="str">
        <f>HYPERLINK("https://www.biocoop.fr/magasin-biocoop_champollion/poudre-a-lever-sans-gluten-8x10g-bp5153-000.html","888888")</f>
        <v>888888</v>
      </c>
      <c r="F181" s="23" t="str">
        <f>HYPERLINK("https://www.biocoop.fr/magasin-biocoop_fontaine/poudre-a-lever-sans-gluten-8x10g-bp5153-000.html","19.75")</f>
        <v>19.75</v>
      </c>
      <c r="H181" s="23" t="str">
        <f>HYPERLINK("https://satoriz-comboire.bio/products/pu7980?_pos=2&amp;_sid=ac4ce57b8&amp;_ss=r","16.67")</f>
        <v>16.67</v>
      </c>
      <c r="J181" s="23" t="str">
        <f>HYPERLINK("https://www.greenweez.com/produit/poudre-a-lever-sans-phosphate-sans-gluten-8x10g/1CULI0011","17.75")</f>
        <v>17.75</v>
      </c>
    </row>
    <row r="182" spans="1:12" x14ac:dyDescent="0.3">
      <c r="A182" t="s">
        <v>405</v>
      </c>
      <c r="B182" s="18" t="str">
        <f>HYPERLINK("https://lafourche.fr/products/natali-levure-boulangere-seche-54g","85")</f>
        <v>85</v>
      </c>
      <c r="D182" s="23" t="str">
        <f>HYPERLINK("https://www.biocoop.fr/magasin-biocoop_champollion/levure-boulangere-active-9g-ag2001-000.html","105.56")</f>
        <v>105.56</v>
      </c>
      <c r="F182" s="23" t="str">
        <f>HYPERLINK("https://www.biocoop.fr/magasin-biocoop_fontaine/levure-boulangere-active-9g-ag2001-000.html","105.56")</f>
        <v>105.56</v>
      </c>
      <c r="H182" s="23" t="str">
        <f>HYPERLINK("https://satoriz-comboire.bio/products/ralesa?_pos=3&amp;_sid=177cf0bd8&amp;_ss=r","88.89")</f>
        <v>88.89</v>
      </c>
      <c r="J182" s="23" t="str">
        <f>HYPERLINK("https://www.greenweez.com/produit/levure-boulangere-deshydratee-9-g/1RAPU0061","105.56")</f>
        <v>105.56</v>
      </c>
    </row>
    <row r="183" spans="1:12" x14ac:dyDescent="0.3">
      <c r="A183" t="s">
        <v>406</v>
      </c>
      <c r="B183" s="18" t="str">
        <f>HYPERLINK("https://lafourche.fr/products/natali-agar-agar-bio-en-poudre-50g","108.6")</f>
        <v>108.6</v>
      </c>
      <c r="D183" s="23" t="str">
        <f>HYPERLINK("https://www.biocoop.fr/magasin-biocoop_champollion/agar-agar-5x4g-na5186-000.html","175.0")</f>
        <v>175.0</v>
      </c>
      <c r="F183" s="23" t="str">
        <f>HYPERLINK("https://www.biocoop.fr/magasin-biocoop_fontaine/agar-agar-5x4g-na5186-000.html","175.0")</f>
        <v>175.0</v>
      </c>
      <c r="H183" s="23" t="str">
        <f>HYPERLINK("https://satoriz-comboire.bio/collections/epicerie-sucree/products/na510120","123.0")</f>
        <v>123.0</v>
      </c>
      <c r="J183" s="23" t="str">
        <f>HYPERLINK("https://www.greenweez.com/produit/agar-agar-5-sachets-de-4g/6NATU0140","166.0")</f>
        <v>166.0</v>
      </c>
    </row>
    <row r="184" spans="1:12" x14ac:dyDescent="0.3">
      <c r="A184" t="s">
        <v>407</v>
      </c>
      <c r="B184" s="23" t="str">
        <f>HYPERLINK("https://lafourche.fr/products/la-fourche-noix-de-coco-rapee-bio-en-vrac-0-5kg","7")</f>
        <v>7</v>
      </c>
      <c r="D184" s="23" t="str">
        <f>HYPERLINK("https://www.biocoop.fr/magasin-biocoop_champollion/noix-de-coco-rapee-philippines-bio-by0922-000.html","10.7")</f>
        <v>10.7</v>
      </c>
      <c r="F184" s="23" t="str">
        <f>HYPERLINK("https://www.biocoop.fr/magasin-biocoop_fontaine/noix-de-coco-rapee-philippines-bio-by0922-000.html","10.9")</f>
        <v>10.9</v>
      </c>
      <c r="H184" s="18" t="str">
        <f>HYPERLINK("https://satoriz-comboire.bio/products/ag0103?_pos=1&amp;_sid=044dfd52e&amp;_ss=r","5.95")</f>
        <v>5.95</v>
      </c>
      <c r="J184" s="23" t="str">
        <f>HYPERLINK("https://www.greenweez.com/produit/noix-de-coco-rapee-250g/1MKAL0101","9.24")</f>
        <v>9.24</v>
      </c>
    </row>
    <row r="185" spans="1:12" x14ac:dyDescent="0.3">
      <c r="A185" s="16" t="s">
        <v>408</v>
      </c>
      <c r="B185" s="17"/>
      <c r="C185" s="17"/>
      <c r="D185" s="17"/>
      <c r="E185" s="17"/>
      <c r="F185" s="17"/>
      <c r="G185" s="17"/>
      <c r="H185" s="17"/>
      <c r="I185" s="17"/>
      <c r="J185" s="17"/>
      <c r="K185" s="17"/>
    </row>
    <row r="186" spans="1:12" x14ac:dyDescent="0.3">
      <c r="A186" t="s">
        <v>409</v>
      </c>
      <c r="B186" s="18" t="str">
        <f>HYPERLINK("https://lafourche.fr/products/la-fourche-cookies-gout-tout-choco-bio-0-175kg","11.37")</f>
        <v>11.37</v>
      </c>
      <c r="C186" t="s">
        <v>15</v>
      </c>
      <c r="D186" s="23" t="str">
        <f>HYPERLINK("https://www.biocoop.fr/magasin-biocoop_champollion/cookie-cacao-et-pepites-de-chocolat-12-200g-ba7001-000.html","12.25")</f>
        <v>12.25</v>
      </c>
      <c r="E186" s="20" t="s">
        <v>15</v>
      </c>
      <c r="F186" s="23" t="str">
        <f>HYPERLINK("https://www.biocoop.fr/magasin-biocoop_fontaine/cookie-cacao-et-pepites-de-chocolat-12-200g-ba7001-000.html","12.25")</f>
        <v>12.25</v>
      </c>
      <c r="G186" s="20" t="s">
        <v>15</v>
      </c>
      <c r="H186" s="23" t="str">
        <f>HYPERLINK("https://satoriz-comboire.bio/products/mpi1vr002?_pos=2&amp;_psq=cookies&amp;_ss=e&amp;_v=1.0","15.2")</f>
        <v>15.2</v>
      </c>
      <c r="I186" t="s">
        <v>15</v>
      </c>
      <c r="J186" s="23" t="str">
        <f>HYPERLINK("https://www.greenweez.com/produit/cookies-tout-chocolat-1-5kg/2BELL0421","24.54")</f>
        <v>24.54</v>
      </c>
      <c r="K186" t="s">
        <v>15</v>
      </c>
      <c r="L186">
        <v>0.2</v>
      </c>
    </row>
    <row r="187" spans="1:12" x14ac:dyDescent="0.3">
      <c r="A187" t="s">
        <v>410</v>
      </c>
      <c r="B187" s="18" t="str">
        <f>HYPERLINK("https://lafourche.fr/products/la-fourche-petits-beurres-bio-0-15kg","8.8")</f>
        <v>8.8</v>
      </c>
      <c r="C187" t="s">
        <v>15</v>
      </c>
      <c r="D187" s="23" t="str">
        <f>HYPERLINK("https://www.biocoop.fr/magasin-biocoop_champollion/biscuit-petit-beurre-ble-complet-15-140g-ba7000-000.html","11.43")</f>
        <v>11.43</v>
      </c>
      <c r="E187" s="20" t="s">
        <v>15</v>
      </c>
      <c r="F187" s="23" t="str">
        <f>HYPERLINK("https://www.biocoop.fr/magasin-biocoop_fontaine/biscuit-petit-beurre-ble-complet-15-140g-ba7000-000.html","11.43")</f>
        <v>11.43</v>
      </c>
      <c r="G187" s="20" t="s">
        <v>15</v>
      </c>
      <c r="H187" s="23" t="str">
        <f>HYPERLINK("https://satoriz-comboire.bio/products/eu279?_pos=1&amp;_sid=e4bdc4aa2&amp;_ss=r","15.33")</f>
        <v>15.33</v>
      </c>
      <c r="I187" t="s">
        <v>15</v>
      </c>
      <c r="J187" s="23" t="str">
        <f>HYPERLINK("https://www.greenweez.com/produit/biscuits-ptit-beurre-155g/2MOUL0011","14.13")</f>
        <v>14.13</v>
      </c>
      <c r="K187" s="20" t="s">
        <v>734</v>
      </c>
    </row>
    <row r="188" spans="1:12" x14ac:dyDescent="0.3">
      <c r="A188" t="s">
        <v>411</v>
      </c>
      <c r="B188" s="23" t="str">
        <f>HYPERLINK("https://lafourche.fr/products/bio-pour-tous-petits-beurres-chocolat-noir-bio-0-15kg","17.6")</f>
        <v>17.6</v>
      </c>
      <c r="C188" t="s">
        <v>15</v>
      </c>
      <c r="D188" s="23" t="str">
        <f>HYPERLINK("https://www.biocoop.fr/magasin-biocoop_champollion/biscuit-petit-beurre-chocolat-noir-150g-bv5002-000.html","19.93")</f>
        <v>19.93</v>
      </c>
      <c r="E188" s="21" t="s">
        <v>735</v>
      </c>
      <c r="F188" s="23" t="str">
        <f>HYPERLINK("https://www.biocoop.fr/magasin-biocoop_fontaine/biscuit-petit-beurre-chocolat-noir-150g-bv5002-000.html","19.93")</f>
        <v>19.93</v>
      </c>
      <c r="G188" s="21" t="s">
        <v>735</v>
      </c>
      <c r="H188" s="18" t="str">
        <f>HYPERLINK("https://satoriz-comboire.bio/products/re41657?_pos=7&amp;_sid=e4bdc4aa2&amp;_ss=r","16.0")</f>
        <v>16.0</v>
      </c>
      <c r="I188" t="s">
        <v>15</v>
      </c>
      <c r="J188" s="23" t="str">
        <f>HYPERLINK("https://www.greenweez.com/produit/ptits-beurre-chocolat-noir-150g/1BTER0166","28.73")</f>
        <v>28.73</v>
      </c>
      <c r="K188" s="20" t="s">
        <v>736</v>
      </c>
      <c r="L188">
        <v>0.2</v>
      </c>
    </row>
    <row r="189" spans="1:12" x14ac:dyDescent="0.3">
      <c r="A189" t="s">
        <v>412</v>
      </c>
      <c r="B189" s="18" t="str">
        <f>HYPERLINK("https://lafourche.fr/products/bonneterre-genoises-chocolat-coeur-orange-bio-0-15kg","19")</f>
        <v>19</v>
      </c>
      <c r="C189" t="s">
        <v>15</v>
      </c>
      <c r="D189" s="23" t="str">
        <f>HYPERLINK("https://www.biocoop.fr/magasin-biocoop_champollion/biscuit-nappe-orange-noir-tentation-130g-ca1141-000.html","28.46")</f>
        <v>28.46</v>
      </c>
      <c r="E189" s="20" t="s">
        <v>15</v>
      </c>
      <c r="F189" s="23" t="str">
        <f>HYPERLINK("https://www.biocoop.fr/magasin-biocoop_fontaine/biscuit-nappe-orange-noir-tentation-130g-ca1141-000.html","888888")</f>
        <v>888888</v>
      </c>
      <c r="G189" s="19" t="s">
        <v>99</v>
      </c>
      <c r="H189" s="23" t="str">
        <f>HYPERLINK("https://satoriz-comboire.bio/collections/epicerie-sucree/products/mpie006","25.77")</f>
        <v>25.77</v>
      </c>
      <c r="I189" t="s">
        <v>15</v>
      </c>
      <c r="J189" s="23" t="str">
        <f>HYPERLINK("https://www.greenweez.com/produit/biscuits-tentation-orange-130g/2MOUL0007","888888")</f>
        <v>888888</v>
      </c>
      <c r="K189" s="19" t="s">
        <v>99</v>
      </c>
    </row>
    <row r="190" spans="1:12" x14ac:dyDescent="0.3">
      <c r="A190" t="s">
        <v>413</v>
      </c>
      <c r="B190" s="23" t="str">
        <f>HYPERLINK("https://lafourche.fr/products/bio-pour-tous-gouters-fourres-ronds-chocolat-noir-bio-0-185kg","13.89")</f>
        <v>13.89</v>
      </c>
      <c r="C190" t="s">
        <v>15</v>
      </c>
      <c r="D190" s="18" t="str">
        <f>HYPERLINK("https://www.biocoop.fr/magasin-biocoop_champollion/biscuit-fourre-epeautre-cacao-15-pm1899-000.html","9.97")</f>
        <v>9.97</v>
      </c>
      <c r="E190" s="20" t="s">
        <v>15</v>
      </c>
      <c r="F190" s="23" t="str">
        <f>HYPERLINK("https://www.biocoop.fr/magasin-biocoop_fontaine/biscuit-fourre-epeautre-cacao-15-pm1899-000.html","9.97")</f>
        <v>9.97</v>
      </c>
      <c r="G190" s="20" t="s">
        <v>15</v>
      </c>
      <c r="H190" s="23" t="str">
        <f>HYPERLINK("https://satoriz-comboire.bio/collections/epicerie-sucree/products/re41660","12.97")</f>
        <v>12.97</v>
      </c>
      <c r="I190" t="s">
        <v>15</v>
      </c>
      <c r="J190" s="23" t="str">
        <f>HYPERLINK("https://www.greenweez.com/produit/gouter-chocolat-noir-225g/3EVER0030","16.13")</f>
        <v>16.13</v>
      </c>
      <c r="K190" s="19" t="s">
        <v>15</v>
      </c>
      <c r="L190">
        <v>0.2</v>
      </c>
    </row>
    <row r="191" spans="1:12" x14ac:dyDescent="0.3">
      <c r="A191" t="s">
        <v>414</v>
      </c>
      <c r="B191" s="18" t="str">
        <f>HYPERLINK("https://lafourche.fr/products/moulin-des-moines-boudoirs-princesse-bio-200g","9.95")</f>
        <v>9.95</v>
      </c>
      <c r="C191" t="s">
        <v>15</v>
      </c>
      <c r="D191" s="23" t="str">
        <f>HYPERLINK("https://www.biocoop.fr/magasin-biocoop_champollion/boudoirs-aux-oeufs-frais-30-175g-bv6000-000.html","14.0")</f>
        <v>14.0</v>
      </c>
      <c r="E191" s="20" t="s">
        <v>15</v>
      </c>
      <c r="F191" s="23" t="str">
        <f>HYPERLINK("https://www.biocoop.fr/magasin-biocoop_fontaine/boudoirs-aux-oeufs-frais-30-175g-bv6000-000.html","14.0")</f>
        <v>14.0</v>
      </c>
      <c r="G191" s="20" t="s">
        <v>15</v>
      </c>
      <c r="H191" s="23" t="str">
        <f>HYPERLINK("https://satoriz-comboire.bio/products/re41663?_pos=2&amp;_sid=8a641806d&amp;_ss=r","12.57")</f>
        <v>12.57</v>
      </c>
      <c r="I191" t="s">
        <v>15</v>
      </c>
      <c r="J191" s="23" t="str">
        <f>HYPERLINK("https://www.greenweez.com/produit/boudoirs-200g/1MOUL0009","11.1")</f>
        <v>11.1</v>
      </c>
      <c r="K191" t="s">
        <v>15</v>
      </c>
    </row>
    <row r="192" spans="1:12" x14ac:dyDescent="0.3">
      <c r="A192" t="s">
        <v>415</v>
      </c>
      <c r="B192" s="18" t="str">
        <f>HYPERLINK("https://lafourche.fr/products/la-fourche-biscuits-petit-dejeuner-choco-noisette-bio-0-2kg","12.4")</f>
        <v>12.4</v>
      </c>
      <c r="C192" t="s">
        <v>15</v>
      </c>
      <c r="D192">
        <v>888888</v>
      </c>
      <c r="F192">
        <v>888888</v>
      </c>
      <c r="H192" s="23" t="str">
        <f>HYPERLINK("https://satoriz-comboire.bio/collections/epicerie-sucree/products/mpi0534","16.05")</f>
        <v>16.05</v>
      </c>
      <c r="I192" t="s">
        <v>15</v>
      </c>
      <c r="J192" s="23" t="str">
        <f>HYPERLINK("https://www.greenweez.com/produit/ptit-dej-bio-cereales-chocolat-190g/2MOUL0024","14.26")</f>
        <v>14.26</v>
      </c>
      <c r="K192" s="20" t="s">
        <v>737</v>
      </c>
    </row>
    <row r="193" spans="1:12" x14ac:dyDescent="0.3">
      <c r="A193" t="s">
        <v>416</v>
      </c>
      <c r="B193" s="18" t="str">
        <f>HYPERLINK("https://lafourche.fr/products/biscuits-ptit-dej-cereales-miel-et-chocolat","14.11")</f>
        <v>14.11</v>
      </c>
      <c r="C193" t="s">
        <v>15</v>
      </c>
      <c r="D193" s="23" t="str">
        <f>HYPERLINK("https://www.biocoop.fr/magasin-biocoop_champollion/biscuit-cereales-miel-chocolat-190g-ca1149-000.html","17.11")</f>
        <v>17.11</v>
      </c>
      <c r="E193" s="20" t="s">
        <v>15</v>
      </c>
      <c r="F193" s="23" t="str">
        <f>HYPERLINK("https://www.biocoop.fr/magasin-biocoop_fontaine/biscuit-cereales-miel-chocolat-190g-ca1149-000.html","17.37")</f>
        <v>17.37</v>
      </c>
      <c r="G193" s="20" t="s">
        <v>15</v>
      </c>
      <c r="H193" s="23" t="str">
        <f>HYPERLINK("https://satoriz-comboire.bio/collections/epicerie-sucree/products/mpi0534","16.05")</f>
        <v>16.05</v>
      </c>
      <c r="I193" t="s">
        <v>15</v>
      </c>
      <c r="J193" s="23" t="str">
        <f>HYPERLINK("https://www.greenweez.com/produit/ptit-dej-bio-chocolat-miel-190g/2MOUL0025","14.26")</f>
        <v>14.26</v>
      </c>
      <c r="K193" s="20" t="s">
        <v>737</v>
      </c>
      <c r="L193">
        <v>0.2</v>
      </c>
    </row>
    <row r="194" spans="1:12" x14ac:dyDescent="0.3">
      <c r="A194" s="16" t="s">
        <v>417</v>
      </c>
      <c r="B194" s="17"/>
      <c r="C194" s="17"/>
      <c r="E194" s="17"/>
      <c r="F194" s="17"/>
      <c r="G194" s="17"/>
      <c r="H194" s="17"/>
      <c r="I194" s="17"/>
      <c r="J194" s="17"/>
      <c r="K194" s="17"/>
    </row>
    <row r="195" spans="1:12" x14ac:dyDescent="0.3">
      <c r="A195" t="s">
        <v>418</v>
      </c>
      <c r="B195" s="18" t="str">
        <f>HYPERLINK("https://lafourche.fr/products/la-fourche-palets-de-chocolat-noir-50-equitables-et-bio-en-vrac-0-5kg","9.54")</f>
        <v>9.54</v>
      </c>
      <c r="C195" t="s">
        <v>15</v>
      </c>
      <c r="D195" s="23" t="str">
        <f>HYPERLINK("https://www.biocoop.fr/magasin-biocoop_champollion/chocolat-noir-dessert-palets-58-bio-po0450-000.html","13.9")</f>
        <v>13.9</v>
      </c>
      <c r="E195" s="20" t="s">
        <v>15</v>
      </c>
      <c r="F195" s="23" t="str">
        <f>HYPERLINK("https://www.biocoop.fr/magasin-biocoop_fontaine/chocolat-noir-palet-54-bio-da9010-000.html","13.9")</f>
        <v>13.9</v>
      </c>
      <c r="G195" s="20" t="s">
        <v>15</v>
      </c>
      <c r="H195" s="23" t="str">
        <f>HYPERLINK("https://satoriz-comboire.bio/collections/vrac/products/ma8069","15.2")</f>
        <v>15.2</v>
      </c>
      <c r="I195" t="s">
        <v>15</v>
      </c>
      <c r="J195" s="23" t="str">
        <f>HYPERLINK("https://www.greenweez.com/produit/palets-de-chocolat-noir-58-1kg/1KAOK0016","21.48")</f>
        <v>21.48</v>
      </c>
      <c r="K195" t="s">
        <v>15</v>
      </c>
    </row>
    <row r="196" spans="1:12" x14ac:dyDescent="0.3">
      <c r="A196" t="s">
        <v>422</v>
      </c>
      <c r="B196" s="23" t="str">
        <f>HYPERLINK("https://lafourche.fr/products/la-fourche-pepites-de-chocolat-noir-60-bio-equitable-2-5kg","15.41")</f>
        <v>15.41</v>
      </c>
      <c r="C196" t="s">
        <v>15</v>
      </c>
      <c r="D196" s="23" t="str">
        <f>HYPERLINK("https://www.biocoop.fr/magasin-biocoop_champollion/chocolat-noir-pepites-60-by0943-000.html","26.0")</f>
        <v>26.0</v>
      </c>
      <c r="E196" s="21" t="s">
        <v>738</v>
      </c>
      <c r="F196" s="18" t="str">
        <f>HYPERLINK("https://www.biocoop.fr/magasin-biocoop_fontaine/chocolat-noir-pepites-60-bio-po0448-000.html","12.95")</f>
        <v>12.95</v>
      </c>
      <c r="G196" s="19" t="s">
        <v>15</v>
      </c>
      <c r="H196" s="23" t="str">
        <f>HYPERLINK("https://satoriz-comboire.bio/collections/vrac/products/ma73001","15.4")</f>
        <v>15.4</v>
      </c>
      <c r="I196" t="s">
        <v>15</v>
      </c>
      <c r="J196" s="23" t="str">
        <f>HYPERLINK("https://www.greenweez.com/produit/pepites-de-chocolat-noir-60-de-cacao-5kg/1SENF0062","15.9")</f>
        <v>15.9</v>
      </c>
      <c r="K196" s="20" t="s">
        <v>739</v>
      </c>
      <c r="L196">
        <v>0.2</v>
      </c>
    </row>
    <row r="197" spans="1:12" x14ac:dyDescent="0.3">
      <c r="A197" t="s">
        <v>425</v>
      </c>
      <c r="B197" s="13" t="str">
        <f>HYPERLINK("https://lafourche.fr/products/la-fourche-pepites-de-chocolat-au-lait-36-equitables-et-bio-en-vrac-0-5kg","15.78")</f>
        <v>15.78</v>
      </c>
      <c r="C197" s="19" t="s">
        <v>99</v>
      </c>
      <c r="D197" s="23" t="str">
        <f>HYPERLINK("https://www.biocoop.fr/magasin-biocoop_champollion/chocolat-lait-pepites-38-bio-da9007-000.html","888888")</f>
        <v>888888</v>
      </c>
      <c r="E197" s="19" t="s">
        <v>99</v>
      </c>
      <c r="F197" s="23" t="str">
        <f>HYPERLINK("https://www.biocoop.fr/magasin-biocoop_fontaine/chocolat-lait-pepites-38-bio-da9007-000.html","15.9")</f>
        <v>15.9</v>
      </c>
      <c r="G197" s="20" t="s">
        <v>15</v>
      </c>
      <c r="H197" s="23" t="str">
        <f>HYPERLINK("https://satoriz-comboire.bio/collections/vrac/products/ma00074","21.8")</f>
        <v>21.8</v>
      </c>
      <c r="I197" t="s">
        <v>15</v>
      </c>
      <c r="J197" s="23" t="str">
        <f>HYPERLINK("https://www.greenweez.com/produit/pepites-de-chocolat-au-lait-36-bio-et-equitables-500g/2WEEZ0400","888888")</f>
        <v>888888</v>
      </c>
      <c r="K197" s="19" t="s">
        <v>99</v>
      </c>
    </row>
    <row r="198" spans="1:12" x14ac:dyDescent="0.3">
      <c r="A198" t="s">
        <v>427</v>
      </c>
      <c r="B198" s="23" t="str">
        <f>HYPERLINK("https://lafourche.fr/products/chocolat-patissier-56-bio","14.75")</f>
        <v>14.75</v>
      </c>
      <c r="C198" t="s">
        <v>15</v>
      </c>
      <c r="D198" s="18" t="str">
        <f>HYPERLINK("https://www.biocoop.fr/magasin-biocoop_champollion/chocolat-noir-dessert-200g-bc4078-000.html","13.5")</f>
        <v>13.5</v>
      </c>
      <c r="E198" s="19" t="s">
        <v>15</v>
      </c>
      <c r="F198" s="23" t="str">
        <f>HYPERLINK("https://www.biocoop.fr/magasin-biocoop_fontaine/chocolat-noir-dessert-58-200g-aa0106-000.html","18.0")</f>
        <v>18.0</v>
      </c>
      <c r="G198" s="20" t="s">
        <v>15</v>
      </c>
      <c r="H198" s="23" t="str">
        <f>HYPERLINK("https://satoriz-comboire.bio/collections/epicerie-sucree/products/bt2411","14.5")</f>
        <v>14.5</v>
      </c>
      <c r="I198" t="s">
        <v>15</v>
      </c>
      <c r="J198" s="23" t="str">
        <f>HYPERLINK("https://www.greenweez.com/produit/lot-de-3-chocolats-noirs-dessert-bio-56-200g/1PACK3608","17.77")</f>
        <v>17.77</v>
      </c>
      <c r="K198" t="s">
        <v>15</v>
      </c>
    </row>
    <row r="199" spans="1:12" x14ac:dyDescent="0.3">
      <c r="A199" t="s">
        <v>431</v>
      </c>
      <c r="B199" s="23" t="str">
        <f>HYPERLINK("https://lafourche.fr/products/chocolat-noir-a-la-fleur-de-sel-la-fourche-bio","21.5")</f>
        <v>21.5</v>
      </c>
      <c r="C199" t="s">
        <v>15</v>
      </c>
      <c r="D199" s="18" t="str">
        <f>HYPERLINK("https://www.biocoop.fr/magasin-biocoop_champollion/chocolat-noir-fleur-de-sel-70-100g-bc4087-000.html","19.9")</f>
        <v>19.9</v>
      </c>
      <c r="E199" s="19" t="s">
        <v>15</v>
      </c>
      <c r="F199" s="23" t="str">
        <f>HYPERLINK("https://www.biocoop.fr/magasin-biocoop_fontaine/chocolat-noir-fleur-de-sel-70-100g-po0456-000.html","31.0")</f>
        <v>31.0</v>
      </c>
      <c r="G199" s="20" t="s">
        <v>15</v>
      </c>
      <c r="H199" s="23" t="str">
        <f>HYPERLINK("https://satoriz-comboire.bio/collections/epicerie-sucree/products/ma7079","28.0")</f>
        <v>28.0</v>
      </c>
      <c r="I199" t="s">
        <v>15</v>
      </c>
      <c r="J199" s="23" t="str">
        <f>HYPERLINK("https://www.greenweez.com/produit/lot-de-3-chocolats-noirs-bio-70-fleur-de-sel-100g/1PACK3610","22.63")</f>
        <v>22.63</v>
      </c>
      <c r="K199" s="19" t="s">
        <v>15</v>
      </c>
    </row>
    <row r="200" spans="1:12" x14ac:dyDescent="0.3">
      <c r="A200" t="s">
        <v>435</v>
      </c>
      <c r="B200" s="18" t="str">
        <f>HYPERLINK("https://lafourche.fr/products/chocolat-noir-55p-a-lorange","23.9")</f>
        <v>23.9</v>
      </c>
      <c r="C200" t="s">
        <v>15</v>
      </c>
      <c r="D200" s="23" t="str">
        <f>HYPERLINK("https://www.biocoop.fr/magasin-biocoop_champollion/chocolat-noir-orange-58-100g-po0424-000.html","888888")</f>
        <v>888888</v>
      </c>
      <c r="E200" s="19" t="s">
        <v>99</v>
      </c>
      <c r="F200" s="23" t="str">
        <f>HYPERLINK("https://www.biocoop.fr/magasin-biocoop_fontaine/chocolat-noir-orange-58-100g-po0424-000.html","25.0")</f>
        <v>25.0</v>
      </c>
      <c r="G200" s="20" t="s">
        <v>15</v>
      </c>
      <c r="H200" s="23" t="str">
        <f>HYPERLINK("https://satoriz-comboire.bio/collections/epicerie-sucree/products/ma1213","28.0")</f>
        <v>28.0</v>
      </c>
      <c r="I200" t="s">
        <v>15</v>
      </c>
      <c r="J200" s="23" t="str">
        <f>HYPERLINK("https://www.greenweez.com/produit/tablette-chocolat-noir-orange-100g/1EURO0003","27.0")</f>
        <v>27.0</v>
      </c>
      <c r="K200" t="s">
        <v>15</v>
      </c>
    </row>
    <row r="201" spans="1:12" x14ac:dyDescent="0.3">
      <c r="A201" s="16" t="s">
        <v>438</v>
      </c>
      <c r="B201" s="17"/>
      <c r="C201" s="17"/>
      <c r="D201" s="17"/>
      <c r="E201" s="17"/>
      <c r="F201" s="17"/>
      <c r="G201" s="17"/>
      <c r="H201" s="17"/>
      <c r="I201" s="17"/>
      <c r="J201" s="17"/>
      <c r="K201" s="17"/>
    </row>
    <row r="202" spans="1:12" x14ac:dyDescent="0.3">
      <c r="A202" t="s">
        <v>439</v>
      </c>
      <c r="B202" s="18" t="str">
        <f>HYPERLINK("https://lafourche.fr/products/sojade-so-soja-dessert-vanille-uht-bio-0-53kg","4.32")</f>
        <v>4.32</v>
      </c>
      <c r="C202" t="s">
        <v>15</v>
      </c>
      <c r="D202" s="23" t="str">
        <f>HYPERLINK("https://www.biocoop.fr/magasin-biocoop_champollion/so-soja-vanille-ti3031-000.html","4.72")</f>
        <v>4.72</v>
      </c>
      <c r="E202" s="20" t="s">
        <v>15</v>
      </c>
      <c r="F202" s="23" t="str">
        <f>HYPERLINK("https://www.biocoop.fr/magasin-biocoop_fontaine/so-soja-vanille-ti3031-000.html","4.72")</f>
        <v>4.72</v>
      </c>
      <c r="G202" s="20" t="s">
        <v>15</v>
      </c>
      <c r="H202" s="23" t="str">
        <f>HYPERLINK("https://satoriz-comboire.bio/collections/epicerie-sucree/products/fr18736","4.62")</f>
        <v>4.62</v>
      </c>
      <c r="I202" t="s">
        <v>15</v>
      </c>
      <c r="J202" s="23" t="str">
        <f>HYPERLINK("https://www.greenweez.com/","888888")</f>
        <v>888888</v>
      </c>
      <c r="K202" s="19" t="s">
        <v>99</v>
      </c>
    </row>
    <row r="203" spans="1:12" x14ac:dyDescent="0.3">
      <c r="A203" s="16" t="s">
        <v>246</v>
      </c>
      <c r="B203" s="17"/>
      <c r="C203" s="17"/>
      <c r="D203" s="17"/>
      <c r="E203" s="17"/>
      <c r="F203" s="17"/>
      <c r="G203" s="17"/>
      <c r="H203" s="17"/>
      <c r="I203" s="17"/>
      <c r="J203" s="17"/>
      <c r="K203" s="17"/>
    </row>
    <row r="204" spans="1:12" x14ac:dyDescent="0.3">
      <c r="A204" t="s">
        <v>441</v>
      </c>
      <c r="B204" s="18" t="str">
        <f>HYPERLINK("https://lafourche.fr/products/la-fourche-puree-pommes-bio-0-915kg","3.99")</f>
        <v>3.99</v>
      </c>
      <c r="C204" t="s">
        <v>15</v>
      </c>
      <c r="D204" s="23" t="str">
        <f>HYPERLINK("https://www.biocoop.fr/magasin-biocoop_champollion/puree-pomme-pr5264-000.html","4.51")</f>
        <v>4.51</v>
      </c>
      <c r="E204" s="20" t="s">
        <v>15</v>
      </c>
      <c r="F204" s="23" t="str">
        <f>HYPERLINK("https://www.biocoop.fr/magasin-biocoop_fontaine/puree-pomme-pr5264-000.html","4.51")</f>
        <v>4.51</v>
      </c>
      <c r="G204" s="20" t="s">
        <v>15</v>
      </c>
      <c r="H204" s="23" t="str">
        <f>HYPERLINK("https://satoriz-comboire.bio/collections/epicerie-sucree/products/cn0849","4.74")</f>
        <v>4.74</v>
      </c>
      <c r="I204" t="s">
        <v>15</v>
      </c>
      <c r="J204" s="23" t="str">
        <f>HYPERLINK("https://www.greenweez.com/produit/puree-de-pommes-bio-700g/2WEEZ0536","4.84")</f>
        <v>4.84</v>
      </c>
      <c r="K204" t="s">
        <v>15</v>
      </c>
    </row>
    <row r="205" spans="1:12" x14ac:dyDescent="0.3">
      <c r="A205" t="s">
        <v>443</v>
      </c>
      <c r="B205" s="18" t="str">
        <f>HYPERLINK("https://lafourche.fr/products/la-fourche-puree-pommes-poires-bio-0-915kg","4.54")</f>
        <v>4.54</v>
      </c>
      <c r="C205" t="s">
        <v>15</v>
      </c>
      <c r="D205" s="23" t="str">
        <f>HYPERLINK("https://www.biocoop.fr/magasin-biocoop_champollion/puree-pomme-poire-he2002-000.html","6.12")</f>
        <v>6.12</v>
      </c>
      <c r="E205" s="20" t="s">
        <v>15</v>
      </c>
      <c r="F205" s="23" t="str">
        <f>HYPERLINK("https://www.biocoop.fr/magasin-biocoop_fontaine/puree-pomme-poire-1-05kg-dn1113-000.html","6.48")</f>
        <v>6.48</v>
      </c>
      <c r="G205" s="21" t="s">
        <v>15</v>
      </c>
      <c r="H205" s="23" t="str">
        <f>HYPERLINK("https://satoriz-comboire.bio/products/ar00021?_pos=2&amp;_psq=pomme%20poire&amp;_ss=e&amp;_v=1.0","5.35")</f>
        <v>5.35</v>
      </c>
      <c r="I205" t="s">
        <v>15</v>
      </c>
      <c r="J205" s="23" t="str">
        <f>HYPERLINK("https://www.greenweez.com/produit/puree-pomme-poire-bio-700g/2WEEZ0538","5.41")</f>
        <v>5.41</v>
      </c>
      <c r="K205" t="s">
        <v>15</v>
      </c>
    </row>
    <row r="206" spans="1:12" x14ac:dyDescent="0.3">
      <c r="A206" t="s">
        <v>445</v>
      </c>
      <c r="B206" s="18" t="str">
        <f>HYPERLINK("https://lafourche.fr/products/compote-danival-dani-pom-pomme-banane-1-05kg-bio","5.15")</f>
        <v>5.15</v>
      </c>
      <c r="C206" s="21" t="s">
        <v>116</v>
      </c>
      <c r="D206" s="23" t="str">
        <f>HYPERLINK("https://www.biocoop.fr/magasin-biocoop_champollion/puree-de-pommes-et-bananes-cn0219-000.html","6.2")</f>
        <v>6.2</v>
      </c>
      <c r="E206" s="20" t="s">
        <v>15</v>
      </c>
      <c r="F206" s="23" t="str">
        <f>HYPERLINK("https://www.biocoop.fr/magasin-biocoop_fontaine/puree-de-pommes-et-bananes-cn0219-000.html","6.2")</f>
        <v>6.2</v>
      </c>
      <c r="G206" s="20" t="s">
        <v>15</v>
      </c>
      <c r="H206" s="23" t="str">
        <f>HYPERLINK("https://satoriz-comboire.bio/products/da01440?_pos=2&amp;_psq=pomme%20banane&amp;_ss=e&amp;_v=1.0","5.62")</f>
        <v>5.62</v>
      </c>
      <c r="I206" t="s">
        <v>15</v>
      </c>
      <c r="J206" s="23" t="str">
        <f>HYPERLINK("https://www.greenweez.com/produit/dessert-pomme-banane-1-05kg/1DANI0190","5.88")</f>
        <v>5.88</v>
      </c>
      <c r="K206" t="s">
        <v>15</v>
      </c>
    </row>
    <row r="207" spans="1:12" x14ac:dyDescent="0.3">
      <c r="A207" t="s">
        <v>448</v>
      </c>
      <c r="B207" s="18" t="str">
        <f>HYPERLINK("https://lafourche.fr/products/sojade-so-soja-dessert-chocolat-uht-bio-0-53kg","4.32")</f>
        <v>4.32</v>
      </c>
      <c r="C207" t="s">
        <v>15</v>
      </c>
      <c r="D207" s="23" t="str">
        <f>HYPERLINK("https://www.biocoop.fr/magasin-biocoop_champollion/so-soja-chocolat-ti3030-000.html","5.94")</f>
        <v>5.94</v>
      </c>
      <c r="E207" s="20" t="s">
        <v>15</v>
      </c>
      <c r="F207" s="23" t="str">
        <f>HYPERLINK("https://www.biocoop.fr/magasin-biocoop_fontaine/so-soja-chocolat-ti3030-000.html","5.0")</f>
        <v>5.0</v>
      </c>
      <c r="G207" s="20" t="s">
        <v>15</v>
      </c>
      <c r="H207" s="23" t="str">
        <f>HYPERLINK("https://satoriz-comboire.bio/collections/epicerie-sucree/products/fr18734","4.62")</f>
        <v>4.62</v>
      </c>
      <c r="I207" t="s">
        <v>15</v>
      </c>
      <c r="J207" s="23" t="str">
        <f>HYPERLINK("https://www.greenweez.com/","888888")</f>
        <v>888888</v>
      </c>
      <c r="K207" s="19" t="s">
        <v>99</v>
      </c>
    </row>
    <row r="208" spans="1:12" x14ac:dyDescent="0.3">
      <c r="A208" s="16" t="s">
        <v>449</v>
      </c>
      <c r="B208" s="17"/>
      <c r="C208" s="17"/>
      <c r="D208" s="17"/>
      <c r="E208" s="17"/>
      <c r="F208" s="17"/>
      <c r="G208" s="17"/>
      <c r="H208" s="17"/>
      <c r="I208" s="17"/>
      <c r="J208" s="17"/>
      <c r="K208" s="17"/>
    </row>
    <row r="209" spans="1:12" x14ac:dyDescent="0.3">
      <c r="A209" t="s">
        <v>450</v>
      </c>
      <c r="B209" s="23" t="str">
        <f>HYPERLINK("https://lafourche.fr/products/elibio-cereales-fourrees-tout-chocolat-bio-375g","9.92")</f>
        <v>9.92</v>
      </c>
      <c r="C209" t="s">
        <v>15</v>
      </c>
      <c r="D209" s="23" t="str">
        <f>HYPERLINK("https://www.biocoop.fr/magasin-biocoop_champollion/ka-re-fourres-chocolat-noisettes-bio-lg2005-000.html","10.9")</f>
        <v>10.9</v>
      </c>
      <c r="E209" s="20" t="s">
        <v>15</v>
      </c>
      <c r="F209" s="18" t="str">
        <f>HYPERLINK("https://www.biocoop.fr/magasin-biocoop_fontaine/ka-re-fourres-chocolat-noisettes-bio-lg2005-000.html","9.6")</f>
        <v>9.6</v>
      </c>
      <c r="G209" s="20" t="s">
        <v>15</v>
      </c>
      <c r="H209" s="23" t="str">
        <f>HYPERLINK("https://satoriz-comboire.bio/collections/vrac/products/gr554","10.7")</f>
        <v>10.7</v>
      </c>
      <c r="I209" t="s">
        <v>15</v>
      </c>
      <c r="J209" s="23" t="str">
        <f>HYPERLINK("https://www.greenweez.com/produit/cereales-kare-fourrees-chocolat-noisettes-500g/1GRIL0036","13.04")</f>
        <v>13.04</v>
      </c>
      <c r="K209" t="s">
        <v>15</v>
      </c>
    </row>
    <row r="210" spans="1:12" x14ac:dyDescent="0.3">
      <c r="A210" t="s">
        <v>455</v>
      </c>
      <c r="B210" s="23" t="str">
        <f>HYPERLINK("https://lafourche.fr/products/grillon-dor-chocolune-bio-0-375kg","9.44")</f>
        <v>9.44</v>
      </c>
      <c r="C210" t="s">
        <v>15</v>
      </c>
      <c r="D210" s="23" t="str">
        <f>HYPERLINK("https://www.biocoop.fr/magasin-biocoop_champollion/crosti-griffs-choco-10kg-bio-pr5170-000.html","8.99")</f>
        <v>8.99</v>
      </c>
      <c r="E210" s="20" t="s">
        <v>15</v>
      </c>
      <c r="F210" s="23" t="str">
        <f>HYPERLINK("https://www.biocoop.fr/magasin-biocoop_fontaine/crosti-griffs-choco-10kg-bio-pr5170-000.html","8.99")</f>
        <v>8.99</v>
      </c>
      <c r="G210" s="20" t="s">
        <v>15</v>
      </c>
      <c r="H210" s="18" t="str">
        <f>HYPERLINK("https://satoriz-comboire.bio/collections/vrac/products/grexch","8.1")</f>
        <v>8.1</v>
      </c>
      <c r="I210" t="s">
        <v>15</v>
      </c>
      <c r="J210" s="23" t="str">
        <f>HYPERLINK("https://www.greenweez.com/produit/cereales-chocolune-375g/1GRIL0051","11.33")</f>
        <v>11.33</v>
      </c>
      <c r="K210" t="s">
        <v>15</v>
      </c>
    </row>
    <row r="211" spans="1:12" x14ac:dyDescent="0.3">
      <c r="A211" t="s">
        <v>458</v>
      </c>
      <c r="B211" s="18" t="str">
        <f>HYPERLINK("https://lafourche.fr/products/cereales-mops-au-miel","9.63")</f>
        <v>9.63</v>
      </c>
      <c r="C211" t="s">
        <v>15</v>
      </c>
      <c r="D211" s="23" t="str">
        <f>HYPERLINK("https://www.biocoop.fr/magasin-biocoop_champollion/mops-miel-lg2066-000.html","11.0")</f>
        <v>11.0</v>
      </c>
      <c r="E211" s="20" t="s">
        <v>15</v>
      </c>
      <c r="F211" s="23" t="str">
        <f>HYPERLINK("https://www.biocoop.fr/magasin-biocoop_fontaine/mops-miel-lg2066-000.html","11.0")</f>
        <v>11.0</v>
      </c>
      <c r="G211" s="20" t="s">
        <v>15</v>
      </c>
      <c r="H211" s="45" t="str">
        <f>HYPERLINK("https://satoriz-comboire.bio/products/gr375m?_pos=1&amp;_sid=0bc07d989&amp;_ss=r","10.67")</f>
        <v>10.67</v>
      </c>
      <c r="I211" s="19" t="s">
        <v>99</v>
      </c>
      <c r="J211" s="23" t="str">
        <f>HYPERLINK("https://www.greenweez.com/produit/cereales-mops-miel-300g/1GRIL0172","10.5")</f>
        <v>10.5</v>
      </c>
      <c r="K211" t="s">
        <v>15</v>
      </c>
    </row>
    <row r="212" spans="1:12" x14ac:dyDescent="0.3">
      <c r="A212" t="s">
        <v>460</v>
      </c>
      <c r="B212" s="18" t="str">
        <f>HYPERLINK("https://lafourche.fr/products/la-fourche-1kg-de-petits-flocons-d-avoine-en-vrac-france-bio","2.5")</f>
        <v>2.5</v>
      </c>
      <c r="C212" t="s">
        <v>15</v>
      </c>
      <c r="D212" s="23" t="str">
        <f>HYPERLINK("https://www.biocoop.fr/magasin-biocoop_champollion/flocons-d-avoine-petits-non-toastes-bio-pr5344-000.html","2.85")</f>
        <v>2.85</v>
      </c>
      <c r="E212" s="20" t="s">
        <v>15</v>
      </c>
      <c r="F212" s="23" t="str">
        <f>HYPERLINK("https://www.biocoop.fr/magasin-biocoop_fontaine/flocons-d-avoine-petits-non-toastes-bio-pr5344-000.html","2.85")</f>
        <v>2.85</v>
      </c>
      <c r="G212" s="20" t="s">
        <v>15</v>
      </c>
      <c r="H212" s="23" t="str">
        <f>HYPERLINK("https://satoriz-comboire.bio/products/cefap25?_pos=5&amp;_sid=da63f8fb6&amp;_ss=r","3.05")</f>
        <v>3.05</v>
      </c>
      <c r="I212" t="s">
        <v>15</v>
      </c>
      <c r="J212" s="23" t="str">
        <f>HYPERLINK("https://www.greenweez.com/produit/flocons-davoine-petit-bio-1-5kg/2WEEZ0129","888888")</f>
        <v>888888</v>
      </c>
      <c r="K212" s="19" t="s">
        <v>99</v>
      </c>
      <c r="L212">
        <v>0.1</v>
      </c>
    </row>
    <row r="213" spans="1:12" x14ac:dyDescent="0.3">
      <c r="A213" t="s">
        <v>463</v>
      </c>
      <c r="B213" s="18" t="str">
        <f>HYPERLINK("https://lafourche.fr/products/la-fourche-1kg-de-gros-flocons-davoine-bio-en-vrac","2.5")</f>
        <v>2.5</v>
      </c>
      <c r="C213" t="s">
        <v>15</v>
      </c>
      <c r="D213" s="23" t="str">
        <f>HYPERLINK("https://www.biocoop.fr/magasin-biocoop_champollion/flocons-d-avoine-gros-bio-lg2061-000.html","3.95")</f>
        <v>3.95</v>
      </c>
      <c r="E213" s="20" t="s">
        <v>15</v>
      </c>
      <c r="F213" s="23" t="str">
        <f>HYPERLINK("https://www.biocoop.fr/magasin-biocoop_fontaine/flocons-d-avoine-gros-bio-lg2061-000.html","3.9")</f>
        <v>3.9</v>
      </c>
      <c r="G213" s="20" t="s">
        <v>15</v>
      </c>
      <c r="H213" s="23" t="str">
        <f>HYPERLINK("https://satoriz-comboire.bio/products/cefag-10?_pos=14&amp;_sid=da63f8fb6&amp;_ss=r","3.05")</f>
        <v>3.05</v>
      </c>
      <c r="I213" t="s">
        <v>15</v>
      </c>
      <c r="J213" s="23" t="str">
        <f>HYPERLINK("https://www.greenweez.com/produit/flocons-davoine-gros-bio-1-5kg/2WEEZ0531","2.85")</f>
        <v>2.85</v>
      </c>
      <c r="K213" t="s">
        <v>15</v>
      </c>
    </row>
    <row r="214" spans="1:12" x14ac:dyDescent="0.3">
      <c r="A214" t="s">
        <v>465</v>
      </c>
      <c r="B214" s="18" t="str">
        <f>HYPERLINK("https://lafourche.fr/products/la-fourche-1kg-de-muesli-5-cereales-en-vrac-bio","4.5")</f>
        <v>4.5</v>
      </c>
      <c r="D214" s="23" t="str">
        <f>HYPERLINK("https://www.biocoop.fr/magasin-biocoop_champollion/muesli-graines-et-fruits-secs-1kg-lg1713-000.html","7.15")</f>
        <v>7.15</v>
      </c>
      <c r="F214" s="23" t="str">
        <f>HYPERLINK("https://www.biocoop.fr/magasin-biocoop_fontaine/muesli-graines-et-fruits-secs-1kg-lg1713-000.html","7.35")</f>
        <v>7.35</v>
      </c>
      <c r="H214" s="23" t="str">
        <f>HYPERLINK("https://satoriz-comboire.bio/products/ce25b?_pos=1&amp;_sid=67fc15be8&amp;_ss=r","5.8")</f>
        <v>5.8</v>
      </c>
      <c r="J214" s="23" t="str">
        <f>HYPERLINK("https://www.greenweez.com/produit/muesli-5-cereales-500g/1CELN0029","6.92")</f>
        <v>6.92</v>
      </c>
    </row>
    <row r="215" spans="1:12" x14ac:dyDescent="0.3">
      <c r="A215" t="s">
        <v>466</v>
      </c>
      <c r="B215" s="23" t="str">
        <f>HYPERLINK("https://lafourche.fr/products/grillon-mueslifruits-1kg","5.46")</f>
        <v>5.46</v>
      </c>
      <c r="D215" s="23" t="str">
        <f>HYPERLINK("https://www.biocoop.fr/magasin-biocoop_champollion/muesli-aux-fruits-bio-pr5343-000.html","5.35")</f>
        <v>5.35</v>
      </c>
      <c r="F215" s="18" t="str">
        <f>HYPERLINK("https://www.biocoop.fr/magasin-biocoop_fontaine/muesli-aux-fruits-bio-pr5343-000.html","4.7")</f>
        <v>4.7</v>
      </c>
      <c r="H215" s="23" t="str">
        <f>HYPERLINK("https://satoriz-comboire.bio/products/ce0990?_pos=1&amp;_sid=93dc83ac9&amp;_ss=r","4.95")</f>
        <v>4.95</v>
      </c>
      <c r="J215" s="23" t="str">
        <f>HYPERLINK("https://www.greenweez.com/produit/muesli-fruits-1kg/1GRIL0001","6.26")</f>
        <v>6.26</v>
      </c>
    </row>
    <row r="216" spans="1:12" x14ac:dyDescent="0.3">
      <c r="A216" t="s">
        <v>467</v>
      </c>
      <c r="B216" s="18" t="str">
        <f>HYPERLINK("https://lafourche.fr/products/la-fourche-muesli-croustillant-nature-bio-1kg","4.59")</f>
        <v>4.59</v>
      </c>
      <c r="D216" s="23" t="str">
        <f>HYPERLINK("https://www.biocoop.fr/magasin-biocoop_champollion/muesli-croustillant-essentiel-1kg-aa0122-000.html","6.95")</f>
        <v>6.95</v>
      </c>
      <c r="F216" s="23" t="str">
        <f>HYPERLINK("https://www.biocoop.fr/magasin-biocoop_fontaine/krounchy-nature-lg2007-000.html","7.0")</f>
        <v>7.0</v>
      </c>
      <c r="H216" s="23" t="str">
        <f>HYPERLINK("https://satoriz-comboire.bio/products/gr2953?_pos=2&amp;_sid=b5ee3b45c&amp;_ss=r","5.15")</f>
        <v>5.15</v>
      </c>
      <c r="J216" s="23" t="str">
        <f>HYPERLINK("https://www.greenweez.com/produit/krounchy-nature-1kg/1GRIL0018","5.94")</f>
        <v>5.94</v>
      </c>
    </row>
    <row r="217" spans="1:12" x14ac:dyDescent="0.3">
      <c r="A217" t="s">
        <v>468</v>
      </c>
      <c r="B217" s="18" t="str">
        <f>HYPERLINK("https://lafourche.fr/products/la-fourche-muesli-croustillant-duo-choco-bio-1kg","5.95")</f>
        <v>5.95</v>
      </c>
      <c r="D217" s="23" t="str">
        <f>HYPERLINK("https://www.biocoop.fr/magasin-biocoop_champollion/krounchy-epeautre-chocolat-noir-lg1932-000.html","8.7")</f>
        <v>8.7</v>
      </c>
      <c r="F217" s="23" t="str">
        <f>HYPERLINK("https://www.biocoop.fr/magasin-biocoop_fontaine/krounchy-epeautre-chocolat-noir-lg1932-000.html","7.4")</f>
        <v>7.4</v>
      </c>
      <c r="H217" s="23" t="str">
        <f>HYPERLINK("https://satoriz-comboire.bio/products/grceee?_pos=1&amp;_sid=b5ee3b45c&amp;_ss=r","6.85")</f>
        <v>6.85</v>
      </c>
      <c r="J217" s="23" t="str">
        <f>HYPERLINK("https://www.greenweez.com/produit/krounchy-chocolat-1kg/1GRIL0020","6.94")</f>
        <v>6.94</v>
      </c>
    </row>
    <row r="218" spans="1:12" x14ac:dyDescent="0.3">
      <c r="A218" t="s">
        <v>469</v>
      </c>
      <c r="B218" s="23" t="str">
        <f>HYPERLINK("https://lafourche.fr/products/grillon-krounchy-fruits-rouges-500g","11.98")</f>
        <v>11.98</v>
      </c>
      <c r="D218" s="23" t="str">
        <f>HYPERLINK("https://www.biocoop.fr/magasin-biocoop_champollion/krounchy-fruits-rouges-lg0966-000.html","14.9")</f>
        <v>14.9</v>
      </c>
      <c r="F218" s="23" t="str">
        <f>HYPERLINK("https://www.biocoop.fr/magasin-biocoop_fontaine/krounchy-fruits-rouges-lg0966-000.html","14.9")</f>
        <v>14.9</v>
      </c>
      <c r="H218" s="23" t="str">
        <f>HYPERLINK("https://satoriz-comboire.bio/products/grcrufr?_pos=13&amp;_sid=b5ee3b45c&amp;_ss=r","14.4")</f>
        <v>14.4</v>
      </c>
      <c r="J218" s="18" t="str">
        <f>HYPERLINK("https://www.greenweez.com/produit/crunchy-fruits-rouges-bio-500g/5GREE0216","9.9")</f>
        <v>9.9</v>
      </c>
    </row>
    <row r="219" spans="1:12" x14ac:dyDescent="0.3">
      <c r="A219" s="16" t="s">
        <v>470</v>
      </c>
      <c r="B219" s="17"/>
      <c r="C219" s="17"/>
      <c r="D219" s="17"/>
      <c r="E219" s="17"/>
      <c r="F219" s="17"/>
      <c r="G219" s="17"/>
      <c r="H219" s="17"/>
      <c r="I219" s="17"/>
      <c r="J219" s="17"/>
      <c r="K219" s="17"/>
    </row>
    <row r="220" spans="1:12" x14ac:dyDescent="0.3">
      <c r="A220" t="s">
        <v>471</v>
      </c>
      <c r="B220" s="23" t="str">
        <f>HYPERLINK("https://lafourche.fr/products/la-fourche-500g-amandes-decortiquees-en-vrac-bio","13.06")</f>
        <v>13.06</v>
      </c>
      <c r="C220" t="s">
        <v>15</v>
      </c>
      <c r="D220" s="23" t="str">
        <f>HYPERLINK("https://www.biocoop.fr/magasin-biocoop_champollion/amandes-completes-bio-ag3005-000.html","15.9")</f>
        <v>15.9</v>
      </c>
      <c r="E220" s="20" t="s">
        <v>15</v>
      </c>
      <c r="F220" s="23" t="str">
        <f>HYPERLINK("https://www.biocoop.fr/magasin-biocoop_fontaine/amande-complete-italie-bio-bc5507-000.html","14.95")</f>
        <v>14.95</v>
      </c>
      <c r="G220" s="20" t="s">
        <v>15</v>
      </c>
      <c r="H220" s="18" t="str">
        <f>HYPERLINK("https://satoriz-comboire.bio/collections/vrac/products/ag0417","13.05")</f>
        <v>13.05</v>
      </c>
      <c r="I220" t="s">
        <v>15</v>
      </c>
      <c r="J220" s="23" t="str">
        <f>HYPERLINK("https://www.greenweez.com/produit/amandes-decortiquees-1kg/2WEEZ0354","14.95")</f>
        <v>14.95</v>
      </c>
      <c r="K220" t="s">
        <v>15</v>
      </c>
    </row>
    <row r="221" spans="1:12" x14ac:dyDescent="0.3">
      <c r="A221" t="s">
        <v>476</v>
      </c>
      <c r="B221" s="18" t="str">
        <f>HYPERLINK("https://lafourche.fr/products/la-fourche-noisettes-bio-2-5kg","14.98")</f>
        <v>14.98</v>
      </c>
      <c r="C221" t="s">
        <v>15</v>
      </c>
      <c r="D221" s="23" t="str">
        <f>HYPERLINK("https://www.biocoop.fr/magasin-biocoop_champollion/noisettes-bio-bc5500-000.html","21.5")</f>
        <v>21.5</v>
      </c>
      <c r="E221" s="21" t="s">
        <v>740</v>
      </c>
      <c r="F221" s="23" t="str">
        <f>HYPERLINK("https://www.biocoop.fr/magasin-biocoop_fontaine/noisettes-bio-bc5500-000.html","20.9")</f>
        <v>20.9</v>
      </c>
      <c r="G221" s="20" t="s">
        <v>15</v>
      </c>
      <c r="H221" s="23" t="str">
        <f>HYPERLINK("https://satoriz-comboire.bio/collections/vrac/products/ag0394","16.65")</f>
        <v>16.65</v>
      </c>
      <c r="I221" t="s">
        <v>15</v>
      </c>
      <c r="J221" s="23" t="str">
        <f>HYPERLINK("https://www.greenweez.com/produit/noisettes-decortiquees-2-5kg/2WEEZ0386","16.78")</f>
        <v>16.78</v>
      </c>
      <c r="K221" s="21" t="s">
        <v>741</v>
      </c>
    </row>
    <row r="222" spans="1:12" x14ac:dyDescent="0.3">
      <c r="A222" t="s">
        <v>480</v>
      </c>
      <c r="B222" s="23" t="str">
        <f>HYPERLINK("https://lafourche.fr/products/la-fourche-500g-de-noix-de-cajou-bio-en-vrac","16.7")</f>
        <v>16.7</v>
      </c>
      <c r="C222" t="s">
        <v>15</v>
      </c>
      <c r="D222" s="23" t="str">
        <f>HYPERLINK("https://www.biocoop.fr/magasin-biocoop_champollion/noix-de-cajou-bio-ag3057-000.html","19.9")</f>
        <v>19.9</v>
      </c>
      <c r="E222" s="20" t="s">
        <v>742</v>
      </c>
      <c r="F222" s="23" t="str">
        <f>HYPERLINK("https://www.biocoop.fr/magasin-biocoop_fontaine/noix-de-cajou-bio-ag3057-000.html","19.9")</f>
        <v>19.9</v>
      </c>
      <c r="G222" s="20" t="s">
        <v>15</v>
      </c>
      <c r="H222" s="23" t="str">
        <f>HYPERLINK("https://satoriz-comboire.bio/collections/vrac/products/ag0585","16.7")</f>
        <v>16.7</v>
      </c>
      <c r="I222" t="s">
        <v>15</v>
      </c>
      <c r="J222" s="18" t="str">
        <f>HYPERLINK("https://www.greenweez.com/produit/noix-de-cajou-crues-2-5kg/2WEEZ0391","13.4")</f>
        <v>13.4</v>
      </c>
      <c r="K222" s="20" t="s">
        <v>743</v>
      </c>
    </row>
    <row r="223" spans="1:12" x14ac:dyDescent="0.3">
      <c r="A223" t="s">
        <v>483</v>
      </c>
      <c r="B223" s="18" t="str">
        <f>HYPERLINK("https://lafourche.fr/products/la-fourche-raisins-secs-sultanine-bio-2-5kg","7.2")</f>
        <v>7.2</v>
      </c>
      <c r="C223" t="s">
        <v>15</v>
      </c>
      <c r="D223" s="23" t="str">
        <f>HYPERLINK("https://www.biocoop.fr/magasin-biocoop_champollion/raisins-sultanine-n-9-bio-ag3030-000.html","7.95")</f>
        <v>7.95</v>
      </c>
      <c r="E223" s="20" t="s">
        <v>15</v>
      </c>
      <c r="F223" s="23" t="str">
        <f>HYPERLINK("https://www.biocoop.fr/magasin-biocoop_fontaine/raisins-sultanine-n-9-bio-ag3030-000.html","7.95")</f>
        <v>7.95</v>
      </c>
      <c r="G223" s="20" t="s">
        <v>15</v>
      </c>
      <c r="H223" s="18" t="str">
        <f>HYPERLINK("https://satoriz-comboire.bio/collections/vrac/products/ag0387","7.2")</f>
        <v>7.2</v>
      </c>
      <c r="I223" t="s">
        <v>15</v>
      </c>
      <c r="J223" s="23" t="str">
        <f>HYPERLINK("https://www.greenweez.com/produit/lot-de-2-raisins-sultanines-bio-500g/1PACK3586","9.8")</f>
        <v>9.8</v>
      </c>
      <c r="K223" s="19" t="s">
        <v>15</v>
      </c>
    </row>
    <row r="224" spans="1:12" x14ac:dyDescent="0.3">
      <c r="A224" t="s">
        <v>487</v>
      </c>
      <c r="B224" s="18" t="str">
        <f>HYPERLINK("https://lafourche.fr/products/la-fourche-250g-de-cranberries-en-vrac-bio","14.36")</f>
        <v>14.36</v>
      </c>
      <c r="C224" t="s">
        <v>15</v>
      </c>
      <c r="D224" s="23" t="str">
        <f>HYPERLINK("https://www.biocoop.fr/magasin-biocoop_champollion/cranberry-sechee-canada-bio-ag3039-000.html","15.5")</f>
        <v>15.5</v>
      </c>
      <c r="E224" s="20" t="s">
        <v>15</v>
      </c>
      <c r="F224" s="23" t="str">
        <f>HYPERLINK("https://www.biocoop.fr/magasin-biocoop_fontaine/cranberry-sechee-canada-bio-ag3039-000.html","15.5")</f>
        <v>15.5</v>
      </c>
      <c r="G224" s="20" t="s">
        <v>15</v>
      </c>
      <c r="H224" s="23" t="str">
        <f>HYPERLINK("https://satoriz-comboire.bio/collections/vrac/products/ag0479","15.2")</f>
        <v>15.2</v>
      </c>
      <c r="I224" t="s">
        <v>15</v>
      </c>
      <c r="J224" s="23" t="str">
        <f>HYPERLINK("https://www.greenweez.com/produit/cranberries-demies-bio-500g/2WEEZ0368","14.96")</f>
        <v>14.96</v>
      </c>
      <c r="K224" s="20" t="s">
        <v>80</v>
      </c>
    </row>
    <row r="225" spans="1:12" x14ac:dyDescent="0.3">
      <c r="A225" s="16" t="s">
        <v>491</v>
      </c>
      <c r="B225" s="17"/>
      <c r="C225" s="17"/>
      <c r="D225" s="17"/>
      <c r="E225" s="17"/>
      <c r="F225" s="17"/>
      <c r="G225" s="17"/>
      <c r="H225" s="17"/>
      <c r="I225" s="17"/>
      <c r="J225" s="17"/>
      <c r="K225" s="17"/>
    </row>
    <row r="226" spans="1:12" x14ac:dyDescent="0.3">
      <c r="A226" t="s">
        <v>492</v>
      </c>
      <c r="B226" s="23" t="str">
        <f>HYPERLINK("https://lafourche.fr/products/la-fourche-sirop-d-agave-bio-0-5l","9.98")</f>
        <v>9.98</v>
      </c>
      <c r="C226" t="s">
        <v>15</v>
      </c>
      <c r="D226" s="23" t="str">
        <f>HYPERLINK("https://www.biocoop.fr/magasin-biocoop_champollion/sirop-agave-690g-na6021-000.html","10.13")</f>
        <v>10.13</v>
      </c>
      <c r="E226" s="20" t="s">
        <v>15</v>
      </c>
      <c r="F226" s="23" t="str">
        <f>HYPERLINK("https://www.biocoop.fr/magasin-biocoop_fontaine/sirop-agave-690g-na6021-000.html","10.13")</f>
        <v>10.13</v>
      </c>
      <c r="G226" s="20" t="s">
        <v>15</v>
      </c>
      <c r="H226" s="18" t="str">
        <f>HYPERLINK("https://satoriz-comboire.bio/collections/epicerie-sucree/products/re39977","8.48")</f>
        <v>8.48</v>
      </c>
      <c r="I226" t="s">
        <v>15</v>
      </c>
      <c r="J226" s="23" t="str">
        <f>HYPERLINK("https://www.greenweez.com/produit/sirop-dagave-330g-1/1MKAL0163","11.03")</f>
        <v>11.03</v>
      </c>
      <c r="K226" t="s">
        <v>15</v>
      </c>
    </row>
    <row r="227" spans="1:12" x14ac:dyDescent="0.3">
      <c r="A227" s="16" t="s">
        <v>495</v>
      </c>
      <c r="B227" s="17"/>
      <c r="C227" s="17"/>
      <c r="D227" s="17"/>
      <c r="E227" s="17"/>
      <c r="F227" s="17"/>
      <c r="G227" s="17"/>
      <c r="H227" s="17"/>
      <c r="I227" s="17"/>
      <c r="J227" s="17"/>
      <c r="K227" s="17"/>
    </row>
    <row r="228" spans="1:12" x14ac:dyDescent="0.3">
      <c r="A228" t="s">
        <v>496</v>
      </c>
      <c r="B228" s="18" t="str">
        <f>HYPERLINK("https://lafourche.fr/products/la-fourche-farine-de-ble-bio-t65-2-5kg","1.29")</f>
        <v>1.29</v>
      </c>
      <c r="C228" t="s">
        <v>15</v>
      </c>
      <c r="D228" s="23" t="str">
        <f>HYPERLINK("https://www.biocoop.fr/magasin-biocoop_champollion/farine-de-ble-t65-bio-dm3003-000.html","1.75")</f>
        <v>1.75</v>
      </c>
      <c r="E228" s="20" t="s">
        <v>15</v>
      </c>
      <c r="F228" s="23" t="str">
        <f>HYPERLINK("https://www.biocoop.fr/magasin-biocoop_fontaine/farine-de-ble-t65-2-5kg-dm3002-000.html","1.58")</f>
        <v>1.58</v>
      </c>
      <c r="G228" s="21" t="s">
        <v>15</v>
      </c>
      <c r="H228" s="23" t="str">
        <f>HYPERLINK("https://satoriz-comboire.bio/collections/epicerie-salee/products/pi65","1.85")</f>
        <v>1.85</v>
      </c>
      <c r="I228" t="s">
        <v>15</v>
      </c>
      <c r="J228" s="23" t="str">
        <f>HYPERLINK("https://www.greenweez.com/produit/farine-de-ble-t65-meule-france-bio-2-5kg/2WEEZ0239","1.89")</f>
        <v>1.89</v>
      </c>
      <c r="K228" t="s">
        <v>15</v>
      </c>
      <c r="L228">
        <v>1</v>
      </c>
    </row>
    <row r="229" spans="1:12" x14ac:dyDescent="0.3">
      <c r="A229" t="s">
        <v>498</v>
      </c>
      <c r="B229" s="18" t="str">
        <f>HYPERLINK("https://lafourche.fr/products/la-fourche-farine-de-ble-t110-bio-2-5kg","1.59")</f>
        <v>1.59</v>
      </c>
      <c r="C229" t="s">
        <v>15</v>
      </c>
      <c r="D229" s="23" t="str">
        <f>HYPERLINK("https://www.biocoop.fr/magasin-biocoop_champollion/farine-de-ble-t110-1kg-br0212-000.html","2.8")</f>
        <v>2.8</v>
      </c>
      <c r="E229" t="s">
        <v>15</v>
      </c>
      <c r="F229" s="23" t="str">
        <f>HYPERLINK("https://www.biocoop.fr/magasin-biocoop_fontaine/farine-de-ble-t110-1kg-br0212-000.html","2.79")</f>
        <v>2.79</v>
      </c>
      <c r="G229" t="s">
        <v>15</v>
      </c>
      <c r="H229" s="23" t="str">
        <f>HYPERLINK("https://satoriz-comboire.bio/collections/epicerie-salee/products/pi110","1.9")</f>
        <v>1.9</v>
      </c>
      <c r="I229" t="s">
        <v>15</v>
      </c>
      <c r="J229" s="23" t="str">
        <f>HYPERLINK("https://www.greenweez.com/produit/farine-de-ble-demi-complete-t110-2-5kg/1MOUL0318","2.13")</f>
        <v>2.13</v>
      </c>
      <c r="K229" t="s">
        <v>15</v>
      </c>
    </row>
    <row r="230" spans="1:12" x14ac:dyDescent="0.3">
      <c r="A230" t="s">
        <v>500</v>
      </c>
      <c r="B230" s="23" t="str">
        <f>HYPERLINK("https://lafourche.fr/products/celnat-farine-de-seigle-t130-bio-1kg","2.17")</f>
        <v>2.17</v>
      </c>
      <c r="C230" t="s">
        <v>15</v>
      </c>
      <c r="D230" s="23" t="str">
        <f>HYPERLINK("https://www.biocoop.fr/magasin-biocoop_champollion/farine-de-seigle-t130-1kg-br0213-000.html","2.83")</f>
        <v>2.83</v>
      </c>
      <c r="E230" t="s">
        <v>15</v>
      </c>
      <c r="F230" s="23" t="str">
        <f>HYPERLINK("https://www.biocoop.fr/magasin-biocoop_fontaine/farine-de-seigle-t130-1kg-br0213-000.html","2.85")</f>
        <v>2.85</v>
      </c>
      <c r="G230" t="s">
        <v>15</v>
      </c>
      <c r="H230" s="23" t="str">
        <f>HYPERLINK("https://satoriz-comboire.bio/collections/epicerie-salee/products/seix1","2.05")</f>
        <v>2.05</v>
      </c>
      <c r="I230" t="s">
        <v>15</v>
      </c>
      <c r="J230" s="18" t="str">
        <f>HYPERLINK("https://www.greenweez.com/produit/farine-de-seigle-t130-bio-france-2-5kg/2WEEZ0238","1.94")</f>
        <v>1.94</v>
      </c>
      <c r="K230" t="s">
        <v>15</v>
      </c>
    </row>
    <row r="231" spans="1:12" x14ac:dyDescent="0.3">
      <c r="A231" t="s">
        <v>502</v>
      </c>
      <c r="B231" s="18" t="str">
        <f>HYPERLINK("https://lafourche.fr/products/celnat-farine-5-cereales-1kg","2.92")</f>
        <v>2.92</v>
      </c>
      <c r="C231" t="s">
        <v>15</v>
      </c>
      <c r="D231" s="23" t="str">
        <f>HYPERLINK("https://www.biocoop.fr/magasin-biocoop_champollion/farine-de-5-cereales-t130-1kg-br0219-000.html","3.2")</f>
        <v>3.2</v>
      </c>
      <c r="E231" t="s">
        <v>15</v>
      </c>
      <c r="F231" s="23" t="str">
        <f>HYPERLINK("https://www.biocoop.fr/magasin-biocoop_fontaine/farine-de-5-cereales-t130-1kg-br0219-000.html","3.2")</f>
        <v>3.2</v>
      </c>
      <c r="G231" t="s">
        <v>15</v>
      </c>
      <c r="H231" s="23" t="str">
        <f>HYPERLINK("https://satoriz-comboire.bio/collections/epicerie-salee/products/cei03003","3.4")</f>
        <v>3.4</v>
      </c>
      <c r="I231" t="s">
        <v>15</v>
      </c>
      <c r="J231" s="23" t="str">
        <f>HYPERLINK("https://www.greenweez.com/produit/farine-complete-5-cereales-bio-3kg/5GREE0146","2.98")</f>
        <v>2.98</v>
      </c>
      <c r="K231" t="s">
        <v>15</v>
      </c>
    </row>
    <row r="232" spans="1:12" x14ac:dyDescent="0.3">
      <c r="A232" t="s">
        <v>505</v>
      </c>
      <c r="B232" s="23" t="str">
        <f>HYPERLINK("https://lafourche.fr/products/la-fourche-1kg-de-sucre-blond-bio-en-vrac","2.7")</f>
        <v>2.7</v>
      </c>
      <c r="C232" t="s">
        <v>15</v>
      </c>
      <c r="D232" s="23" t="str">
        <f>HYPERLINK("https://www.biocoop.fr/magasin-biocoop_champollion/sucre-de-canne-roux-morceaux-irregulier-bio-ne0106-000.html","5.15")</f>
        <v>5.15</v>
      </c>
      <c r="E232" s="20" t="s">
        <v>15</v>
      </c>
      <c r="F232" s="23" t="str">
        <f>HYPERLINK("https://www.biocoop.fr/magasin-biocoop_fontaine/sucre-canne-blond-bio-ne0107-000.html","3.45")</f>
        <v>3.45</v>
      </c>
      <c r="G232" s="20" t="s">
        <v>15</v>
      </c>
      <c r="H232" s="18" t="str">
        <f>HYPERLINK("https://satoriz-comboire.bio/collections/vrac/products/eu3133","1.95")</f>
        <v>1.95</v>
      </c>
      <c r="I232" t="s">
        <v>15</v>
      </c>
      <c r="J232" s="23" t="str">
        <f>HYPERLINK("https://www.greenweez.com/produit/sucre-brun-de-canne-5kg/1MKAL0177","3.79")</f>
        <v>3.79</v>
      </c>
      <c r="K232" t="s">
        <v>15</v>
      </c>
      <c r="L232">
        <v>0.5</v>
      </c>
    </row>
    <row r="233" spans="1:12" x14ac:dyDescent="0.3">
      <c r="A233" t="s">
        <v>509</v>
      </c>
      <c r="B233" s="23" t="str">
        <f>HYPERLINK("https://lafourche.fr/products/la-fourche-1kg-de-sucre-de-canne-complet-dulcita-bio-en-vrac","3.99")</f>
        <v>3.99</v>
      </c>
      <c r="C233" t="s">
        <v>15</v>
      </c>
      <c r="D233" s="23" t="str">
        <f>HYPERLINK("https://www.biocoop.fr/magasin-biocoop_champollion/epicerie-sucree/farines-sucres-aides-a-la-patisserie/sucres.html","13.98")</f>
        <v>13.98</v>
      </c>
      <c r="E233" s="20" t="s">
        <v>15</v>
      </c>
      <c r="F233" s="23" t="str">
        <f>HYPERLINK("https://www.biocoop.fr/magasin-biocoop_fontaine/sucre-canne-complet-dulcita-1kg-sm0393-000.html","6.1")</f>
        <v>6.1</v>
      </c>
      <c r="G233" t="s">
        <v>15</v>
      </c>
      <c r="H233" s="18" t="str">
        <f>HYPERLINK("https://satoriz-comboire.bio/collections/vrac/products/eu10092","2.75")</f>
        <v>2.75</v>
      </c>
      <c r="I233" t="s">
        <v>15</v>
      </c>
      <c r="J233" s="23" t="str">
        <f>HYPERLINK("https://www.greenweez.com/produit/sucre-de-canne-complet-bio-500g/2WEEZ0261","5.36")</f>
        <v>5.36</v>
      </c>
      <c r="K233" t="s">
        <v>15</v>
      </c>
    </row>
    <row r="234" spans="1:12" x14ac:dyDescent="0.3">
      <c r="A234" s="16" t="s">
        <v>512</v>
      </c>
      <c r="B234" s="17"/>
      <c r="C234" s="17"/>
      <c r="D234" s="17"/>
      <c r="E234" s="17"/>
      <c r="F234" s="17"/>
      <c r="G234" s="17"/>
      <c r="H234" s="17"/>
      <c r="I234" s="17"/>
      <c r="J234" s="17"/>
      <c r="K234" s="17"/>
    </row>
    <row r="235" spans="1:12" x14ac:dyDescent="0.3">
      <c r="A235" t="s">
        <v>513</v>
      </c>
      <c r="B235" s="23" t="str">
        <f>HYPERLINK("https://lafourche.fr/products/la-fourche-pate-a-tartiner-chocolat-noisettes-bio-700g","9.64")</f>
        <v>9.64</v>
      </c>
      <c r="C235" t="s">
        <v>15</v>
      </c>
      <c r="D235" s="23" t="str">
        <f>HYPERLINK("https://www.biocoop.fr/magasin-biocoop_champollion/pate-a-tartiner-noisette-cacao-600g-lg3150-000.html","10.83")</f>
        <v>10.83</v>
      </c>
      <c r="E235" s="20" t="s">
        <v>15</v>
      </c>
      <c r="F235" s="23" t="str">
        <f>HYPERLINK("https://www.biocoop.fr/magasin-biocoop_fontaine/pate-a-tartiner-noisette-cacao-600g-lg3150-000.html","10.83")</f>
        <v>10.83</v>
      </c>
      <c r="G235" s="20" t="s">
        <v>15</v>
      </c>
      <c r="H235" s="23" t="str">
        <f>HYPERLINK("https://satoriz-comboire.bio/collections/epicerie-sucree/products/re40699","11.6")</f>
        <v>11.6</v>
      </c>
      <c r="I235" t="s">
        <v>15</v>
      </c>
      <c r="J235" s="18" t="str">
        <f>HYPERLINK("https://www.greenweez.com/produit/pate-a-tartiner-noisettes-et-cacao-bio-600g/2WEEZ0443","8.92")</f>
        <v>8.92</v>
      </c>
      <c r="K235" t="s">
        <v>15</v>
      </c>
      <c r="L235">
        <v>0.5</v>
      </c>
    </row>
    <row r="236" spans="1:12" x14ac:dyDescent="0.3">
      <c r="A236" t="s">
        <v>514</v>
      </c>
      <c r="B236" s="18" t="str">
        <f>HYPERLINK("https://lafourche.fr/products/la-fourche-pate-a-tartiner-chocolat-noisette-bio-0-7kg","9.93")</f>
        <v>9.93</v>
      </c>
      <c r="C236" t="s">
        <v>15</v>
      </c>
      <c r="D236" s="23" t="str">
        <f>HYPERLINK("https://www.biocoop.fr/magasin-biocoop_champollion/pate-a-tartiner-chokenut-700g-np0036-000.html","23.79")</f>
        <v>23.79</v>
      </c>
      <c r="E236" s="20" t="s">
        <v>15</v>
      </c>
      <c r="F236" s="23" t="str">
        <f>HYPERLINK("https://www.biocoop.fr/magasin-biocoop_fontaine/pate-a-tartiner-chocolade-sans-lait-350g-he0779-000.html","29.14")</f>
        <v>29.14</v>
      </c>
      <c r="G236" s="20" t="s">
        <v>15</v>
      </c>
      <c r="H236" s="23" t="str">
        <f>HYPERLINK("https://satoriz-comboire.bio/collections/epicerie-sucree/products/re43701","12.69")</f>
        <v>12.69</v>
      </c>
      <c r="I236" t="s">
        <v>15</v>
      </c>
      <c r="J236" s="23" t="str">
        <f>HYPERLINK("https://www.greenweez.com/produit/pate-a-tartiner-nocciolata-sans-lait-650g/1NOCC0005","10.91")</f>
        <v>10.91</v>
      </c>
      <c r="K236" s="20" t="s">
        <v>744</v>
      </c>
    </row>
    <row r="237" spans="1:12" x14ac:dyDescent="0.3">
      <c r="A237" t="s">
        <v>517</v>
      </c>
      <c r="B237" s="18" t="str">
        <f>HYPERLINK("https://lafourche.fr/products/natur-avenir-creme-de-marrons-d-ardeche-aop-bio-0-325kg","11.29")</f>
        <v>11.29</v>
      </c>
      <c r="C237" t="s">
        <v>15</v>
      </c>
      <c r="D237" s="23" t="str">
        <f>HYPERLINK("https://www.biocoop.fr/magasin-biocoop_champollion/creme-de-chataigne-360g-dm0709-000.html","13.86")</f>
        <v>13.86</v>
      </c>
      <c r="E237" s="19" t="s">
        <v>15</v>
      </c>
      <c r="F237" s="23" t="str">
        <f>HYPERLINK("https://www.biocoop.fr/magasin-biocoop_fontaine/creme-de-chataigne-360g-dm0709-000.html","15.56")</f>
        <v>15.56</v>
      </c>
      <c r="G237" s="20" t="s">
        <v>15</v>
      </c>
      <c r="H237" s="23" t="str">
        <f>HYPERLINK("https://satoriz-comboire.bio/products/re42052?_pos=2&amp;_sid=75640a58e&amp;_ss=r","12.62")</f>
        <v>12.62</v>
      </c>
      <c r="I237" t="s">
        <v>15</v>
      </c>
      <c r="J237" s="23" t="str">
        <f>HYPERLINK("https://www.greenweez.com/produit/creme-de-marrons-bio-55-320g/2WEEZ0462","12.13")</f>
        <v>12.13</v>
      </c>
      <c r="K237" t="s">
        <v>15</v>
      </c>
    </row>
    <row r="238" spans="1:12" x14ac:dyDescent="0.3">
      <c r="A238" t="s">
        <v>522</v>
      </c>
      <c r="B238" s="18" t="str">
        <f>HYPERLINK("https://lafourche.fr/products/la-fourche-miel-bio-toutes-fleurs-origine-bulgarie-1kg","10.6")</f>
        <v>10.6</v>
      </c>
      <c r="C238" t="s">
        <v>15</v>
      </c>
      <c r="D238" s="23" t="str">
        <f>HYPERLINK("https://www.biocoop.fr/magasin-biocoop_champollion/miel-toutes-fleurs-1kg-mz2000-000.html","15.2")</f>
        <v>15.2</v>
      </c>
      <c r="E238" s="19" t="s">
        <v>15</v>
      </c>
      <c r="F238" s="23" t="str">
        <f>HYPERLINK("https://www.biocoop.fr/magasin-biocoop_fontaine/miel-toutes-fleurs-1kg-mz2000-000.html","16.55")</f>
        <v>16.55</v>
      </c>
      <c r="G238" t="s">
        <v>15</v>
      </c>
      <c r="H238" s="23" t="str">
        <f>HYPERLINK("https://satoriz-comboire.bio/collections/epicerie-sucree/products/rc1","18.5")</f>
        <v>18.5</v>
      </c>
      <c r="I238" t="s">
        <v>15</v>
      </c>
      <c r="J238" s="23" t="str">
        <f>HYPERLINK("https://www.greenweez.com/produit/miel-toutes-fleurs-liquide-origine-ue-1kg/4TERR0044","17.95")</f>
        <v>17.95</v>
      </c>
      <c r="K238" t="s">
        <v>15</v>
      </c>
    </row>
    <row r="239" spans="1:12" x14ac:dyDescent="0.3">
      <c r="A239" t="s">
        <v>525</v>
      </c>
      <c r="B239" s="23" t="str">
        <f>HYPERLINK("https://lafourche.fr/products/la-fourche-miel-de-montagne-bio-0-25kg","22")</f>
        <v>22</v>
      </c>
      <c r="C239" t="s">
        <v>15</v>
      </c>
      <c r="D239">
        <v>888888</v>
      </c>
      <c r="F239">
        <v>888888</v>
      </c>
      <c r="H239" s="23" t="str">
        <f>HYPERLINK("https://satoriz-comboire.bio/collections/epicerie-sucree/products/ver052","22.4")</f>
        <v>22.4</v>
      </c>
      <c r="I239" t="s">
        <v>15</v>
      </c>
      <c r="J239" s="18" t="str">
        <f>HYPERLINK("https://www.greenweez.com/produit/miel-de-montagne-bio-espagne-500g/2WEEZ0036","17.9")</f>
        <v>17.9</v>
      </c>
      <c r="K239" t="s">
        <v>15</v>
      </c>
    </row>
    <row r="240" spans="1:12" x14ac:dyDescent="0.3">
      <c r="A240" t="s">
        <v>528</v>
      </c>
      <c r="B240" s="18" t="str">
        <f>HYPERLINK("https://lafourche.fr/products/la-fourche-puree-100-cacahuetes-bio-0-5kg","9.98")</f>
        <v>9.98</v>
      </c>
      <c r="C240" t="s">
        <v>15</v>
      </c>
      <c r="D240" s="23" t="str">
        <f>HYPERLINK("https://www.biocoop.fr/magasin-biocoop_champollion/beurre-de-cacahuetes-500g-ra0617-000.html","13.2")</f>
        <v>13.2</v>
      </c>
      <c r="E240" s="20" t="s">
        <v>15</v>
      </c>
      <c r="F240" s="23" t="str">
        <f>HYPERLINK("https://www.biocoop.fr/magasin-biocoop_fontaine/beurre-de-cacahuetes-500g-ra0617-000.html","13.2")</f>
        <v>13.2</v>
      </c>
      <c r="G240" s="20" t="s">
        <v>15</v>
      </c>
      <c r="H240" s="23" t="str">
        <f>HYPERLINK("https://satoriz-comboire.bio/collections/epicerie-sucree/products/ag001216","10.46")</f>
        <v>10.46</v>
      </c>
      <c r="I240" t="s">
        <v>15</v>
      </c>
      <c r="J240" s="23" t="str">
        <f>HYPERLINK("https://www.greenweez.com/produit/beurre-de-cacahuetes-280g/1PERL0131","888888")</f>
        <v>888888</v>
      </c>
      <c r="K240" s="19" t="s">
        <v>99</v>
      </c>
    </row>
    <row r="241" spans="1:11" x14ac:dyDescent="0.3">
      <c r="A241" t="s">
        <v>530</v>
      </c>
      <c r="B241" s="23" t="str">
        <f>HYPERLINK("https://lafourche.fr/products/la-fourche-tahin-100-sesame-demi-complet-bio-0-5kg","12.18")</f>
        <v>12.18</v>
      </c>
      <c r="C241" t="s">
        <v>15</v>
      </c>
      <c r="D241" s="23" t="str">
        <f>HYPERLINK("https://www.biocoop.fr/magasin-biocoop_champollion/puree-de-sesame-1-2-complet-350g-he0860-000.html","20.43")</f>
        <v>20.43</v>
      </c>
      <c r="E241" s="20" t="s">
        <v>15</v>
      </c>
      <c r="F241" s="23" t="str">
        <f>HYPERLINK("https://www.biocoop.fr/magasin-biocoop_fontaine/epicerie-sucree/petit-dejeuner/purees-d-oleagineux.html?product_list_order=price_ref_asc","11.64")</f>
        <v>11.64</v>
      </c>
      <c r="G241" s="20" t="s">
        <v>15</v>
      </c>
      <c r="H241" s="23" t="str">
        <f>HYPERLINK("https://satoriz-comboire.bio/collections/epicerie-sucree/products/per1240","18.93")</f>
        <v>18.93</v>
      </c>
      <c r="I241" t="s">
        <v>15</v>
      </c>
      <c r="J241" s="18" t="str">
        <f>HYPERLINK("https://www.greenweez.com/produit/puree-de-sesame-complet-bio-700g/2WEEZ0504","11.34")</f>
        <v>11.34</v>
      </c>
      <c r="K241" t="s">
        <v>15</v>
      </c>
    </row>
    <row r="242" spans="1:11" x14ac:dyDescent="0.3">
      <c r="A242" t="s">
        <v>534</v>
      </c>
      <c r="B242" s="18" t="str">
        <f>HYPERLINK("https://lafourche.fr/products/la-fourche-puree-100-amandes-completes-bio-0-5kg","20.98")</f>
        <v>20.98</v>
      </c>
      <c r="C242" t="s">
        <v>15</v>
      </c>
      <c r="D242" s="23" t="str">
        <f>HYPERLINK("https://www.biocoop.fr/magasin-biocoop_champollion/puree-d-amande-complete-non-toastee-275g-da8051-000.html","32.69")</f>
        <v>32.69</v>
      </c>
      <c r="E242" s="20" t="s">
        <v>15</v>
      </c>
      <c r="F242" s="23" t="str">
        <f>HYPERLINK("https://www.biocoop.fr/magasin-biocoop_fontaine/puree-d-amande-complete-grillee-750g-da8074-000.html","28.6")</f>
        <v>28.6</v>
      </c>
      <c r="G242" s="20" t="s">
        <v>15</v>
      </c>
      <c r="H242" s="23" t="str">
        <f>HYPERLINK("https://satoriz-comboire.bio/collections/epicerie-sucree/products/ag001043","21.77")</f>
        <v>21.77</v>
      </c>
      <c r="I242" t="s">
        <v>15</v>
      </c>
      <c r="J242" s="23" t="str">
        <f>HYPERLINK("https://www.greenweez.com/produit/puree-damandes-completes-bio-700g/2WEEZ0283","22.77")</f>
        <v>22.77</v>
      </c>
      <c r="K242" t="s">
        <v>15</v>
      </c>
    </row>
    <row r="243" spans="1:11" x14ac:dyDescent="0.3">
      <c r="A243" t="s">
        <v>538</v>
      </c>
      <c r="B243" s="18" t="str">
        <f>HYPERLINK("https://lafourche.fr/products/la-fourche-puree-100-noix-de-cajou-bio-0-5kg","21.98")</f>
        <v>21.98</v>
      </c>
      <c r="C243" t="s">
        <v>15</v>
      </c>
      <c r="D243" s="23" t="str">
        <f>HYPERLINK("https://www.biocoop.fr/magasin-biocoop_champollion/puree-de-noix-de-cajou-crue-300g-pd0107-000.html","32.4")</f>
        <v>32.4</v>
      </c>
      <c r="E243" s="20" t="s">
        <v>15</v>
      </c>
      <c r="F243" s="23" t="str">
        <f>HYPERLINK("https://www.biocoop.fr/magasin-biocoop_fontaine/puree-de-noix-de-cajou-350g-he0751-000.html","29.14")</f>
        <v>29.14</v>
      </c>
      <c r="G243" s="20" t="s">
        <v>745</v>
      </c>
      <c r="H243" s="23" t="str">
        <f>HYPERLINK("https://satoriz-comboire.bio/collections/epicerie-sucree/products/per1435","26.5")</f>
        <v>26.5</v>
      </c>
      <c r="I243" t="s">
        <v>15</v>
      </c>
      <c r="J243" s="23" t="str">
        <f>HYPERLINK("https://www.greenweez.com/produit/puree-de-noix-de-cajou-bio-350g/2WEEZ0285","24.23")</f>
        <v>24.23</v>
      </c>
      <c r="K243" t="s">
        <v>15</v>
      </c>
    </row>
    <row r="244" spans="1:11" x14ac:dyDescent="0.3">
      <c r="A244" t="s">
        <v>540</v>
      </c>
      <c r="B244" s="23" t="str">
        <f>HYPERLINK("https://lafourche.fr/products/la-fourche-puree-100-noisettes-bio-0-5kg","23.98")</f>
        <v>23.98</v>
      </c>
      <c r="C244" t="s">
        <v>15</v>
      </c>
      <c r="D244" s="23" t="str">
        <f>HYPERLINK("https://www.biocoop.fr/magasin-biocoop_champollion/puree-de-noisette-700g-he0702-000.html","33.14")</f>
        <v>33.14</v>
      </c>
      <c r="E244" s="20" t="s">
        <v>15</v>
      </c>
      <c r="F244" s="23" t="str">
        <f>HYPERLINK("https://www.biocoop.fr/magasin-biocoop_fontaine/puree-de-noisette-700g-he0702-000.html","32.14")</f>
        <v>32.14</v>
      </c>
      <c r="G244" s="20" t="s">
        <v>15</v>
      </c>
      <c r="H244" s="23" t="str">
        <f>HYPERLINK("https://satoriz-comboire.bio/collections/epicerie-sucree/products/ag001044","26.0")</f>
        <v>26.0</v>
      </c>
      <c r="I244" t="s">
        <v>15</v>
      </c>
      <c r="J244" s="18" t="str">
        <f>HYPERLINK("https://www.greenweez.com/produit/puree-de-noisettes-bio-700g/2WEEZ0289","22.36")</f>
        <v>22.36</v>
      </c>
      <c r="K244" t="s">
        <v>15</v>
      </c>
    </row>
    <row r="245" spans="1:11" x14ac:dyDescent="0.3">
      <c r="A245" s="16" t="s">
        <v>545</v>
      </c>
      <c r="B245" s="17"/>
      <c r="C245" s="17"/>
      <c r="D245" s="17"/>
      <c r="E245" s="17"/>
      <c r="F245" s="17"/>
      <c r="G245" s="17"/>
      <c r="H245" s="17"/>
      <c r="I245" s="17"/>
      <c r="J245" s="17"/>
      <c r="K245" s="17"/>
    </row>
    <row r="246" spans="1:11" x14ac:dyDescent="0.3">
      <c r="A246" t="s">
        <v>546</v>
      </c>
      <c r="B246" s="18" t="str">
        <f>HYPERLINK("https://lafourche.fr/products/borsa-biscottes-completes-bio-0-3kg","8.83")</f>
        <v>8.83</v>
      </c>
      <c r="C246" t="s">
        <v>15</v>
      </c>
      <c r="D246" s="18" t="str">
        <f>HYPERLINK("https://www.biocoop.fr/magasin-biocoop_champollion/biscottes-a-la-farine-complete-300g-bo1013-000.html","8.83")</f>
        <v>8.83</v>
      </c>
      <c r="E246" s="20" t="s">
        <v>15</v>
      </c>
      <c r="F246" s="18" t="str">
        <f>HYPERLINK("https://www.biocoop.fr/magasin-biocoop_fontaine/biscottes-a-la-farine-complete-300g-bo1013-000.html","8.83")</f>
        <v>8.83</v>
      </c>
      <c r="G246" s="20" t="s">
        <v>15</v>
      </c>
      <c r="H246" s="23" t="str">
        <f>HYPERLINK("https://satoriz-comboire.bio/collections/boulangerie/products/ma3424","9.17")</f>
        <v>9.17</v>
      </c>
      <c r="I246" t="s">
        <v>15</v>
      </c>
      <c r="J246" s="23" t="str">
        <f>HYPERLINK("https://www.greenweez.com/produit/biscottes-a-la-farine-complete-300g/1BORS0001","11.6")</f>
        <v>11.6</v>
      </c>
      <c r="K246" t="s">
        <v>15</v>
      </c>
    </row>
    <row r="247" spans="1:11" x14ac:dyDescent="0.3">
      <c r="A247" t="s">
        <v>549</v>
      </c>
      <c r="B247" s="23" t="str">
        <f>HYPERLINK("https://lafourche.fr/products/lima-galettes-de-riz-100g","8.5")</f>
        <v>8.5</v>
      </c>
      <c r="C247" t="s">
        <v>15</v>
      </c>
      <c r="D247" s="23" t="str">
        <f>HYPERLINK("https://www.biocoop.fr/magasin-biocoop_champollion/galettes-de-riz-de-camargue-complet-130g-bo0159-000.html","9.23")</f>
        <v>9.23</v>
      </c>
      <c r="E247" s="20" t="s">
        <v>15</v>
      </c>
      <c r="F247" s="23" t="str">
        <f>HYPERLINK("https://www.biocoop.fr/magasin-biocoop_fontaine/galettes-de-riz-de-camargue-complet-130g-bo0159-000.html","9.23")</f>
        <v>9.23</v>
      </c>
      <c r="G247" s="20" t="s">
        <v>15</v>
      </c>
      <c r="H247" s="23" t="str">
        <f>HYPERLINK("https://satoriz-comboire.bio/collections/boulangerie/products/pu7840009","10.5")</f>
        <v>10.5</v>
      </c>
      <c r="I247" t="s">
        <v>15</v>
      </c>
      <c r="J247" s="18" t="str">
        <f>HYPERLINK("https://www.greenweez.com/produit/galettes-riz-de-camargue-sans-sel-100-france-130g/1PRIM0474","6.91")</f>
        <v>6.91</v>
      </c>
      <c r="K247" t="s">
        <v>15</v>
      </c>
    </row>
    <row r="248" spans="1:11" x14ac:dyDescent="0.3">
      <c r="A248" t="s">
        <v>554</v>
      </c>
      <c r="B248" s="18" t="str">
        <f>HYPERLINK("https://lafourche.fr/products/lima-galettes-de-riz-au-chocolat-noir-bio-0-1kg","21.6")</f>
        <v>21.6</v>
      </c>
      <c r="C248" t="s">
        <v>15</v>
      </c>
      <c r="D248" s="23" t="str">
        <f>HYPERLINK("https://www.biocoop.fr/magasin-biocoop_champollion/galette-riz-complet-choco-noir-8-100g-cf5007-000.html","23.0")</f>
        <v>23.0</v>
      </c>
      <c r="E248" s="20" t="s">
        <v>15</v>
      </c>
      <c r="F248" s="23" t="str">
        <f>HYPERLINK("https://www.biocoop.fr/magasin-biocoop_fontaine/galette-riz-complet-choco-noir-8-100g-cf5007-000.html","23.0")</f>
        <v>23.0</v>
      </c>
      <c r="G248" s="20" t="s">
        <v>15</v>
      </c>
      <c r="H248" s="23" t="str">
        <f>HYPERLINK("https://satoriz-comboire.bio/collections/boulangerie/products/pu7840085","25.5")</f>
        <v>25.5</v>
      </c>
      <c r="I248" t="s">
        <v>15</v>
      </c>
      <c r="J248" s="23" t="str">
        <f>HYPERLINK("https://www.greenweez.com/produit/galettes-de-riz-au-chocolat-noir-100g/1MKAL0059","888888")</f>
        <v>888888</v>
      </c>
      <c r="K248" s="19" t="s">
        <v>99</v>
      </c>
    </row>
    <row r="249" spans="1:11" x14ac:dyDescent="0.3">
      <c r="A249" t="s">
        <v>556</v>
      </c>
      <c r="B249" s="23" t="str">
        <f>HYPERLINK("https://lafourche.fr/products/pivert-pain-grille-250g","11")</f>
        <v>11</v>
      </c>
      <c r="C249" t="s">
        <v>15</v>
      </c>
      <c r="D249" s="18" t="str">
        <f>HYPERLINK("https://www.biocoop.fr/magasin-biocoop_champollion/epicerie-sucree/pains-galettes-biscottes/biscottes-pains-grilles.html?product_list_order=price_ref_asc","8.67")</f>
        <v>8.67</v>
      </c>
      <c r="E249" s="20" t="s">
        <v>15</v>
      </c>
      <c r="F249">
        <v>888888</v>
      </c>
      <c r="H249" s="23" t="str">
        <f>HYPERLINK("https://satoriz-comboire.bio/collections/boulangerie/products/ma1521","10.2")</f>
        <v>10.2</v>
      </c>
      <c r="I249" t="s">
        <v>15</v>
      </c>
      <c r="J249" s="23" t="str">
        <f>HYPERLINK("https://www.greenweez.com/produit/pain-grille-a-la-farine-complete-250g/1BORS0008","13.36")</f>
        <v>13.36</v>
      </c>
      <c r="K249" s="21" t="s">
        <v>746</v>
      </c>
    </row>
    <row r="250" spans="1:11" x14ac:dyDescent="0.3">
      <c r="A250" t="s">
        <v>558</v>
      </c>
      <c r="B250" s="23" t="str">
        <f>HYPERLINK("https://lafourche.fr/products/pivert-petits-pains-grilles-graines-et-cereales-225g","13.29")</f>
        <v>13.29</v>
      </c>
      <c r="C250" t="s">
        <v>15</v>
      </c>
      <c r="D250" s="23" t="str">
        <f>HYPERLINK("https://www.biocoop.fr/magasin-biocoop_champollion/petit-grille-aux-graines-170g-al3052-000.html","27.65")</f>
        <v>27.65</v>
      </c>
      <c r="E250" s="21" t="s">
        <v>747</v>
      </c>
      <c r="F250" s="18" t="str">
        <f>HYPERLINK("https://www.biocoop.fr/magasin-biocoop_fontaine/petit-pain-grille-cereales-graines-225g-bo1016-000.html","10.89")</f>
        <v>10.89</v>
      </c>
      <c r="G250" s="20" t="s">
        <v>15</v>
      </c>
      <c r="H250" s="23" t="str">
        <f>HYPERLINK("https://satoriz-comboire.bio/collections/boulangerie/products/mpi120268","13.11")</f>
        <v>13.11</v>
      </c>
      <c r="I250" t="s">
        <v>15</v>
      </c>
      <c r="J250" s="23" t="str">
        <f>HYPERLINK("https://www.greenweez.com/produit/petits-pains-grilles-cereales-et-graines-225g/1BORS0005","11.87")</f>
        <v>11.87</v>
      </c>
      <c r="K250" s="20" t="s">
        <v>748</v>
      </c>
    </row>
    <row r="252" spans="1:11" ht="18.75" customHeight="1" x14ac:dyDescent="0.35">
      <c r="A252" s="14" t="s">
        <v>561</v>
      </c>
      <c r="B252" s="15"/>
      <c r="C252" s="15"/>
      <c r="D252" s="15"/>
      <c r="E252" s="15"/>
      <c r="F252" s="15"/>
      <c r="G252" s="15"/>
      <c r="H252" s="15"/>
      <c r="I252" s="15"/>
      <c r="J252" s="25"/>
      <c r="K252" s="25"/>
    </row>
    <row r="253" spans="1:11" x14ac:dyDescent="0.3">
      <c r="A253" s="16" t="s">
        <v>562</v>
      </c>
      <c r="B253" s="17"/>
      <c r="C253" s="17"/>
      <c r="D253" s="17"/>
      <c r="E253" s="17"/>
      <c r="F253" s="17"/>
      <c r="G253" s="17"/>
      <c r="H253" s="17"/>
      <c r="I253" s="17"/>
      <c r="J253" s="26"/>
      <c r="K253" s="26"/>
    </row>
    <row r="254" spans="1:11" x14ac:dyDescent="0.3">
      <c r="A254" t="s">
        <v>563</v>
      </c>
      <c r="B254" s="18" t="str">
        <f>HYPERLINK("https://lafourche.fr/products/la-fourche-pommes-candine-bio-origine-france-1-kg","2.58")</f>
        <v>2.58</v>
      </c>
      <c r="C254" t="s">
        <v>15</v>
      </c>
      <c r="D254">
        <v>888888</v>
      </c>
      <c r="F254" s="18" t="str">
        <f>HYPERLINK("https://www.biocoop.fr/magasin-biocoop_fontaine/pomme-bicolore-fel4194-000-france.html","2.95")</f>
        <v>2.95</v>
      </c>
      <c r="G254" s="20" t="s">
        <v>15</v>
      </c>
      <c r="H254" s="23" t="str">
        <f>HYPERLINK("https://satoriz-comboire.bio/collections/fruits-et-legumes/products/fru716","3.2")</f>
        <v>3.2</v>
      </c>
      <c r="I254" s="21" t="s">
        <v>749</v>
      </c>
      <c r="J254" s="28" t="str">
        <f>HYPERLINK("https://www.greenweez.com/produit/pomme-regal-you-candine/1VRAC0415","2.99")</f>
        <v>2.99</v>
      </c>
      <c r="K254" t="s">
        <v>15</v>
      </c>
    </row>
    <row r="255" spans="1:11" x14ac:dyDescent="0.3">
      <c r="A255" t="s">
        <v>564</v>
      </c>
      <c r="B255">
        <v>888888</v>
      </c>
      <c r="D255" s="18" t="str">
        <f>HYPERLINK("https://www.biocoop.fr/magasin-biocoop_champollion/banane-cavendish-fel4011-000-dominicaine-republique-.html","2.09")</f>
        <v>2.09</v>
      </c>
      <c r="E255" s="20" t="s">
        <v>15</v>
      </c>
      <c r="F255">
        <v>888888</v>
      </c>
      <c r="H255" s="23" t="str">
        <f>HYPERLINK("https://satoriz-comboire.bio/collections/fruits-et-legumes/products/fru140","2.1")</f>
        <v>2.1</v>
      </c>
      <c r="I255" t="s">
        <v>15</v>
      </c>
      <c r="J255" s="28" t="str">
        <f>HYPERLINK("https://www.greenweez.com/produit/bananes-jaunes/1VRAC0018","2.29")</f>
        <v>2.29</v>
      </c>
      <c r="K255" t="s">
        <v>15</v>
      </c>
    </row>
    <row r="256" spans="1:11" x14ac:dyDescent="0.3">
      <c r="A256" t="s">
        <v>565</v>
      </c>
      <c r="B256" s="18" t="str">
        <f>HYPERLINK("https://lafourche.fr/products/la-fourche-clementines-bio-origine-espagne-1kg","888888")</f>
        <v>888888</v>
      </c>
      <c r="C256" s="19" t="s">
        <v>99</v>
      </c>
      <c r="D256" s="22">
        <v>888888</v>
      </c>
      <c r="F256" s="22">
        <v>888888</v>
      </c>
      <c r="H256" s="18" t="str">
        <f>HYPERLINK("https://satoriz-comboire.bio/collections/fruits-et-legumes/products/fru210","888888")</f>
        <v>888888</v>
      </c>
      <c r="I256" s="19" t="s">
        <v>99</v>
      </c>
      <c r="J256" s="27" t="str">
        <f>HYPERLINK("https://www.greenweez.com/produit/clementines-espagne-1/1VRAC0019","888888")</f>
        <v>888888</v>
      </c>
      <c r="K256" s="31" t="s">
        <v>99</v>
      </c>
    </row>
    <row r="257" spans="1:11" x14ac:dyDescent="0.3">
      <c r="A257" t="s">
        <v>566</v>
      </c>
      <c r="B257" s="23" t="str">
        <f>HYPERLINK("https://lafourche.fr/products/la-fourche-kiwis-bio-origine-france-0-5kg","5.9")</f>
        <v>5.9</v>
      </c>
      <c r="C257" s="21" t="s">
        <v>750</v>
      </c>
      <c r="D257">
        <v>888888</v>
      </c>
      <c r="F257" s="18" t="str">
        <f>HYPERLINK("https://www.biocoop.fr/magasin-biocoop_fontaine/kiwi-vert-fel4030-000-italie.html","5.9")</f>
        <v>5.9</v>
      </c>
      <c r="G257" s="20" t="s">
        <v>751</v>
      </c>
      <c r="H257" s="18" t="str">
        <f>HYPERLINK("https://satoriz-comboire.bio/collections/fruits-et-legumes/products/fru300","4.5")</f>
        <v>4.5</v>
      </c>
      <c r="I257" s="20" t="s">
        <v>752</v>
      </c>
      <c r="J257" s="28" t="str">
        <f>HYPERLINK("https://www.greenweez.com/produit/kiwi-hayward-italie-1/1VRAC0014","888888")</f>
        <v>888888</v>
      </c>
      <c r="K257" s="31" t="s">
        <v>99</v>
      </c>
    </row>
    <row r="258" spans="1:11" x14ac:dyDescent="0.3">
      <c r="A258" t="s">
        <v>567</v>
      </c>
      <c r="B258" s="18" t="str">
        <f>HYPERLINK("https://lafourche.fr/products/la-fourche-poires-conference-bio-origine-france-0-5kg","888888")</f>
        <v>888888</v>
      </c>
      <c r="D258" s="22">
        <v>888888</v>
      </c>
      <c r="F258" s="22">
        <v>888888</v>
      </c>
      <c r="H258" s="18" t="str">
        <f>HYPERLINK("https://satoriz-comboire.bio/collections/fruits-et-legumes/products/fru604","888888")</f>
        <v>888888</v>
      </c>
      <c r="J258" s="27" t="str">
        <f>HYPERLINK("https://www.greenweez.com/produit/poire-conference-france-1/1VRAC0015","888888")</f>
        <v>888888</v>
      </c>
    </row>
    <row r="259" spans="1:11" x14ac:dyDescent="0.3">
      <c r="A259" t="s">
        <v>568</v>
      </c>
      <c r="B259" s="23" t="str">
        <f>HYPERLINK("https://lafourche.fr/products/la-fourche-oranges-bio-origine-espagne-kg-1","888888")</f>
        <v>888888</v>
      </c>
      <c r="C259" s="19" t="s">
        <v>99</v>
      </c>
      <c r="D259">
        <v>888888</v>
      </c>
      <c r="F259" s="18" t="str">
        <f>HYPERLINK("https://www.biocoop.fr/magasin-biocoop_fontaine/orange-blonde-navel.html","2.2")</f>
        <v>2.2</v>
      </c>
      <c r="G259" s="20" t="s">
        <v>15</v>
      </c>
      <c r="H259" s="23" t="str">
        <f>HYPERLINK("https://satoriz-comboire.bio/collections/fruits-et-legumes/products/fru450","2.3")</f>
        <v>2.3</v>
      </c>
      <c r="I259" t="s">
        <v>15</v>
      </c>
      <c r="J259" s="28" t="str">
        <f>HYPERLINK("https://www.greenweez.com/produit/orange-de-table-espagne-1/1VRAC0009","2.71")</f>
        <v>2.71</v>
      </c>
      <c r="K259" s="29" t="s">
        <v>753</v>
      </c>
    </row>
    <row r="260" spans="1:11" x14ac:dyDescent="0.3">
      <c r="A260" t="s">
        <v>569</v>
      </c>
      <c r="B260" s="18" t="str">
        <f>HYPERLINK("https://lafourche.fr/products/la-fourche-citron-bio-origine-italie-kg-0-5-2","2.3")</f>
        <v>2.3</v>
      </c>
      <c r="C260" t="s">
        <v>15</v>
      </c>
      <c r="D260" s="23" t="str">
        <f>HYPERLINK("https://www.biocoop.fr/magasin-biocoop_champollion/citron-jaune.html","2.75")</f>
        <v>2.75</v>
      </c>
      <c r="E260" s="20" t="s">
        <v>15</v>
      </c>
      <c r="F260" s="18" t="str">
        <f>HYPERLINK("https://www.biocoop.fr/magasin-biocoop_fontaine/citron-jaune.html","2.5")</f>
        <v>2.5</v>
      </c>
      <c r="G260" s="20" t="s">
        <v>15</v>
      </c>
      <c r="H260" s="23" t="str">
        <f>HYPERLINK("https://satoriz-comboire.bio/collections/fruits-et-legumes/products/fru202","3.6")</f>
        <v>3.6</v>
      </c>
      <c r="I260" t="s">
        <v>15</v>
      </c>
      <c r="J260" s="28" t="str">
        <f>HYPERLINK("https://www.greenweez.com/produit/citron-jaune-espagne-1/1VRAC0011","2.7")</f>
        <v>2.7</v>
      </c>
      <c r="K260" s="29" t="s">
        <v>754</v>
      </c>
    </row>
    <row r="261" spans="1:11" x14ac:dyDescent="0.3">
      <c r="A261" s="16" t="s">
        <v>570</v>
      </c>
      <c r="B261" s="17"/>
      <c r="C261" s="17"/>
      <c r="D261" s="17"/>
      <c r="E261" s="17"/>
      <c r="F261" s="17"/>
      <c r="G261" s="17"/>
      <c r="H261" s="17"/>
      <c r="I261" s="17"/>
      <c r="J261" s="26"/>
      <c r="K261" s="26"/>
    </row>
    <row r="262" spans="1:11" x14ac:dyDescent="0.3">
      <c r="A262" t="s">
        <v>571</v>
      </c>
      <c r="B262" s="23" t="str">
        <f>HYPERLINK("https://lafourche.fr/products/la-fourche-ail-bio-origine-france-0-3kg","13.3")</f>
        <v>13.3</v>
      </c>
      <c r="C262" t="s">
        <v>15</v>
      </c>
      <c r="D262">
        <v>888888</v>
      </c>
      <c r="F262" s="18" t="str">
        <f>HYPERLINK("https://www.biocoop.fr/magasin-biocoop_fontaine/ail-sec-blanc.html","15.0")</f>
        <v>15.0</v>
      </c>
      <c r="G262" s="20" t="s">
        <v>15</v>
      </c>
      <c r="H262" s="18" t="str">
        <f>HYPERLINK("https://satoriz-comboire.bio/collections/fruits-et-legumes/products/lgu105","13.0")</f>
        <v>13.0</v>
      </c>
      <c r="I262" t="s">
        <v>15</v>
      </c>
      <c r="J262" s="27" t="str">
        <f>HYPERLINK("https://www.greenweez.com/produit/ail-blanc-violet-sec-espagne-1/1VRAC0299","11.15")</f>
        <v>11.15</v>
      </c>
      <c r="K262" t="s">
        <v>15</v>
      </c>
    </row>
    <row r="263" spans="1:11" x14ac:dyDescent="0.3">
      <c r="A263" t="s">
        <v>572</v>
      </c>
      <c r="B263" s="18" t="str">
        <f>HYPERLINK("https://lafourche.fr/products/la-fourche-oignons-jaunes-bio-origine-france-1kg","2.35")</f>
        <v>2.35</v>
      </c>
      <c r="C263" t="s">
        <v>15</v>
      </c>
      <c r="D263">
        <v>888888</v>
      </c>
      <c r="F263" s="18" t="str">
        <f>HYPERLINK("https://www.biocoop.fr/magasin-biocoop_fontaine/oignon-vrac-jaune.html","2.9")</f>
        <v>2.9</v>
      </c>
      <c r="G263" s="20" t="s">
        <v>15</v>
      </c>
      <c r="H263" s="23" t="str">
        <f>HYPERLINK("https://satoriz-comboire.bio/collections/fruits-et-legumes/products/lgu608","2.5")</f>
        <v>2.5</v>
      </c>
      <c r="I263" s="21" t="s">
        <v>755</v>
      </c>
      <c r="J263" s="28" t="str">
        <f>HYPERLINK("https://www.greenweez.com/produit/oignon-jaune-cal-40-80-france/1VRAC0533","2.82")</f>
        <v>2.82</v>
      </c>
      <c r="K263" t="s">
        <v>15</v>
      </c>
    </row>
    <row r="264" spans="1:11" x14ac:dyDescent="0.3">
      <c r="A264" t="s">
        <v>573</v>
      </c>
      <c r="B264" s="23" t="str">
        <f>HYPERLINK("https://lafourche.fr/products/la-fourche-oignons-rouges-bio-origine-france-1kg","3.09")</f>
        <v>3.09</v>
      </c>
      <c r="C264" s="20" t="s">
        <v>756</v>
      </c>
      <c r="D264" s="18" t="str">
        <f>HYPERLINK("https://www.biocoop.fr/magasin-biocoop_champollion/oignon-vrac-rouge.html","3.5")</f>
        <v>3.5</v>
      </c>
      <c r="E264" s="20" t="s">
        <v>15</v>
      </c>
      <c r="F264" s="18" t="str">
        <f>HYPERLINK("https://www.biocoop.fr/magasin-biocoop_fontaine/oignon-vrac-rouge.html","3.5")</f>
        <v>3.5</v>
      </c>
      <c r="G264" s="20" t="s">
        <v>15</v>
      </c>
      <c r="H264" s="18" t="str">
        <f>HYPERLINK("https://satoriz-comboire.bio/collections/fruits-et-legumes/products/oignon-rouge","2.96")</f>
        <v>2.96</v>
      </c>
      <c r="I264" s="20" t="s">
        <v>757</v>
      </c>
      <c r="J264">
        <v>888888</v>
      </c>
    </row>
    <row r="265" spans="1:11" x14ac:dyDescent="0.3">
      <c r="A265" t="s">
        <v>574</v>
      </c>
      <c r="B265">
        <v>888888</v>
      </c>
      <c r="D265">
        <v>888888</v>
      </c>
      <c r="F265" s="18" t="str">
        <f>HYPERLINK("https://www.biocoop.fr/magasin-biocoop_fontaine/betterave-rouge.html","2.95")</f>
        <v>2.95</v>
      </c>
      <c r="G265" s="20" t="s">
        <v>15</v>
      </c>
      <c r="H265" s="18" t="str">
        <f>HYPERLINK("https://satoriz-comboire.bio/collections/fruits-et-legumes/products/lgu210-1","2.76")</f>
        <v>2.76</v>
      </c>
      <c r="I265" s="21" t="s">
        <v>203</v>
      </c>
      <c r="J265" s="28" t="str">
        <f>HYPERLINK("https://www.greenweez.com/produit/betterave-rouge-france-2/1VRAC0023","3.12")</f>
        <v>3.12</v>
      </c>
      <c r="K265" t="s">
        <v>15</v>
      </c>
    </row>
    <row r="266" spans="1:11" x14ac:dyDescent="0.3">
      <c r="A266" t="s">
        <v>575</v>
      </c>
      <c r="B266">
        <v>888888</v>
      </c>
      <c r="D266" s="18" t="str">
        <f>HYPERLINK("https://www.biocoop.fr/magasin-biocoop_champollion/blette-pied.html","3.95")</f>
        <v>3.95</v>
      </c>
      <c r="E266" s="20" t="s">
        <v>15</v>
      </c>
      <c r="F266">
        <v>888888</v>
      </c>
      <c r="H266" s="18" t="str">
        <f>HYPERLINK("https://satoriz-comboire.bio/collections/fruits-et-legumes/products/lgu222","3.76")</f>
        <v>3.76</v>
      </c>
      <c r="I266" t="s">
        <v>15</v>
      </c>
      <c r="J266">
        <v>888888</v>
      </c>
    </row>
    <row r="267" spans="1:11" x14ac:dyDescent="0.3">
      <c r="A267" t="s">
        <v>576</v>
      </c>
      <c r="B267">
        <v>888888</v>
      </c>
      <c r="D267">
        <v>888888</v>
      </c>
      <c r="F267" s="18" t="str">
        <f>HYPERLINK("https://www.biocoop.fr/magasin-biocoop_fontaine/chou-brocoli.html","3.9")</f>
        <v>3.9</v>
      </c>
      <c r="G267" s="20" t="s">
        <v>758</v>
      </c>
      <c r="H267" s="18" t="str">
        <f>HYPERLINK("https://satoriz-comboire.bio/collections/fruits-et-legumes/products/lgu230","4.1")</f>
        <v>4.1</v>
      </c>
      <c r="I267" s="20" t="s">
        <v>759</v>
      </c>
      <c r="J267" s="28" t="str">
        <f>HYPERLINK("https://www.greenweez.com/produit/brocoli-france/1VRAC0033","888888")</f>
        <v>888888</v>
      </c>
      <c r="K267" s="31" t="s">
        <v>99</v>
      </c>
    </row>
    <row r="268" spans="1:11" x14ac:dyDescent="0.3">
      <c r="A268" t="s">
        <v>577</v>
      </c>
      <c r="B268" s="18" t="str">
        <f>HYPERLINK("https://lafourche.fr/products/la-fourche-carottes-bio-origine-france-2-kg-2","2.25")</f>
        <v>2.25</v>
      </c>
      <c r="C268" t="s">
        <v>15</v>
      </c>
      <c r="D268" s="18" t="str">
        <f>HYPERLINK("https://www.biocoop.fr/magasin-biocoop_champollion/carotte-lavee.html","2.5")</f>
        <v>2.5</v>
      </c>
      <c r="E268" s="20" t="s">
        <v>15</v>
      </c>
      <c r="F268" s="23" t="str">
        <f>HYPERLINK("https://www.biocoop.fr/magasin-biocoop_fontaine/carotte-lavee.html","2.5")</f>
        <v>2.5</v>
      </c>
      <c r="G268" s="20" t="s">
        <v>760</v>
      </c>
      <c r="H268" s="23" t="str">
        <f>HYPERLINK("https://satoriz-comboire.bio/collections/fruits-et-legumes/products/lgu250","2.8")</f>
        <v>2.8</v>
      </c>
      <c r="I268" t="s">
        <v>15</v>
      </c>
      <c r="J268" s="28" t="str">
        <f>HYPERLINK("https://www.greenweez.com/produit/carottes-lavees-france-2/1VRAC0034","3.13")</f>
        <v>3.13</v>
      </c>
      <c r="K268" s="30" t="s">
        <v>761</v>
      </c>
    </row>
    <row r="269" spans="1:11" x14ac:dyDescent="0.3">
      <c r="A269" t="s">
        <v>578</v>
      </c>
      <c r="B269">
        <v>888888</v>
      </c>
      <c r="D269">
        <v>888888</v>
      </c>
      <c r="F269">
        <v>888888</v>
      </c>
      <c r="H269" s="18" t="str">
        <f>HYPERLINK("https://satoriz-comboire.bio/collections/fruits-et-legumes/products/lgu300","3.36")</f>
        <v>3.36</v>
      </c>
      <c r="I269" t="s">
        <v>15</v>
      </c>
      <c r="J269" s="28" t="str">
        <f>HYPERLINK("https://www.greenweez.com/produit/celeri-rave/1VRAC0422","3.75")</f>
        <v>3.75</v>
      </c>
      <c r="K269" s="29" t="s">
        <v>80</v>
      </c>
    </row>
    <row r="270" spans="1:11" x14ac:dyDescent="0.3">
      <c r="A270" t="s">
        <v>579</v>
      </c>
      <c r="B270" s="23" t="str">
        <f>HYPERLINK("https://lafourche.fr/products/la-fourche-celeri-branche-bio-0-5kg","888888")</f>
        <v>888888</v>
      </c>
      <c r="C270" s="19" t="s">
        <v>99</v>
      </c>
      <c r="D270" s="23" t="str">
        <f>HYPERLINK("https://www.biocoop.fr/magasin-biocoop_champollion/celeri-branche.html","3.25")</f>
        <v>3.25</v>
      </c>
      <c r="E270" s="21" t="s">
        <v>762</v>
      </c>
      <c r="F270" s="18" t="str">
        <f>HYPERLINK("https://www.biocoop.fr/magasin-biocoop_fontaine/celeri-branche.html","2.95")</f>
        <v>2.95</v>
      </c>
      <c r="G270" s="20" t="s">
        <v>763</v>
      </c>
      <c r="H270" s="18" t="str">
        <f>HYPERLINK("https://satoriz-comboire.bio/collections/fruits-et-legumes/products/lgu301","2.6")</f>
        <v>2.6</v>
      </c>
      <c r="I270" s="21" t="s">
        <v>764</v>
      </c>
      <c r="J270" s="28" t="str">
        <f>HYPERLINK("https://www.greenweez.com/produit/celeri-branche/1VRAC0040","3.23")</f>
        <v>3.23</v>
      </c>
      <c r="K270" s="29" t="s">
        <v>765</v>
      </c>
    </row>
    <row r="271" spans="1:11" x14ac:dyDescent="0.3">
      <c r="A271" t="s">
        <v>580</v>
      </c>
      <c r="B271" s="18" t="str">
        <f>HYPERLINK("https://lafourche.fr/products/la-fourche-champignons-de-paris-bio-origine-france-0-5-kg-2","9.8")</f>
        <v>9.8</v>
      </c>
      <c r="C271" t="s">
        <v>15</v>
      </c>
      <c r="D271">
        <v>888888</v>
      </c>
      <c r="F271" s="18" t="str">
        <f>HYPERLINK("https://www.biocoop.fr/magasin-biocoop_fontaine/champignon-blond.html","9.9")</f>
        <v>9.9</v>
      </c>
      <c r="G271" s="20" t="s">
        <v>15</v>
      </c>
      <c r="H271" s="23" t="str">
        <f>HYPERLINK("https://satoriz-comboire.bio/collections/fruits-et-legumes/products/lgu321","12.7")</f>
        <v>12.7</v>
      </c>
      <c r="I271" t="s">
        <v>15</v>
      </c>
      <c r="J271" s="28" t="str">
        <f>HYPERLINK("https://www.greenweez.com/produit/champignons-blancs/1VRAC0150","13.68")</f>
        <v>13.68</v>
      </c>
      <c r="K271" s="29" t="s">
        <v>80</v>
      </c>
    </row>
    <row r="272" spans="1:11" x14ac:dyDescent="0.3">
      <c r="A272" t="s">
        <v>581</v>
      </c>
      <c r="B272" s="23" t="str">
        <f>HYPERLINK("https://lafourche.fr/products/la-fourche-champignons-pleurotes-bio-origine-france-0-25-kg","888888")</f>
        <v>888888</v>
      </c>
      <c r="C272" s="19" t="s">
        <v>99</v>
      </c>
      <c r="D272">
        <v>888888</v>
      </c>
      <c r="F272">
        <v>888888</v>
      </c>
      <c r="H272" s="23" t="str">
        <f>HYPERLINK("https://satoriz-comboire.bio/collections/fruits-et-legumes/products/lgu325","15.5")</f>
        <v>15.5</v>
      </c>
      <c r="I272" s="21" t="s">
        <v>766</v>
      </c>
      <c r="J272" s="27" t="str">
        <f>HYPERLINK("https://www.greenweez.com/produit/champignon-pleurote-ile-de-france-1/1VRAC0311","15.33")</f>
        <v>15.33</v>
      </c>
      <c r="K272" s="29" t="s">
        <v>80</v>
      </c>
    </row>
    <row r="273" spans="1:11" x14ac:dyDescent="0.3">
      <c r="A273" t="s">
        <v>582</v>
      </c>
      <c r="B273" s="18" t="str">
        <f>HYPERLINK("https://lafourche.fr/products/la-fourche-choux-de-bruxelles-origine-france-0-25kg","888888")</f>
        <v>888888</v>
      </c>
      <c r="C273" s="19" t="s">
        <v>99</v>
      </c>
      <c r="D273" s="22">
        <v>888888</v>
      </c>
      <c r="F273" s="22">
        <v>888888</v>
      </c>
      <c r="H273" s="18" t="str">
        <f>HYPERLINK("https://satoriz-comboire.bio/collections/fruits-et-legumes/products/lgu338","888888")</f>
        <v>888888</v>
      </c>
      <c r="I273" s="19" t="s">
        <v>99</v>
      </c>
      <c r="J273" s="32">
        <v>888888</v>
      </c>
    </row>
    <row r="274" spans="1:11" x14ac:dyDescent="0.3">
      <c r="A274" t="s">
        <v>583</v>
      </c>
      <c r="B274">
        <v>888888</v>
      </c>
      <c r="D274" s="18" t="str">
        <f>HYPERLINK("https://www.biocoop.fr/magasin-biocoop_champollion/chou-rouge-fel1980-000-france.html","3.25")</f>
        <v>3.25</v>
      </c>
      <c r="E274" s="21" t="s">
        <v>762</v>
      </c>
      <c r="F274">
        <v>888888</v>
      </c>
      <c r="H274" s="23" t="str">
        <f>HYPERLINK("https://satoriz-comboire.bio/collections/fruits-et-legumes/products/lgu343","3.5")</f>
        <v>3.5</v>
      </c>
      <c r="I274" s="21" t="s">
        <v>767</v>
      </c>
      <c r="J274">
        <v>888888</v>
      </c>
    </row>
    <row r="275" spans="1:11" x14ac:dyDescent="0.3">
      <c r="A275" t="s">
        <v>584</v>
      </c>
      <c r="B275">
        <v>888888</v>
      </c>
      <c r="D275" s="23" t="str">
        <f>HYPERLINK("https://www.biocoop.fr/magasin-biocoop_champollion/courge-butternut-fel4759-000-france.html","3.95")</f>
        <v>3.95</v>
      </c>
      <c r="E275" s="21" t="s">
        <v>254</v>
      </c>
      <c r="F275" s="23" t="str">
        <f>HYPERLINK("https://www.biocoop.fr/magasin-biocoop_fontaine/courge-butternut-fel4759-000-france.html","2.95")</f>
        <v>2.95</v>
      </c>
      <c r="G275" s="21" t="s">
        <v>15</v>
      </c>
      <c r="H275" s="18" t="str">
        <f>HYPERLINK("https://satoriz-comboire.bio/collections/fruits-et-legumes/products/lgu401","2.1")</f>
        <v>2.1</v>
      </c>
      <c r="I275" t="s">
        <v>15</v>
      </c>
      <c r="J275" s="28" t="str">
        <f>HYPERLINK("https://www.greenweez.com/produit/courge-butternut-france-2-5kg/1VRAC0036","3.34")</f>
        <v>3.34</v>
      </c>
      <c r="K275" s="30" t="s">
        <v>768</v>
      </c>
    </row>
    <row r="276" spans="1:11" x14ac:dyDescent="0.3">
      <c r="A276" t="s">
        <v>585</v>
      </c>
      <c r="B276" s="23" t="str">
        <f>HYPERLINK("https://lafourche.fr/products/la-fourche-echalotes-bio-origine-france-0-5kg","3.98")</f>
        <v>3.98</v>
      </c>
      <c r="C276" t="s">
        <v>15</v>
      </c>
      <c r="D276" s="18" t="str">
        <f>HYPERLINK("https://www.biocoop.fr/magasin-biocoop_champollion/echalote-vrac.html","3.75")</f>
        <v>3.75</v>
      </c>
      <c r="E276" s="20" t="s">
        <v>15</v>
      </c>
      <c r="F276" s="23" t="str">
        <f>HYPERLINK("https://www.biocoop.fr/magasin-biocoop_fontaine/echalote-vrac.html","4.5")</f>
        <v>4.5</v>
      </c>
      <c r="G276" s="20" t="s">
        <v>15</v>
      </c>
      <c r="H276" s="23" t="str">
        <f>HYPERLINK("https://satoriz-comboire.bio/collections/fruits-et-legumes/products/lgu420","4.0")</f>
        <v>4.0</v>
      </c>
      <c r="I276" t="s">
        <v>15</v>
      </c>
      <c r="J276" s="28" t="str">
        <f>HYPERLINK("https://www.greenweez.com/produit/echalote-nouvelle/1VRAC0053","4.18")</f>
        <v>4.18</v>
      </c>
      <c r="K276" t="s">
        <v>15</v>
      </c>
    </row>
    <row r="277" spans="1:11" x14ac:dyDescent="0.3">
      <c r="A277" t="s">
        <v>586</v>
      </c>
      <c r="B277" s="18" t="str">
        <f>HYPERLINK("https://lafourche.fr/products/la-fourche-endives-bio-origine-france-0-5kg","8.1")</f>
        <v>8.1</v>
      </c>
      <c r="C277" s="21" t="s">
        <v>769</v>
      </c>
      <c r="D277">
        <v>888888</v>
      </c>
      <c r="F277">
        <v>888888</v>
      </c>
      <c r="H277" s="23" t="str">
        <f>HYPERLINK("https://satoriz-comboire.bio/collections/fruits-et-legumes/products/lgu422","8.9")</f>
        <v>8.9</v>
      </c>
      <c r="I277" s="21" t="s">
        <v>770</v>
      </c>
      <c r="J277" s="28" t="str">
        <f>HYPERLINK("https://www.greenweez.com/produit/endive-france-4/1VRAC0047","888888")</f>
        <v>888888</v>
      </c>
      <c r="K277" s="31" t="s">
        <v>99</v>
      </c>
    </row>
    <row r="278" spans="1:11" x14ac:dyDescent="0.3">
      <c r="A278" t="s">
        <v>587</v>
      </c>
      <c r="B278">
        <v>888888</v>
      </c>
      <c r="D278">
        <v>888888</v>
      </c>
      <c r="F278">
        <v>888888</v>
      </c>
      <c r="H278" s="18" t="str">
        <f>HYPERLINK("https://satoriz-comboire.bio/collections/fruits-et-legumes/products/lgu440","3.8")</f>
        <v>3.8</v>
      </c>
      <c r="I278" s="20" t="s">
        <v>771</v>
      </c>
      <c r="J278" s="28" t="str">
        <f>HYPERLINK("https://www.greenweez.com/produit/epinards/1VRAC0083","5.96")</f>
        <v>5.96</v>
      </c>
      <c r="K278" s="29" t="s">
        <v>80</v>
      </c>
    </row>
    <row r="279" spans="1:11" x14ac:dyDescent="0.3">
      <c r="A279" t="s">
        <v>588</v>
      </c>
      <c r="B279">
        <v>888888</v>
      </c>
      <c r="D279" s="18" t="str">
        <f>HYPERLINK("https://www.biocoop.fr/magasin-biocoop_champollion/fenouil-fel4515-000-france.html","4.75")</f>
        <v>4.75</v>
      </c>
      <c r="E279" s="21" t="s">
        <v>772</v>
      </c>
      <c r="F279" s="23" t="str">
        <f>HYPERLINK("https://www.biocoop.fr/magasin-biocoop_fontaine/fenouil-fel4515-000-france.html","4.9")</f>
        <v>4.9</v>
      </c>
      <c r="G279" s="20" t="s">
        <v>15</v>
      </c>
      <c r="H279" s="18" t="str">
        <f>HYPERLINK("https://satoriz-comboire.bio/collections/fruits-et-legumes/products/lgu460","2.7")</f>
        <v>2.7</v>
      </c>
      <c r="I279" s="20" t="s">
        <v>773</v>
      </c>
      <c r="J279">
        <v>888888</v>
      </c>
    </row>
    <row r="280" spans="1:11" x14ac:dyDescent="0.3">
      <c r="A280" t="s">
        <v>589</v>
      </c>
      <c r="B280" s="18" t="str">
        <f>HYPERLINK("https://lafourche.fr/products/la-fourche-panais-bio-origine-france-0-5kg","888888")</f>
        <v>888888</v>
      </c>
      <c r="C280" s="19" t="s">
        <v>99</v>
      </c>
      <c r="D280" s="22">
        <v>888888</v>
      </c>
      <c r="F280" s="22">
        <v>888888</v>
      </c>
      <c r="H280" s="18" t="str">
        <f>HYPERLINK("https://satoriz-comboire.bio/collections/fruits-et-legumes/products/lgu620","888888")</f>
        <v>888888</v>
      </c>
      <c r="I280" s="19" t="s">
        <v>99</v>
      </c>
      <c r="J280" s="27" t="str">
        <f>HYPERLINK("https://www.greenweez.com/produit/panais-1/1VRAC0031","5.52")</f>
        <v>5.52</v>
      </c>
      <c r="K280" s="30" t="s">
        <v>774</v>
      </c>
    </row>
    <row r="281" spans="1:11" x14ac:dyDescent="0.3">
      <c r="A281" t="s">
        <v>590</v>
      </c>
      <c r="B281">
        <v>888888</v>
      </c>
      <c r="D281" s="23" t="str">
        <f>HYPERLINK("https://www.biocoop.fr/magasin-biocoop_champollion/patate-douce-fel4074-000-france.html","4.5")</f>
        <v>4.5</v>
      </c>
      <c r="E281" s="21" t="s">
        <v>775</v>
      </c>
      <c r="F281" s="23" t="str">
        <f>HYPERLINK("https://www.biocoop.fr/magasin-biocoop_fontaine/patate-douce-fel4074-000-france.html","4.5")</f>
        <v>4.5</v>
      </c>
      <c r="G281" t="s">
        <v>15</v>
      </c>
      <c r="H281" s="18" t="str">
        <f>HYPERLINK("https://satoriz-comboire.bio/collections/fruits-et-legumes/products/lgu631","2.5")</f>
        <v>2.5</v>
      </c>
      <c r="I281" t="s">
        <v>15</v>
      </c>
      <c r="J281" s="28" t="str">
        <f>HYPERLINK("https://www.greenweez.com/produit/patate-douce-france-2/1VRAC0048","4.27")</f>
        <v>4.27</v>
      </c>
      <c r="K281" t="s">
        <v>15</v>
      </c>
    </row>
    <row r="282" spans="1:11" x14ac:dyDescent="0.3">
      <c r="A282" t="s">
        <v>591</v>
      </c>
      <c r="B282" s="23" t="str">
        <f>HYPERLINK("https://lafourche.fr/products/la-fourche-poireaux-bio-origine-france-0-5kg","3.5")</f>
        <v>3.5</v>
      </c>
      <c r="C282" s="20" t="s">
        <v>289</v>
      </c>
      <c r="D282">
        <v>888888</v>
      </c>
      <c r="F282" s="18" t="str">
        <f>HYPERLINK("https://www.biocoop.fr/magasin-biocoop_fontaine/poireau.html","3.9")</f>
        <v>3.9</v>
      </c>
      <c r="G282" s="20" t="s">
        <v>15</v>
      </c>
      <c r="H282" s="18" t="str">
        <f>HYPERLINK("https://satoriz-comboire.bio/collections/fruits-et-legumes/products/lgu710","3.16")</f>
        <v>3.16</v>
      </c>
      <c r="I282" s="20" t="s">
        <v>776</v>
      </c>
      <c r="J282" s="28" t="str">
        <f>HYPERLINK("https://www.greenweez.com/produit/poireau-france-2/1VRAC0024","3.96")</f>
        <v>3.96</v>
      </c>
      <c r="K282" t="s">
        <v>15</v>
      </c>
    </row>
    <row r="283" spans="1:11" x14ac:dyDescent="0.3">
      <c r="A283" t="s">
        <v>592</v>
      </c>
      <c r="B283" s="23" t="str">
        <f>HYPERLINK("https://lafourche.fr/products/la-fourche-pommes-de-terre-allians-bio-origine-france-2-kg","2.2")</f>
        <v>2.2</v>
      </c>
      <c r="C283" t="s">
        <v>15</v>
      </c>
      <c r="D283">
        <v>888888</v>
      </c>
      <c r="F283">
        <v>888888</v>
      </c>
      <c r="H283" s="18" t="str">
        <f>HYPERLINK("https://satoriz-comboire.bio/collections/fruits-et-legumes/products/lgu761","1.8")</f>
        <v>1.8</v>
      </c>
      <c r="I283" t="s">
        <v>15</v>
      </c>
      <c r="J283" s="28" t="str">
        <f>HYPERLINK("https://www.greenweez.com/produit/pomme-de-terre-charlotte/1VRAC0032","2.5")</f>
        <v>2.5</v>
      </c>
      <c r="K283" t="s">
        <v>15</v>
      </c>
    </row>
    <row r="285" spans="1:11" ht="18.75" customHeight="1" x14ac:dyDescent="0.35">
      <c r="A285" s="14" t="s">
        <v>593</v>
      </c>
      <c r="B285" s="15"/>
      <c r="C285" s="15"/>
      <c r="D285" s="15"/>
      <c r="E285" s="15"/>
      <c r="F285" s="15"/>
      <c r="G285" s="15"/>
      <c r="H285" s="15"/>
      <c r="I285" s="15"/>
      <c r="J285" s="25"/>
      <c r="K285" s="25"/>
    </row>
    <row r="286" spans="1:11" x14ac:dyDescent="0.3">
      <c r="A286" s="16" t="s">
        <v>594</v>
      </c>
      <c r="B286" s="17"/>
      <c r="C286" s="17"/>
      <c r="D286" s="17"/>
      <c r="E286" s="17"/>
      <c r="F286" s="17"/>
      <c r="G286" s="17"/>
      <c r="H286" s="17"/>
      <c r="I286" s="17"/>
      <c r="J286" s="26"/>
      <c r="K286" s="26"/>
    </row>
    <row r="287" spans="1:11" x14ac:dyDescent="0.3">
      <c r="A287" t="s">
        <v>595</v>
      </c>
      <c r="B287" s="18" t="str">
        <f>HYPERLINK("https://lafourche.fr/products/cosmo-naturel-shampoing-solide-cuir-chevelu-sensible-amande-douce-bio-0-085kg","73.29")</f>
        <v>73.29</v>
      </c>
      <c r="C287" t="s">
        <v>15</v>
      </c>
      <c r="D287" s="23" t="str">
        <f>HYPERLINK("https://www.biocoop.fr/magasin-biocoop_champollion/shampooing-solide-amande-douce-85g-lg5128-000.html","88.24")</f>
        <v>88.24</v>
      </c>
      <c r="E287" s="19" t="s">
        <v>15</v>
      </c>
      <c r="F287" s="23" t="str">
        <f>HYPERLINK("https://www.biocoop.fr/magasin-biocoop_fontaine/shampooing-solide-cheveux-gras-85g-lg5104-000.html","82.24")</f>
        <v>82.24</v>
      </c>
      <c r="G287" s="20" t="s">
        <v>15</v>
      </c>
      <c r="H287" s="23" t="str">
        <f>HYPERLINK("https://satoriz-comboire.bio/collections/soins-beaute/products/lgco6317","90.0")</f>
        <v>90.0</v>
      </c>
      <c r="I287" t="s">
        <v>15</v>
      </c>
      <c r="J287" s="28" t="str">
        <f>HYPERLINK("https://www.greenweez.com/produit/shampoing-solide-cuir-chevelu-sensible-85g/1COSM0217","76.24")</f>
        <v>76.24</v>
      </c>
      <c r="K287" t="s">
        <v>15</v>
      </c>
    </row>
    <row r="288" spans="1:11" x14ac:dyDescent="0.3">
      <c r="A288" s="16" t="s">
        <v>600</v>
      </c>
      <c r="B288" s="17"/>
      <c r="C288" s="17"/>
      <c r="D288" s="17"/>
      <c r="E288" s="17"/>
      <c r="F288" s="17"/>
      <c r="G288" s="17"/>
      <c r="H288" s="17"/>
      <c r="I288" s="17"/>
      <c r="J288" s="26"/>
      <c r="K288" s="26"/>
    </row>
    <row r="289" spans="1:11" x14ac:dyDescent="0.3">
      <c r="A289" t="s">
        <v>601</v>
      </c>
      <c r="B289" s="18" t="str">
        <f>HYPERLINK("https://lafourche.fr/products/najel-savon-d-alep-40prct-huile-de-baies-de-laurier-185g-ecologique","30.54")</f>
        <v>30.54</v>
      </c>
      <c r="C289" t="s">
        <v>15</v>
      </c>
      <c r="D289" s="23" t="str">
        <f>HYPERLINK("https://www.biocoop.fr/magasin-biocoop_champollion/savon-d-alep-40-nj1017-000.html","41.08")</f>
        <v>41.08</v>
      </c>
      <c r="E289" s="20" t="s">
        <v>15</v>
      </c>
      <c r="F289" s="23" t="str">
        <f>HYPERLINK("https://www.biocoop.fr/magasin-biocoop_fontaine/savon-d-alep-40-nj1017-000.html","41.35")</f>
        <v>41.35</v>
      </c>
      <c r="G289" s="20" t="s">
        <v>777</v>
      </c>
      <c r="H289" s="23" t="str">
        <f>HYPERLINK("https://satoriz-comboire.bio/collections/soins-beaute/products/l30035","48.67")</f>
        <v>48.67</v>
      </c>
      <c r="I289" t="s">
        <v>15</v>
      </c>
      <c r="J289" s="27" t="str">
        <f>HYPERLINK("https://www.greenweez.com/produit/savon-dalep-traditionnel-40-200g/1LAUR0009","23.0")</f>
        <v>23.0</v>
      </c>
      <c r="K289" t="s">
        <v>15</v>
      </c>
    </row>
    <row r="290" spans="1:11" x14ac:dyDescent="0.3">
      <c r="A290" t="s">
        <v>605</v>
      </c>
      <c r="B290" s="18" t="str">
        <f>HYPERLINK("https://lafourche.fr/products/la-fourche-cube-de-marseille-600g","7.17")</f>
        <v>7.17</v>
      </c>
      <c r="D290">
        <v>888888</v>
      </c>
      <c r="F290">
        <v>888888</v>
      </c>
      <c r="H290" s="23" t="str">
        <f>HYPERLINK("https://satoriz-comboire.bio/products/lc20?_pos=6&amp;_sid=8deb37f9d&amp;_ss=r","12.4")</f>
        <v>12.4</v>
      </c>
      <c r="J290" s="28" t="str">
        <f>HYPERLINK("https://www.greenweez.com/produit/savon-de-marseille-cube-vegetal-600g/1FERA0006","9.67")</f>
        <v>9.67</v>
      </c>
    </row>
    <row r="292" spans="1:11" ht="18.75" customHeight="1" x14ac:dyDescent="0.35">
      <c r="A292" s="14" t="s">
        <v>615</v>
      </c>
      <c r="B292" s="15"/>
      <c r="C292" s="15"/>
      <c r="D292" s="15"/>
      <c r="E292" s="15"/>
      <c r="F292" s="15"/>
      <c r="G292" s="15"/>
      <c r="H292" s="15"/>
      <c r="I292" s="15"/>
      <c r="J292" s="25"/>
      <c r="K292" s="25"/>
    </row>
    <row r="293" spans="1:11" x14ac:dyDescent="0.3">
      <c r="A293" s="16" t="s">
        <v>616</v>
      </c>
      <c r="B293" s="17"/>
      <c r="C293" s="17"/>
      <c r="D293" s="17"/>
      <c r="E293" s="17"/>
      <c r="F293" s="17"/>
      <c r="G293" s="17"/>
      <c r="H293" s="17"/>
      <c r="I293" s="17"/>
      <c r="J293" s="26"/>
      <c r="K293" s="26"/>
    </row>
    <row r="294" spans="1:11" x14ac:dyDescent="0.3">
      <c r="A294" t="s">
        <v>617</v>
      </c>
      <c r="B294" s="23" t="str">
        <f>HYPERLINK("https://lafourche.fr/products/la-fourche-vinaigre-blanc-12-5l","1.8")</f>
        <v>1.8</v>
      </c>
      <c r="C294" t="s">
        <v>15</v>
      </c>
      <c r="D294" s="23" t="str">
        <f>HYPERLINK("https://www.biocoop.fr/magasin-biocoop_champollion/vinaigre-d-alcool-8-se4010-000.html","888888")</f>
        <v>888888</v>
      </c>
      <c r="E294" s="19" t="s">
        <v>99</v>
      </c>
      <c r="F294" s="23" t="str">
        <f>HYPERLINK("https://www.biocoop.fr/magasin-biocoop_fontaine/vinaigre-d-alcool-8-se4010-000.html","888888")</f>
        <v>888888</v>
      </c>
      <c r="G294" s="19" t="s">
        <v>99</v>
      </c>
      <c r="H294" s="18" t="str">
        <f>HYPERLINK("https://satoriz-comboire.bio/collections/maison/products/cb4405","1.59")</f>
        <v>1.59</v>
      </c>
      <c r="I294" t="s">
        <v>15</v>
      </c>
      <c r="J294" s="28" t="str">
        <f>HYPERLINK("https://www.greenweez.com/produit/vinaigre-blanc-9-5deg-5l/2WEEZ0344","1.8")</f>
        <v>1.8</v>
      </c>
      <c r="K294" s="30" t="s">
        <v>778</v>
      </c>
    </row>
    <row r="295" spans="1:11" x14ac:dyDescent="0.3">
      <c r="A295" t="s">
        <v>619</v>
      </c>
      <c r="B295" s="23" t="str">
        <f>HYPERLINK("https://lafourche.fr/products/bicarbonate-la-fourche-2kg","3.4")</f>
        <v>3.4</v>
      </c>
      <c r="C295" t="s">
        <v>15</v>
      </c>
      <c r="D295" s="23" t="str">
        <f>HYPERLINK("https://www.biocoop.fr/magasin-biocoop_champollion/bicarbonate-de-soude-se4001-000.html","4.9")</f>
        <v>4.9</v>
      </c>
      <c r="E295" t="s">
        <v>15</v>
      </c>
      <c r="F295" s="23" t="str">
        <f>HYPERLINK("https://www.biocoop.fr/magasin-biocoop_fontaine/bicarbonate-soude-se4066-000.html","3.1")</f>
        <v>3.1</v>
      </c>
      <c r="G295" s="20" t="s">
        <v>15</v>
      </c>
      <c r="H295" s="18" t="str">
        <f>HYPERLINK("https://satoriz-comboire.bio/collections/maison/products/ls2","2.6")</f>
        <v>2.6</v>
      </c>
      <c r="I295" t="s">
        <v>15</v>
      </c>
      <c r="J295" s="28" t="str">
        <f>HYPERLINK("https://www.greenweez.com/produit/bicarbonate-de-soude-technique-2-5kg/2ECOD0552","3.78")</f>
        <v>3.78</v>
      </c>
      <c r="K295" s="30" t="s">
        <v>779</v>
      </c>
    </row>
    <row r="296" spans="1:11" x14ac:dyDescent="0.3">
      <c r="A296" t="s">
        <v>623</v>
      </c>
      <c r="B296" s="18" t="str">
        <f>HYPERLINK("https://lafourche.fr/products/cristaux-de-soude-la-fourche-1kg","4.1")</f>
        <v>4.1</v>
      </c>
      <c r="C296" t="s">
        <v>15</v>
      </c>
      <c r="D296" s="23" t="str">
        <f>HYPERLINK("https://www.biocoop.fr/magasin-biocoop_champollion/soude-en-cristaux-500g-se4005-000.html","888888")</f>
        <v>888888</v>
      </c>
      <c r="E296" s="19" t="s">
        <v>99</v>
      </c>
      <c r="F296" s="23" t="str">
        <f>HYPERLINK("https://www.biocoop.fr/magasin-biocoop_fontaine/soude-en-cristaux-500g-se4005-000.html","888888")</f>
        <v>888888</v>
      </c>
      <c r="G296" s="19" t="s">
        <v>99</v>
      </c>
      <c r="H296" s="23" t="str">
        <f>HYPERLINK("https://satoriz-comboire.bio/collections/maison/products/eu7667","6.3")</f>
        <v>6.3</v>
      </c>
      <c r="I296" t="s">
        <v>15</v>
      </c>
      <c r="J296" s="27" t="str">
        <f>HYPERLINK("https://www.greenweez.com/produit/lot-de-2-soude-en-cristaux-1kg/1PACK1039","3.24")</f>
        <v>3.24</v>
      </c>
      <c r="K296" s="29" t="s">
        <v>707</v>
      </c>
    </row>
    <row r="297" spans="1:11" x14ac:dyDescent="0.3">
      <c r="A297" t="s">
        <v>626</v>
      </c>
      <c r="B297" s="18" t="str">
        <f>HYPERLINK("https://lafourche.fr/products/percarbonate-2kg-la-fourche","4.64")</f>
        <v>4.64</v>
      </c>
      <c r="C297" t="s">
        <v>15</v>
      </c>
      <c r="D297" s="23" t="str">
        <f>HYPERLINK("https://www.biocoop.fr/magasin-biocoop_champollion/percarbonate-de-soude-1kg-se4004-000.html","6.15")</f>
        <v>6.15</v>
      </c>
      <c r="E297" t="s">
        <v>15</v>
      </c>
      <c r="F297" s="23" t="str">
        <f>HYPERLINK("https://www.biocoop.fr/magasin-biocoop_fontaine/percarbonate-de-soude-1kg-se4004-000.html","5.95")</f>
        <v>5.95</v>
      </c>
      <c r="G297" s="20" t="s">
        <v>780</v>
      </c>
      <c r="H297" s="23" t="str">
        <f>HYPERLINK("https://satoriz-comboire.bio/collections/maison/products/eco014","5.5")</f>
        <v>5.5</v>
      </c>
      <c r="I297" s="20" t="s">
        <v>781</v>
      </c>
      <c r="J297" s="28" t="str">
        <f>HYPERLINK("https://www.greenweez.com/produit/percarbonate-de-soude-1kg-2/2WEEZ0347","5.48")</f>
        <v>5.48</v>
      </c>
      <c r="K297" t="s">
        <v>15</v>
      </c>
    </row>
    <row r="298" spans="1:11" x14ac:dyDescent="0.3">
      <c r="A298" t="s">
        <v>629</v>
      </c>
      <c r="B298" s="18" t="str">
        <f>HYPERLINK("https://lafourche.fr/products/artisan-savonnier-blanc-de-meudon-500g","5.7")</f>
        <v>5.7</v>
      </c>
      <c r="C298" t="s">
        <v>15</v>
      </c>
      <c r="D298" s="23" t="str">
        <f>HYPERLINK("https://www.biocoop.fr/magasin-biocoop_champollion/blanc-de-meudon-500g-se4075-000.html","7.4")</f>
        <v>7.4</v>
      </c>
      <c r="E298" s="20" t="s">
        <v>15</v>
      </c>
      <c r="F298" s="23" t="str">
        <f>HYPERLINK("https://www.biocoop.fr/magasin-biocoop_fontaine/blanc-de-meudon-500g-se4075-000.html","7.7")</f>
        <v>7.7</v>
      </c>
      <c r="G298" s="20" t="s">
        <v>15</v>
      </c>
      <c r="H298" s="23" t="str">
        <f>HYPERLINK("https://satoriz-comboire.bio/collections/maison/products/ecod008","7.3")</f>
        <v>7.3</v>
      </c>
      <c r="I298" t="s">
        <v>15</v>
      </c>
      <c r="J298" s="28" t="str">
        <f>HYPERLINK("https://www.greenweez.com/produit/blanc-de-meudon-diy-500g/1ARTI0062","5.9")</f>
        <v>5.9</v>
      </c>
      <c r="K298" s="29" t="s">
        <v>782</v>
      </c>
    </row>
    <row r="299" spans="1:11" x14ac:dyDescent="0.3">
      <c r="A299" t="s">
        <v>634</v>
      </c>
      <c r="B299" s="23" t="str">
        <f>HYPERLINK("https://lafourche.fr/products/etamine-du-lys-savon-noir-5l","5.86")</f>
        <v>5.86</v>
      </c>
      <c r="C299" t="s">
        <v>15</v>
      </c>
      <c r="D299" s="23" t="str">
        <f>HYPERLINK("https://www.biocoop.fr/magasin-biocoop_champollion/savon-noir-liquide-olive-se4041-000.html","9.05")</f>
        <v>9.05</v>
      </c>
      <c r="E299" t="s">
        <v>15</v>
      </c>
      <c r="F299" s="23" t="str">
        <f>HYPERLINK("https://www.biocoop.fr/magasin-biocoop_fontaine/savon-noir-liquide-olive-se4041-000.html","9.55")</f>
        <v>9.55</v>
      </c>
      <c r="G299" t="s">
        <v>15</v>
      </c>
      <c r="H299" s="18" t="str">
        <f>HYPERLINK("https://satoriz-comboire.bio/collections/maison/products/eu9721","5.55")</f>
        <v>5.55</v>
      </c>
      <c r="I299" t="s">
        <v>15</v>
      </c>
      <c r="J299" s="27" t="str">
        <f>HYPERLINK("https://www.greenweez.com/produit/savon-noir-maison-5l-1/2WEEZ0042","4.58")</f>
        <v>4.58</v>
      </c>
      <c r="K299" t="s">
        <v>15</v>
      </c>
    </row>
    <row r="300" spans="1:11" x14ac:dyDescent="0.3">
      <c r="A300" t="s">
        <v>637</v>
      </c>
      <c r="B300" s="18" t="str">
        <f>HYPERLINK("https://lafourche.fr/products/acide-citrique-la-fourche-1kg","7.45")</f>
        <v>7.45</v>
      </c>
      <c r="C300" t="s">
        <v>15</v>
      </c>
      <c r="D300" s="23" t="str">
        <f>HYPERLINK("https://www.biocoop.fr/magasin-biocoop_champollion/acide-citrique-1kg-se4000-000.html","10.55")</f>
        <v>10.55</v>
      </c>
      <c r="E300" t="s">
        <v>15</v>
      </c>
      <c r="F300" s="23" t="str">
        <f>HYPERLINK("https://www.biocoop.fr/magasin-biocoop_fontaine/acide-citrique-1kg-se4000-000.html","8.99")</f>
        <v>8.99</v>
      </c>
      <c r="G300" s="20" t="s">
        <v>783</v>
      </c>
      <c r="H300" s="23" t="str">
        <f>HYPERLINK("https://satoriz-comboire.bio/collections/maison/products/eco012","7.5")</f>
        <v>7.5</v>
      </c>
      <c r="I300" s="20" t="s">
        <v>784</v>
      </c>
      <c r="J300" s="28" t="str">
        <f>HYPERLINK("https://www.greenweez.com/produit/lot-de-2-acide-citrique-1kg/1PACK0470","7.62")</f>
        <v>7.62</v>
      </c>
      <c r="K300" s="29" t="s">
        <v>707</v>
      </c>
    </row>
    <row r="301" spans="1:11" x14ac:dyDescent="0.3">
      <c r="A301" t="s">
        <v>641</v>
      </c>
      <c r="B301" s="18" t="str">
        <f>HYPERLINK("https://lafourche.fr/products/la-fourche-mon-savon-de-marseille-en-copeaux-1kg","9.95")</f>
        <v>9.95</v>
      </c>
      <c r="C301" t="s">
        <v>15</v>
      </c>
      <c r="D301" s="23" t="str">
        <f>HYPERLINK("https://www.biocoop.fr/magasin-biocoop_champollion/paillettes-de-savon-1kg-se4009-000.html","12.25")</f>
        <v>12.25</v>
      </c>
      <c r="E301" t="s">
        <v>15</v>
      </c>
      <c r="F301" s="23" t="str">
        <f>HYPERLINK("https://www.biocoop.fr/magasin-biocoop_fontaine/paillettes-de-savon-1kg-se4009-000.html","10.6")</f>
        <v>10.6</v>
      </c>
      <c r="G301" t="s">
        <v>15</v>
      </c>
      <c r="H301" s="23" t="str">
        <f>HYPERLINK("https://satoriz-comboire.bio/collections/maison/products/sle8163","12.85")</f>
        <v>12.85</v>
      </c>
      <c r="I301" t="s">
        <v>15</v>
      </c>
      <c r="J301" s="27" t="str">
        <f>HYPERLINK("https://www.greenweez.com/produit/lot-de-2-paillettes-de-savon-bio-1kg/1PACK1072","9.21")</f>
        <v>9.21</v>
      </c>
      <c r="K301" s="29" t="s">
        <v>785</v>
      </c>
    </row>
    <row r="302" spans="1:11" x14ac:dyDescent="0.3">
      <c r="A302" s="16" t="s">
        <v>643</v>
      </c>
      <c r="B302" s="17"/>
      <c r="C302" s="17"/>
      <c r="D302" s="17"/>
      <c r="E302" s="17"/>
      <c r="F302" s="17"/>
      <c r="G302" s="17"/>
      <c r="H302" s="17"/>
      <c r="I302" s="17"/>
      <c r="J302" s="26"/>
      <c r="K302" s="26"/>
    </row>
    <row r="303" spans="1:11" x14ac:dyDescent="0.3">
      <c r="A303" t="s">
        <v>644</v>
      </c>
      <c r="B303" s="18" t="str">
        <f>HYPERLINK("https://lafourche.fr/products/la-fourche-lessive-liquide-5l","2.6")</f>
        <v>2.6</v>
      </c>
      <c r="C303" t="s">
        <v>15</v>
      </c>
      <c r="D303" s="23" t="str">
        <f>HYPERLINK("https://www.biocoop.fr/magasin-biocoop_champollion/lessive-liquide-lavande-lg1104-000.html","4.25")</f>
        <v>4.25</v>
      </c>
      <c r="E303" s="21" t="s">
        <v>15</v>
      </c>
      <c r="F303" s="23" t="str">
        <f>HYPERLINK("https://www.biocoop.fr/magasin-biocoop_fontaine/lessive-liquide-lavande-lg1103-000.html","4.99")</f>
        <v>4.99</v>
      </c>
      <c r="G303" t="s">
        <v>15</v>
      </c>
      <c r="H303" s="23" t="str">
        <f>HYPERLINK("https://satoriz-comboire.bio/collections/maison/products/lgase3606","3.63")</f>
        <v>3.63</v>
      </c>
      <c r="I303" t="s">
        <v>15</v>
      </c>
      <c r="J303" s="28" t="str">
        <f>HYPERLINK("https://www.greenweez.com/produit/lessive-ecologique-savon-de-marseille-250g/1WRAP0007","2.69")</f>
        <v>2.69</v>
      </c>
      <c r="K303" s="29" t="s">
        <v>786</v>
      </c>
    </row>
    <row r="304" spans="1:11" x14ac:dyDescent="0.3">
      <c r="A304" t="s">
        <v>646</v>
      </c>
      <c r="B304" s="18" t="str">
        <f>HYPERLINK("https://lafourche.fr/products/la-fourche-lessive-en-poudre-blanc-et-couleurs-certifiee-ecodetergent-1kg","7.35")</f>
        <v>7.35</v>
      </c>
      <c r="C304" t="s">
        <v>15</v>
      </c>
      <c r="D304" s="23" t="str">
        <f>HYPERLINK("https://www.biocoop.fr/magasin-biocoop_champollion/lessive-poudre-ultra-concentree-800g-se4057-000.html","12.44")</f>
        <v>12.44</v>
      </c>
      <c r="E304" s="20" t="s">
        <v>15</v>
      </c>
      <c r="F304" s="23" t="str">
        <f>HYPERLINK("https://www.biocoop.fr/magasin-biocoop_fontaine/lessive-poudre-ultra-concentree-800g-se4057-000.html","12.69")</f>
        <v>12.69</v>
      </c>
      <c r="G304" s="20" t="s">
        <v>15</v>
      </c>
      <c r="H304" s="23" t="str">
        <f>HYPERLINK("https://satoriz-comboire.bio/products/ecdo430?_pos=1&amp;_sid=1e5552213&amp;_ss=r","11.0")</f>
        <v>11.0</v>
      </c>
      <c r="I304" t="s">
        <v>15</v>
      </c>
      <c r="J304" s="28" t="str">
        <f>HYPERLINK("https://www.greenweez.com/produit/4-mois-de-lessive-en-poudre-ecologique-1kg/2WEEZ0229","7.9")</f>
        <v>7.9</v>
      </c>
      <c r="K304" s="29" t="s">
        <v>80</v>
      </c>
    </row>
    <row r="305" spans="1:11" x14ac:dyDescent="0.3">
      <c r="A305" t="s">
        <v>647</v>
      </c>
      <c r="B305" s="13" t="str">
        <f>HYPERLINK("https://lafourche.fr/products/la-fourche-adoucissant-a-la-lavande-5l","2.59")</f>
        <v>2.59</v>
      </c>
      <c r="C305" s="19" t="s">
        <v>99</v>
      </c>
      <c r="D305" s="23" t="str">
        <f>HYPERLINK("https://www.biocoop.fr/magasin-biocoop_champollion/assouplissant-lavande-lg1030-000.html","3.9")</f>
        <v>3.9</v>
      </c>
      <c r="E305" t="s">
        <v>15</v>
      </c>
      <c r="F305" s="23" t="str">
        <f>HYPERLINK("https://www.biocoop.fr/magasin-biocoop_fontaine/assouplissant-lavande-lg1030-000.html","3.9")</f>
        <v>3.9</v>
      </c>
      <c r="G305" t="s">
        <v>15</v>
      </c>
      <c r="H305" s="23" t="str">
        <f>HYPERLINK("https://satoriz-comboire.bio/collections/maison/products/lgase3619","3.37")</f>
        <v>3.37</v>
      </c>
      <c r="I305" t="s">
        <v>15</v>
      </c>
      <c r="J305" s="28" t="str">
        <f>HYPERLINK("https://www.greenweez.com/produit/assouplissant-concentre-lavande-1-5l/1LERU0042","2.95")</f>
        <v>2.95</v>
      </c>
      <c r="K305" s="29" t="s">
        <v>714</v>
      </c>
    </row>
    <row r="306" spans="1:11" x14ac:dyDescent="0.3">
      <c r="A306" s="16" t="s">
        <v>652</v>
      </c>
      <c r="B306" s="17"/>
      <c r="C306" s="17"/>
      <c r="D306" s="17"/>
      <c r="E306" s="17"/>
      <c r="F306" s="17"/>
      <c r="G306" s="17"/>
      <c r="H306" s="17"/>
      <c r="I306" s="17"/>
      <c r="J306" s="26"/>
      <c r="K306" s="26"/>
    </row>
    <row r="307" spans="1:11" x14ac:dyDescent="0.3">
      <c r="A307" t="s">
        <v>653</v>
      </c>
      <c r="B307" s="18" t="str">
        <f>HYPERLINK("https://lafourche.fr/products/la-fourche-liquide-vaisselle-certifie-ecodetergent-5l","1.98")</f>
        <v>1.98</v>
      </c>
      <c r="C307" t="s">
        <v>15</v>
      </c>
      <c r="D307" s="23" t="str">
        <f>HYPERLINK("https://www.biocoop.fr/magasin-biocoop_champollion/liquide-vaisselle-citron-lg1002-000.html","2.75")</f>
        <v>2.75</v>
      </c>
      <c r="E307" t="s">
        <v>15</v>
      </c>
      <c r="F307" s="23" t="str">
        <f>HYPERLINK("https://www.biocoop.fr/magasin-biocoop_fontaine/vaisselle-liquide-sans-parfum-1l-lg1122-000.html","3.2")</f>
        <v>3.2</v>
      </c>
      <c r="G307" t="s">
        <v>15</v>
      </c>
      <c r="H307" s="23" t="str">
        <f>HYPERLINK("https://satoriz-comboire.bio/collections/maison/products/lgase3608","2.75")</f>
        <v>2.75</v>
      </c>
      <c r="I307" t="s">
        <v>15</v>
      </c>
      <c r="J307" s="28" t="str">
        <f>HYPERLINK("https://www.greenweez.com/produit/liquide-vaisselle-citron-ecologique-5l/2WEEZ0511","2.58")</f>
        <v>2.58</v>
      </c>
      <c r="K307" t="s">
        <v>15</v>
      </c>
    </row>
    <row r="308" spans="1:11" x14ac:dyDescent="0.3">
      <c r="A308" t="s">
        <v>654</v>
      </c>
      <c r="B308" s="23" t="str">
        <f>HYPERLINK("https://lafourche.fr/products/la-fourche-savon-vaisselle-200g","11.25")</f>
        <v>11.25</v>
      </c>
      <c r="C308" t="s">
        <v>15</v>
      </c>
      <c r="D308" s="18" t="str">
        <f>HYPERLINK("https://www.biocoop.fr/magasin-biocoop_champollion/savon-solide-vaisselle-aloe-vera-200g-cm0103-000.html","3.99")</f>
        <v>3.99</v>
      </c>
      <c r="E308" s="19" t="s">
        <v>15</v>
      </c>
      <c r="F308" s="23" t="str">
        <f>HYPERLINK("https://www.biocoop.fr/magasin-biocoop_fontaine/savon-solide-vaisselle-aloe-vera-200g-cm0103-000.html","4.15")</f>
        <v>4.15</v>
      </c>
      <c r="G308" t="s">
        <v>15</v>
      </c>
      <c r="H308" s="23" t="str">
        <f>HYPERLINK("https://satoriz-comboire.bio/collections/maison/products/lc6","18.75")</f>
        <v>18.75</v>
      </c>
      <c r="I308" t="s">
        <v>15</v>
      </c>
      <c r="J308" s="28" t="str">
        <f>HYPERLINK("https://www.greenweez.com/produit/savon-vaisselle-ecologique-solide-romarin-200g/1WRAP0009","26.11")</f>
        <v>26.11</v>
      </c>
      <c r="K308" s="30" t="s">
        <v>787</v>
      </c>
    </row>
    <row r="311" spans="1:11" x14ac:dyDescent="0.3">
      <c r="A311" t="s">
        <v>656</v>
      </c>
      <c r="B311" t="e">
        <f>SUMPRODUCT($L5:$L310*B5:B310)</f>
        <v>#VALUE!</v>
      </c>
      <c r="D311" t="e">
        <f>SUMPRODUCT($L5:$L310*D5:D310)</f>
        <v>#VALUE!</v>
      </c>
      <c r="F311" t="e">
        <f>SUMPRODUCT($L5:$L310*F5:F310)</f>
        <v>#VALUE!</v>
      </c>
      <c r="H311" t="e">
        <f>SUMPRODUCT($L5:$L310*H5:H310)</f>
        <v>#VALUE!</v>
      </c>
      <c r="J311" t="e">
        <f>SUMPRODUCT($L5:$L310*J5:J310)</f>
        <v>#VALUE!</v>
      </c>
    </row>
  </sheetData>
  <conditionalFormatting sqref="D5 B5 F5 H5 J5">
    <cfRule type="top10" dxfId="0" priority="1" bottom="1" rank="2"/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3">
      <colorScale>
        <cfvo type="min"/>
        <cfvo type="max"/>
        <color rgb="FFC00000"/>
        <color rgb="FFFFEF9C"/>
      </colorScale>
    </cfRule>
    <cfRule type="colorScale" priority="4">
      <colorScale>
        <cfvo type="min"/>
        <cfvo type="max"/>
        <color rgb="FFFFFF00"/>
        <color theme="0"/>
      </colorScale>
    </cfRule>
  </conditionalFormatting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0"/>
  <sheetViews>
    <sheetView workbookViewId="0">
      <selection activeCell="L20" sqref="L20"/>
    </sheetView>
  </sheetViews>
  <sheetFormatPr baseColWidth="10" defaultColWidth="8.88671875" defaultRowHeight="14.4" x14ac:dyDescent="0.3"/>
  <cols>
    <col min="1" max="1" width="26.33203125" style="44" customWidth="1"/>
    <col min="2" max="2" width="10.44140625" style="44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2" ht="18.75" customHeight="1" x14ac:dyDescent="0.35">
      <c r="A3" s="33" t="s">
        <v>11</v>
      </c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1:12" x14ac:dyDescent="0.3">
      <c r="A4" s="35" t="s">
        <v>12</v>
      </c>
      <c r="B4" s="36"/>
      <c r="C4" s="36"/>
      <c r="D4" s="36"/>
      <c r="E4" s="36"/>
      <c r="F4" s="36"/>
      <c r="G4" s="36"/>
      <c r="H4" s="36"/>
      <c r="I4" s="36"/>
      <c r="J4" s="36"/>
      <c r="K4" s="36"/>
    </row>
    <row r="5" spans="1:12" x14ac:dyDescent="0.3">
      <c r="A5" t="s">
        <v>13</v>
      </c>
      <c r="B5" s="37" t="str">
        <f>HYPERLINK("https://lafourche.fr/products/la-fourche-boisson-avoine-bio-1l","1.58")</f>
        <v>1.58</v>
      </c>
      <c r="C5" s="38" t="s">
        <v>788</v>
      </c>
      <c r="D5" s="42" t="str">
        <f>HYPERLINK("https://www.biocoop.fr/magasin-biocoop_champollion/boisson-avoine-naturel-1l-tb0026-000.html","2.21")</f>
        <v>2.21</v>
      </c>
      <c r="E5" t="s">
        <v>15</v>
      </c>
      <c r="F5" s="42" t="str">
        <f>HYPERLINK("https://www.biocoop.fr/magasin-biocoop_fontaine/boisson-avoine-naturel-1l-tb0026-000.html","2.15")</f>
        <v>2.15</v>
      </c>
      <c r="G5" t="s">
        <v>15</v>
      </c>
      <c r="H5" s="42" t="str">
        <f>HYPERLINK("https://satoriz-comboire.bio/collections/boissons-sans-alcools/sous-famille-boissons-vegetales_boissons-avoine","1.65")</f>
        <v>1.65</v>
      </c>
      <c r="I5" t="s">
        <v>15</v>
      </c>
      <c r="J5" s="42" t="str">
        <f>HYPERLINK("https://www.greenweez.com/produit/boisson-vegetale-avoine-sans-sucres-1l/3EVER0147","1.69")</f>
        <v>1.69</v>
      </c>
      <c r="K5" t="s">
        <v>15</v>
      </c>
      <c r="L5">
        <v>1</v>
      </c>
    </row>
    <row r="6" spans="1:12" x14ac:dyDescent="0.3">
      <c r="A6" t="s">
        <v>16</v>
      </c>
      <c r="B6" s="42" t="str">
        <f>HYPERLINK("https://lafourche.fr/products/la-fourche-boisson-riz-bio-1l","1.54")</f>
        <v>1.54</v>
      </c>
      <c r="C6" t="s">
        <v>15</v>
      </c>
      <c r="D6" s="42" t="str">
        <f>HYPERLINK("https://www.biocoop.fr/magasin-biocoop_champollion/boisson-de-riz-naturel-1l-tb0036-000.html","1.85")</f>
        <v>1.85</v>
      </c>
      <c r="E6" t="s">
        <v>15</v>
      </c>
      <c r="F6" s="42" t="str">
        <f>HYPERLINK("https://www.biocoop.fr/magasin-biocoop_fontaine/boisson-riz-nature-1l-tb0038-000.html","1.85")</f>
        <v>1.85</v>
      </c>
      <c r="G6" t="s">
        <v>15</v>
      </c>
      <c r="H6" s="42" t="str">
        <f>HYPERLINK("https://satoriz-comboire.bio/collections/boissons-sans-alcools/products/in1","1.55")</f>
        <v>1.55</v>
      </c>
      <c r="I6" t="s">
        <v>15</v>
      </c>
      <c r="J6" s="37" t="str">
        <f>HYPERLINK("https://www.greenweez.com/produit/lot-de-6-boissons-vegetales-riz-sans-sucre-1l/1PACK3637","1.42")</f>
        <v>1.42</v>
      </c>
      <c r="K6" s="38" t="s">
        <v>789</v>
      </c>
      <c r="L6">
        <v>1</v>
      </c>
    </row>
    <row r="7" spans="1:12" x14ac:dyDescent="0.3">
      <c r="A7" t="s">
        <v>17</v>
      </c>
      <c r="B7" s="42" t="str">
        <f>HYPERLINK("https://lafourche.fr/products/la-fourche-boisson-a-lamande-intense-bio-1l","2.7")</f>
        <v>2.7</v>
      </c>
      <c r="C7" s="38" t="s">
        <v>790</v>
      </c>
      <c r="D7" s="42" t="str">
        <f>HYPERLINK("https://www.biocoop.fr/magasin-biocoop_champollion/boisson-de-riz-amande-1l-tb0028-000.html","2.55")</f>
        <v>2.55</v>
      </c>
      <c r="E7" t="s">
        <v>15</v>
      </c>
      <c r="F7" s="42" t="str">
        <f>HYPERLINK("https://www.biocoop.fr/magasin-biocoop_fontaine/boisson-amande-intense-1l-hm1044-000.html","2.85")</f>
        <v>2.85</v>
      </c>
      <c r="G7" t="s">
        <v>15</v>
      </c>
      <c r="H7" s="42" t="str">
        <f>HYPERLINK("https://satoriz-comboire.bio/collections/boissons-sans-alcools/products/lbt235","2.95")</f>
        <v>2.95</v>
      </c>
      <c r="I7" t="s">
        <v>15</v>
      </c>
      <c r="J7" s="37" t="str">
        <f>HYPERLINK("https://www.greenweez.com/produit/lot-de-6-boissons-vegetales-amande-sans-sucre-1l/1PACK3639","1.74")</f>
        <v>1.74</v>
      </c>
      <c r="K7" s="38" t="s">
        <v>791</v>
      </c>
    </row>
    <row r="8" spans="1:12" x14ac:dyDescent="0.3">
      <c r="A8" t="s">
        <v>18</v>
      </c>
      <c r="B8" s="37" t="str">
        <f>HYPERLINK("https://lafourche.fr/products/la-fourche-boisson-soja-bio-1l","1.29")</f>
        <v>1.29</v>
      </c>
      <c r="C8" t="s">
        <v>15</v>
      </c>
      <c r="D8" s="42" t="str">
        <f>HYPERLINK("https://www.biocoop.fr/magasin-biocoop_champollion/boissons/boissons-vegetales.html","1.85")</f>
        <v>1.85</v>
      </c>
      <c r="E8" t="s">
        <v>15</v>
      </c>
      <c r="F8" s="42" t="str">
        <f>HYPERLINK("https://www.biocoop.fr/magasin-biocoop_fontaine/boisson-soja-nature-1l-sy1723-000.html","1.7")</f>
        <v>1.7</v>
      </c>
      <c r="G8" s="38" t="s">
        <v>686</v>
      </c>
      <c r="H8" s="42" t="str">
        <f>HYPERLINK("https://satoriz-comboire.bio/collections/boissons-sans-alcools/products/re42896","1.45")</f>
        <v>1.45</v>
      </c>
      <c r="I8" t="s">
        <v>15</v>
      </c>
      <c r="J8" s="42" t="str">
        <f>HYPERLINK("https://www.greenweez.com/produit/boisson-vegetale-soja-nature-1l/1BTER0574","1.99")</f>
        <v>1.99</v>
      </c>
      <c r="K8" t="s">
        <v>15</v>
      </c>
    </row>
    <row r="9" spans="1:12" x14ac:dyDescent="0.3">
      <c r="A9" s="35" t="s">
        <v>21</v>
      </c>
      <c r="B9" s="36"/>
      <c r="C9" s="36"/>
      <c r="D9" s="36"/>
      <c r="E9" s="36"/>
      <c r="F9" s="36"/>
      <c r="G9" s="36"/>
      <c r="H9" s="36"/>
      <c r="I9" s="36"/>
      <c r="J9" s="36"/>
      <c r="K9" s="36"/>
    </row>
    <row r="10" spans="1:12" x14ac:dyDescent="0.3">
      <c r="A10" t="s">
        <v>22</v>
      </c>
      <c r="B10" s="42" t="str">
        <f>HYPERLINK("https://lafourche.fr/products/pur-jus-de-pomme","2.65")</f>
        <v>2.65</v>
      </c>
      <c r="C10" t="s">
        <v>15</v>
      </c>
      <c r="D10" s="42" t="str">
        <f>HYPERLINK("https://www.biocoop.fr/magasin-biocoop_champollion/jus-de-pomme-tetra-1l-ls4001-000.html","2.72")</f>
        <v>2.72</v>
      </c>
      <c r="E10" t="s">
        <v>15</v>
      </c>
      <c r="F10" s="37" t="str">
        <f>HYPERLINK("https://www.biocoop.fr/magasin-biocoop_fontaine/jus-de-pomme-tetra-1l-ls4001-000.html","2.55")</f>
        <v>2.55</v>
      </c>
      <c r="G10" t="s">
        <v>15</v>
      </c>
      <c r="H10" s="42" t="str">
        <f>HYPERLINK("https://satoriz-comboire.bio/collections/boissons-sans-alcools/products/vt4310292","2.9")</f>
        <v>2.9</v>
      </c>
      <c r="I10" t="s">
        <v>15</v>
      </c>
      <c r="J10" s="45" t="str">
        <f>HYPERLINK("https://www.greenweez.com/produit/lot-de-3-jus-de-pomme-bio-1l/1PACK3598","888888")</f>
        <v>888888</v>
      </c>
      <c r="K10" s="39" t="s">
        <v>99</v>
      </c>
    </row>
    <row r="11" spans="1:12" x14ac:dyDescent="0.3">
      <c r="A11" t="s">
        <v>26</v>
      </c>
      <c r="B11" s="42" t="str">
        <f>HYPERLINK("https://lafourche.fr/products/bio-pour-tous-pur-jus-dorange-bio-1l","3.29")</f>
        <v>3.29</v>
      </c>
      <c r="C11" s="38" t="s">
        <v>687</v>
      </c>
      <c r="D11" s="42" t="str">
        <f>HYPERLINK("https://www.biocoop.fr/magasin-biocoop_champollion/jus-orange-tetra-2l-em1007-000.html","3.4")</f>
        <v>3.4</v>
      </c>
      <c r="E11" t="s">
        <v>15</v>
      </c>
      <c r="F11" s="42" t="str">
        <f>HYPERLINK("https://www.biocoop.fr/magasin-biocoop_fontaine/jus-orange-tetra-2l-em1007-000.html","3.4")</f>
        <v>3.4</v>
      </c>
      <c r="G11" t="s">
        <v>15</v>
      </c>
      <c r="H11" s="42" t="str">
        <f>HYPERLINK("https://satoriz-comboire.bio/collections/boissons-sans-alcools/products/re39815","3.25")</f>
        <v>3.25</v>
      </c>
      <c r="I11" s="38" t="s">
        <v>792</v>
      </c>
      <c r="J11" s="37" t="str">
        <f>HYPERLINK("https://www.greenweez.com/produit/lot-de-3-jus-dorange-bio-1l/1PACK3600","2.93")</f>
        <v>2.93</v>
      </c>
      <c r="K11" s="40" t="s">
        <v>793</v>
      </c>
      <c r="L11">
        <v>2</v>
      </c>
    </row>
    <row r="12" spans="1:12" x14ac:dyDescent="0.3">
      <c r="A12" t="s">
        <v>30</v>
      </c>
      <c r="B12" s="42" t="str">
        <f>HYPERLINK("https://lafourche.fr/products/vitamont-cocktail-kids-junior-bio-1l","3.36")</f>
        <v>3.36</v>
      </c>
      <c r="C12" t="s">
        <v>15</v>
      </c>
      <c r="D12" s="42" t="str">
        <f>HYPERLINK("https://www.biocoop.fr/magasin-biocoop_champollion/jus-d-orange-mandarine-raisin-1l-ls4004-000.html","3.7")</f>
        <v>3.7</v>
      </c>
      <c r="E12" t="s">
        <v>15</v>
      </c>
      <c r="F12" s="42" t="str">
        <f>HYPERLINK("https://www.biocoop.fr/magasin-biocoop_fontaine/cocktail-5-fruits-1l-vt4728-000.html","4.4")</f>
        <v>4.4</v>
      </c>
      <c r="G12" t="s">
        <v>15</v>
      </c>
      <c r="H12" s="42" t="str">
        <f>HYPERLINK("https://satoriz-comboire.bio/collections/boissons-sans-alcools/products/re39816","3.6")</f>
        <v>3.6</v>
      </c>
      <c r="I12" t="s">
        <v>15</v>
      </c>
      <c r="J12" s="37" t="str">
        <f>HYPERLINK("https://www.greenweez.com/produit/lot-de-3-jus-multifruits-bio-1l/1PACK3599","3.11")</f>
        <v>3.11</v>
      </c>
      <c r="K12" s="38" t="s">
        <v>794</v>
      </c>
      <c r="L12">
        <v>2</v>
      </c>
    </row>
    <row r="13" spans="1:12" x14ac:dyDescent="0.3">
      <c r="A13" t="s">
        <v>34</v>
      </c>
      <c r="B13" s="42" t="str">
        <f>HYPERLINK("https://lafourche.fr/products/vitamont-jus-matin-tonique-orange-sanguine-et-pamplemousse-1l-bio","3.61")</f>
        <v>3.61</v>
      </c>
      <c r="C13" t="s">
        <v>15</v>
      </c>
      <c r="D13" s="37" t="str">
        <f>HYPERLINK("https://www.biocoop.fr/magasin-biocoop_champollion/jus-de-raisin-rouge-1l-ls4005-000.html","3.2")</f>
        <v>3.2</v>
      </c>
      <c r="E13" t="s">
        <v>15</v>
      </c>
      <c r="F13" s="42" t="str">
        <f>HYPERLINK("https://www.biocoop.fr/magasin-biocoop_fontaine/jus-de-raisin-rouge-1l-ls4005-000.html","888888")</f>
        <v>888888</v>
      </c>
      <c r="G13" s="39" t="s">
        <v>99</v>
      </c>
      <c r="H13" s="42" t="str">
        <f>HYPERLINK("https://satoriz-comboire.bio/products/vt4310042?_pos=1&amp;_sid=4d862041b&amp;_ss=r","3.9")</f>
        <v>3.9</v>
      </c>
      <c r="I13" t="s">
        <v>15</v>
      </c>
      <c r="J13" s="42" t="str">
        <f>HYPERLINK("https://www.greenweez.com/produit/pur-jus-de-raisin-bio-tetra-pak-1l/5VITA0126","3.94")</f>
        <v>3.94</v>
      </c>
      <c r="K13" t="s">
        <v>15</v>
      </c>
    </row>
    <row r="14" spans="1:12" x14ac:dyDescent="0.3">
      <c r="A14" s="35" t="s">
        <v>38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1:12" x14ac:dyDescent="0.3">
      <c r="A15" t="s">
        <v>39</v>
      </c>
      <c r="B15" s="37" t="str">
        <f>HYPERLINK("https://lafourche.fr/products/la-fourche-lait-demi-ecreme-bio-et-equitable-6x1l-6l","1.11")</f>
        <v>1.11</v>
      </c>
      <c r="C15" t="s">
        <v>15</v>
      </c>
      <c r="D15" s="42" t="str">
        <f>HYPERLINK("https://www.biocoop.fr/magasin-biocoop_champollion/lait-demi-ecreme-sterilise-uht-ad6922-000.html","1.25")</f>
        <v>1.25</v>
      </c>
      <c r="E15" t="s">
        <v>15</v>
      </c>
      <c r="F15" s="45" t="str">
        <f>HYPERLINK("https://www.biocoop.fr/magasin-biocoop_fontaine/lait-demi-ecreme-sterilise-uht-ad6922-000.html","1.15")</f>
        <v>1.15</v>
      </c>
      <c r="G15" s="39" t="s">
        <v>99</v>
      </c>
      <c r="H15" s="42" t="str">
        <f>HYPERLINK("https://satoriz-comboire.bio/collections/produits-frais/products/cbvi6916","1.2")</f>
        <v>1.2</v>
      </c>
      <c r="I15" t="s">
        <v>15</v>
      </c>
      <c r="J15" s="42" t="str">
        <f>HYPERLINK("https://www.greenweez.com/produit/lait-sterilise-uht-demi-ecreme-1l/1BTER0554","1.55")</f>
        <v>1.55</v>
      </c>
      <c r="K15" t="s">
        <v>15</v>
      </c>
      <c r="L15">
        <v>6</v>
      </c>
    </row>
    <row r="16" spans="1:12" x14ac:dyDescent="0.3">
      <c r="A16" s="35" t="s">
        <v>41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</row>
    <row r="17" spans="1:11" x14ac:dyDescent="0.3">
      <c r="A17" t="s">
        <v>42</v>
      </c>
      <c r="B17" s="37" t="str">
        <f>HYPERLINK("https://lafourche.fr/products/elibio-sirop-de-menthe-bio-0-5l","5.97")</f>
        <v>5.97</v>
      </c>
      <c r="D17" s="42" t="str">
        <f>HYPERLINK("https://www.biocoop.fr/magasin-biocoop_champollion/sirop-menthe-70cl-bg5003-000.html","888888")</f>
        <v>888888</v>
      </c>
      <c r="F17" s="42" t="str">
        <f>HYPERLINK("https://www.biocoop.fr/magasin-biocoop_fontaine/sirop-menthe-70cl-bg5003-000.html","9.36")</f>
        <v>9.36</v>
      </c>
      <c r="H17" s="42" t="str">
        <f>HYPERLINK("https://satoriz-comboire.bio/products/big7430?_pos=4&amp;_sid=54d23de92&amp;_ss=r","9.07")</f>
        <v>9.07</v>
      </c>
      <c r="J17" s="42" t="str">
        <f>HYPERLINK("https://www.greenweez.com/produit/sirop-de-menthe-1l/1MENE0020","8.48")</f>
        <v>8.48</v>
      </c>
    </row>
    <row r="18" spans="1:11" x14ac:dyDescent="0.3">
      <c r="A18" t="s">
        <v>43</v>
      </c>
      <c r="B18" s="37" t="str">
        <f>HYPERLINK("https://lafourche.fr/products/elibio-sirop-de-genadine-bio-0-5l","5.97")</f>
        <v>5.97</v>
      </c>
      <c r="D18" s="42" t="str">
        <f>HYPERLINK("https://www.biocoop.fr/magasin-biocoop_champollion/sirop-grenadine-70cl-bg5000-000.html","888888")</f>
        <v>888888</v>
      </c>
      <c r="F18" s="42" t="str">
        <f>HYPERLINK("https://www.biocoop.fr/magasin-biocoop_fontaine/sirop-grenadine-70cl-bg5000-000.html","9.64")</f>
        <v>9.64</v>
      </c>
      <c r="H18" s="42" t="str">
        <f>HYPERLINK("https://satoriz-comboire.bio/products/st60234?_pos=1&amp;_sid=5b36669db&amp;_ss=r","9.5")</f>
        <v>9.5</v>
      </c>
      <c r="J18" s="42" t="str">
        <f>HYPERLINK("https://www.greenweez.com/produit/sirop-de-grenadine-1l/1MENE0019","8.48")</f>
        <v>8.48</v>
      </c>
    </row>
    <row r="19" spans="1:11" x14ac:dyDescent="0.3">
      <c r="A19" t="s">
        <v>44</v>
      </c>
      <c r="B19" s="37" t="str">
        <f>HYPERLINK("https://lafourche.fr/products/elibio-sirop-de-citron-bio-1l","5.97")</f>
        <v>5.97</v>
      </c>
      <c r="D19" s="42" t="str">
        <f>HYPERLINK("https://www.biocoop.fr/magasin-biocoop_champollion/sirop-de-citron-au-sucre-de-canne-70cl-ro6000-000.html","7.07")</f>
        <v>7.07</v>
      </c>
      <c r="F19" s="42" t="str">
        <f>HYPERLINK("https://www.biocoop.fr/magasin-biocoop_fontaine/sirop-de-citron-au-sucre-de-canne-70cl-ro6000-000.html","7.21")</f>
        <v>7.21</v>
      </c>
      <c r="H19" s="42" t="str">
        <f>HYPERLINK("https://satoriz-comboire.bio/products/st60236?_pos=2&amp;_sid=bfaa22f0a&amp;_ss=r","9.2")</f>
        <v>9.2</v>
      </c>
      <c r="J19" s="42" t="str">
        <f>HYPERLINK("https://www.greenweez.com/produit/sirop-de-citron-1l/1MENE0021","8.48")</f>
        <v>8.48</v>
      </c>
    </row>
    <row r="20" spans="1:11" x14ac:dyDescent="0.3">
      <c r="A20" t="s">
        <v>45</v>
      </c>
      <c r="B20" s="37" t="str">
        <f>HYPERLINK("https://lafourche.fr/products/maison-meneau-sirop-dorgeat-bio-0-5l","11.98")</f>
        <v>11.98</v>
      </c>
      <c r="D20" s="42" t="str">
        <f>HYPERLINK("https://www.biocoop.fr/magasin-biocoop_champollion/sirop-d-orgeat-au-sucre-de-canne-50cl-mb0006-000.html","12.2")</f>
        <v>12.2</v>
      </c>
      <c r="F20" s="42" t="str">
        <f>HYPERLINK("https://www.biocoop.fr/magasin-biocoop_fontaine/sirop-d-orgeat-au-sucre-de-canne-50cl-mb0006-000.html","13.8")</f>
        <v>13.8</v>
      </c>
      <c r="H20" s="42" t="str">
        <f>HYPERLINK("https://satoriz-comboire.bio/products/st97029?_pos=1&amp;_sid=940e9ee22&amp;_ss=r","13.9")</f>
        <v>13.9</v>
      </c>
      <c r="J20" s="42" t="str">
        <f>HYPERLINK("https://www.greenweez.com/produit/sirop-dorgeat-50cl/1MENE0053","13.18")</f>
        <v>13.18</v>
      </c>
    </row>
    <row r="21" spans="1:11" x14ac:dyDescent="0.3">
      <c r="A21" t="s">
        <v>46</v>
      </c>
      <c r="B21" s="37" t="str">
        <f>HYPERLINK("https://lafourche.fr/products/maison-meneau-sirop-peche-50cl-bio","13.58")</f>
        <v>13.58</v>
      </c>
      <c r="D21">
        <v>888888</v>
      </c>
      <c r="F21">
        <v>888888</v>
      </c>
      <c r="H21" s="42" t="str">
        <f>HYPERLINK("https://satoriz-comboire.bio/products/st97047?_pos=1&amp;_sid=805242a5b&amp;_ss=r","15.3")</f>
        <v>15.3</v>
      </c>
      <c r="J21" s="42" t="str">
        <f>HYPERLINK("https://www.greenweez.com/produit/sirop-de-peche-50cl/1MENE0056","13.94")</f>
        <v>13.94</v>
      </c>
    </row>
    <row r="22" spans="1:11" x14ac:dyDescent="0.3">
      <c r="A22" s="35" t="s">
        <v>47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</row>
    <row r="23" spans="1:11" x14ac:dyDescent="0.3">
      <c r="A23" t="s">
        <v>48</v>
      </c>
      <c r="B23" s="37" t="str">
        <f>HYPERLINK("https://lafourche.fr/products/cola-bio","2.99")</f>
        <v>2.99</v>
      </c>
      <c r="D23" s="42" t="str">
        <f>HYPERLINK("https://www.biocoop.fr/magasin-biocoop_champollion/cola-1l-vt0680-000.html","4.05")</f>
        <v>4.05</v>
      </c>
      <c r="F23" s="42" t="str">
        <f>HYPERLINK("https://www.biocoop.fr/magasin-biocoop_fontaine/cola-1l-vt0680-000.html","4.15")</f>
        <v>4.15</v>
      </c>
      <c r="H23" s="42" t="str">
        <f>HYPERLINK("https://satoriz-comboire.bio/products/vtcola?_pos=2&amp;_sid=a5c47adfe&amp;_ss=r","3.65")</f>
        <v>3.65</v>
      </c>
      <c r="J23" s="42" t="str">
        <f>HYPERLINK("https://www.greenweez.com/produit/cola-bio-equitable-1l/5VITA0045","3.95")</f>
        <v>3.95</v>
      </c>
    </row>
    <row r="24" spans="1:11" x14ac:dyDescent="0.3">
      <c r="A24" t="s">
        <v>49</v>
      </c>
      <c r="B24" s="42" t="str">
        <f>HYPERLINK("https://lafourche.fr/products/vitamont-limonade-d-antan-75cl-bio","3.6")</f>
        <v>3.6</v>
      </c>
      <c r="D24" s="42" t="str">
        <f>HYPERLINK("https://www.biocoop.fr/magasin-biocoop_champollion/limonade-75cl-mb0067-000.html","3.13")</f>
        <v>3.13</v>
      </c>
      <c r="F24" s="42" t="str">
        <f>HYPERLINK("https://www.biocoop.fr/magasin-biocoop_fontaine/limonade-75cl-mb0067-000.html","3.13")</f>
        <v>3.13</v>
      </c>
      <c r="H24" s="37" t="str">
        <f>HYPERLINK("https://satoriz-comboire.bio/products/selm1?_pos=1&amp;_sid=7ce88d87a&amp;_ss=r","2.85")</f>
        <v>2.85</v>
      </c>
      <c r="J24" s="42" t="str">
        <f>HYPERLINK("https://www.greenweez.com/produit/limonade-dantan-75cl-25-cl-offerts/5VITA0081","3.35")</f>
        <v>3.35</v>
      </c>
    </row>
    <row r="25" spans="1:11" x14ac:dyDescent="0.3">
      <c r="A25" t="s">
        <v>50</v>
      </c>
      <c r="B25" s="42" t="str">
        <f>HYPERLINK("https://lafourche.fr/products/vitamont-citronnade-au-pur-jus-de-citron-jaune-75cl-bio","3.47")</f>
        <v>3.47</v>
      </c>
      <c r="D25" s="42" t="str">
        <f>HYPERLINK("https://www.biocoop.fr/magasin-biocoop_champollion/citronnade-citron-vert-75cl-vt4959-000.html","888888")</f>
        <v>888888</v>
      </c>
      <c r="F25" s="42" t="str">
        <f>HYPERLINK("https://www.biocoop.fr/magasin-biocoop_fontaine/citronnade-citron-vert-75cl-vt4959-000.html","4.07")</f>
        <v>4.07</v>
      </c>
      <c r="H25" s="37" t="str">
        <f>HYPERLINK("https://satoriz-comboire.bio/products/vt10883?_pos=3&amp;_sid=d446ce772&amp;_ss=r","3.4")</f>
        <v>3.4</v>
      </c>
      <c r="J25" s="45" t="str">
        <f>HYPERLINK("https://www.greenweez.com/produit/citronnade-citrons-jaunes-bio-75cl/5VITA0060","888888")</f>
        <v>888888</v>
      </c>
    </row>
    <row r="26" spans="1:11" x14ac:dyDescent="0.3">
      <c r="A26" t="s">
        <v>51</v>
      </c>
      <c r="B26" s="37" t="str">
        <f>HYPERLINK("https://lafourche.fr/products/coteaux-nantais-bio-apibul-pommes-75cl","4.6")</f>
        <v>4.6</v>
      </c>
      <c r="D26" s="42" t="str">
        <f>HYPERLINK("https://www.biocoop.fr/magasin-biocoop_champollion/petillant-de-fruit-100-pomme-75cl-or1100-000.html","4.89")</f>
        <v>4.89</v>
      </c>
      <c r="F26" s="42" t="str">
        <f>HYPERLINK("https://www.biocoop.fr/magasin-biocoop_fontaine/apibul-pommes-75cl-cn0040-000.html","5.24")</f>
        <v>5.24</v>
      </c>
      <c r="H26" s="42" t="str">
        <f>HYPERLINK("https://satoriz-comboire.bio/collections/boissons-sans-alcools/products/cn0057","5.27")</f>
        <v>5.27</v>
      </c>
      <c r="J26" s="45" t="str">
        <f>HYPERLINK("https://www.greenweez.com/produit/apibul-pommes-75cl/1COTE0197","5.71")</f>
        <v>5.71</v>
      </c>
    </row>
    <row r="27" spans="1:11" x14ac:dyDescent="0.3">
      <c r="A27" t="s">
        <v>52</v>
      </c>
      <c r="B27" s="37" t="str">
        <f>HYPERLINK("https://lafourche.fr/products/coteaux-nantais-bio-apibul-pommes-framboises-75cl","5.19")</f>
        <v>5.19</v>
      </c>
      <c r="D27">
        <v>888888</v>
      </c>
      <c r="F27">
        <v>888888</v>
      </c>
      <c r="H27" s="42" t="str">
        <f>HYPERLINK("https://satoriz-comboire.bio/collections/boissons-sans-alcools/products/cn0039","6.4")</f>
        <v>6.4</v>
      </c>
      <c r="J27" s="42" t="str">
        <f>HYPERLINK("https://www.greenweez.com/produit/apibul-pommes-framboises-75cl/1COTE0031","6.88")</f>
        <v>6.88</v>
      </c>
    </row>
    <row r="28" spans="1:11" x14ac:dyDescent="0.3">
      <c r="A28" s="35" t="s">
        <v>53</v>
      </c>
      <c r="B28" s="36"/>
      <c r="C28" s="36"/>
      <c r="D28" s="36"/>
      <c r="E28" s="36"/>
      <c r="F28" s="36"/>
      <c r="G28" s="36"/>
      <c r="H28" s="36"/>
      <c r="I28" s="36"/>
      <c r="J28" s="36"/>
      <c r="K28" s="36"/>
    </row>
    <row r="29" spans="1:11" x14ac:dyDescent="0.3">
      <c r="A29" t="s">
        <v>54</v>
      </c>
      <c r="B29" s="37" t="str">
        <f>HYPERLINK("https://lafourche.fr/products/la-fourche-cafe-en-grains-equilibre-arabica-honduras-bio-equitable-1kg","13.9")</f>
        <v>13.9</v>
      </c>
      <c r="D29" s="42" t="str">
        <f>HYPERLINK("https://www.biocoop.fr/magasin-biocoop_champollion/cafe-mexique-grains-bio-mx0046-000.html","21.25")</f>
        <v>21.25</v>
      </c>
      <c r="F29" s="42" t="str">
        <f>HYPERLINK("https://www.biocoop.fr/magasin-biocoop_fontaine/cafe-melange-tresor-peuples-grains-500g-cp4105-000.html","20.8")</f>
        <v>20.8</v>
      </c>
      <c r="H29" s="42" t="str">
        <f>HYPERLINK("https://satoriz-comboire.bio/collections/epicerie-sucree/products/dag53","14.3")</f>
        <v>14.3</v>
      </c>
      <c r="J29" s="42" t="str">
        <f>HYPERLINK("https://www.greenweez.com/produit/cafe-en-grains-100-arabica-medium-1kg/2BIOD0010","14.95")</f>
        <v>14.95</v>
      </c>
    </row>
    <row r="30" spans="1:11" x14ac:dyDescent="0.3">
      <c r="A30" t="s">
        <v>55</v>
      </c>
      <c r="B30" s="37" t="str">
        <f>HYPERLINK("https://lafourche.fr/products/lima-chicoree-bio-500g","11.3")</f>
        <v>11.3</v>
      </c>
      <c r="D30" s="42" t="str">
        <f>HYPERLINK("https://www.biocoop.fr/magasin-biocoop_champollion/magasin-biocoop_champollion/chicoree-bio-lr5005-000.html","888888")</f>
        <v>888888</v>
      </c>
      <c r="F30" s="42" t="str">
        <f>HYPERLINK("https://www.biocoop.fr/magasin-biocoop_fontaine/chicoree-torrefiee-gout-doux-lr5001-000.html","21.25")</f>
        <v>21.25</v>
      </c>
      <c r="H30" s="42" t="str">
        <f>HYPERLINK("https://satoriz-comboire.bio/collections/epicerie-sucree/products/re42658","14.88")</f>
        <v>14.88</v>
      </c>
      <c r="J30" s="42" t="str">
        <f>HYPERLINK("https://www.greenweez.com/produit/chicoree-cicoria-original-filtre-500g/1LIMA0071","12.98")</f>
        <v>12.98</v>
      </c>
    </row>
    <row r="31" spans="1:11" x14ac:dyDescent="0.3">
      <c r="A31" t="s">
        <v>56</v>
      </c>
      <c r="B31" s="37" t="str">
        <f>HYPERLINK("https://lafourche.fr/products/bio-pour-tous-chicoree-torrefiee-soluble-bio-0-2kg","31.5")</f>
        <v>31.5</v>
      </c>
      <c r="D31" s="42" t="str">
        <f>HYPERLINK("https://www.biocoop.fr/magasin-biocoop_champollion/magasin-biocoop_champollion/chicoree-soluble-200g-lr5007-000.html","888888")</f>
        <v>888888</v>
      </c>
      <c r="F31" s="42" t="str">
        <f>HYPERLINK("https://www.biocoop.fr/magasin-biocoop_fontaine/chicoree-instantanee-recharge-180g-pr5353-000.html","40.28")</f>
        <v>40.28</v>
      </c>
      <c r="H31" s="42" t="str">
        <f>HYPERLINK("https://satoriz-comboire.bio/collections/epicerie-sucree/products/re41362","32.0")</f>
        <v>32.0</v>
      </c>
      <c r="J31" s="42" t="str">
        <f>HYPERLINK("https://www.greenweez.com/produit/chicoree-torrefiee-soluble-bio-200g/1DAGO0034","37.5")</f>
        <v>37.5</v>
      </c>
    </row>
    <row r="32" spans="1:11" x14ac:dyDescent="0.3">
      <c r="A32" t="s">
        <v>57</v>
      </c>
      <c r="B32" s="37" t="str">
        <f>HYPERLINK("https://lafourche.fr/products/la-fourche-cafe-moulu-equilibre-arabica-honduras-bio-equitable-0-5kg","13.8")</f>
        <v>13.8</v>
      </c>
      <c r="D32" s="42" t="str">
        <f>HYPERLINK("https://www.biocoop.fr/magasin-biocoop_champollion/cafe-arabica-melange-origine-equilibre-mx0055-000.html","18.6")</f>
        <v>18.6</v>
      </c>
      <c r="F32" s="42" t="str">
        <f>HYPERLINK("https://www.biocoop.fr/magasin-biocoop_fontaine/cafe-melange-tresor-des-andes-500g-cp4107-000.html","14.4")</f>
        <v>14.4</v>
      </c>
      <c r="H32" s="37" t="str">
        <f>HYPERLINK("https://satoriz-comboire.bio/collections/epicerie-sucree/products/st13500","13.8")</f>
        <v>13.8</v>
      </c>
      <c r="J32" s="42" t="str">
        <f>HYPERLINK("https://www.greenweez.com/produit/cafe-moulu-100-arabica-medium-500g/2BIOD0016","15.88")</f>
        <v>15.88</v>
      </c>
    </row>
    <row r="33" spans="1:12" x14ac:dyDescent="0.3">
      <c r="A33" t="s">
        <v>58</v>
      </c>
      <c r="B33" s="42" t="str">
        <f>HYPERLINK("https://lafourche.fr/products/biodyssee-poudre-chocolatee-32-bio-800g","8.44")</f>
        <v>8.44</v>
      </c>
      <c r="C33" t="s">
        <v>15</v>
      </c>
      <c r="D33" s="42" t="str">
        <f>HYPERLINK("https://www.biocoop.fr/magasin-biocoop_champollion/poudre-cacaotee-pour-le-petit-dejeuner-jk1001-000.html","7.49")</f>
        <v>7.49</v>
      </c>
      <c r="E33" t="s">
        <v>15</v>
      </c>
      <c r="F33" s="42" t="str">
        <f>HYPERLINK("https://www.biocoop.fr/magasin-biocoop_fontaine/poudre-cacaotee-pour-le-petit-dejeuner-jk1001-000.html","7.49")</f>
        <v>7.49</v>
      </c>
      <c r="G33" t="s">
        <v>15</v>
      </c>
      <c r="H33" s="37" t="str">
        <f>HYPERLINK("https://satoriz-comboire.bio/collections/epicerie-sucree/products/re47003","6.5")</f>
        <v>6.5</v>
      </c>
      <c r="I33" t="s">
        <v>15</v>
      </c>
      <c r="J33" s="9" t="str">
        <f>HYPERLINK("https://www.greenweez.com/produit/preparation-en-poudre-cacao-cool-matin-500g/1VITA0049","13.8")</f>
        <v>13.8</v>
      </c>
      <c r="K33" s="39" t="s">
        <v>99</v>
      </c>
      <c r="L33">
        <v>0.2</v>
      </c>
    </row>
    <row r="34" spans="1:12" x14ac:dyDescent="0.3">
      <c r="A34" t="s">
        <v>62</v>
      </c>
      <c r="B34" s="42" t="str">
        <f>HYPERLINK("https://lafourche.fr/products/biodyssee-poudre-de-cacao-maigre-10-12-mg-250g","11.96")</f>
        <v>11.96</v>
      </c>
      <c r="C34" t="s">
        <v>15</v>
      </c>
      <c r="D34" s="42" t="str">
        <f>HYPERLINK("https://www.biocoop.fr/magasin-biocoop_champollion/poudre-cacao-pur-250g-jk1000-000.html","21.4")</f>
        <v>21.4</v>
      </c>
      <c r="E34" t="s">
        <v>15</v>
      </c>
      <c r="F34" s="42" t="str">
        <f>HYPERLINK("https://www.biocoop.fr/magasin-biocoop_fontaine/poudre-cacao-pur-250g-jk1000-000.html","19.96")</f>
        <v>19.96</v>
      </c>
      <c r="G34" t="s">
        <v>15</v>
      </c>
      <c r="H34" s="42" t="str">
        <f>HYPERLINK("https://satoriz-comboire.bio/collections/epicerie-sucree/products/ma9011","14.8")</f>
        <v>14.8</v>
      </c>
      <c r="I34" t="s">
        <v>15</v>
      </c>
      <c r="J34" s="37" t="str">
        <f>HYPERLINK("https://www.greenweez.com/produit/poudre-de-cacao-bio-500g/2WEEZ0158","10.98")</f>
        <v>10.98</v>
      </c>
      <c r="K34" t="s">
        <v>15</v>
      </c>
    </row>
    <row r="35" spans="1:12" x14ac:dyDescent="0.3">
      <c r="A35" t="s">
        <v>66</v>
      </c>
      <c r="B35" s="42" t="str">
        <f>HYPERLINK("https://lafourche.fr/products/biodyssee-the-vert-gunpowder-de-chine-bio-100g","40.5")</f>
        <v>40.5</v>
      </c>
      <c r="D35" s="42" t="str">
        <f>HYPERLINK("https://www.biocoop.fr/magasin-biocoop_champollion/the-vert-chine-gunpowder-jg0161-000.html","65.5")</f>
        <v>65.5</v>
      </c>
      <c r="F35" s="42" t="str">
        <f>HYPERLINK("https://www.biocoop.fr/magasin-biocoop_fontaine/the-vert-jasmin-bio-tp2027-000.html","55.9")</f>
        <v>55.9</v>
      </c>
      <c r="H35" s="42" t="str">
        <f>HYPERLINK("https://satoriz-comboire.bio/collections/epicerie-sucree/products/st23518","51.25")</f>
        <v>51.25</v>
      </c>
      <c r="J35" s="37" t="str">
        <f>HYPERLINK("https://www.greenweez.com/produit/the-vert-gunpowder-bio-vrac-200g/2WEEZ0431","25.05")</f>
        <v>25.05</v>
      </c>
    </row>
    <row r="36" spans="1:12" x14ac:dyDescent="0.3">
      <c r="A36" t="s">
        <v>67</v>
      </c>
      <c r="B36" s="37" t="str">
        <f>HYPERLINK("https://lafourche.fr/products/biodyssee-the-vert-sencha-de-chine-bio-100g","42.7")</f>
        <v>42.7</v>
      </c>
      <c r="D36" s="42" t="str">
        <f>HYPERLINK("https://www.biocoop.fr/magasin-biocoop_champollion/the-vert-chine-sencha-zhejiang-bio-jg0679-000.html","52.9")</f>
        <v>52.9</v>
      </c>
      <c r="F36" s="42" t="str">
        <f>HYPERLINK("https://www.biocoop.fr/magasin-biocoop_fontaine/the-vert-chine-sencha-zhejiang-bio-jg0679-000.html","52.4")</f>
        <v>52.4</v>
      </c>
      <c r="H36" s="42" t="str">
        <f>HYPERLINK("https://satoriz-comboire.bio/collections/epicerie-sucree/products/st23515","60.25")</f>
        <v>60.25</v>
      </c>
      <c r="J36" s="42" t="str">
        <f>HYPERLINK("https://www.greenweez.com/produit/the-vert-sencha-origine-chine-200g/1DEST0533","50.9")</f>
        <v>50.9</v>
      </c>
    </row>
    <row r="37" spans="1:12" x14ac:dyDescent="0.3">
      <c r="A37" t="s">
        <v>68</v>
      </c>
      <c r="B37" s="42" t="str">
        <f>HYPERLINK("https://lafourche.fr/products/biodyssee-the-noir-breakfast-de-ceylan-bio-100g","39.8")</f>
        <v>39.8</v>
      </c>
      <c r="D37" s="42" t="str">
        <f>HYPERLINK("https://www.biocoop.fr/magasin-biocoop_champollion/the-noir-english-breakfast-bio-jg0155-000.html","52.23")</f>
        <v>52.23</v>
      </c>
      <c r="F37" s="42" t="str">
        <f>HYPERLINK("https://www.biocoop.fr/magasin-biocoop_fontaine/the-noir-breakfast-ceylan-100g-to1025-000.html","43.3")</f>
        <v>43.3</v>
      </c>
      <c r="H37" s="42" t="str">
        <f>HYPERLINK("https://satoriz-comboire.bio/products/st23502?_pos=3&amp;_sid=b9236397b&amp;_ss=r","62.5")</f>
        <v>62.5</v>
      </c>
      <c r="J37" s="37" t="str">
        <f>HYPERLINK("https://www.greenweez.com/produit/the-noir-breakfast-bio-vrac-200g/2WEEZ0434","29.3")</f>
        <v>29.3</v>
      </c>
    </row>
    <row r="38" spans="1:12" x14ac:dyDescent="0.3">
      <c r="A38" t="s">
        <v>69</v>
      </c>
      <c r="B38" s="37" t="str">
        <f>HYPERLINK("https://lafourche.fr/products/la-fourche-the-vert-menthe-bio-equitable-0-1kg","39.9")</f>
        <v>39.9</v>
      </c>
      <c r="D38" s="42" t="str">
        <f>HYPERLINK("https://www.biocoop.fr/magasin-biocoop_champollion/the-vert-menthe-parfum-de-medina-bio-jg0677-000.html","52.29")</f>
        <v>52.29</v>
      </c>
      <c r="F38" s="42" t="str">
        <f>HYPERLINK("https://www.biocoop.fr/magasin-biocoop_fontaine/the-vert-menthe-parfum-de-medina-bio-jg0677-000.html","51.9")</f>
        <v>51.9</v>
      </c>
      <c r="H38" s="42" t="str">
        <f>HYPERLINK("https://satoriz-comboire.bio/products/st23516?_pos=2&amp;_sid=f98d83d08&amp;_ss=r","73.25")</f>
        <v>73.25</v>
      </c>
      <c r="J38" s="42" t="str">
        <f>HYPERLINK("https://www.greenweez.com/produit/the-vert-a-la-menthe-200g/1DEST0423","68.35")</f>
        <v>68.35</v>
      </c>
    </row>
    <row r="39" spans="1:12" x14ac:dyDescent="0.3">
      <c r="A39" t="s">
        <v>70</v>
      </c>
      <c r="B39" s="42" t="str">
        <f>HYPERLINK("https://lafourche.fr/products/biodyssee-the-vert-fleuri-au-jasmin-bio-0-1kg","46.1")</f>
        <v>46.1</v>
      </c>
      <c r="D39" s="42" t="str">
        <f>HYPERLINK("https://www.biocoop.fr/magasin-biocoop_champollion/the-vert-jasmin-flowers-bio-jg0087-000.html","70.82")</f>
        <v>70.82</v>
      </c>
      <c r="F39" s="42" t="str">
        <f>HYPERLINK("https://www.biocoop.fr/magasin-biocoop_fontaine/the-vert-jasmin-bio-tp2027-000.html","55.9")</f>
        <v>55.9</v>
      </c>
      <c r="H39" s="42" t="str">
        <f>HYPERLINK("https://satoriz-comboire.bio/products/ma04628?_pos=3&amp;_sid=81e463890&amp;_ss=r","63.54")</f>
        <v>63.54</v>
      </c>
      <c r="J39" s="37" t="str">
        <f>HYPERLINK("https://www.greenweez.com/produit/the-vert-jasmin-bio-vrac-200g/2WEEZ0433","37.8")</f>
        <v>37.8</v>
      </c>
      <c r="L39">
        <v>0.1</v>
      </c>
    </row>
    <row r="40" spans="1:12" x14ac:dyDescent="0.3">
      <c r="A40" t="s">
        <v>71</v>
      </c>
      <c r="B40" s="42" t="str">
        <f>HYPERLINK("https://lafourche.fr/products/gaia-rooibos-nature-100g","48.4")</f>
        <v>48.4</v>
      </c>
      <c r="D40" s="42" t="str">
        <f>HYPERLINK("https://www.biocoop.fr/magasin-biocoop_champollion/rooibos-nature-to1011-000.html","47.5")</f>
        <v>47.5</v>
      </c>
      <c r="F40" s="42" t="str">
        <f>HYPERLINK("https://www.biocoop.fr/magasin-biocoop_fontaine/rooibos-nature-to1011-000.html","40.8")</f>
        <v>40.8</v>
      </c>
      <c r="H40" s="42" t="str">
        <f>HYPERLINK("https://satoriz-comboire.bio/collections/epicerie-sucree/products/st6062","45.5")</f>
        <v>45.5</v>
      </c>
      <c r="J40" s="37" t="str">
        <f>HYPERLINK("https://www.greenweez.com/produit/rooibos-nature-dafrique-du-sud-100g/1DEST0413","40.0")</f>
        <v>40.0</v>
      </c>
    </row>
    <row r="41" spans="1:12" x14ac:dyDescent="0.3">
      <c r="A41" t="s">
        <v>72</v>
      </c>
      <c r="B41" s="37" t="str">
        <f>HYPERLINK("https://lafourche.fr/products/yogi-tea-infusion-chai-tea-bio-90g","44.33")</f>
        <v>44.33</v>
      </c>
      <c r="D41" s="42" t="str">
        <f>HYPERLINK("https://www.biocoop.fr/magasin-biocoop_champollion/tisane-classic-chai-90g-gt1000-000.html","51.67")</f>
        <v>51.67</v>
      </c>
      <c r="F41" s="42" t="str">
        <f>HYPERLINK("https://www.biocoop.fr/magasin-biocoop_fontaine/tisane-classic-chai-90g-gt1000-000.html","51.67")</f>
        <v>51.67</v>
      </c>
      <c r="H41" s="42" t="str">
        <f>HYPERLINK("https://satoriz-comboire.bio/products/pu710051?_pos=4&amp;_sid=56ad69599&amp;_ss=r","46.67")</f>
        <v>46.67</v>
      </c>
      <c r="J41" s="42" t="str">
        <f>HYPERLINK("https://www.greenweez.com/produit/infusion-vrac-classic-chai-90g/1YOGI0049","50.22")</f>
        <v>50.22</v>
      </c>
    </row>
    <row r="42" spans="1:12" x14ac:dyDescent="0.3">
      <c r="A42" t="s">
        <v>73</v>
      </c>
      <c r="B42" s="37" t="str">
        <f>HYPERLINK("https://lafourche.fr/products/gaia-tisane-bonne-nuit-50g","106")</f>
        <v>106</v>
      </c>
      <c r="D42" s="42" t="str">
        <f>HYPERLINK("https://www.biocoop.fr/magasin-biocoop_champollion/tisane-bonne-nuit-jg0634-000.html","128.0")</f>
        <v>128.0</v>
      </c>
      <c r="F42" s="42" t="str">
        <f>HYPERLINK("https://www.biocoop.fr/magasin-biocoop_fontaine/tisane-bonne-nuit-jg0634-000.html","128.0")</f>
        <v>128.0</v>
      </c>
      <c r="H42" s="42" t="str">
        <f>HYPERLINK("https://satoriz-comboire.bio/collections/epicerie-sucree/products/jgth502","122.0")</f>
        <v>122.0</v>
      </c>
      <c r="J42" s="42" t="str">
        <f>HYPERLINK("https://www.greenweez.com/produit/tisane-bonne-nuit-50g/3JARD0022","125.8")</f>
        <v>125.8</v>
      </c>
    </row>
    <row r="43" spans="1:12" x14ac:dyDescent="0.3">
      <c r="A43" t="s">
        <v>74</v>
      </c>
      <c r="B43" s="37" t="str">
        <f>HYPERLINK("https://lafourche.fr/products/gaia-tisane-calmetoux-50g","109")</f>
        <v>109</v>
      </c>
      <c r="D43" s="42" t="str">
        <f>HYPERLINK("https://www.biocoop.fr/magasin-biocoop_champollion/tisane-calmetoux-jg0637-000.html","128.0")</f>
        <v>128.0</v>
      </c>
      <c r="F43" s="42" t="str">
        <f>HYPERLINK("https://www.biocoop.fr/magasin-biocoop_fontaine/tisane-calmetoux-jg0637-000.html","128.0")</f>
        <v>128.0</v>
      </c>
      <c r="H43" s="42" t="str">
        <f>HYPERLINK("https://satoriz-comboire.bio/collections/epicerie-sucree/products/jgth508","122.0")</f>
        <v>122.0</v>
      </c>
      <c r="J43" s="42" t="str">
        <f>HYPERLINK("https://www.greenweez.com/produit/tisane-calme-toux-50g/3JARD0074","123.6")</f>
        <v>123.6</v>
      </c>
    </row>
    <row r="44" spans="1:12" x14ac:dyDescent="0.3">
      <c r="A44" t="s">
        <v>75</v>
      </c>
      <c r="B44" s="37" t="str">
        <f>HYPERLINK("https://lafourche.fr/products/les-jardins-de-gaia-tisane-remede-elfique-bio-0-05kg","106")</f>
        <v>106</v>
      </c>
      <c r="D44" s="42" t="str">
        <f>HYPERLINK("https://www.biocoop.fr/magasin-biocoop_champollion/tisane-remede-elfique-50g-aa0429-000.html","888888")</f>
        <v>888888</v>
      </c>
      <c r="F44" s="42" t="str">
        <f>HYPERLINK("https://www.biocoop.fr/magasin-biocoop_fontaine/tisane-remede-elfique-50g-aa0429-000.html","124.0")</f>
        <v>124.0</v>
      </c>
      <c r="H44" s="42" t="str">
        <f>HYPERLINK("https://satoriz-comboire.bio/collections/epicerie-sucree/products/jgth517","122.0")</f>
        <v>122.0</v>
      </c>
      <c r="J44" s="42" t="str">
        <f>HYPERLINK("https://www.greenweez.com/produit/tisane-remede-elfique-detox-50g/3JARD0021","123.6")</f>
        <v>123.6</v>
      </c>
    </row>
    <row r="46" spans="1:12" ht="18.75" customHeight="1" x14ac:dyDescent="0.35">
      <c r="A46" s="33" t="s">
        <v>76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</row>
    <row r="47" spans="1:12" x14ac:dyDescent="0.3">
      <c r="A47" s="35" t="s">
        <v>77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</row>
    <row r="48" spans="1:12" x14ac:dyDescent="0.3">
      <c r="A48" t="s">
        <v>78</v>
      </c>
      <c r="B48" s="42" t="str">
        <f>HYPERLINK("https://lafourche.fr/products/hipp-lait-1-pour-nourrissons-combiotic-0-6-mois-0-8kg","23.06")</f>
        <v>23.06</v>
      </c>
      <c r="C48" s="40" t="s">
        <v>795</v>
      </c>
      <c r="D48" s="42" t="str">
        <f>HYPERLINK("https://www.biocoop.fr/magasin-biocoop_champollion/lait-infantile-1er-age-800g-nt2000-000.html","19.7")</f>
        <v>19.7</v>
      </c>
      <c r="E48" t="s">
        <v>15</v>
      </c>
      <c r="F48" s="37" t="str">
        <f>HYPERLINK("https://www.biocoop.fr/magasin-biocoop_fontaine/lait-infantile-1er-age-800g-nt2000-000.html","18.9")</f>
        <v>18.9</v>
      </c>
      <c r="G48" t="s">
        <v>15</v>
      </c>
      <c r="H48" s="42" t="str">
        <f>HYPERLINK("https://satoriz-comboire.bio/collections/bebe/products/pu660168808","22.88")</f>
        <v>22.88</v>
      </c>
      <c r="I48" t="s">
        <v>15</v>
      </c>
      <c r="J48" s="42" t="str">
        <f>HYPERLINK("https://www.greenweez.com/produit/lot-de-3-lait-1-combiotic-r-pour-nourrissons-de-0-a-6-mois/1PACK3439","22.01")</f>
        <v>22.01</v>
      </c>
      <c r="K48" t="s">
        <v>15</v>
      </c>
    </row>
    <row r="49" spans="1:12" x14ac:dyDescent="0.3">
      <c r="A49" t="s">
        <v>83</v>
      </c>
      <c r="B49" s="42" t="str">
        <f>HYPERLINK("https://lafourche.fr/products/hipp-lait-2-de-suite-combiotic-des-6-mois-0-8kg","21.6")</f>
        <v>21.6</v>
      </c>
      <c r="C49" s="38" t="s">
        <v>796</v>
      </c>
      <c r="D49" s="42" t="str">
        <f>HYPERLINK("https://www.biocoop.fr/magasin-biocoop_champollion/lait-infantile-2eme-age-800g-nt2001-000.html","19.99")</f>
        <v>19.99</v>
      </c>
      <c r="E49" t="s">
        <v>15</v>
      </c>
      <c r="F49" s="42" t="str">
        <f>HYPERLINK("https://www.biocoop.fr/magasin-biocoop_fontaine/lait-infantile-2eme-age-800g-nt2001-000.html","17.9")</f>
        <v>17.9</v>
      </c>
      <c r="G49" t="s">
        <v>15</v>
      </c>
      <c r="H49" s="42" t="str">
        <f>HYPERLINK("https://satoriz-comboire.bio/collections/bebe/products/pu660154208","22.25")</f>
        <v>22.25</v>
      </c>
      <c r="I49" t="s">
        <v>15</v>
      </c>
      <c r="J49" s="37" t="str">
        <f>HYPERLINK("https://www.greenweez.com/produit/lot-de-3-x-lait-infantile-2eme-age-900g-de-6-a-12-mois/1PACK3351","16.4")</f>
        <v>16.4</v>
      </c>
      <c r="K49" s="38" t="s">
        <v>797</v>
      </c>
    </row>
    <row r="50" spans="1:12" x14ac:dyDescent="0.3">
      <c r="A50" t="s">
        <v>86</v>
      </c>
      <c r="B50" s="42" t="str">
        <f>HYPERLINK("https://lafourche.fr/products/hipp-lait-3-de-croissance-combiotic-des-10-mois-0-8kg","19.61")</f>
        <v>19.61</v>
      </c>
      <c r="C50" s="38" t="s">
        <v>798</v>
      </c>
      <c r="D50" s="42" t="str">
        <f>HYPERLINK("https://www.biocoop.fr/magasin-biocoop_champollion/lait-infantile-3eme-age-800g-nt2002-000.html","18.9")</f>
        <v>18.9</v>
      </c>
      <c r="E50" t="s">
        <v>15</v>
      </c>
      <c r="F50" s="37" t="str">
        <f>HYPERLINK("https://www.biocoop.fr/magasin-biocoop_fontaine/lait-infantile-3eme-age-800g-nt2002-000.html","16.9")</f>
        <v>16.9</v>
      </c>
      <c r="G50" s="38" t="s">
        <v>688</v>
      </c>
      <c r="H50" s="42" t="str">
        <f>HYPERLINK("https://satoriz-comboire.bio/collections/bebe/products/pu660154308","20.92")</f>
        <v>20.92</v>
      </c>
      <c r="I50" t="s">
        <v>15</v>
      </c>
      <c r="J50" s="42" t="str">
        <f>HYPERLINK("https://www.greenweez.com/produit/lot-de-3-laits-de-suite-3-demeter-600g-des-10-mois/1PACK3673","19.46")</f>
        <v>19.46</v>
      </c>
      <c r="K50" s="40" t="s">
        <v>689</v>
      </c>
    </row>
    <row r="51" spans="1:12" x14ac:dyDescent="0.3">
      <c r="A51" t="s">
        <v>89</v>
      </c>
      <c r="B51" s="37" t="str">
        <f>HYPERLINK("https://lafourche.fr/products/tidoo-liniment-oleocalcaire-familial-900ml","14.29")</f>
        <v>14.29</v>
      </c>
      <c r="D51" s="42" t="str">
        <f>HYPERLINK("https://www.biocoop.fr/magasin-biocoop_champollion/liniment-oleo-calcaire-bebe-lg5038-000.html","16.9")</f>
        <v>16.9</v>
      </c>
      <c r="F51" s="42" t="str">
        <f>HYPERLINK("https://www.biocoop.fr/magasin-biocoop_fontaine/liniment-oleo-calcaire-bebe-lg5038-000.html","17.6")</f>
        <v>17.6</v>
      </c>
      <c r="H51" s="42" t="str">
        <f>HYPERLINK("https://satoriz-comboire.bio/products/ecoae035?_pos=3&amp;_sid=db2ea40dc&amp;_ss=r","16.9")</f>
        <v>16.9</v>
      </c>
      <c r="J51" s="45" t="str">
        <f>HYPERLINK("https://www.greenweez.com/produit/liniment-bebe-oleocalcaire-1l/2WEEZ0527","888888")</f>
        <v>888888</v>
      </c>
    </row>
    <row r="53" spans="1:12" ht="18.75" customHeight="1" x14ac:dyDescent="0.35">
      <c r="A53" s="33" t="s">
        <v>90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4" spans="1:12" x14ac:dyDescent="0.3">
      <c r="A54" s="35" t="s">
        <v>91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</row>
    <row r="55" spans="1:12" x14ac:dyDescent="0.3">
      <c r="A55" t="s">
        <v>92</v>
      </c>
      <c r="B55" s="13" t="str">
        <f>HYPERLINK("https://lafourche.fr/products/la-fourche-gressins-a-l-huile-d-olive-bio-0-16kg","11.19")</f>
        <v>11.19</v>
      </c>
      <c r="C55" s="39" t="s">
        <v>99</v>
      </c>
      <c r="D55" s="42" t="str">
        <f>HYPERLINK("https://www.biocoop.fr/magasin-biocoop_champollion/gressins-a-l-huile-d-olive-vierge-sd2008-000.html","38.0")</f>
        <v>38.0</v>
      </c>
      <c r="E55" t="s">
        <v>15</v>
      </c>
      <c r="F55" s="42" t="str">
        <f>HYPERLINK("https://www.biocoop.fr/magasin-biocoop_fontaine/gressin-nature-150g-gr4007-000.html","12.67")</f>
        <v>12.67</v>
      </c>
      <c r="G55" t="s">
        <v>15</v>
      </c>
      <c r="H55" s="42" t="str">
        <f>HYPERLINK("https://satoriz-comboire.bio/collections/epicerie-salee/products/tgc01","12.67")</f>
        <v>12.67</v>
      </c>
      <c r="I55" t="s">
        <v>15</v>
      </c>
      <c r="J55" s="42" t="str">
        <f>HYPERLINK("https://www.greenweez.com/produit/gressins-au-sesame-160g/1LAZZ0072","888888")</f>
        <v>888888</v>
      </c>
      <c r="K55" s="39" t="s">
        <v>99</v>
      </c>
    </row>
    <row r="56" spans="1:12" x14ac:dyDescent="0.3">
      <c r="A56" t="s">
        <v>93</v>
      </c>
      <c r="B56" s="37" t="str">
        <f>HYPERLINK("https://lafourche.fr/products/moulin-des-moines-sticks-depeautre-200g-bio","9.95")</f>
        <v>9.95</v>
      </c>
      <c r="C56" t="s">
        <v>15</v>
      </c>
      <c r="D56" s="42" t="str">
        <f>HYPERLINK("https://www.biocoop.fr/magasin-biocoop_champollion/sticks-epeautre-pur-200g-ml1211-000.html","888888")</f>
        <v>888888</v>
      </c>
      <c r="E56" s="39" t="s">
        <v>99</v>
      </c>
      <c r="F56" s="42" t="str">
        <f>HYPERLINK("https://www.biocoop.fr/magasin-biocoop_fontaine/sticks-epeautre-pur-200g-ml1211-000.html","11.0")</f>
        <v>11.0</v>
      </c>
      <c r="G56" s="40" t="s">
        <v>799</v>
      </c>
      <c r="H56">
        <v>888888</v>
      </c>
      <c r="J56" s="42" t="str">
        <f>HYPERLINK("https://www.greenweez.com/produit/sticks-depeautre-a-lhuile-dolive-200g/1MOUL0035","11.25")</f>
        <v>11.25</v>
      </c>
      <c r="K56" s="38" t="s">
        <v>80</v>
      </c>
    </row>
    <row r="57" spans="1:12" x14ac:dyDescent="0.3">
      <c r="A57" t="s">
        <v>94</v>
      </c>
      <c r="B57" s="42" t="str">
        <f>HYPERLINK("https://lafourche.fr/products/moulin-des-moines-bretzels-depeautre-150g-bio","11.53")</f>
        <v>11.53</v>
      </c>
      <c r="C57" t="s">
        <v>15</v>
      </c>
      <c r="D57" s="42" t="str">
        <f>HYPERLINK("https://www.biocoop.fr/magasin-biocoop_champollion/bretzel-epeautre-bio-ml1218-000.html","9.95")</f>
        <v>9.95</v>
      </c>
      <c r="E57" t="s">
        <v>15</v>
      </c>
      <c r="F57" s="37" t="str">
        <f>HYPERLINK("https://www.biocoop.fr/magasin-biocoop_fontaine/bretzel-epeautre-bio-ml1218-000.html","9.3")</f>
        <v>9.3</v>
      </c>
      <c r="G57" s="40" t="s">
        <v>242</v>
      </c>
      <c r="H57" s="42" t="str">
        <f>HYPERLINK("https://satoriz-comboire.bio/products/eu1740?_pos=1&amp;_psq=bretzel&amp;_ss=e&amp;_v=1.0","16.0")</f>
        <v>16.0</v>
      </c>
      <c r="I57" t="s">
        <v>15</v>
      </c>
      <c r="J57" s="42" t="str">
        <f>HYPERLINK("https://www.greenweez.com/produit/bretzels-epeautre-sesame-et-huile-dolive-150g/1MOUL0033","12.93")</f>
        <v>12.93</v>
      </c>
      <c r="K57" s="40" t="s">
        <v>691</v>
      </c>
    </row>
    <row r="58" spans="1:12" x14ac:dyDescent="0.3">
      <c r="A58" t="s">
        <v>95</v>
      </c>
      <c r="B58" s="37" t="str">
        <f>HYPERLINK("https://lafourche.fr/products/pural-chips-au-mais-nature-bio-0-2kg","10.8")</f>
        <v>10.8</v>
      </c>
      <c r="C58" s="38" t="s">
        <v>692</v>
      </c>
      <c r="D58" s="42" t="str">
        <f>HYPERLINK("https://www.biocoop.fr/magasin-biocoop_champollion/tortilla-chips-mais-natures-200g-ap0010-000.html","12.5")</f>
        <v>12.5</v>
      </c>
      <c r="E58" t="s">
        <v>15</v>
      </c>
      <c r="F58" s="42" t="str">
        <f>HYPERLINK("https://www.biocoop.fr/magasin-biocoop_fontaine/tortilla-chips-mais-natures-200g-ap0010-000.html","12.5")</f>
        <v>12.5</v>
      </c>
      <c r="G58" t="s">
        <v>15</v>
      </c>
      <c r="H58" s="45" t="str">
        <f>HYPERLINK("https://satoriz-comboire.bio/products/pu6901460","12")</f>
        <v>12</v>
      </c>
      <c r="I58" s="39" t="s">
        <v>99</v>
      </c>
      <c r="J58" s="42" t="str">
        <f>HYPERLINK("https://www.greenweez.com/produit/chips-de-mais-nature-125g/1PURA0072","13.76")</f>
        <v>13.76</v>
      </c>
      <c r="K58" s="40" t="s">
        <v>693</v>
      </c>
    </row>
    <row r="59" spans="1:12" x14ac:dyDescent="0.3">
      <c r="A59" t="s">
        <v>96</v>
      </c>
      <c r="B59" s="37" t="str">
        <f>HYPERLINK("https://lafourche.fr/products/trafo-chips-salees-125g","14.4")</f>
        <v>14.4</v>
      </c>
      <c r="C59" t="s">
        <v>15</v>
      </c>
      <c r="D59" s="42" t="str">
        <f>HYPERLINK("https://www.biocoop.fr/magasin-biocoop_champollion/chips-pdt-natures-100g-cs5010-000.html","27.0")</f>
        <v>27.0</v>
      </c>
      <c r="E59" t="s">
        <v>15</v>
      </c>
      <c r="F59" s="42" t="str">
        <f>HYPERLINK("https://www.biocoop.fr/magasin-biocoop_fontaine/chips-pdt-natures-200g-ao4005-000.html","19.95")</f>
        <v>19.95</v>
      </c>
      <c r="G59" t="s">
        <v>15</v>
      </c>
      <c r="H59" s="42" t="str">
        <f>HYPERLINK("https://satoriz-comboire.bio/collections/epicerie-salee/products/ma5776","15.6")</f>
        <v>15.6</v>
      </c>
      <c r="I59" t="s">
        <v>15</v>
      </c>
      <c r="J59" s="42" t="str">
        <f>HYPERLINK("https://www.greenweez.com/produit/chips-nature-format-familial-220g/1APER0002","18.39")</f>
        <v>18.39</v>
      </c>
      <c r="K59" t="s">
        <v>15</v>
      </c>
    </row>
    <row r="60" spans="1:12" x14ac:dyDescent="0.3">
      <c r="A60" t="s">
        <v>97</v>
      </c>
      <c r="B60" s="37" t="str">
        <f>HYPERLINK("https://lafourche.fr/products/la-fourche-250g-de-pistaches-en-coque-grillees-salees-en-vrac-bio","23.4")</f>
        <v>23.4</v>
      </c>
      <c r="C60" s="40" t="s">
        <v>263</v>
      </c>
      <c r="D60" s="42" t="str">
        <f>HYPERLINK("https://www.biocoop.fr/magasin-biocoop_champollion/pistaches-coques-grillees-salees-bio-ag3041-000.html","32.39")</f>
        <v>32.39</v>
      </c>
      <c r="E60" t="s">
        <v>15</v>
      </c>
      <c r="F60" s="42" t="str">
        <f>HYPERLINK("https://www.biocoop.fr/magasin-biocoop_fontaine/pistaches-coques-grillees-salees-bio-ag3041-000.html","888888")</f>
        <v>888888</v>
      </c>
      <c r="G60" s="39" t="s">
        <v>99</v>
      </c>
      <c r="H60" s="42" t="str">
        <f>HYPERLINK("https://satoriz-comboire.bio/collections/vrac/products/ag0653","24.9")</f>
        <v>24.9</v>
      </c>
      <c r="I60" t="s">
        <v>15</v>
      </c>
      <c r="J60" s="42" t="str">
        <f>HYPERLINK("https://www.greenweez.com/produit/pistaches-en-coques-grillees-salees-500g/2WEEZ0404","27.78")</f>
        <v>27.78</v>
      </c>
      <c r="K60" s="38" t="s">
        <v>80</v>
      </c>
    </row>
    <row r="61" spans="1:12" x14ac:dyDescent="0.3">
      <c r="A61" t="s">
        <v>100</v>
      </c>
      <c r="B61" s="37" t="str">
        <f>HYPERLINK("https://lafourche.fr/products/la-fourche-cacahuetes-grillees-salees-bio-en-vrac-0-5kg","7.8")</f>
        <v>7.8</v>
      </c>
      <c r="C61" s="40" t="s">
        <v>800</v>
      </c>
      <c r="D61" s="42" t="str">
        <f>HYPERLINK("https://www.biocoop.fr/magasin-biocoop_champollion/arachide-grillee-nature-bio-ag3062-000.html","10.8")</f>
        <v>10.8</v>
      </c>
      <c r="E61" t="s">
        <v>15</v>
      </c>
      <c r="F61" s="42" t="str">
        <f>HYPERLINK("https://www.biocoop.fr/magasin-biocoop_fontaine/arachides-grillees-et-salees-egypte-bio-ag3063-000.html","11.8")</f>
        <v>11.8</v>
      </c>
      <c r="G61" t="s">
        <v>15</v>
      </c>
      <c r="H61" s="42" t="str">
        <f>HYPERLINK("https://satoriz-comboire.bio/collections/vrac/products/bof3707","8.15")</f>
        <v>8.15</v>
      </c>
      <c r="I61" t="s">
        <v>15</v>
      </c>
      <c r="J61" s="42" t="str">
        <f>HYPERLINK("https://www.greenweez.com/produit/arachides-decortiquees-grillees-nature-500g/2WEEZ0360","11.88")</f>
        <v>11.88</v>
      </c>
      <c r="K61" t="s">
        <v>15</v>
      </c>
      <c r="L61">
        <v>0.25</v>
      </c>
    </row>
    <row r="62" spans="1:12" x14ac:dyDescent="0.3">
      <c r="A62" s="35" t="s">
        <v>101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</row>
    <row r="63" spans="1:12" x14ac:dyDescent="0.3">
      <c r="A63" t="s">
        <v>102</v>
      </c>
      <c r="B63" s="37" t="str">
        <f>HYPERLINK("https://lafourche.fr/products/philia-bouillon-de-legumes-cubes-66g-bio","15")</f>
        <v>15</v>
      </c>
      <c r="C63" t="s">
        <v>15</v>
      </c>
      <c r="D63" s="42" t="str">
        <f>HYPERLINK("https://www.biocoop.fr/magasin-biocoop_champollion/epicerie-salee/condiments-sauces-aides-culinaires/bouillons.html?product_list_order=price_ref_asc","22.5")</f>
        <v>22.5</v>
      </c>
      <c r="E63" s="40" t="s">
        <v>801</v>
      </c>
      <c r="F63" s="42" t="str">
        <f>HYPERLINK("https://www.biocoop.fr/magasin-biocoop_fontaine/bouillon-de-legumes-en-cube-hl1004-000.html","22.16")</f>
        <v>22.16</v>
      </c>
      <c r="G63" t="s">
        <v>15</v>
      </c>
      <c r="H63" s="42" t="str">
        <f>HYPERLINK("https://satoriz-comboire.bio/products/ralegplu?_pos=9&amp;_sid=deed539af&amp;_ss=r","16.4")</f>
        <v>16.4</v>
      </c>
      <c r="I63" t="s">
        <v>15</v>
      </c>
      <c r="J63" s="42" t="str">
        <f>HYPERLINK("https://www.greenweez.com/produit/bouillon-de-legumes-en-poudre-sans-levure-500g/1RAPU0182","16.8")</f>
        <v>16.8</v>
      </c>
      <c r="K63" t="s">
        <v>15</v>
      </c>
    </row>
    <row r="64" spans="1:12" x14ac:dyDescent="0.3">
      <c r="A64" t="s">
        <v>104</v>
      </c>
      <c r="B64" s="37" t="str">
        <f>HYPERLINK("https://lafourche.fr/products/danival-cube-miso-bio-8x10g-bio","40.75")</f>
        <v>40.75</v>
      </c>
      <c r="C64" t="s">
        <v>15</v>
      </c>
      <c r="D64" s="42" t="str">
        <f>HYPERLINK("https://www.biocoop.fr/magasin-biocoop_champollion/miso-cube-original-8-80g-dn1090-000.html","888888")</f>
        <v>888888</v>
      </c>
      <c r="E64" s="39" t="s">
        <v>99</v>
      </c>
      <c r="F64" s="42" t="str">
        <f>HYPERLINK("https://www.biocoop.fr/magasin-biocoop_fontaine/miso-cube-original-8-80g-dn1090-000.html","49.38")</f>
        <v>49.38</v>
      </c>
      <c r="G64" s="38" t="s">
        <v>802</v>
      </c>
      <c r="H64" s="42" t="str">
        <f>HYPERLINK("https://satoriz-comboire.bio/products/da2889?_pos=3&amp;_sid=9469a6a77&amp;_ss=r","888888")</f>
        <v>888888</v>
      </c>
      <c r="I64" s="39" t="s">
        <v>99</v>
      </c>
      <c r="J64" s="42" t="str">
        <f>HYPERLINK("https://www.greenweez.com/produit/miso-en-cubes-original-8x10g/1DANI0197","46.63")</f>
        <v>46.63</v>
      </c>
      <c r="K64" t="s">
        <v>15</v>
      </c>
    </row>
    <row r="65" spans="1:12" x14ac:dyDescent="0.3">
      <c r="A65" t="s">
        <v>108</v>
      </c>
      <c r="B65" s="37" t="str">
        <f>HYPERLINK("https://lafourche.fr/products/danival-miso-riz-bio-0-39kg","17.92")</f>
        <v>17.92</v>
      </c>
      <c r="C65" s="40" t="s">
        <v>694</v>
      </c>
      <c r="D65" s="42" t="str">
        <f>HYPERLINK("https://www.biocoop.fr/magasin-biocoop_champollion/miso-riz-200g-dn0733-000.html","24.95")</f>
        <v>24.95</v>
      </c>
      <c r="E65" t="s">
        <v>15</v>
      </c>
      <c r="F65" s="42" t="str">
        <f>HYPERLINK("https://www.biocoop.fr/magasin-biocoop_fontaine/miso-riz-200g-dn0733-000.html","24.75")</f>
        <v>24.75</v>
      </c>
      <c r="G65" s="38" t="s">
        <v>695</v>
      </c>
      <c r="H65" s="42" t="str">
        <f>HYPERLINK("https://satoriz-comboire.bio/products/re2573?_pos=8&amp;_sid=9469a6a77&amp;_ss=r","20.38")</f>
        <v>20.38</v>
      </c>
      <c r="I65" t="s">
        <v>15</v>
      </c>
      <c r="J65" s="42" t="str">
        <f>HYPERLINK("https://www.greenweez.com/produit/miso-de-riz-390g/1DANI0048","20.67")</f>
        <v>20.67</v>
      </c>
      <c r="K65" t="s">
        <v>15</v>
      </c>
    </row>
    <row r="66" spans="1:12" x14ac:dyDescent="0.3">
      <c r="A66" t="s">
        <v>111</v>
      </c>
      <c r="B66" s="37" t="str">
        <f>HYPERLINK("https://lafourche.fr/products/la-fourche-gomasio-bio-0-5kg","9.98")</f>
        <v>9.98</v>
      </c>
      <c r="C66" t="s">
        <v>15</v>
      </c>
      <c r="D66" s="42" t="str">
        <f>HYPERLINK("https://www.biocoop.fr/magasin-biocoop_champollion/gomasio-300g-he0775-000.html","20.17")</f>
        <v>20.17</v>
      </c>
      <c r="E66" t="s">
        <v>15</v>
      </c>
      <c r="F66" s="42" t="str">
        <f>HYPERLINK("https://www.biocoop.fr/magasin-biocoop_fontaine/gomasio-300g-he0775-000.html","20.33")</f>
        <v>20.33</v>
      </c>
      <c r="G66" t="s">
        <v>15</v>
      </c>
      <c r="H66" s="42" t="str">
        <f>HYPERLINK("https://satoriz-comboire.bio/products/go300?_pos=3&amp;_sid=8c4a51e31&amp;_ss=r","19.5")</f>
        <v>19.5</v>
      </c>
      <c r="I66" t="s">
        <v>15</v>
      </c>
      <c r="J66" s="42" t="str">
        <f>HYPERLINK("https://www.greenweez.com/produit/gomasio-loriginal-500g/1SENF0012","13.38")</f>
        <v>13.38</v>
      </c>
      <c r="K66" s="40" t="s">
        <v>803</v>
      </c>
    </row>
    <row r="67" spans="1:12" x14ac:dyDescent="0.3">
      <c r="A67" t="s">
        <v>115</v>
      </c>
      <c r="B67" s="42" t="str">
        <f>HYPERLINK("https://lafourche.fr/products/la-fourche-curcuma-moulu-bio-0-25kg","14.76")</f>
        <v>14.76</v>
      </c>
      <c r="C67" t="s">
        <v>15</v>
      </c>
      <c r="D67" s="42" t="str">
        <f>HYPERLINK("https://www.biocoop.fr/magasin-biocoop_champollion/curcuma-en-poudre-racine-bio-ck2048-000.html","19.7")</f>
        <v>19.7</v>
      </c>
      <c r="E67" t="s">
        <v>15</v>
      </c>
      <c r="F67" s="42" t="str">
        <f>HYPERLINK("https://www.biocoop.fr/magasin-biocoop_fontaine/curcuma-moulu-80g-ck1415-000.html","45.63")</f>
        <v>45.63</v>
      </c>
      <c r="G67" t="s">
        <v>15</v>
      </c>
      <c r="H67" s="42" t="str">
        <f>HYPERLINK("https://satoriz-comboire.bio/products/cocurcrapc500?_pos=5&amp;_sid=0aacfc20c&amp;_ss=r","23.7")</f>
        <v>23.7</v>
      </c>
      <c r="I67" t="s">
        <v>15</v>
      </c>
      <c r="J67" s="37" t="str">
        <f>HYPERLINK("https://www.greenweez.com/produit/curcuma-poudre-bio-250g/2WEEZ0074","14.36")</f>
        <v>14.36</v>
      </c>
      <c r="K67" t="s">
        <v>15</v>
      </c>
    </row>
    <row r="68" spans="1:12" x14ac:dyDescent="0.3">
      <c r="A68" t="s">
        <v>118</v>
      </c>
      <c r="B68" s="42" t="str">
        <f>HYPERLINK("https://lafourche.fr/products/la-fourche-curry-jaune-moulu-bio-0-15kg","30.6")</f>
        <v>30.6</v>
      </c>
      <c r="C68" t="s">
        <v>15</v>
      </c>
      <c r="D68" s="42" t="str">
        <f>HYPERLINK("https://www.biocoop.fr/magasin-biocoop_champollion/curry-poudre-bio-ck2049-000.html","29.5")</f>
        <v>29.5</v>
      </c>
      <c r="E68" t="s">
        <v>15</v>
      </c>
      <c r="F68" s="42" t="str">
        <f>HYPERLINK("https://www.biocoop.fr/magasin-biocoop_fontaine/curry-en-poudre-80g-ck1414-000.html","56.25")</f>
        <v>56.25</v>
      </c>
      <c r="G68" t="s">
        <v>15</v>
      </c>
      <c r="H68" s="45" t="str">
        <f>HYPERLINK("https://satoriz-comboire.bio/products/cocurrmapc","32.70")</f>
        <v>32.70</v>
      </c>
      <c r="I68" s="39" t="s">
        <v>99</v>
      </c>
      <c r="J68" s="37" t="str">
        <f>HYPERLINK("https://www.greenweez.com/produit/curry-en-poudre-bio-150g/2WEEZ0162","26.07")</f>
        <v>26.07</v>
      </c>
      <c r="K68" s="38" t="s">
        <v>804</v>
      </c>
      <c r="L68">
        <v>0.02</v>
      </c>
    </row>
    <row r="69" spans="1:12" x14ac:dyDescent="0.3">
      <c r="A69" t="s">
        <v>120</v>
      </c>
      <c r="B69" s="42" t="str">
        <f>HYPERLINK("https://lafourche.fr/products/la-fourche-cannelle-moulue-bio-0-15kg","26.6")</f>
        <v>26.6</v>
      </c>
      <c r="C69" t="s">
        <v>15</v>
      </c>
      <c r="D69" s="42" t="str">
        <f>HYPERLINK("https://www.biocoop.fr/magasin-biocoop_champollion/cannelle-moulue-80g-ck2037-000.html","57.5")</f>
        <v>57.5</v>
      </c>
      <c r="E69" t="s">
        <v>15</v>
      </c>
      <c r="F69" s="42" t="str">
        <f>HYPERLINK("https://www.biocoop.fr/magasin-biocoop_fontaine/cannelle-moulue-80g-ck2037-000.html","57.5")</f>
        <v>57.5</v>
      </c>
      <c r="G69" t="s">
        <v>15</v>
      </c>
      <c r="H69" s="37" t="str">
        <f>HYPERLINK("https://satoriz-comboire.bio/products/cocannegpc?_pos=2&amp;_sid=a0e00fe60&amp;_ss=r","26.1")</f>
        <v>26.1</v>
      </c>
      <c r="I69" t="s">
        <v>15</v>
      </c>
      <c r="J69" s="42" t="str">
        <f>HYPERLINK("https://www.greenweez.com/produit/cannelle-de-ceylan-en-poudre-500g/1COOK0184","29.42")</f>
        <v>29.42</v>
      </c>
      <c r="K69" t="s">
        <v>15</v>
      </c>
    </row>
    <row r="70" spans="1:12" x14ac:dyDescent="0.3">
      <c r="A70" t="s">
        <v>124</v>
      </c>
      <c r="B70" s="42" t="str">
        <f>HYPERLINK("https://lafourche.fr/products/la-fourche-paprika-doux-bio-0-15kg","27.93")</f>
        <v>27.93</v>
      </c>
      <c r="C70" t="s">
        <v>15</v>
      </c>
      <c r="D70" s="42" t="str">
        <f>HYPERLINK("https://www.biocoop.fr/magasin-biocoop_champollion/paprika-doux-de-hongrie-40g-ck0922-000.html","88.75")</f>
        <v>88.75</v>
      </c>
      <c r="E70" t="s">
        <v>15</v>
      </c>
      <c r="F70" s="42" t="str">
        <f>HYPERLINK("https://www.biocoop.fr/magasin-biocoop_fontaine/paprika-doux-de-hongrie-40g-ck0922-000.html","87.5")</f>
        <v>87.5</v>
      </c>
      <c r="G70" t="s">
        <v>15</v>
      </c>
      <c r="H70" s="42" t="str">
        <f>HYPERLINK("https://satoriz-comboire.bio/products/copapdfr?_pos=2&amp;_sid=444323c97&amp;_ss=r","72.5")</f>
        <v>72.5</v>
      </c>
      <c r="I70" t="s">
        <v>15</v>
      </c>
      <c r="J70" s="37" t="str">
        <f>HYPERLINK("https://www.greenweez.com/produit/paprika-doux-en-poudre-bio-150g/2WEEZ0165","27.2")</f>
        <v>27.2</v>
      </c>
      <c r="K70" t="s">
        <v>15</v>
      </c>
      <c r="L70">
        <v>0.02</v>
      </c>
    </row>
    <row r="71" spans="1:12" x14ac:dyDescent="0.3">
      <c r="A71" t="s">
        <v>128</v>
      </c>
      <c r="B71" s="42" t="str">
        <f>HYPERLINK("https://lafourche.fr/products/la-fourche-paprika-fume-bio-0-15kg","35")</f>
        <v>35</v>
      </c>
      <c r="C71" s="40" t="s">
        <v>805</v>
      </c>
      <c r="D71" s="42" t="str">
        <f>HYPERLINK("https://www.biocoop.fr/magasin-biocoop_champollion/paprika-fume-fl1217-000.html","77.5")</f>
        <v>77.5</v>
      </c>
      <c r="E71" t="s">
        <v>15</v>
      </c>
      <c r="F71" s="42" t="str">
        <f>HYPERLINK("https://www.biocoop.fr/magasin-biocoop_fontaine/paprika-fume-fl1217-000.html","888888")</f>
        <v>888888</v>
      </c>
      <c r="G71" s="39" t="s">
        <v>99</v>
      </c>
      <c r="H71" s="42" t="str">
        <f>HYPERLINK("https://satoriz-comboire.bio/products/emhbe58b?_pos=2&amp;_sid=3ef3d1d3c&amp;_ss=r","888888")</f>
        <v>888888</v>
      </c>
      <c r="I71" s="39" t="s">
        <v>99</v>
      </c>
      <c r="J71" s="37" t="str">
        <f>HYPERLINK("https://www.greenweez.com/produit/paprika-fume-sachet-recharge-250g/1ECOI0084","31.04")</f>
        <v>31.04</v>
      </c>
      <c r="K71" t="s">
        <v>15</v>
      </c>
    </row>
    <row r="72" spans="1:12" x14ac:dyDescent="0.3">
      <c r="A72" t="s">
        <v>131</v>
      </c>
      <c r="B72" s="42" t="str">
        <f>HYPERLINK("https://lafourche.fr/products/la-fourche-paprika-doux-bio-0-15kg","27.93")</f>
        <v>27.93</v>
      </c>
      <c r="C72" t="s">
        <v>15</v>
      </c>
      <c r="D72" s="42" t="str">
        <f>HYPERLINK("https://www.biocoop.fr/magasin-biocoop_champollion/gingembre-racine-poudre-bio-ck2051-000.html","33.65")</f>
        <v>33.65</v>
      </c>
      <c r="E72" t="s">
        <v>15</v>
      </c>
      <c r="F72" s="42" t="str">
        <f>HYPERLINK("https://www.biocoop.fr/magasin-biocoop_fontaine/gingembre-moulu-80g-ck2062-000.html","67.5")</f>
        <v>67.5</v>
      </c>
      <c r="G72" t="s">
        <v>15</v>
      </c>
      <c r="H72" s="45" t="str">
        <f>HYPERLINK("https://satoriz-comboire.bio/products/cogingse","52.50")</f>
        <v>52.50</v>
      </c>
      <c r="I72" t="s">
        <v>15</v>
      </c>
      <c r="J72" s="37" t="str">
        <f>HYPERLINK("https://www.greenweez.com/produit/gingembre-en-poudre-bio-200g/2WEEZ0161","24.75")</f>
        <v>24.75</v>
      </c>
      <c r="K72" s="38" t="s">
        <v>697</v>
      </c>
      <c r="L72">
        <v>0.02</v>
      </c>
    </row>
    <row r="73" spans="1:12" x14ac:dyDescent="0.3">
      <c r="A73" t="s">
        <v>132</v>
      </c>
      <c r="B73" s="37" t="str">
        <f>HYPERLINK("https://lafourche.fr/products/biodyssee-coriandre-en-poudre-bio-0-035kg","42.57")</f>
        <v>42.57</v>
      </c>
      <c r="C73" s="38" t="s">
        <v>806</v>
      </c>
      <c r="D73" s="42" t="str">
        <f>HYPERLINK("https://www.biocoop.fr/magasin-biocoop_champollion/coriandre-moulue-30g-ck0925-000.html","73.33")</f>
        <v>73.33</v>
      </c>
      <c r="E73" s="40" t="s">
        <v>698</v>
      </c>
      <c r="F73" s="42" t="str">
        <f>HYPERLINK("https://www.biocoop.fr/magasin-biocoop_fontaine/coriandre-moulue-30g-ck0925-000.html","75.0")</f>
        <v>75.0</v>
      </c>
      <c r="G73" t="s">
        <v>15</v>
      </c>
      <c r="H73" s="42" t="str">
        <f>HYPERLINK("https://satoriz-comboire.bio/collections/epicerie-salee/products/cocorpc","65.0")</f>
        <v>65.0</v>
      </c>
      <c r="I73" t="s">
        <v>15</v>
      </c>
      <c r="J73" s="42" t="str">
        <f>HYPERLINK("https://www.greenweez.com/produit/poudre-de-graines-de-coriandre-35g/2BIOD0049","55.43")</f>
        <v>55.43</v>
      </c>
      <c r="K73" s="38" t="s">
        <v>699</v>
      </c>
    </row>
    <row r="74" spans="1:12" x14ac:dyDescent="0.3">
      <c r="A74" t="s">
        <v>136</v>
      </c>
      <c r="B74" s="37" t="str">
        <f>HYPERLINK("https://lafourche.fr/products/cook-fenugrec-poudre-55g","37.82")</f>
        <v>37.82</v>
      </c>
      <c r="C74" t="s">
        <v>15</v>
      </c>
      <c r="D74" s="42" t="str">
        <f>HYPERLINK("https://www.biocoop.fr/magasin-biocoop_champollion/fenugrec-moulu-55g-ck1209-000.html","47.27")</f>
        <v>47.27</v>
      </c>
      <c r="E74" t="s">
        <v>15</v>
      </c>
      <c r="F74" s="42" t="str">
        <f>HYPERLINK("https://www.biocoop.fr/magasin-biocoop_fontaine/fenugrec-moulu-55g-ck1209-000.html","888888")</f>
        <v>888888</v>
      </c>
      <c r="G74" s="39" t="s">
        <v>99</v>
      </c>
      <c r="H74" s="42" t="str">
        <f>HYPERLINK("https://satoriz-comboire.bio/products/cofenuc?_pos=1&amp;_sid=a8a199e11&amp;_ss=r","41.82")</f>
        <v>41.82</v>
      </c>
      <c r="I74" t="s">
        <v>15</v>
      </c>
      <c r="J74" s="42" t="str">
        <f>HYPERLINK("https://www.greenweez.com/produit/fenugrec-poudre-bio-50g/1COOK0022","52.8")</f>
        <v>52.8</v>
      </c>
      <c r="K74" s="40" t="s">
        <v>700</v>
      </c>
    </row>
    <row r="75" spans="1:12" x14ac:dyDescent="0.3">
      <c r="A75" t="s">
        <v>139</v>
      </c>
      <c r="B75" s="37" t="str">
        <f>HYPERLINK("https://lafourche.fr/products/la-fourche-ras-el-hanout-bio-0-15kg","46.6")</f>
        <v>46.6</v>
      </c>
      <c r="C75" t="s">
        <v>15</v>
      </c>
      <c r="D75" s="42" t="str">
        <f>HYPERLINK("https://www.biocoop.fr/magasin-biocoop_champollion/ras-el-hanout-35g-ar0215-000.html","94.86")</f>
        <v>94.86</v>
      </c>
      <c r="E75" t="s">
        <v>15</v>
      </c>
      <c r="F75" s="42" t="str">
        <f>HYPERLINK("https://www.biocoop.fr/magasin-biocoop_fontaine/ras-el-hanout-35g-ar0215-000.html","102.86")</f>
        <v>102.86</v>
      </c>
      <c r="G75" t="s">
        <v>15</v>
      </c>
      <c r="H75" s="42" t="str">
        <f>HYPERLINK("https://satoriz-comboire.bio/products/corasec?_pos=3&amp;_sid=7032da4b7&amp;_ss=r","88.57")</f>
        <v>88.57</v>
      </c>
      <c r="I75" t="s">
        <v>15</v>
      </c>
      <c r="J75" s="42" t="str">
        <f>HYPERLINK("https://www.greenweez.com/produit/melange-ras-el-hanout-bio-35g/1COOK0072","98.57")</f>
        <v>98.57</v>
      </c>
      <c r="K75" t="s">
        <v>15</v>
      </c>
    </row>
    <row r="76" spans="1:12" x14ac:dyDescent="0.3">
      <c r="A76" t="s">
        <v>142</v>
      </c>
      <c r="B76" s="42" t="str">
        <f>HYPERLINK("https://lafourche.fr/products/la-fourche-herbes-de-provence-bio-0-2kg","47.5")</f>
        <v>47.5</v>
      </c>
      <c r="C76" t="s">
        <v>15</v>
      </c>
      <c r="D76" s="42" t="str">
        <f>HYPERLINK("https://www.biocoop.fr/magasin-biocoop_champollion/herbes-de-provence-50g-ar0035-000.html","66.0")</f>
        <v>66.0</v>
      </c>
      <c r="E76" t="s">
        <v>15</v>
      </c>
      <c r="F76" s="37" t="str">
        <f>HYPERLINK("https://www.biocoop.fr/magasin-biocoop_fontaine/herbes-de-provence-sans-marjolaine-bio-ck2106-000.html","34.0")</f>
        <v>34.0</v>
      </c>
      <c r="G76" t="s">
        <v>15</v>
      </c>
      <c r="H76" s="45" t="str">
        <f>HYPERLINK("https://satoriz-comboire.bio/products/coherpmafr","112.50")</f>
        <v>112.50</v>
      </c>
      <c r="I76" s="39" t="s">
        <v>99</v>
      </c>
      <c r="J76" s="42" t="str">
        <f>HYPERLINK("https://www.greenweez.com/produit/herbes-de-provence-60g/2BIOD0053","65.17")</f>
        <v>65.17</v>
      </c>
      <c r="K76" t="s">
        <v>15</v>
      </c>
      <c r="L76">
        <v>0.02</v>
      </c>
    </row>
    <row r="77" spans="1:12" x14ac:dyDescent="0.3">
      <c r="A77" t="s">
        <v>144</v>
      </c>
      <c r="B77" s="37" t="str">
        <f>HYPERLINK("https://lafourche.fr/products/la-fourche-cumin-graines-bio-0-15kg","59")</f>
        <v>59</v>
      </c>
      <c r="C77" t="s">
        <v>15</v>
      </c>
      <c r="D77" s="42" t="str">
        <f>HYPERLINK("https://www.biocoop.fr/magasin-biocoop_champollion/cumin-graines-40g-ck0924-000.html","96.25")</f>
        <v>96.25</v>
      </c>
      <c r="E77" t="s">
        <v>15</v>
      </c>
      <c r="F77" s="42" t="str">
        <f>HYPERLINK("https://www.biocoop.fr/magasin-biocoop_fontaine/cumin-graines-40g-ck0924-000.html","95.0")</f>
        <v>95.0</v>
      </c>
      <c r="G77" t="s">
        <v>15</v>
      </c>
      <c r="H77" s="42" t="str">
        <f>HYPERLINK("https://satoriz-comboire.bio/products/cocum?_pos=1&amp;_sid=d9ea7a39f&amp;_ss=r","87.5")</f>
        <v>87.5</v>
      </c>
      <c r="I77" t="s">
        <v>15</v>
      </c>
      <c r="J77" s="42" t="str">
        <f>HYPERLINK("https://www.greenweez.com/produit/graines-de-cumin-eco-recharge-40g/1COOK0177","87.0")</f>
        <v>87.0</v>
      </c>
      <c r="K77" s="40" t="s">
        <v>701</v>
      </c>
    </row>
    <row r="78" spans="1:12" x14ac:dyDescent="0.3">
      <c r="A78" t="s">
        <v>149</v>
      </c>
      <c r="B78" s="42" t="str">
        <f>HYPERLINK("https://lafourche.fr/products/la-fourche-cumin-moulu-bio-0-15kg","58.6")</f>
        <v>58.6</v>
      </c>
      <c r="C78" t="s">
        <v>15</v>
      </c>
      <c r="D78" s="42" t="str">
        <f>HYPERLINK("https://www.biocoop.fr/magasin-biocoop_champollion/cumin-moulu-80g-ck2038-000.html","87.38")</f>
        <v>87.38</v>
      </c>
      <c r="E78" t="s">
        <v>15</v>
      </c>
      <c r="F78" s="37" t="str">
        <f>HYPERLINK("https://www.biocoop.fr/magasin-biocoop_fontaine/graines-de-cumin-en-poudre-bio-ck2050-000.html","29.9")</f>
        <v>29.9</v>
      </c>
      <c r="G78" t="s">
        <v>15</v>
      </c>
      <c r="H78" s="42" t="str">
        <f>HYPERLINK("https://satoriz-comboire.bio/collections/epicerie-salee/products/cocumigrpr","80.0")</f>
        <v>80.0</v>
      </c>
      <c r="I78" t="s">
        <v>15</v>
      </c>
      <c r="J78" s="42" t="str">
        <f>HYPERLINK("https://www.greenweez.com/produit/cumin-poudre-bio-80g/1COOK0138","888888")</f>
        <v>888888</v>
      </c>
      <c r="K78" s="39" t="s">
        <v>99</v>
      </c>
    </row>
    <row r="79" spans="1:12" x14ac:dyDescent="0.3">
      <c r="A79" t="s">
        <v>154</v>
      </c>
      <c r="B79" s="37" t="str">
        <f>HYPERLINK("https://lafourche.fr/products/biodyssee-noix-de-muscade-moulue-bio-0-05kg","64.8")</f>
        <v>64.8</v>
      </c>
      <c r="C79" t="s">
        <v>15</v>
      </c>
      <c r="D79" s="42" t="str">
        <f>HYPERLINK("https://www.biocoop.fr/magasin-biocoop_champollion/muscade-moulue-35g-ck0926-000.html","142.57")</f>
        <v>142.57</v>
      </c>
      <c r="E79" t="s">
        <v>15</v>
      </c>
      <c r="F79" s="42" t="str">
        <f>HYPERLINK("https://www.biocoop.fr/magasin-biocoop_fontaine/muscade-moulue-35g-ck0926-000.html","142.57")</f>
        <v>142.57</v>
      </c>
      <c r="G79" t="s">
        <v>15</v>
      </c>
      <c r="H79" s="42" t="str">
        <f>HYPERLINK("https://satoriz-comboire.bio/products/comusmou?_pos=1&amp;_sid=e5cb2307e&amp;_ss=r","120.0")</f>
        <v>120.0</v>
      </c>
      <c r="I79" t="s">
        <v>15</v>
      </c>
      <c r="J79" s="42" t="str">
        <f>HYPERLINK("https://www.greenweez.com/produit/noix-de-muscade-moulue-50g/2BIOD0044","79.0")</f>
        <v>79.0</v>
      </c>
      <c r="K79" s="38" t="s">
        <v>807</v>
      </c>
      <c r="L79">
        <v>0.02</v>
      </c>
    </row>
    <row r="80" spans="1:12" x14ac:dyDescent="0.3">
      <c r="A80" t="s">
        <v>158</v>
      </c>
      <c r="B80" s="37" t="str">
        <f>HYPERLINK("https://lafourche.fr/products/cook-colombo-poudre-35g","56.86")</f>
        <v>56.86</v>
      </c>
      <c r="C80" s="38" t="s">
        <v>808</v>
      </c>
      <c r="D80" s="42" t="str">
        <f>HYPERLINK("https://www.biocoop.fr/magasin-biocoop_champollion/melange-epices-colombo-35g-ck0947-000.html","67.14")</f>
        <v>67.14</v>
      </c>
      <c r="E80" t="s">
        <v>15</v>
      </c>
      <c r="F80" s="42" t="str">
        <f>HYPERLINK("https://www.biocoop.fr/magasin-biocoop_fontaine/melange-epices-colombo-35g-ck0947-000.html","888888")</f>
        <v>888888</v>
      </c>
      <c r="G80" s="39" t="s">
        <v>99</v>
      </c>
      <c r="H80" s="42" t="str">
        <f>HYPERLINK("https://satoriz-comboire.bio/products/coloc?_pos=7&amp;_sid=0aacfc20c&amp;_ss=r","62.86")</f>
        <v>62.86</v>
      </c>
      <c r="I80" t="s">
        <v>15</v>
      </c>
      <c r="J80" s="42" t="str">
        <f>HYPERLINK("https://www.greenweez.com/produit/colombo-bio-50g/1LACA0042","888888")</f>
        <v>888888</v>
      </c>
      <c r="K80" s="39" t="s">
        <v>99</v>
      </c>
    </row>
    <row r="81" spans="1:11" x14ac:dyDescent="0.3">
      <c r="A81" t="s">
        <v>160</v>
      </c>
      <c r="B81" s="37" t="str">
        <f>HYPERLINK("https://lafourche.fr/products/cook-piment-doux-40g","64.75")</f>
        <v>64.75</v>
      </c>
      <c r="C81" s="38" t="s">
        <v>809</v>
      </c>
      <c r="D81" s="42" t="str">
        <f>HYPERLINK("https://www.biocoop.fr/magasin-biocoop_champollion/piment-doux-d-espagne-40g-ck0940-000.html","81.25")</f>
        <v>81.25</v>
      </c>
      <c r="E81" t="s">
        <v>15</v>
      </c>
      <c r="F81" s="42" t="str">
        <f>HYPERLINK("https://www.biocoop.fr/magasin-biocoop_fontaine/piment-doux-d-espagne-40g-ck0940-000.html","81.25")</f>
        <v>81.25</v>
      </c>
      <c r="G81" t="s">
        <v>15</v>
      </c>
      <c r="H81" s="42" t="str">
        <f>HYPERLINK("https://satoriz-comboire.bio/products/copimdou?_pos=2&amp;_sid=da3bb6d2d&amp;_ss=r","72.5")</f>
        <v>72.5</v>
      </c>
      <c r="I81" t="s">
        <v>15</v>
      </c>
      <c r="J81" s="42" t="str">
        <f>HYPERLINK("https://www.greenweez.com/produit/piment-doux-despagne-bio-40g/1COOK0038","81.0")</f>
        <v>81.0</v>
      </c>
      <c r="K81" t="s">
        <v>15</v>
      </c>
    </row>
    <row r="82" spans="1:11" x14ac:dyDescent="0.3">
      <c r="A82" t="s">
        <v>163</v>
      </c>
      <c r="B82" s="37" t="str">
        <f>HYPERLINK("https://lafourche.fr/products/cook-melange-pour-chili-35g","79.71")</f>
        <v>79.71</v>
      </c>
      <c r="C82" t="s">
        <v>15</v>
      </c>
      <c r="D82" s="42" t="str">
        <f>HYPERLINK("https://www.biocoop.fr/magasin-biocoop_champollion/melange-epices-du-chili-35g-ck2014-000.html","100.0")</f>
        <v>100.0</v>
      </c>
      <c r="E82" t="s">
        <v>15</v>
      </c>
      <c r="F82" s="42" t="str">
        <f>HYPERLINK("https://www.biocoop.fr/magasin-biocoop_fontaine/melange-epices-du-chili-35g-ck2014-000.html","888888")</f>
        <v>888888</v>
      </c>
      <c r="G82" s="39" t="s">
        <v>99</v>
      </c>
      <c r="H82" s="42" t="str">
        <f>HYPERLINK("https://satoriz-comboire.bio/products/cochilc?_pos=1&amp;_sid=6e691e7ce&amp;_ss=r","88.57")</f>
        <v>88.57</v>
      </c>
      <c r="I82" t="s">
        <v>15</v>
      </c>
      <c r="J82" s="42" t="str">
        <f>HYPERLINK("https://www.greenweez.com/produit/melange-bio-chili-35g/1COOK0075","101.71")</f>
        <v>101.71</v>
      </c>
      <c r="K82" s="40" t="s">
        <v>702</v>
      </c>
    </row>
    <row r="83" spans="1:11" x14ac:dyDescent="0.3">
      <c r="A83" t="s">
        <v>168</v>
      </c>
      <c r="B83" s="37" t="str">
        <f>HYPERLINK("https://lafourche.fr/products/garam-masala","84.57")</f>
        <v>84.57</v>
      </c>
      <c r="C83" t="s">
        <v>15</v>
      </c>
      <c r="D83" s="42" t="str">
        <f>HYPERLINK("https://www.biocoop.fr/magasin-biocoop_champollion/garam-masala-35g-ck2059-000.html","110.0")</f>
        <v>110.0</v>
      </c>
      <c r="E83" t="s">
        <v>15</v>
      </c>
      <c r="F83" s="42" t="str">
        <f>HYPERLINK("https://www.biocoop.fr/magasin-biocoop_fontaine/garam-masala-35g-ck2059-000.html","110.0")</f>
        <v>110.0</v>
      </c>
      <c r="G83" t="s">
        <v>15</v>
      </c>
      <c r="H83" s="42" t="str">
        <f>HYPERLINK("https://satoriz-comboire.bio/products/map2garp?_pos=1&amp;_sid=a1f143f38&amp;_ss=r","94.29")</f>
        <v>94.29</v>
      </c>
      <c r="I83" t="s">
        <v>15</v>
      </c>
      <c r="J83" s="42" t="str">
        <f>HYPERLINK("https://www.greenweez.com/produit/melange-garam-masala-bio-35g/1COOK0071","110.86")</f>
        <v>110.86</v>
      </c>
      <c r="K83" t="s">
        <v>15</v>
      </c>
    </row>
    <row r="84" spans="1:11" x14ac:dyDescent="0.3">
      <c r="A84" t="s">
        <v>170</v>
      </c>
      <c r="B84" s="37" t="str">
        <f>HYPERLINK("https://lafourche.fr/products/la-fourche-origan-bio-0-15kg","84.67")</f>
        <v>84.67</v>
      </c>
      <c r="C84" t="s">
        <v>15</v>
      </c>
      <c r="D84" s="42" t="str">
        <f>HYPERLINK("https://www.biocoop.fr/magasin-biocoop_champollion/feuille-coupees-d-origan-13g-ck1216-000.html","160.0")</f>
        <v>160.0</v>
      </c>
      <c r="E84" t="s">
        <v>15</v>
      </c>
      <c r="F84" s="42" t="str">
        <f>HYPERLINK("https://www.biocoop.fr/magasin-biocoop_fontaine/feuille-coupees-d-origan-13g-ck1216-000.html","170.0")</f>
        <v>170.0</v>
      </c>
      <c r="G84" t="s">
        <v>15</v>
      </c>
      <c r="H84" s="42" t="str">
        <f>HYPERLINK("https://satoriz-comboire.bio/collections/epicerie-salee/products/coorigfeer","119.23")</f>
        <v>119.23</v>
      </c>
      <c r="I84" t="s">
        <v>15</v>
      </c>
      <c r="J84" s="42" t="str">
        <f>HYPERLINK("https://www.greenweez.com/produit/origan-12g/2BIOD0050","115.0")</f>
        <v>115.0</v>
      </c>
      <c r="K84" t="s">
        <v>15</v>
      </c>
    </row>
    <row r="85" spans="1:11" x14ac:dyDescent="0.3">
      <c r="A85" t="s">
        <v>173</v>
      </c>
      <c r="B85" s="45" t="str">
        <f>HYPERLINK("https://lafourche.fr/products/cook-thym-feuilles-bio-45g","888888")</f>
        <v>888888</v>
      </c>
      <c r="C85" s="39" t="s">
        <v>99</v>
      </c>
      <c r="D85" s="42" t="str">
        <f>HYPERLINK("https://www.biocoop.fr/magasin-biocoop_champollion/feuilles-de-thym-15g-ck1239-000.html","180.0")</f>
        <v>180.0</v>
      </c>
      <c r="E85" t="s">
        <v>15</v>
      </c>
      <c r="F85" s="42" t="str">
        <f>HYPERLINK("https://www.biocoop.fr/magasin-biocoop_fontaine/feuilles-de-thym-15g-ck1239-000.html","183.33")</f>
        <v>183.33</v>
      </c>
      <c r="G85" t="s">
        <v>15</v>
      </c>
      <c r="H85" s="37" t="str">
        <f>HYPERLINK("https://satoriz-comboire.bio/products/cothym?_pos=1&amp;_psq=thym%20feuille&amp;_ss=e&amp;_v=1.0","68.0")</f>
        <v>68.0</v>
      </c>
      <c r="I85" t="s">
        <v>15</v>
      </c>
      <c r="J85" s="42" t="str">
        <f>HYPERLINK("https://www.greenweez.com/produit/thym-feuilles-bio-45-g/1COOK0085","111.11")</f>
        <v>111.11</v>
      </c>
      <c r="K85" t="s">
        <v>15</v>
      </c>
    </row>
    <row r="86" spans="1:11" x14ac:dyDescent="0.3">
      <c r="A86" t="s">
        <v>177</v>
      </c>
      <c r="B86" s="42" t="str">
        <f>HYPERLINK("https://lafourche.fr/products/cook-moutarde-jaune-graines-60g","34.17")</f>
        <v>34.17</v>
      </c>
      <c r="C86" s="38" t="s">
        <v>810</v>
      </c>
      <c r="D86" s="37" t="str">
        <f>HYPERLINK("https://www.biocoop.fr/magasin-biocoop_champollion/epicerie-salee/condiments-sauces-aides-culinaires/epices-poivres.html?product_list_order=price_ref_asc","19.7")</f>
        <v>19.7</v>
      </c>
      <c r="E86" t="s">
        <v>15</v>
      </c>
      <c r="F86" s="42" t="str">
        <f>HYPERLINK("https://www.biocoop.fr/magasin-biocoop_fontaine/moutarde-jaune-graines-60g-ck0928-000.html","42.5")</f>
        <v>42.5</v>
      </c>
      <c r="G86" s="40" t="s">
        <v>704</v>
      </c>
      <c r="H86" s="42" t="str">
        <f>HYPERLINK("https://satoriz-comboire.bio/products/comoutc?_pos=1&amp;_psq=moutarde%20jaune&amp;_ss=e&amp;_v=1.0","38.33")</f>
        <v>38.33</v>
      </c>
      <c r="I86" t="s">
        <v>15</v>
      </c>
      <c r="J86" s="42" t="str">
        <f>HYPERLINK("https://www.greenweez.com/produit/moutarde-jaune-graine-bio-55g/1LACA0026","888888")</f>
        <v>888888</v>
      </c>
      <c r="K86" s="39" t="s">
        <v>99</v>
      </c>
    </row>
    <row r="87" spans="1:11" x14ac:dyDescent="0.3">
      <c r="A87" t="s">
        <v>179</v>
      </c>
      <c r="B87" s="37" t="str">
        <f>HYPERLINK("https://lafourche.fr/products/cook-nigelle-graines-50g","59")</f>
        <v>59</v>
      </c>
      <c r="C87" s="38" t="s">
        <v>106</v>
      </c>
      <c r="D87" s="42" t="str">
        <f>HYPERLINK("https://www.biocoop.fr/magasin-biocoop_champollion/nigelle-graines-50g-ck2033-000.html","73.0")</f>
        <v>73.0</v>
      </c>
      <c r="E87" t="s">
        <v>15</v>
      </c>
      <c r="F87" s="42" t="str">
        <f>HYPERLINK("https://www.biocoop.fr/magasin-biocoop_fontaine/nigelle-graines-50g-ck2033-000.html","74.0")</f>
        <v>74.0</v>
      </c>
      <c r="G87" t="s">
        <v>15</v>
      </c>
      <c r="H87" s="42" t="str">
        <f>HYPERLINK("https://satoriz-comboire.bio/products/conig?_pos=2&amp;_sid=d9ea7a39f&amp;_ss=r","68.0")</f>
        <v>68.0</v>
      </c>
      <c r="I87" t="s">
        <v>15</v>
      </c>
      <c r="J87" s="42" t="str">
        <f>HYPERLINK("https://www.greenweez.com/produit/nigelle-graines-bio-50g/1COOK0120","75.8")</f>
        <v>75.8</v>
      </c>
      <c r="K87" t="s">
        <v>15</v>
      </c>
    </row>
    <row r="88" spans="1:11" x14ac:dyDescent="0.3">
      <c r="A88" t="s">
        <v>183</v>
      </c>
      <c r="B88" s="37" t="str">
        <f>HYPERLINK("https://lafourche.fr/products/cook-curry-madras-35g","71.43")</f>
        <v>71.43</v>
      </c>
      <c r="C88" t="s">
        <v>15</v>
      </c>
      <c r="D88" s="42" t="str">
        <f>HYPERLINK("https://www.biocoop.fr/magasin-biocoop_champollion/curry-madras-35g-ck2053-000.html","90.0")</f>
        <v>90.0</v>
      </c>
      <c r="E88" t="s">
        <v>15</v>
      </c>
      <c r="F88" s="42" t="str">
        <f>HYPERLINK("https://www.biocoop.fr/magasin-biocoop_fontaine/curry-madras-35g-ck2053-000.html","888888")</f>
        <v>888888</v>
      </c>
      <c r="G88" s="39" t="s">
        <v>99</v>
      </c>
      <c r="H88" s="42" t="str">
        <f>HYPERLINK("https://satoriz-comboire.bio/products/cocumac?_pos=2&amp;_sid=f282e7faa&amp;_ss=r","78.57")</f>
        <v>78.57</v>
      </c>
      <c r="I88" t="s">
        <v>15</v>
      </c>
      <c r="J88" s="42" t="str">
        <f>HYPERLINK("https://www.greenweez.com/produit/curry-de-madras-poudre-bio-35g/1COOK0128","90.0")</f>
        <v>90.0</v>
      </c>
      <c r="K88" s="40" t="s">
        <v>705</v>
      </c>
    </row>
    <row r="89" spans="1:11" x14ac:dyDescent="0.3">
      <c r="A89" t="s">
        <v>188</v>
      </c>
      <c r="B89" s="37" t="str">
        <f>HYPERLINK("https://lafourche.fr/products/cook-melange-4-epices-bio-35g","87.14")</f>
        <v>87.14</v>
      </c>
      <c r="C89" t="s">
        <v>15</v>
      </c>
      <c r="D89" s="42" t="str">
        <f>HYPERLINK("https://www.biocoop.fr/magasin-biocoop_champollion/melange-4-epices-35g-ck1237-000.html","100.0")</f>
        <v>100.0</v>
      </c>
      <c r="E89" t="s">
        <v>15</v>
      </c>
      <c r="F89" s="42" t="str">
        <f>HYPERLINK("https://www.biocoop.fr/magasin-biocoop_fontaine/melange-4-epices-35g-ck1237-000.html","100.0")</f>
        <v>100.0</v>
      </c>
      <c r="G89" t="s">
        <v>15</v>
      </c>
      <c r="H89" s="42" t="str">
        <f>HYPERLINK("https://satoriz-comboire.bio/products/co4epi","888888")</f>
        <v>888888</v>
      </c>
      <c r="I89" s="39" t="s">
        <v>99</v>
      </c>
      <c r="J89" s="42" t="str">
        <f>HYPERLINK("https://www.greenweez.com/produit/quatre-epices-bio-50g/1LACA0043","888888")</f>
        <v>888888</v>
      </c>
      <c r="K89" s="39" t="s">
        <v>99</v>
      </c>
    </row>
    <row r="90" spans="1:11" x14ac:dyDescent="0.3">
      <c r="A90" t="s">
        <v>189</v>
      </c>
      <c r="B90" s="37" t="str">
        <f>HYPERLINK("https://lafourche.fr/products/cook-piment-cayenne-poudre-40g","111.25")</f>
        <v>111.25</v>
      </c>
      <c r="C90" t="s">
        <v>15</v>
      </c>
      <c r="D90" s="42" t="str">
        <f>HYPERLINK("https://www.biocoop.fr/magasin-biocoop_champollion/piment-de-cayenne-poudre-40g-ck0910-000.html","128.75")</f>
        <v>128.75</v>
      </c>
      <c r="E90" t="s">
        <v>15</v>
      </c>
      <c r="F90" s="42" t="str">
        <f>HYPERLINK("https://www.biocoop.fr/magasin-biocoop_fontaine/piment-de-cayenne-poudre-40g-ck0910-000.html","130.0")</f>
        <v>130.0</v>
      </c>
      <c r="G90" t="s">
        <v>15</v>
      </c>
      <c r="H90" s="42" t="str">
        <f>HYPERLINK("https://satoriz-comboire.bio/products/copimpc?_pos=1&amp;_psq=cook%20piment&amp;_ss=e&amp;_v=1.0","116.25")</f>
        <v>116.25</v>
      </c>
      <c r="I90" t="s">
        <v>15</v>
      </c>
      <c r="J90" s="42" t="str">
        <f>HYPERLINK("https://www.greenweez.com/produit/piment-de-cayenne-poudre-bio-40g/1COOK0040","132.25")</f>
        <v>132.25</v>
      </c>
      <c r="K90" s="40" t="s">
        <v>811</v>
      </c>
    </row>
    <row r="91" spans="1:11" x14ac:dyDescent="0.3">
      <c r="A91" t="s">
        <v>193</v>
      </c>
      <c r="B91" s="42" t="str">
        <f>HYPERLINK("https://lafourche.fr/products/cook-cardamome-moulue-35g","155.71")</f>
        <v>155.71</v>
      </c>
      <c r="C91" s="38" t="s">
        <v>812</v>
      </c>
      <c r="D91" s="42" t="str">
        <f>HYPERLINK("https://www.biocoop.fr/magasin-biocoop_champollion/cardamome-moulue-35g-ck0900-000.html","161.43")</f>
        <v>161.43</v>
      </c>
      <c r="E91" t="s">
        <v>15</v>
      </c>
      <c r="F91" s="42" t="str">
        <f>HYPERLINK("https://www.biocoop.fr/magasin-biocoop_fontaine/cardamome-moulue-35g-ck0900-000.html","160.0")</f>
        <v>160.0</v>
      </c>
      <c r="G91" t="s">
        <v>15</v>
      </c>
      <c r="H91" s="37" t="str">
        <f>HYPERLINK("https://satoriz-comboire.bio/products/cocard?_pos=4&amp;_sid=d84ba935d&amp;_ss=r","154.29")</f>
        <v>154.29</v>
      </c>
      <c r="I91" t="s">
        <v>15</v>
      </c>
      <c r="J91" s="42" t="str">
        <f>HYPERLINK("https://www.greenweez.com/produit/cardamome-poudre-bio-35g/1COOK0010","169.71")</f>
        <v>169.71</v>
      </c>
      <c r="K91" t="s">
        <v>15</v>
      </c>
    </row>
    <row r="92" spans="1:11" x14ac:dyDescent="0.3">
      <c r="A92" t="s">
        <v>196</v>
      </c>
      <c r="B92" s="42" t="str">
        <f>HYPERLINK("https://lafourche.fr/products/cook-safran-poudre-1g","10990")</f>
        <v>10990</v>
      </c>
      <c r="C92" s="40" t="s">
        <v>775</v>
      </c>
      <c r="D92" s="42" t="str">
        <f>HYPERLINK("https://www.biocoop.fr/magasin-biocoop_champollion/safran-stigmates-entiers-1g-ck0945-000.html","11350.0")</f>
        <v>11350.0</v>
      </c>
      <c r="E92" t="s">
        <v>15</v>
      </c>
      <c r="F92" s="42" t="str">
        <f>HYPERLINK("https://www.biocoop.fr/magasin-biocoop_fontaine/safran-stigmates-entiers-1g-ck0945-000.html","11850.0")</f>
        <v>11850.0</v>
      </c>
      <c r="G92" t="s">
        <v>15</v>
      </c>
      <c r="H92" s="37" t="str">
        <f>HYPERLINK("https://satoriz-comboire.bio/products/cosaf","10600.0")</f>
        <v>10600.0</v>
      </c>
      <c r="I92" s="40" t="s">
        <v>813</v>
      </c>
      <c r="J92" s="42" t="str">
        <f>HYPERLINK("https://www.greenweez.com/produit/safran-stigmates-bio-1g/1COOK0052","11980.0")</f>
        <v>11980.0</v>
      </c>
      <c r="K92" t="s">
        <v>15</v>
      </c>
    </row>
    <row r="93" spans="1:11" x14ac:dyDescent="0.3">
      <c r="A93" t="s">
        <v>201</v>
      </c>
      <c r="B93" s="42" t="str">
        <f>HYPERLINK("https://lafourche.fr/products/cook-ail-des-ours-coupe-16g","118.75")</f>
        <v>118.75</v>
      </c>
      <c r="C93" s="38" t="s">
        <v>814</v>
      </c>
      <c r="D93" s="42" t="str">
        <f>HYPERLINK("https://www.biocoop.fr/magasin-biocoop_champollion/ail-des-ours-feuille-coupes-16g-ck2032-000.html","168.75")</f>
        <v>168.75</v>
      </c>
      <c r="E93" t="s">
        <v>15</v>
      </c>
      <c r="F93" s="37" t="str">
        <f>HYPERLINK("https://www.biocoop.fr/magasin-biocoop_fontaine/ail-des-ours-en-poudre-ec2115-000.html","98.0")</f>
        <v>98.0</v>
      </c>
      <c r="G93" t="s">
        <v>15</v>
      </c>
      <c r="H93" s="45" t="str">
        <f>HYPERLINK("https://satoriz-comboire.bio/products/map4ao1f","205")</f>
        <v>205</v>
      </c>
      <c r="I93" s="39" t="s">
        <v>99</v>
      </c>
      <c r="J93" s="42" t="str">
        <f>HYPERLINK("https://www.greenweez.com/produit/ail-des-ours-feuille-coupes-bio-16g/1COOK0110","169.38")</f>
        <v>169.38</v>
      </c>
      <c r="K93" s="40" t="s">
        <v>706</v>
      </c>
    </row>
    <row r="94" spans="1:11" x14ac:dyDescent="0.3">
      <c r="A94" t="s">
        <v>205</v>
      </c>
      <c r="B94" s="42" t="str">
        <f>HYPERLINK("https://lafourche.fr/products/philia-levure-maltee-en-flocons-bio-0-15kg","35.67")</f>
        <v>35.67</v>
      </c>
      <c r="D94" s="42" t="str">
        <f>HYPERLINK("https://www.biocoop.fr/magasin-biocoop_champollion/flocons-de-levure-maltee-biologique-bio-ag2000-000.html","888888")</f>
        <v>888888</v>
      </c>
      <c r="F94" s="37" t="str">
        <f>HYPERLINK("https://www.biocoop.fr/magasin-biocoop_fontaine/flocons-de-levure-maltee-biologique-bio-ag2000-000.html","30.0")</f>
        <v>30.0</v>
      </c>
      <c r="H94" s="37" t="str">
        <f>HYPERLINK("https://satoriz-comboire.bio/products/re42572?_pos=1&amp;_sid=c597614d8&amp;_ss=r","30.0")</f>
        <v>30.0</v>
      </c>
      <c r="J94" s="42" t="str">
        <f>HYPERLINK("https://www.greenweez.com/produit/flocons-de-levure-maltee-150g/1RAPU0059","45.6")</f>
        <v>45.6</v>
      </c>
    </row>
    <row r="95" spans="1:11" x14ac:dyDescent="0.3">
      <c r="A95" t="s">
        <v>206</v>
      </c>
      <c r="B95" s="42" t="str">
        <f>HYPERLINK("https://lafourche.fr/products/celiane-fecule-de-pomme-de-terre-sans-gluten-500g","888888")</f>
        <v>888888</v>
      </c>
      <c r="C95" s="39" t="s">
        <v>99</v>
      </c>
      <c r="D95" s="42" t="str">
        <f>HYPERLINK("https://www.biocoop.fr/magasin-biocoop_champollion/fecule-de-pomme-de-terre-500g-al3026-000.html","8.84")</f>
        <v>8.84</v>
      </c>
      <c r="E95" t="s">
        <v>15</v>
      </c>
      <c r="F95" s="42" t="str">
        <f>HYPERLINK("https://www.biocoop.fr/magasin-biocoop_fontaine/fecule-de-pomme-de-terre-500g-al3026-000.html","8.8")</f>
        <v>8.8</v>
      </c>
      <c r="G95" t="s">
        <v>15</v>
      </c>
      <c r="H95" s="42" t="str">
        <f>HYPERLINK("https://satoriz-comboire.bio/products/ma5005?_pos=1&amp;_sid=7918f591f&amp;_ss=r","6.3")</f>
        <v>6.3</v>
      </c>
      <c r="I95" t="s">
        <v>15</v>
      </c>
      <c r="J95" s="37" t="str">
        <f>HYPERLINK("https://www.greenweez.com/produit/fecule-de-pomme-de-terre-500g-1/1MKAL0230","5.22")</f>
        <v>5.22</v>
      </c>
      <c r="K95" s="38" t="s">
        <v>729</v>
      </c>
    </row>
    <row r="96" spans="1:11" x14ac:dyDescent="0.3">
      <c r="A96" t="s">
        <v>207</v>
      </c>
      <c r="B96" s="42" t="str">
        <f>HYPERLINK("https://lafourche.fr/products/celnat-tapioca-250g","9.68")</f>
        <v>9.68</v>
      </c>
      <c r="C96" t="s">
        <v>15</v>
      </c>
      <c r="D96">
        <v>888888</v>
      </c>
      <c r="F96">
        <v>888888</v>
      </c>
      <c r="H96" s="37" t="str">
        <f>HYPERLINK("https://satoriz-comboire.bio/products/eu7671?_pos=3&amp;_sid=7918f591f&amp;_ss=r","9.4")</f>
        <v>9.4</v>
      </c>
      <c r="I96" t="s">
        <v>15</v>
      </c>
      <c r="J96" s="42" t="str">
        <f>HYPERLINK("https://www.greenweez.com/produit/fecule-de-tapioca-500g/1MAVI0037","9.8")</f>
        <v>9.8</v>
      </c>
      <c r="K96" t="s">
        <v>15</v>
      </c>
    </row>
    <row r="97" spans="1:12" x14ac:dyDescent="0.3">
      <c r="A97" t="s">
        <v>209</v>
      </c>
      <c r="B97" s="42" t="str">
        <f>HYPERLINK("https://lafourche.fr/products/joannusmolen-maizena-250g","11.96")</f>
        <v>11.96</v>
      </c>
      <c r="C97" t="s">
        <v>15</v>
      </c>
      <c r="D97" s="42" t="str">
        <f>HYPERLINK("https://www.biocoop.fr/magasin-biocoop_champollion/amidon-de-mais-250g-jm1111-000.html","888888")</f>
        <v>888888</v>
      </c>
      <c r="E97" s="39" t="s">
        <v>99</v>
      </c>
      <c r="F97" s="42" t="str">
        <f>HYPERLINK("https://www.biocoop.fr/magasin-biocoop_fontaine/amidon-de-mais-250g-jm1111-000.html","14.8")</f>
        <v>14.8</v>
      </c>
      <c r="G97" t="s">
        <v>15</v>
      </c>
      <c r="H97" s="42" t="str">
        <f>HYPERLINK("https://satoriz-comboire.bio/products/eu2350?_pos=2&amp;_sid=7918f591f&amp;_ss=r","13.4")</f>
        <v>13.4</v>
      </c>
      <c r="I97" t="s">
        <v>15</v>
      </c>
      <c r="J97" s="37" t="str">
        <f>HYPERLINK("https://www.greenweez.com/produit/amidon-de-mais-sans-gluten-bio-500g/2WEEZ0207","7.7")</f>
        <v>7.7</v>
      </c>
      <c r="K97" s="38" t="s">
        <v>690</v>
      </c>
    </row>
    <row r="98" spans="1:12" x14ac:dyDescent="0.3">
      <c r="A98" t="s">
        <v>213</v>
      </c>
      <c r="B98" s="37" t="str">
        <f>HYPERLINK("https://lafourche.fr/products/la-fourche-tomates-sechees-a-lhuile-bio-0-28kg","13.18")</f>
        <v>13.18</v>
      </c>
      <c r="C98" s="40" t="s">
        <v>815</v>
      </c>
      <c r="D98" s="42" t="str">
        <f>HYPERLINK("https://www.biocoop.fr/magasin-biocoop_champollion/tomates-sechees-a-l-huile-190g-oi5058-000.html","888888")</f>
        <v>888888</v>
      </c>
      <c r="E98" s="39" t="s">
        <v>99</v>
      </c>
      <c r="F98" s="42" t="str">
        <f>HYPERLINK("https://www.biocoop.fr/magasin-biocoop_fontaine/tomates-sechees-a-l-huile-190g-oi5058-000.html","21.0")</f>
        <v>21.0</v>
      </c>
      <c r="G98" t="s">
        <v>15</v>
      </c>
      <c r="H98" s="42" t="str">
        <f>HYPERLINK("https://satoriz-comboire.bio/products/igpose06?_pos=3&amp;_sid=2863f3a20&amp;_ss=r","15.53")</f>
        <v>15.53</v>
      </c>
      <c r="I98" t="s">
        <v>15</v>
      </c>
      <c r="J98" s="42" t="str">
        <f>HYPERLINK("https://www.greenweez.com/produit/tomates-sechees-a-lhuile-190g-3/1BIOO0004","25.79")</f>
        <v>25.79</v>
      </c>
      <c r="K98" t="s">
        <v>15</v>
      </c>
    </row>
    <row r="99" spans="1:12" x14ac:dyDescent="0.3">
      <c r="A99" t="s">
        <v>214</v>
      </c>
      <c r="B99" s="42" t="str">
        <f>HYPERLINK("https://lafourche.fr/products/la-fourche-poivrons-grilles-a-lhuile-bio-0-19kg","15.74")</f>
        <v>15.74</v>
      </c>
      <c r="C99" s="40" t="s">
        <v>816</v>
      </c>
      <c r="D99" s="42" t="str">
        <f>HYPERLINK("https://www.biocoop.fr/magasin-biocoop_champollion/poivrons-grilles-a-l-huile-190g-oi5057-000.html","888888")</f>
        <v>888888</v>
      </c>
      <c r="E99" s="39" t="s">
        <v>99</v>
      </c>
      <c r="F99" s="42" t="str">
        <f>HYPERLINK("https://www.biocoop.fr/magasin-biocoop_fontaine/poivrons-grilles-a-l-huile-190g-oi5057-000.html","16.58")</f>
        <v>16.58</v>
      </c>
      <c r="G99" s="38" t="s">
        <v>817</v>
      </c>
      <c r="H99" s="42" t="str">
        <f>HYPERLINK("https://satoriz-comboire.bio/products/ig23?_pos=1&amp;_sid=bd3227372&amp;_ss=r","14.21")</f>
        <v>14.21</v>
      </c>
      <c r="I99" t="s">
        <v>15</v>
      </c>
      <c r="J99" s="37" t="str">
        <f>HYPERLINK("https://www.greenweez.com/produit/poivrons-rouges-grilles-en-saumure-310g/1RAPU0184","9.65")</f>
        <v>9.65</v>
      </c>
      <c r="K99" t="s">
        <v>15</v>
      </c>
    </row>
    <row r="100" spans="1:12" x14ac:dyDescent="0.3">
      <c r="A100" t="s">
        <v>215</v>
      </c>
      <c r="B100" s="37" t="str">
        <f>HYPERLINK("https://lafourche.fr/products/la-fourche-artichauts-grilles-a-lhuile-bio-0-19kg","15.74")</f>
        <v>15.74</v>
      </c>
      <c r="C100" t="s">
        <v>15</v>
      </c>
      <c r="D100" s="42" t="str">
        <f>HYPERLINK("https://www.biocoop.fr/magasin-biocoop_champollion/artichaut-grille-a-l-huile-190g-oi5055-000.html","888888")</f>
        <v>888888</v>
      </c>
      <c r="E100" s="39" t="s">
        <v>99</v>
      </c>
      <c r="F100" s="42" t="str">
        <f>HYPERLINK("https://www.biocoop.fr/magasin-biocoop_fontaine/artichaut-grille-a-l-huile-190g-oi5055-000.html","23.42")</f>
        <v>23.42</v>
      </c>
      <c r="G100" t="s">
        <v>15</v>
      </c>
      <c r="H100" s="42" t="str">
        <f>HYPERLINK("https://satoriz-comboire.bio/products/iggrca03?_pos=1&amp;_sid=a6f336c8a&amp;_ss=r","18.95")</f>
        <v>18.95</v>
      </c>
      <c r="I100" t="s">
        <v>15</v>
      </c>
      <c r="J100" s="42" t="str">
        <f>HYPERLINK("https://www.greenweez.com/produit/artichauts-grilles-a-lhuile-190g/1BIOO0006","27.84")</f>
        <v>27.84</v>
      </c>
      <c r="K100" t="s">
        <v>15</v>
      </c>
    </row>
    <row r="101" spans="1:12" x14ac:dyDescent="0.3">
      <c r="A101" t="s">
        <v>216</v>
      </c>
      <c r="B101" s="42" t="str">
        <f>HYPERLINK("https://lafourche.fr/products/philia-olives-vertes-entiere-bio-0-35kg","12.37")</f>
        <v>12.37</v>
      </c>
      <c r="C101" s="38" t="s">
        <v>695</v>
      </c>
      <c r="D101" s="42" t="str">
        <f>HYPERLINK("https://www.biocoop.fr/magasin-biocoop_champollion/olive-verte-nature-500g-net-egoutte-pm0931-000.html","888888")</f>
        <v>888888</v>
      </c>
      <c r="E101" s="39" t="s">
        <v>99</v>
      </c>
      <c r="F101" s="42" t="str">
        <f>HYPERLINK("https://www.biocoop.fr/magasin-biocoop_fontaine/olive-verte-nature-500g-net-egoutte-pm0931-000.html","11.14")</f>
        <v>11.14</v>
      </c>
      <c r="G101" s="38" t="s">
        <v>707</v>
      </c>
      <c r="H101" s="45" t="str">
        <f>HYPERLINK("https://satoriz-comboire.bio/products/vi15862","17.75")</f>
        <v>17.75</v>
      </c>
      <c r="I101" s="39" t="s">
        <v>99</v>
      </c>
      <c r="J101" s="37" t="str">
        <f>HYPERLINK("https://www.greenweez.com/produit/olives-vertes-550g/1BIOO0015","11.04")</f>
        <v>11.04</v>
      </c>
      <c r="K101" t="s">
        <v>15</v>
      </c>
    </row>
    <row r="102" spans="1:12" x14ac:dyDescent="0.3">
      <c r="A102" t="s">
        <v>217</v>
      </c>
      <c r="B102" s="42" t="str">
        <f>HYPERLINK("https://lafourche.fr/products/philia-olives-noires-kalamata-entieres-bio-0-35kg","14")</f>
        <v>14</v>
      </c>
      <c r="C102" t="s">
        <v>15</v>
      </c>
      <c r="D102" s="42" t="str">
        <f>HYPERLINK("https://www.biocoop.fr/magasin-biocoop_champollion/olive-noire-nature-410g-net-egoutte-oi5062-000.html","11.95")</f>
        <v>11.95</v>
      </c>
      <c r="E102" t="s">
        <v>15</v>
      </c>
      <c r="F102" s="42" t="str">
        <f>HYPERLINK("https://www.biocoop.fr/magasin-biocoop_fontaine/olive-noire-nature-410g-net-egoutte-oi5062-000.html","12.07")</f>
        <v>12.07</v>
      </c>
      <c r="G102" s="40" t="s">
        <v>708</v>
      </c>
      <c r="H102" s="37" t="str">
        <f>HYPERLINK("https://satoriz-comboire.bio/products/re44555?_pos=1&amp;_sid=add1402fc&amp;_ss=r","10.7")</f>
        <v>10.7</v>
      </c>
      <c r="I102" t="s">
        <v>15</v>
      </c>
      <c r="J102" s="42" t="str">
        <f>HYPERLINK("https://www.greenweez.com/produit/olives-noires-au-naturel-500g/2EMIL0096","15.8")</f>
        <v>15.8</v>
      </c>
      <c r="K102" s="40" t="s">
        <v>709</v>
      </c>
      <c r="L102">
        <v>0.1</v>
      </c>
    </row>
    <row r="103" spans="1:12" x14ac:dyDescent="0.3">
      <c r="A103" t="s">
        <v>218</v>
      </c>
      <c r="B103" s="42" t="str">
        <f>HYPERLINK("https://lafourche.fr/products/nefeli-olives-vertes-denoyautees-bio-0-98kg","15.48")</f>
        <v>15.48</v>
      </c>
      <c r="C103" s="40" t="s">
        <v>818</v>
      </c>
      <c r="D103" s="42" t="str">
        <f>HYPERLINK("https://www.biocoop.fr/magasin-biocoop_champollion/olive-noire-denoyautee-370g-net-egoutte-oi5060-000.html","888888")</f>
        <v>888888</v>
      </c>
      <c r="E103" s="39" t="s">
        <v>99</v>
      </c>
      <c r="F103" s="42" t="str">
        <f>HYPERLINK("https://www.biocoop.fr/magasin-biocoop_fontaine/olive-noire-denoyautee-370g-net-egoutte-oi5060-000.html","16.49")</f>
        <v>16.49</v>
      </c>
      <c r="G103" s="40" t="s">
        <v>192</v>
      </c>
      <c r="H103" s="42" t="str">
        <f>HYPERLINK("https://satoriz-comboire.bio/products/igovsd01?_pos=1&amp;_sid=06b61fa87&amp;_ss=r","16.67")</f>
        <v>16.67</v>
      </c>
      <c r="I103" t="s">
        <v>15</v>
      </c>
      <c r="J103" s="37" t="str">
        <f>HYPERLINK("https://www.greenweez.com/produit/olives-vertes-denoyautees-au-naturel-bio-de-grece-160g/2WEEZ0541","7.76")</f>
        <v>7.76</v>
      </c>
      <c r="K103" s="38" t="s">
        <v>319</v>
      </c>
    </row>
    <row r="104" spans="1:12" x14ac:dyDescent="0.3">
      <c r="A104" t="s">
        <v>219</v>
      </c>
      <c r="B104" s="42" t="str">
        <f>HYPERLINK("https://lafourche.fr/products/nefeli-olives-kalamata-denoyautes-bio-0-97kg","17.22")</f>
        <v>17.22</v>
      </c>
      <c r="C104" t="s">
        <v>15</v>
      </c>
      <c r="D104" s="42" t="str">
        <f>HYPERLINK("https://www.biocoop.fr/magasin-biocoop_champollion/olive-verte-denoyautee-370g-net-egoutte-oi5066-000.html","888888")</f>
        <v>888888</v>
      </c>
      <c r="E104" s="39" t="s">
        <v>99</v>
      </c>
      <c r="F104" s="42" t="str">
        <f>HYPERLINK("https://www.biocoop.fr/magasin-biocoop_fontaine/olive-verte-denoyautee-370g-net-egoutte-oi5066-000.html","18.11")</f>
        <v>18.11</v>
      </c>
      <c r="G104" t="s">
        <v>15</v>
      </c>
      <c r="H104" s="42" t="str">
        <f>HYPERLINK("https://satoriz-comboire.bio/products/igondevo02?_pos=14&amp;_sid=add1402fc&amp;_ss=r","15.0")</f>
        <v>15.0</v>
      </c>
      <c r="I104" t="s">
        <v>15</v>
      </c>
      <c r="J104" s="37" t="str">
        <f>HYPERLINK("https://www.greenweez.com/produit/olives-noires-kalamata-denoyautees-bio-de-grece-160g/2WEEZ0540","8.03")</f>
        <v>8.03</v>
      </c>
      <c r="K104" s="38" t="s">
        <v>819</v>
      </c>
    </row>
    <row r="105" spans="1:12" x14ac:dyDescent="0.3">
      <c r="A105" t="s">
        <v>220</v>
      </c>
      <c r="B105" s="42" t="str">
        <f>HYPERLINK("https://lafourche.fr/products/la-fourche-cornichons-aigre-doux-bio-0-36kg","11.08")</f>
        <v>11.08</v>
      </c>
      <c r="C105" t="s">
        <v>15</v>
      </c>
      <c r="D105" s="42" t="str">
        <f>HYPERLINK("https://www.biocoop.fr/magasin-biocoop_champollion/cornichons-mi-fins-180g-net-egoutte-bs4006-000.html","19.17")</f>
        <v>19.17</v>
      </c>
      <c r="E105" s="40" t="s">
        <v>820</v>
      </c>
      <c r="F105" s="42" t="str">
        <f>HYPERLINK("https://www.biocoop.fr/magasin-biocoop_fontaine/cornichon-aigre-doux-aneth-360g-net-egoutte-ch0048-000.html","18.19")</f>
        <v>18.19</v>
      </c>
      <c r="G105" t="s">
        <v>15</v>
      </c>
      <c r="H105" s="42" t="str">
        <f>HYPERLINK("https://satoriz-comboire.bio/products/re22746?_pos=5&amp;_sid=847aca358&amp;_ss=r","13.75")</f>
        <v>13.75</v>
      </c>
      <c r="I105" t="s">
        <v>15</v>
      </c>
      <c r="J105" s="37" t="str">
        <f>HYPERLINK("https://www.greenweez.com/produit/cornichons-aigres-doux-bio-entiers-72cl/2WEEZ0494","5.49")</f>
        <v>5.49</v>
      </c>
      <c r="K105" s="38" t="s">
        <v>821</v>
      </c>
    </row>
    <row r="106" spans="1:12" x14ac:dyDescent="0.3">
      <c r="A106" t="s">
        <v>223</v>
      </c>
      <c r="B106" s="42" t="str">
        <f>HYPERLINK("https://lafourche.fr/products/philia-capres-bio-au-vinaigre-90g","24.44")</f>
        <v>24.44</v>
      </c>
      <c r="C106" t="s">
        <v>15</v>
      </c>
      <c r="D106" s="42" t="str">
        <f>HYPERLINK("https://www.biocoop.fr/magasin-biocoop_champollion/capres-huile-d-olive-oi5030-000.html","29.44")</f>
        <v>29.44</v>
      </c>
      <c r="E106" t="s">
        <v>15</v>
      </c>
      <c r="F106" s="42" t="str">
        <f>HYPERLINK("https://www.biocoop.fr/magasin-biocoop_fontaine/capres-au-vinaigre-90g-net-egoutte-oi5002-000.html","32.22")</f>
        <v>32.22</v>
      </c>
      <c r="G106" t="s">
        <v>15</v>
      </c>
      <c r="H106" s="42" t="str">
        <f>HYPERLINK("https://satoriz-comboire.bio/products/igcaac06?_pos=1&amp;_sid=f306db1db&amp;_ss=r","21.67")</f>
        <v>21.67</v>
      </c>
      <c r="I106" t="s">
        <v>15</v>
      </c>
      <c r="J106" s="37" t="str">
        <f>HYPERLINK("https://www.greenweez.com/produit/capres-surfines-a-lestragon-22-8cl/1BRAV0002","15.53")</f>
        <v>15.53</v>
      </c>
      <c r="K106" t="s">
        <v>15</v>
      </c>
    </row>
    <row r="107" spans="1:12" x14ac:dyDescent="0.3">
      <c r="A107" t="s">
        <v>225</v>
      </c>
      <c r="B107" s="37" t="str">
        <f>HYPERLINK("https://lafourche.fr/products/biodyssee-poivre-noir-moulu-bio-0-5kg","25.6")</f>
        <v>25.6</v>
      </c>
      <c r="C107" s="38" t="s">
        <v>822</v>
      </c>
      <c r="D107" s="42" t="str">
        <f>HYPERLINK("https://www.biocoop.fr/magasin-biocoop_champollion/poivre-noir-moulu-45g-ck1425-000.html","87.78")</f>
        <v>87.78</v>
      </c>
      <c r="E107" t="s">
        <v>15</v>
      </c>
      <c r="F107" s="42" t="str">
        <f>HYPERLINK("https://www.biocoop.fr/magasin-biocoop_fontaine/poivre-noir-poudre-bio-ck2103-000.html","36.35")</f>
        <v>36.35</v>
      </c>
      <c r="G107" t="s">
        <v>15</v>
      </c>
      <c r="H107" s="42" t="str">
        <f>HYPERLINK("https://satoriz-comboire.bio/products/coponpse","45.0")</f>
        <v>45.0</v>
      </c>
      <c r="I107" s="38" t="s">
        <v>823</v>
      </c>
      <c r="J107" s="42" t="str">
        <f>HYPERLINK("https://www.greenweez.com/produit/poivre-noir-moulu-220g/1COOK0090","888888")</f>
        <v>888888</v>
      </c>
      <c r="K107" s="39" t="s">
        <v>99</v>
      </c>
    </row>
    <row r="108" spans="1:12" x14ac:dyDescent="0.3">
      <c r="A108" t="s">
        <v>230</v>
      </c>
      <c r="B108" s="37" t="str">
        <f>HYPERLINK("https://lafourche.fr/products/la-fourche-poivre-noir-en-grains-bio-0-5kg","27.98")</f>
        <v>27.98</v>
      </c>
      <c r="C108" t="s">
        <v>15</v>
      </c>
      <c r="D108" s="42" t="str">
        <f>HYPERLINK("https://www.biocoop.fr/magasin-biocoop_champollion/poivre-noir-en-grains-200g-ck1402-000.html","61.25")</f>
        <v>61.25</v>
      </c>
      <c r="E108" t="s">
        <v>15</v>
      </c>
      <c r="F108" s="42" t="str">
        <f>HYPERLINK("https://www.biocoop.fr/magasin-biocoop_fontaine/poivre-noir-en-grains-200g-ck1402-000.html","56.25")</f>
        <v>56.25</v>
      </c>
      <c r="G108" t="s">
        <v>15</v>
      </c>
      <c r="H108" s="42" t="str">
        <f>HYPERLINK("https://satoriz-comboire.bio/products/copovngrec?_pos=4&amp;_sid=62a891f1e&amp;_ss=r","33.9")</f>
        <v>33.9</v>
      </c>
      <c r="I108" t="s">
        <v>15</v>
      </c>
      <c r="J108" s="42" t="str">
        <f>HYPERLINK("https://www.greenweez.com/produit/poivre-noir-entier-500g/2BIOD0103","31.0")</f>
        <v>31.0</v>
      </c>
      <c r="K108" t="s">
        <v>15</v>
      </c>
      <c r="L108">
        <v>0.02</v>
      </c>
    </row>
    <row r="109" spans="1:12" x14ac:dyDescent="0.3">
      <c r="A109" t="s">
        <v>233</v>
      </c>
      <c r="B109" s="42" t="str">
        <f>HYPERLINK("https://lafourche.fr/products/cook-poivre-blanc-en-grains-bio-0-05kg","106")</f>
        <v>106</v>
      </c>
      <c r="C109" s="40" t="s">
        <v>391</v>
      </c>
      <c r="D109" s="42" t="str">
        <f>HYPERLINK("https://www.biocoop.fr/magasin-biocoop_champollion/poivre-blanc-moulin-50g-sm0364-000.html","102.4")</f>
        <v>102.4</v>
      </c>
      <c r="E109" s="40" t="s">
        <v>245</v>
      </c>
      <c r="F109" s="42" t="str">
        <f>HYPERLINK("https://www.biocoop.fr/magasin-biocoop_fontaine/poivre-blanc-moulin-50g-sm0364-000.html","888888")</f>
        <v>888888</v>
      </c>
      <c r="G109" s="39" t="s">
        <v>99</v>
      </c>
      <c r="H109" s="42" t="str">
        <f>HYPERLINK("https://satoriz-comboire.bio/products/copobgc?_pos=1&amp;_sid=62a891f1e&amp;_ss=r","113.0")</f>
        <v>113.0</v>
      </c>
      <c r="I109" t="s">
        <v>15</v>
      </c>
      <c r="J109" s="37" t="str">
        <f>HYPERLINK("https://www.greenweez.com/produit/poivre-blanc-entier-moulin-rechargeable-50g/2BIOD0036","91.0")</f>
        <v>91.0</v>
      </c>
      <c r="K109" t="s">
        <v>15</v>
      </c>
    </row>
    <row r="110" spans="1:12" x14ac:dyDescent="0.3">
      <c r="A110" t="s">
        <v>237</v>
      </c>
      <c r="B110" s="42" t="str">
        <f>HYPERLINK("https://lafourche.fr/products/cook-melange-3-baies-bio-45g","102.22")</f>
        <v>102.22</v>
      </c>
      <c r="C110" s="38" t="s">
        <v>824</v>
      </c>
      <c r="D110" s="42" t="str">
        <f>HYPERLINK("https://www.biocoop.fr/magasin-biocoop_champollion/poivre-melange-3-baies-45g-ck1224-000.html","127.78")</f>
        <v>127.78</v>
      </c>
      <c r="E110" t="s">
        <v>15</v>
      </c>
      <c r="F110" s="42" t="str">
        <f>HYPERLINK("https://www.biocoop.fr/magasin-biocoop_fontaine/poivre-melange-3-baies-45g-ck1224-000.html","127.78")</f>
        <v>127.78</v>
      </c>
      <c r="G110" t="s">
        <v>15</v>
      </c>
      <c r="H110" s="42" t="str">
        <f>HYPERLINK("https://satoriz-comboire.bio/products/co3b?_pos=2&amp;_sid=7800f3f38&amp;_ss=r","106.67")</f>
        <v>106.67</v>
      </c>
      <c r="I110" t="s">
        <v>15</v>
      </c>
      <c r="J110" s="37" t="str">
        <f>HYPERLINK("https://www.greenweez.com/produit/melange-de-poivres-50g/1LEBE0023","68.0")</f>
        <v>68.0</v>
      </c>
      <c r="K110" t="s">
        <v>15</v>
      </c>
    </row>
    <row r="111" spans="1:12" x14ac:dyDescent="0.3">
      <c r="A111" t="s">
        <v>240</v>
      </c>
      <c r="B111" s="37" t="str">
        <f>HYPERLINK("https://lafourche.fr/products/cook-baies-de-genievre-bio-0-025kg","93.2")</f>
        <v>93.2</v>
      </c>
      <c r="C111" t="s">
        <v>15</v>
      </c>
      <c r="D111" s="42" t="str">
        <f>HYPERLINK("https://www.biocoop.fr/magasin-biocoop_champollion/baies-de-genievre-25g-ck1210-000.html","104.0")</f>
        <v>104.0</v>
      </c>
      <c r="E111" t="s">
        <v>15</v>
      </c>
      <c r="F111" s="42" t="str">
        <f>HYPERLINK("https://www.biocoop.fr/magasin-biocoop_fontaine/baies-de-genievre-25g-ck1210-000.html","110.0")</f>
        <v>110.0</v>
      </c>
      <c r="G111" t="s">
        <v>15</v>
      </c>
      <c r="H111" s="42" t="str">
        <f>HYPERLINK("https://satoriz-comboire.bio/products/cogen?_pos=1&amp;_sid=7910a3a2a&amp;_ss=r","102.0")</f>
        <v>102.0</v>
      </c>
      <c r="I111" t="s">
        <v>15</v>
      </c>
      <c r="J111" s="42" t="str">
        <f>HYPERLINK("https://www.greenweez.com/produit/genievre-baies-bio-50g/1LACA0017","888888")</f>
        <v>888888</v>
      </c>
      <c r="K111" s="39" t="s">
        <v>99</v>
      </c>
    </row>
    <row r="112" spans="1:12" x14ac:dyDescent="0.3">
      <c r="A112" t="s">
        <v>241</v>
      </c>
      <c r="B112" s="37" t="str">
        <f>HYPERLINK("https://lafourche.fr/products/danival-sel-gros-atlantique-1kg","1.49")</f>
        <v>1.49</v>
      </c>
      <c r="C112" t="s">
        <v>15</v>
      </c>
      <c r="D112" s="42" t="str">
        <f>HYPERLINK("https://www.biocoop.fr/magasin-biocoop_champollion/gros-sel-de-guerande-gu0133-000.html","2.7")</f>
        <v>2.7</v>
      </c>
      <c r="E112" t="s">
        <v>15</v>
      </c>
      <c r="F112" s="42" t="str">
        <f>HYPERLINK("https://www.biocoop.fr/magasin-biocoop_fontaine/gros-sel-de-guerande-gu0133-000.html","2.7")</f>
        <v>2.7</v>
      </c>
      <c r="G112" t="s">
        <v>15</v>
      </c>
      <c r="H112" s="42" t="str">
        <f>HYPERLINK("https://satoriz-comboire.bio/collections/epicerie-salee/products/da0052","1.55")</f>
        <v>1.55</v>
      </c>
      <c r="I112" t="s">
        <v>15</v>
      </c>
      <c r="J112" s="42" t="str">
        <f>HYPERLINK("https://www.greenweez.com/produit/sel-gros-de-latlantique-1kg/1DANI0333","1.81")</f>
        <v>1.81</v>
      </c>
      <c r="K112" s="40" t="s">
        <v>713</v>
      </c>
    </row>
    <row r="113" spans="1:12" x14ac:dyDescent="0.3">
      <c r="A113" t="s">
        <v>243</v>
      </c>
      <c r="B113" s="42" t="str">
        <f>HYPERLINK("https://lafourche.fr/products/danival-sel-fin-atlantique-1kg","1.86")</f>
        <v>1.86</v>
      </c>
      <c r="C113" s="40" t="s">
        <v>622</v>
      </c>
      <c r="D113" s="42" t="str">
        <f>HYPERLINK("https://www.biocoop.fr/magasin-biocoop_champollion/sel-fin-de-guerande-gu0105-000.html","5.0")</f>
        <v>5.0</v>
      </c>
      <c r="E113" t="s">
        <v>15</v>
      </c>
      <c r="F113" s="42" t="str">
        <f>HYPERLINK("https://www.biocoop.fr/magasin-biocoop_fontaine/sel-fin-de-guerande-gu0105-000.html","5.0")</f>
        <v>5.0</v>
      </c>
      <c r="G113" t="s">
        <v>15</v>
      </c>
      <c r="H113" s="37" t="str">
        <f>HYPERLINK("https://satoriz-comboire.bio/collections/epicerie-salee/products/da0021","1.85")</f>
        <v>1.85</v>
      </c>
      <c r="I113" t="s">
        <v>15</v>
      </c>
      <c r="J113" s="42" t="str">
        <f>HYPERLINK("https://www.greenweez.com/produit/sel-fin-de-guerande-500g/1LEGU0004","7.08")</f>
        <v>7.08</v>
      </c>
      <c r="K113" t="s">
        <v>15</v>
      </c>
    </row>
    <row r="114" spans="1:12" x14ac:dyDescent="0.3">
      <c r="A114" s="35" t="s">
        <v>246</v>
      </c>
      <c r="B114" s="36"/>
      <c r="C114" s="36"/>
      <c r="D114" s="36"/>
      <c r="E114" s="36"/>
      <c r="F114" s="36"/>
      <c r="G114" s="36"/>
      <c r="H114" s="36"/>
      <c r="I114" s="36"/>
      <c r="J114" s="36"/>
      <c r="K114" s="36"/>
    </row>
    <row r="115" spans="1:12" x14ac:dyDescent="0.3">
      <c r="A115" t="s">
        <v>247</v>
      </c>
      <c r="B115" s="37" t="str">
        <f>HYPERLINK("https://lafourche.fr/products/prosain-couscous-aux-7-legumes-bio-1kg","5.98")</f>
        <v>5.98</v>
      </c>
      <c r="C115" t="s">
        <v>15</v>
      </c>
      <c r="D115" s="42" t="str">
        <f>HYPERLINK("https://www.biocoop.fr/magasin-biocoop_champollion/couscous-7-legumes-pr5174-000.html","5.99")</f>
        <v>5.99</v>
      </c>
      <c r="E115" t="s">
        <v>15</v>
      </c>
      <c r="F115" s="42" t="str">
        <f>HYPERLINK("https://www.biocoop.fr/magasin-biocoop_fontaine/couscous-7-legumes-pr5174-000.html","5.99")</f>
        <v>5.99</v>
      </c>
      <c r="G115" t="s">
        <v>15</v>
      </c>
      <c r="H115" s="42" t="str">
        <f>HYPERLINK("https://satoriz-comboire.bio/products/fd000623?_pos=2&amp;_sid=7511bf09f&amp;_ss=r","7.15")</f>
        <v>7.15</v>
      </c>
      <c r="I115" t="s">
        <v>15</v>
      </c>
      <c r="J115" s="42" t="str">
        <f>HYPERLINK("https://www.greenweez.com/produit/couscous-aux-7-legumes-1kg/1PROS0058","6.58")</f>
        <v>6.58</v>
      </c>
      <c r="K115" s="38" t="s">
        <v>655</v>
      </c>
    </row>
    <row r="116" spans="1:12" x14ac:dyDescent="0.3">
      <c r="A116" t="s">
        <v>248</v>
      </c>
      <c r="B116" s="37" t="str">
        <f>HYPERLINK("https://lafourche.fr/products/la-fourche-petits-pois-bio-0-265kg","5.47")</f>
        <v>5.47</v>
      </c>
      <c r="C116" s="40" t="s">
        <v>825</v>
      </c>
      <c r="D116" s="42" t="str">
        <f>HYPERLINK("https://www.biocoop.fr/magasin-biocoop_champollion/petits-pois-extra-fins-sans-sel-240g-net-egoutte-pr5177-000.html","15.0")</f>
        <v>15.0</v>
      </c>
      <c r="E116" t="s">
        <v>15</v>
      </c>
      <c r="F116" s="42" t="str">
        <f>HYPERLINK("https://www.biocoop.fr/magasin-biocoop_fontaine/petits-pois-530g-net-egoutte-mg5035-000.html","7.17")</f>
        <v>7.17</v>
      </c>
      <c r="G116" t="s">
        <v>15</v>
      </c>
      <c r="H116" s="42" t="str">
        <f>HYPERLINK("https://satoriz-comboire.bio/products/re44454?_pos=6&amp;_sid=dd8a0af67&amp;_ss=r","6.25")</f>
        <v>6.25</v>
      </c>
      <c r="I116" t="s">
        <v>15</v>
      </c>
      <c r="J116" s="42" t="str">
        <f>HYPERLINK("https://www.greenweez.com/produit/petits-pois-a-letuvee-400g/1LUCE0019","6.58")</f>
        <v>6.58</v>
      </c>
      <c r="K116" t="s">
        <v>15</v>
      </c>
    </row>
    <row r="117" spans="1:12" x14ac:dyDescent="0.3">
      <c r="A117" t="s">
        <v>249</v>
      </c>
      <c r="B117" s="13" t="str">
        <f>HYPERLINK("https://lafourche.fr/products/la-fourche-mais-bio-0-285kg","4.88")</f>
        <v>4.88</v>
      </c>
      <c r="C117" s="39" t="s">
        <v>99</v>
      </c>
      <c r="D117" s="42" t="str">
        <f>HYPERLINK("https://www.biocoop.fr/magasin-biocoop_champollion/mais-doux-285g-net-egoutte-cf7000-000.html","6.32")</f>
        <v>6.32</v>
      </c>
      <c r="E117" t="s">
        <v>15</v>
      </c>
      <c r="F117" s="42" t="str">
        <f>HYPERLINK("https://www.biocoop.fr/magasin-biocoop_fontaine/mais-doux-285g-net-egoutte-cf7000-000.html","6.32")</f>
        <v>6.32</v>
      </c>
      <c r="G117" t="s">
        <v>15</v>
      </c>
      <c r="H117" s="42" t="str">
        <f>HYPERLINK("https://satoriz-comboire.bio/products/re44453?_pos=1&amp;_sid=648b2db9d&amp;_ss=r","5.96")</f>
        <v>5.96</v>
      </c>
      <c r="I117" t="s">
        <v>15</v>
      </c>
      <c r="J117" s="42" t="str">
        <f>HYPERLINK("https://www.greenweez.com/produit/lot-de-3-mais-bio-origine-france-300g/1PACK3606","5.02")</f>
        <v>5.02</v>
      </c>
      <c r="K117" s="38" t="s">
        <v>826</v>
      </c>
      <c r="L117">
        <v>0.5</v>
      </c>
    </row>
    <row r="118" spans="1:12" x14ac:dyDescent="0.3">
      <c r="A118" t="s">
        <v>250</v>
      </c>
      <c r="B118" s="45" t="str">
        <f>HYPERLINK("https://lafourche.fr/products/la-fourche-haricots-verts-bio-0-44kg","4.84")</f>
        <v>4.84</v>
      </c>
      <c r="C118" s="39" t="s">
        <v>99</v>
      </c>
      <c r="D118" s="42" t="str">
        <f>HYPERLINK("https://www.biocoop.fr/magasin-biocoop_champollion/haricots-verts-extra-fins-220g-net-egoutte-cf7001-000.html","10.91")</f>
        <v>10.91</v>
      </c>
      <c r="E118" t="s">
        <v>15</v>
      </c>
      <c r="F118" s="42" t="str">
        <f>HYPERLINK("https://www.biocoop.fr/magasin-biocoop_fontaine/haricots-verts-extra-fins-440g-net-egoutte-mg5033-000.html","8.87")</f>
        <v>8.87</v>
      </c>
      <c r="G118" t="s">
        <v>15</v>
      </c>
      <c r="H118" s="42" t="str">
        <f>HYPERLINK("https://satoriz-comboire.bio/products/re44456?_pos=4&amp;_sid=de1e57aee&amp;_ss=r","6.36")</f>
        <v>6.36</v>
      </c>
      <c r="I118" t="s">
        <v>15</v>
      </c>
      <c r="J118" s="37" t="str">
        <f>HYPERLINK("https://www.greenweez.com/produit/lot-de-2-haricots-verts-bio-origine-france-800g/1PACK3593","2.36")</f>
        <v>2.36</v>
      </c>
      <c r="K118" s="38" t="s">
        <v>827</v>
      </c>
    </row>
    <row r="119" spans="1:12" x14ac:dyDescent="0.3">
      <c r="A119" t="s">
        <v>251</v>
      </c>
      <c r="B119" s="42" t="str">
        <f>HYPERLINK("https://lafourche.fr/products/macedoine","11.09")</f>
        <v>11.09</v>
      </c>
      <c r="C119" t="s">
        <v>15</v>
      </c>
      <c r="D119" s="42" t="str">
        <f>HYPERLINK("https://www.biocoop.fr/magasin-biocoop_champollion/macedoine-de-legumes-445g-rc0863-000.html","8.43")</f>
        <v>8.43</v>
      </c>
      <c r="E119" t="s">
        <v>15</v>
      </c>
      <c r="F119" s="42" t="str">
        <f>HYPERLINK("https://www.biocoop.fr/magasin-biocoop_fontaine/macedoine-de-legumes-240g-net-egoutte-rc0864-000.html","12.46")</f>
        <v>12.46</v>
      </c>
      <c r="G119" t="s">
        <v>15</v>
      </c>
      <c r="H119" s="37" t="str">
        <f>HYPERLINK("https://satoriz-comboire.bio/products/ch720?_pos=1&amp;_psq=mac%C3%A9doine&amp;_ss=e&amp;_v=1.0","7.64")</f>
        <v>7.64</v>
      </c>
      <c r="I119" t="s">
        <v>15</v>
      </c>
      <c r="J119" s="42" t="str">
        <f>HYPERLINK("https://www.greenweez.com/produit/macedoine-de-legumes-370ml/1PRIM0832","8.94")</f>
        <v>8.94</v>
      </c>
      <c r="K119" t="s">
        <v>15</v>
      </c>
    </row>
    <row r="120" spans="1:12" x14ac:dyDescent="0.3">
      <c r="A120" s="35" t="s">
        <v>252</v>
      </c>
      <c r="B120" s="36"/>
      <c r="C120" s="36"/>
      <c r="D120" s="36"/>
      <c r="E120" s="36"/>
      <c r="F120" s="36"/>
      <c r="G120" s="36"/>
      <c r="H120" s="36"/>
      <c r="I120" s="36"/>
      <c r="J120" s="36"/>
      <c r="K120" s="36"/>
    </row>
    <row r="121" spans="1:12" x14ac:dyDescent="0.3">
      <c r="A121" t="s">
        <v>253</v>
      </c>
      <c r="B121" s="42" t="str">
        <f>HYPERLINK("https://lafourche.fr/products/la-fourche-huile-dolive-vierge-extra-origine-espagne-bio-3l","12.86")</f>
        <v>12.86</v>
      </c>
      <c r="C121" s="40" t="s">
        <v>828</v>
      </c>
      <c r="D121" s="37" t="str">
        <f>HYPERLINK("https://www.biocoop.fr/magasin-biocoop_champollion/huile-d-olive-vierge-extra-1l-mg1090-000.html","8.95")</f>
        <v>8.95</v>
      </c>
      <c r="E121" t="s">
        <v>15</v>
      </c>
      <c r="F121" s="42" t="str">
        <f>HYPERLINK("https://www.biocoop.fr/magasin-biocoop_fontaine/huile-d-olive-1l-co7008-000.html","10.99")</f>
        <v>10.99</v>
      </c>
      <c r="G121" t="s">
        <v>15</v>
      </c>
      <c r="H121" s="42" t="str">
        <f>HYPERLINK("https://satoriz-comboire.bio/collections/epicerie-salee/products/vo1","15.35")</f>
        <v>15.35</v>
      </c>
      <c r="I121" t="s">
        <v>15</v>
      </c>
      <c r="J121" s="42" t="str">
        <f>HYPERLINK("https://www.greenweez.com/produit/huile-dolive-vierge-extra-1l-1/1LUCE0020","15.96")</f>
        <v>15.96</v>
      </c>
      <c r="K121" t="s">
        <v>15</v>
      </c>
      <c r="L121">
        <v>0.5</v>
      </c>
    </row>
    <row r="122" spans="1:12" x14ac:dyDescent="0.3">
      <c r="A122" t="s">
        <v>257</v>
      </c>
      <c r="B122" s="37" t="str">
        <f>HYPERLINK("https://lafourche.fr/products/la-fourche-huile-de-tournesol-vierge-origine-france-bio-3l","3.6")</f>
        <v>3.6</v>
      </c>
      <c r="C122" s="40" t="s">
        <v>829</v>
      </c>
      <c r="D122" s="42" t="str">
        <f>HYPERLINK("https://www.biocoop.fr/magasin-biocoop_champollion/huile-de-tournesol-france-1l-mg1154-000.html","5.25")</f>
        <v>5.25</v>
      </c>
      <c r="E122" s="40" t="s">
        <v>715</v>
      </c>
      <c r="F122" s="42" t="str">
        <f>HYPERLINK("https://www.biocoop.fr/magasin-biocoop_fontaine/huile-de-tournesol-france-1l-mg1154-000.html","5.25")</f>
        <v>5.25</v>
      </c>
      <c r="G122" s="40" t="s">
        <v>716</v>
      </c>
      <c r="H122" s="42" t="str">
        <f>HYPERLINK("https://satoriz-comboire.bio/collections/epicerie-salee/products/re38671","3.8")</f>
        <v>3.8</v>
      </c>
      <c r="I122" t="s">
        <v>15</v>
      </c>
      <c r="J122" s="42" t="str">
        <f>HYPERLINK("https://www.greenweez.com/produit/huile-de-tournesol-vierge-3l/1OILI0003","6.68")</f>
        <v>6.68</v>
      </c>
      <c r="K122" s="40" t="s">
        <v>717</v>
      </c>
      <c r="L122">
        <v>0.5</v>
      </c>
    </row>
    <row r="123" spans="1:12" x14ac:dyDescent="0.3">
      <c r="A123" t="s">
        <v>262</v>
      </c>
      <c r="B123" s="45" t="str">
        <f>HYPERLINK("https://lafourche.fr/products/la-fourche-huile-de-colza-vierge-origine-france-bio-3l","3.86")</f>
        <v>3.86</v>
      </c>
      <c r="C123" s="39" t="s">
        <v>99</v>
      </c>
      <c r="D123" s="42" t="str">
        <f>HYPERLINK("https://www.biocoop.fr/magasin-biocoop_champollion/huile-colza-1l-co7002-000.html","7.05")</f>
        <v>7.05</v>
      </c>
      <c r="E123" t="s">
        <v>15</v>
      </c>
      <c r="F123" s="42" t="str">
        <f>HYPERLINK("https://www.biocoop.fr/magasin-biocoop_fontaine/huile-colza-1l-co7002-000.html","4.99")</f>
        <v>4.99</v>
      </c>
      <c r="G123" s="38" t="s">
        <v>830</v>
      </c>
      <c r="H123" s="42" t="str">
        <f>HYPERLINK("https://satoriz-comboire.bio/collections/epicerie-salee/products/re42186","5.65")</f>
        <v>5.65</v>
      </c>
      <c r="I123" t="s">
        <v>15</v>
      </c>
      <c r="J123" s="37" t="str">
        <f>HYPERLINK("https://www.greenweez.com/produit/huile-de-colza-vierge-bio-1l/2WEEZ0242","4.98")</f>
        <v>4.98</v>
      </c>
      <c r="K123" s="38" t="s">
        <v>718</v>
      </c>
    </row>
    <row r="124" spans="1:12" x14ac:dyDescent="0.3">
      <c r="A124" t="s">
        <v>265</v>
      </c>
      <c r="B124" s="37" t="str">
        <f>HYPERLINK("https://lafourche.fr/products/la-fourche-huile-de-coco-desodorisee-bio-et-equitable-1l","8.99")</f>
        <v>8.99</v>
      </c>
      <c r="C124" t="s">
        <v>15</v>
      </c>
      <c r="D124" s="42" t="str">
        <f>HYPERLINK("https://www.biocoop.fr/magasin-biocoop_champollion/huile-de-coco-desodorisee-950ml-mg1141-000.html","14.89")</f>
        <v>14.89</v>
      </c>
      <c r="E124" t="s">
        <v>15</v>
      </c>
      <c r="F124" s="42" t="str">
        <f>HYPERLINK("https://www.biocoop.fr/magasin-biocoop_fontaine/huile-de-coco-desodorisee-950ml-mg1141-000.html","12.89")</f>
        <v>12.89</v>
      </c>
      <c r="G124" t="s">
        <v>15</v>
      </c>
      <c r="H124" s="42" t="str">
        <f>HYPERLINK("https://satoriz-comboire.bio/collections/epicerie-salee/products/pr1424","888888")</f>
        <v>888888</v>
      </c>
      <c r="I124" s="39" t="s">
        <v>99</v>
      </c>
      <c r="J124" s="42" t="str">
        <f>HYPERLINK("https://www.greenweez.com/produit/huile-de-coco-du-sri-lanka-1l/1BASE0016","888888")</f>
        <v>888888</v>
      </c>
      <c r="K124" s="39" t="s">
        <v>99</v>
      </c>
    </row>
    <row r="125" spans="1:12" x14ac:dyDescent="0.3">
      <c r="A125" t="s">
        <v>268</v>
      </c>
      <c r="B125">
        <v>888888</v>
      </c>
      <c r="D125" s="42" t="str">
        <f>HYPERLINK("https://www.biocoop.fr/magasin-biocoop_champollion/vinaigrette-curcuma-gingembre-citron-36cl-bq0007-000.html","19.31")</f>
        <v>19.31</v>
      </c>
      <c r="F125" s="42" t="str">
        <f>HYPERLINK("https://www.biocoop.fr/magasin-biocoop_fontaine/vinaigrette-curcuma-gingembre-citron-36cl-bq0007-000.html","19.31")</f>
        <v>19.31</v>
      </c>
      <c r="H125" s="42" t="str">
        <f>HYPERLINK("https://satoriz-comboire.bio/products/re21497?_pos=1&amp;_sid=00ea134f4&amp;_ss=r","18.61")</f>
        <v>18.61</v>
      </c>
      <c r="J125" s="37" t="str">
        <f>HYPERLINK("https://www.greenweez.com/produit/vinaigrette-assaisonnette-la-tonique-36cl/3QUIN0011","18.47")</f>
        <v>18.47</v>
      </c>
    </row>
    <row r="126" spans="1:12" x14ac:dyDescent="0.3">
      <c r="A126" t="s">
        <v>269</v>
      </c>
      <c r="B126" s="37" t="str">
        <f>HYPERLINK("https://lafourche.fr/products/la-fourche-vinaigre-de-cidre-bio-1l","2.79")</f>
        <v>2.79</v>
      </c>
      <c r="C126" s="40" t="s">
        <v>242</v>
      </c>
      <c r="D126" s="42" t="str">
        <f>HYPERLINK("https://www.biocoop.fr/magasin-biocoop_champollion/vinaigre-de-cidre-75cl-cn0222-000.html","4.33")</f>
        <v>4.33</v>
      </c>
      <c r="E126" t="s">
        <v>15</v>
      </c>
      <c r="F126" s="42" t="str">
        <f>HYPERLINK("https://www.biocoop.fr/magasin-biocoop_fontaine/vinaigre-de-cidre-75cl-cn0222-000.html","4.33")</f>
        <v>4.33</v>
      </c>
      <c r="G126" t="s">
        <v>15</v>
      </c>
      <c r="H126" s="42" t="str">
        <f>HYPERLINK("https://satoriz-comboire.bio/collections/epicerie-salee/products/re38988","3.4")</f>
        <v>3.4</v>
      </c>
      <c r="I126" t="s">
        <v>15</v>
      </c>
      <c r="J126" s="42" t="str">
        <f>HYPERLINK("https://www.greenweez.com/produit/vinaigre-de-cidre-bio-75cl/2WEEZ0409","3.04")</f>
        <v>3.04</v>
      </c>
      <c r="K126" s="38" t="s">
        <v>831</v>
      </c>
      <c r="L126">
        <v>0.2</v>
      </c>
    </row>
    <row r="127" spans="1:12" x14ac:dyDescent="0.3">
      <c r="A127" t="s">
        <v>271</v>
      </c>
      <c r="B127" s="42" t="str">
        <f>HYPERLINK("https://lafourche.fr/products/la-fourche-vinaigre-balsamique-de-modene-bio-1l","6.39")</f>
        <v>6.39</v>
      </c>
      <c r="C127" s="40" t="s">
        <v>720</v>
      </c>
      <c r="D127" s="42" t="str">
        <f>HYPERLINK("https://www.biocoop.fr/magasin-biocoop_champollion/vinaigre-balsamique-de-modene-50cl-po2022-000.html","888888")</f>
        <v>888888</v>
      </c>
      <c r="E127" s="39" t="s">
        <v>99</v>
      </c>
      <c r="F127" s="42" t="str">
        <f>HYPERLINK("https://www.biocoop.fr/magasin-biocoop_fontaine/vinaigre-balsamique-de-modene-50cl-po2022-000.html","9.1")</f>
        <v>9.1</v>
      </c>
      <c r="G127" t="s">
        <v>15</v>
      </c>
      <c r="H127" s="42" t="str">
        <f>HYPERLINK("https://satoriz-comboire.bio/collections/epicerie-salee/products/re38990","7.27")</f>
        <v>7.27</v>
      </c>
      <c r="I127" t="s">
        <v>15</v>
      </c>
      <c r="J127" s="37" t="str">
        <f>HYPERLINK("https://www.greenweez.com/produit/vinaigre-balsamique-de-modene-bio-50cl/2WEEZ0408","6.26")</f>
        <v>6.26</v>
      </c>
      <c r="K127" s="38" t="s">
        <v>832</v>
      </c>
    </row>
    <row r="128" spans="1:12" x14ac:dyDescent="0.3">
      <c r="A128" t="s">
        <v>273</v>
      </c>
      <c r="B128" s="42" t="str">
        <f>HYPERLINK("https://lafourche.fr/products/laselva-vinaigre-balsamique-blanc-500ml-bio","9.98")</f>
        <v>9.98</v>
      </c>
      <c r="C128" s="40" t="s">
        <v>722</v>
      </c>
      <c r="D128">
        <v>888888</v>
      </c>
      <c r="F128">
        <v>888888</v>
      </c>
      <c r="H128" s="37" t="str">
        <f>HYPERLINK("https://satoriz-comboire.bio/collections/epicerie-salee/products/sd09327118331","6.6")</f>
        <v>6.6</v>
      </c>
      <c r="I128" t="s">
        <v>15</v>
      </c>
      <c r="J128" s="42" t="str">
        <f>HYPERLINK("https://www.greenweez.com/produit/vinaigre-balsamique-blanc-500ml/1SELV0040","12.6")</f>
        <v>12.6</v>
      </c>
      <c r="K128" s="40" t="s">
        <v>833</v>
      </c>
    </row>
    <row r="129" spans="1:12" x14ac:dyDescent="0.3">
      <c r="A129" s="35" t="s">
        <v>275</v>
      </c>
      <c r="B129" s="36"/>
      <c r="C129" s="36"/>
      <c r="D129" s="36"/>
      <c r="E129" s="36"/>
      <c r="F129" s="36"/>
      <c r="G129" s="36"/>
      <c r="H129" s="36"/>
      <c r="I129" s="36"/>
      <c r="J129" s="36"/>
      <c r="K129" s="36"/>
    </row>
    <row r="130" spans="1:12" x14ac:dyDescent="0.3">
      <c r="A130" t="s">
        <v>276</v>
      </c>
      <c r="B130" s="37" t="str">
        <f>HYPERLINK("https://lafourche.fr/products/la-fourche-petit-epeautre-bio-en-vrac-1kg","4.29")</f>
        <v>4.29</v>
      </c>
      <c r="C130" t="s">
        <v>15</v>
      </c>
      <c r="D130" s="42" t="str">
        <f>HYPERLINK("https://www.biocoop.fr/magasin-biocoop_champollion/petit-epeautre-decortique-500g-br0273-000.html","6.9")</f>
        <v>6.9</v>
      </c>
      <c r="E130" t="s">
        <v>15</v>
      </c>
      <c r="F130" s="42" t="str">
        <f>HYPERLINK("https://www.biocoop.fr/magasin-biocoop_fontaine/petit-epeautre-decortique-500g-br0273-000.html","888888")</f>
        <v>888888</v>
      </c>
      <c r="G130" s="39" t="s">
        <v>99</v>
      </c>
      <c r="H130" s="42" t="str">
        <f>HYPERLINK("https://satoriz-comboire.bio/collections/vrac/products/re42050","4.55")</f>
        <v>4.55</v>
      </c>
      <c r="I130" t="s">
        <v>15</v>
      </c>
      <c r="J130" s="42" t="str">
        <f>HYPERLINK("https://www.greenweez.com/produit/petit-epeautre-500g/1MKAL0113","6.06")</f>
        <v>6.06</v>
      </c>
      <c r="K130" s="40" t="s">
        <v>724</v>
      </c>
    </row>
    <row r="131" spans="1:12" x14ac:dyDescent="0.3">
      <c r="A131" t="s">
        <v>280</v>
      </c>
      <c r="B131" s="37" t="str">
        <f>HYPERLINK("https://lafourche.fr/products/la-fourche-graines-tournesol-bio-en-vrac-1kg","4.3")</f>
        <v>4.3</v>
      </c>
      <c r="C131" t="s">
        <v>15</v>
      </c>
      <c r="D131" s="42" t="str">
        <f>HYPERLINK("https://www.biocoop.fr/magasin-biocoop_champollion/sarrasin-decortique-bio-ra6027-000.html","5.99")</f>
        <v>5.99</v>
      </c>
      <c r="E131" t="s">
        <v>15</v>
      </c>
      <c r="F131" s="42" t="str">
        <f>HYPERLINK("https://www.biocoop.fr/magasin-biocoop_fontaine/sarrasin-decortique-bio-ra6027-000.html","6.99")</f>
        <v>6.99</v>
      </c>
      <c r="G131" t="s">
        <v>15</v>
      </c>
      <c r="H131" s="42" t="str">
        <f>HYPERLINK("https://satoriz-comboire.bio/collections/vrac/products/eco759","7.05")</f>
        <v>7.05</v>
      </c>
      <c r="I131" t="s">
        <v>15</v>
      </c>
      <c r="J131" s="42" t="str">
        <f>HYPERLINK("https://www.greenweez.com/produit/sarrasin-decortique-3kg/5GREE0100","5.33")</f>
        <v>5.33</v>
      </c>
      <c r="K131" t="s">
        <v>15</v>
      </c>
      <c r="L131">
        <v>0.5</v>
      </c>
    </row>
    <row r="132" spans="1:12" x14ac:dyDescent="0.3">
      <c r="A132" t="s">
        <v>282</v>
      </c>
      <c r="B132" s="37" t="str">
        <f>HYPERLINK("https://lafourche.fr/products/solid-food-1kg-de-quinoa-blanc-en-vrac-bio","6.3")</f>
        <v>6.3</v>
      </c>
      <c r="C132" t="s">
        <v>15</v>
      </c>
      <c r="D132" s="42" t="str">
        <f>HYPERLINK("https://www.biocoop.fr/magasin-biocoop_champollion/quinoa-france-bio-br0263-000.html","8.4")</f>
        <v>8.4</v>
      </c>
      <c r="E132" t="s">
        <v>15</v>
      </c>
      <c r="F132" s="42" t="str">
        <f>HYPERLINK("https://www.biocoop.fr/magasin-biocoop_fontaine/quinoa-france-bio-br0263-000.html","8.4")</f>
        <v>8.4</v>
      </c>
      <c r="G132" t="s">
        <v>15</v>
      </c>
      <c r="H132" s="42" t="str">
        <f>HYPERLINK("https://satoriz-comboire.bio/collections/vrac/products/bg1","8.8")</f>
        <v>8.8</v>
      </c>
      <c r="I132" t="s">
        <v>15</v>
      </c>
      <c r="J132" s="42" t="str">
        <f>HYPERLINK("https://www.greenweez.com/produit/quinoa-real-blanc-1kg/1MKAL0120","9.12")</f>
        <v>9.12</v>
      </c>
      <c r="K132" t="s">
        <v>15</v>
      </c>
      <c r="L132">
        <v>0.5</v>
      </c>
    </row>
    <row r="133" spans="1:12" x14ac:dyDescent="0.3">
      <c r="A133" t="s">
        <v>285</v>
      </c>
      <c r="B133" s="37" t="str">
        <f>HYPERLINK("https://lafourche.fr/products/la-fourche-quinoa-tricolore-bio-en-vrac-1kg","6.95")</f>
        <v>6.95</v>
      </c>
      <c r="C133" t="s">
        <v>15</v>
      </c>
      <c r="D133" s="42" t="str">
        <f>HYPERLINK("https://www.biocoop.fr/magasin-biocoop_champollion/quinoa-real-bolivie-3-couleurs-bio-sm0366-000.html","8.9")</f>
        <v>8.9</v>
      </c>
      <c r="E133" t="s">
        <v>15</v>
      </c>
      <c r="F133" s="42" t="str">
        <f>HYPERLINK("https://www.biocoop.fr/magasin-biocoop_fontaine/quinoa-real-bolivie-3-couleurs-bio-sm0366-000.html","8.6")</f>
        <v>8.6</v>
      </c>
      <c r="G133" t="s">
        <v>15</v>
      </c>
      <c r="H133" s="42" t="str">
        <f>HYPERLINK("https://satoriz-comboire.bio/products/eu7921?_pos=2&amp;_sid=f28a0cca6&amp;_ss=r","7.2")</f>
        <v>7.2</v>
      </c>
      <c r="I133" t="s">
        <v>15</v>
      </c>
      <c r="J133" s="42" t="str">
        <f>HYPERLINK("https://www.greenweez.com/produit/quinoa-tricolore-bio-500g/2WEEZ0157","9.9")</f>
        <v>9.9</v>
      </c>
      <c r="K133" t="s">
        <v>15</v>
      </c>
    </row>
    <row r="134" spans="1:12" x14ac:dyDescent="0.3">
      <c r="A134" t="s">
        <v>288</v>
      </c>
      <c r="B134" s="42" t="str">
        <f>HYPERLINK("https://lafourche.fr/products/la-fourche-1kg-de-boulgour-gros-bio-en-vrac","3.15")</f>
        <v>3.15</v>
      </c>
      <c r="C134" s="40" t="s">
        <v>292</v>
      </c>
      <c r="D134" s="42" t="str">
        <f>HYPERLINK("https://www.biocoop.fr/magasin-biocoop_champollion/boulgour-ble-gros-france-1kg-ma8005-000.html","3.99")</f>
        <v>3.99</v>
      </c>
      <c r="E134" t="s">
        <v>15</v>
      </c>
      <c r="F134" s="42" t="str">
        <f>HYPERLINK("https://www.biocoop.fr/magasin-biocoop_fontaine/boulgour-ble-gros-france-1kg-ma8005-000.html","3.6")</f>
        <v>3.6</v>
      </c>
      <c r="G134" t="s">
        <v>15</v>
      </c>
      <c r="H134" s="42" t="str">
        <f>HYPERLINK("https://satoriz-comboire.bio/collections/vrac/products/ma11050","3.5")</f>
        <v>3.5</v>
      </c>
      <c r="I134" t="s">
        <v>15</v>
      </c>
      <c r="J134" s="37" t="str">
        <f>HYPERLINK("https://www.greenweez.com/produit/boulgour-traditionnel-bio-2-5kg/2WEEZ0215","3.04")</f>
        <v>3.04</v>
      </c>
      <c r="K134" s="38" t="s">
        <v>834</v>
      </c>
      <c r="L134">
        <v>0.2</v>
      </c>
    </row>
    <row r="135" spans="1:12" x14ac:dyDescent="0.3">
      <c r="A135" t="s">
        <v>291</v>
      </c>
      <c r="B135" s="37" t="str">
        <f>HYPERLINK("https://lafourche.fr/products/la-fourche-1kg-de-graines-de-millet-bio-en-vrac","3.5")</f>
        <v>3.5</v>
      </c>
      <c r="C135" t="s">
        <v>15</v>
      </c>
      <c r="D135" s="42" t="str">
        <f>HYPERLINK("https://www.biocoop.fr/magasin-biocoop_champollion/millet-decortique-bio-md1001-000.html","4.3")</f>
        <v>4.3</v>
      </c>
      <c r="E135" t="s">
        <v>15</v>
      </c>
      <c r="F135" s="42" t="str">
        <f>HYPERLINK("https://www.biocoop.fr/magasin-biocoop_fontaine/millet-decortique-france-500g-al8046-000.html","5.8")</f>
        <v>5.8</v>
      </c>
      <c r="G135" t="s">
        <v>15</v>
      </c>
      <c r="H135" s="37" t="str">
        <f>HYPERLINK("https://satoriz-comboire.bio/collections/vrac/products/re39809","3.5")</f>
        <v>3.5</v>
      </c>
      <c r="I135" t="s">
        <v>15</v>
      </c>
      <c r="J135" s="42" t="str">
        <f>HYPERLINK("https://www.greenweez.com/produit/millet-bio-2-5kg/2WEEZ0528","3.56")</f>
        <v>3.56</v>
      </c>
      <c r="K135" t="s">
        <v>15</v>
      </c>
    </row>
    <row r="136" spans="1:12" x14ac:dyDescent="0.3">
      <c r="A136" t="s">
        <v>295</v>
      </c>
      <c r="B136" s="37" t="str">
        <f>HYPERLINK("https://lafourche.fr/products/la-fourche-1kg-de-couscous-complet-bio-en-vrac","2.3")</f>
        <v>2.3</v>
      </c>
      <c r="C136" t="s">
        <v>15</v>
      </c>
      <c r="D136" s="42" t="str">
        <f>HYPERLINK("https://www.biocoop.fr/magasin-biocoop_champollion/couscous-ble-dur-complet-bio-bi9030-000.html","3.15")</f>
        <v>3.15</v>
      </c>
      <c r="E136" s="38" t="s">
        <v>725</v>
      </c>
      <c r="F136" s="42" t="str">
        <f>HYPERLINK("https://www.biocoop.fr/magasin-biocoop_fontaine/couscous-ble-dur-complet-500g-bi9019-000.html","4.3")</f>
        <v>4.3</v>
      </c>
      <c r="G136" s="38" t="s">
        <v>726</v>
      </c>
      <c r="H136" s="42" t="str">
        <f>HYPERLINK("https://satoriz-comboire.bio/collections/vrac/products/re40833","2.55")</f>
        <v>2.55</v>
      </c>
      <c r="I136" t="s">
        <v>15</v>
      </c>
      <c r="J136" s="42" t="str">
        <f>HYPERLINK("https://www.greenweez.com/produit/couscous-complet-bio-2-5kg/2WEEZ0216","3.79")</f>
        <v>3.79</v>
      </c>
      <c r="K136" t="s">
        <v>15</v>
      </c>
    </row>
    <row r="137" spans="1:12" x14ac:dyDescent="0.3">
      <c r="A137" t="s">
        <v>298</v>
      </c>
      <c r="B137" s="37" t="str">
        <f>HYPERLINK("https://lafourche.fr/products/la-fourche-ble-tendre-complet-bio-en-vrac-1kg","1.64")</f>
        <v>1.64</v>
      </c>
      <c r="C137" s="40" t="s">
        <v>835</v>
      </c>
      <c r="D137">
        <v>888888</v>
      </c>
      <c r="F137">
        <v>888888</v>
      </c>
      <c r="H137" s="42" t="str">
        <f>HYPERLINK("https://satoriz-comboire.bio/products/eco608?_pos=3&amp;_sid=c145f4454&amp;_ss=r","1.65")</f>
        <v>1.65</v>
      </c>
      <c r="I137" t="s">
        <v>15</v>
      </c>
      <c r="J137" s="42" t="str">
        <f>HYPERLINK("https://www.greenweez.com/produit/ble-tendre-complet-500g/1MKAL0007","2.28")</f>
        <v>2.28</v>
      </c>
      <c r="K137" s="38" t="s">
        <v>836</v>
      </c>
    </row>
    <row r="138" spans="1:12" x14ac:dyDescent="0.3">
      <c r="A138" t="s">
        <v>301</v>
      </c>
      <c r="B138" s="42" t="str">
        <f>HYPERLINK("https://lafourche.fr/products/la-fourche-polenta-bio-en-vrac-1kg","3.55")</f>
        <v>3.55</v>
      </c>
      <c r="C138" t="s">
        <v>15</v>
      </c>
      <c r="D138" s="42" t="str">
        <f>HYPERLINK("https://www.biocoop.fr/magasin-biocoop_champollion/semoule-de-mais-instantanee-polenta-bio-ma8079-000.html","3.65")</f>
        <v>3.65</v>
      </c>
      <c r="E138" s="38" t="s">
        <v>300</v>
      </c>
      <c r="F138" s="42" t="str">
        <f>HYPERLINK("https://www.biocoop.fr/magasin-biocoop_fontaine/semoule-de-mais-instantanee-polenta-bio-ma8079-000.html","3.6")</f>
        <v>3.6</v>
      </c>
      <c r="G138" t="s">
        <v>15</v>
      </c>
      <c r="H138" s="42" t="str">
        <f>HYPERLINK("https://satoriz-comboire.bio/products/ma71051?_pos=5&amp;_sid=36154f2e5&amp;_ss=r","3.6")</f>
        <v>3.6</v>
      </c>
      <c r="I138" t="s">
        <v>15</v>
      </c>
      <c r="J138" s="37" t="str">
        <f>HYPERLINK("https://www.greenweez.com/produit/semoule-mais-fine-1kg/1MKAL0272","3.43")</f>
        <v>3.43</v>
      </c>
      <c r="K138" t="s">
        <v>15</v>
      </c>
      <c r="L138">
        <v>0.3</v>
      </c>
    </row>
    <row r="139" spans="1:12" x14ac:dyDescent="0.3">
      <c r="A139" t="s">
        <v>305</v>
      </c>
      <c r="B139" s="37" t="str">
        <f>HYPERLINK("https://lafourche.fr/products/la-fourche-500g-de-graines-de-tournesol-en-vrac-bio","3.98")</f>
        <v>3.98</v>
      </c>
      <c r="C139" s="40" t="s">
        <v>837</v>
      </c>
      <c r="D139" s="42" t="str">
        <f>HYPERLINK("https://www.biocoop.fr/magasin-biocoop_champollion/tournesol-decortique-bio-al8034-000.html","10.35")</f>
        <v>10.35</v>
      </c>
      <c r="E139" t="s">
        <v>15</v>
      </c>
      <c r="F139" s="42" t="str">
        <f>HYPERLINK("https://www.biocoop.fr/magasin-biocoop_fontaine/tournesol-decortique-250g-al8033-000.html","11.96")</f>
        <v>11.96</v>
      </c>
      <c r="G139" t="s">
        <v>15</v>
      </c>
      <c r="H139" s="42" t="str">
        <f>HYPERLINK("https://satoriz-comboire.bio/products/senfgtv","6.2")</f>
        <v>6.2</v>
      </c>
      <c r="I139" s="38" t="s">
        <v>838</v>
      </c>
      <c r="J139" s="42" t="str">
        <f>HYPERLINK("https://www.greenweez.com/produit/graines-de-tournesol-decortiquees-bio-500g/2WEEZ0020","5.36")</f>
        <v>5.36</v>
      </c>
      <c r="K139" t="s">
        <v>15</v>
      </c>
      <c r="L139">
        <v>0.1</v>
      </c>
    </row>
    <row r="140" spans="1:12" x14ac:dyDescent="0.3">
      <c r="A140" t="s">
        <v>307</v>
      </c>
      <c r="B140" s="42" t="str">
        <f>HYPERLINK("https://lafourche.fr/products/la-fourche-500g-de-graines-de-lin-brun-bio-en-vrac","4.78")</f>
        <v>4.78</v>
      </c>
      <c r="C140" s="40" t="s">
        <v>839</v>
      </c>
      <c r="D140" s="42" t="str">
        <f>HYPERLINK("https://www.biocoop.fr/magasin-biocoop_champollion/graine-de-lin-brun-bio-br0236-000.html","6.15")</f>
        <v>6.15</v>
      </c>
      <c r="E140" s="40" t="s">
        <v>727</v>
      </c>
      <c r="F140" s="42" t="str">
        <f>HYPERLINK("https://www.biocoop.fr/magasin-biocoop_fontaine/graine-de-lin-brun-bio-br0236-000.html","5.8")</f>
        <v>5.8</v>
      </c>
      <c r="G140" t="s">
        <v>15</v>
      </c>
      <c r="H140" s="42" t="str">
        <f>HYPERLINK("https://satoriz-comboire.bio/products/re39808?_pos=9&amp;_sid=2d728524c&amp;_ss=r","4.75")</f>
        <v>4.75</v>
      </c>
      <c r="I140" t="s">
        <v>15</v>
      </c>
      <c r="J140" s="37" t="str">
        <f>HYPERLINK("https://www.greenweez.com/produit/graines-de-lin-brun-bio-500g/2WEEZ0019","4.06")</f>
        <v>4.06</v>
      </c>
      <c r="K140" s="38" t="s">
        <v>840</v>
      </c>
    </row>
    <row r="141" spans="1:12" x14ac:dyDescent="0.3">
      <c r="A141" t="s">
        <v>311</v>
      </c>
      <c r="B141" s="37" t="str">
        <f>HYPERLINK("https://lafourche.fr/products/la-fourche-500g-de-graines-de-sesames-bio-en-vrac","5.94")</f>
        <v>5.94</v>
      </c>
      <c r="C141" s="40" t="s">
        <v>728</v>
      </c>
      <c r="D141">
        <v>888888</v>
      </c>
      <c r="F141">
        <v>888888</v>
      </c>
      <c r="H141" s="42" t="str">
        <f>HYPERLINK("https://satoriz-comboire.bio/products/eu203?_pos=5&amp;_sid=2bd1fd04d&amp;_ss=r","5.95")</f>
        <v>5.95</v>
      </c>
      <c r="I141" t="s">
        <v>15</v>
      </c>
      <c r="J141" s="42" t="str">
        <f>HYPERLINK("https://www.greenweez.com/produit/sesame-complet-bio-500g/2WEEZ0028","7.9")</f>
        <v>7.9</v>
      </c>
      <c r="K141" t="s">
        <v>15</v>
      </c>
    </row>
    <row r="142" spans="1:12" x14ac:dyDescent="0.3">
      <c r="A142" t="s">
        <v>314</v>
      </c>
      <c r="B142" s="37" t="str">
        <f>HYPERLINK("https://lafourche.fr/products/la-fourche-500g-de-graines-de-chia-bio-en-vrac","6.8")</f>
        <v>6.8</v>
      </c>
      <c r="C142" t="s">
        <v>15</v>
      </c>
      <c r="D142" s="42" t="str">
        <f>HYPERLINK("https://www.biocoop.fr/magasin-biocoop_champollion/graines-de-chia-qu1026-000.html","888888")</f>
        <v>888888</v>
      </c>
      <c r="E142" s="39" t="s">
        <v>99</v>
      </c>
      <c r="F142" s="42" t="str">
        <f>HYPERLINK("https://www.biocoop.fr/magasin-biocoop_fontaine/graines-de-chia-qu1026-000.html","888888")</f>
        <v>888888</v>
      </c>
      <c r="G142" s="39" t="s">
        <v>99</v>
      </c>
      <c r="H142" s="37" t="str">
        <f>HYPERLINK("https://satoriz-comboire.bio/products/bofchia?_pos=6&amp;_sid=c84fead2c&amp;_ss=r","6.8")</f>
        <v>6.8</v>
      </c>
      <c r="I142" t="s">
        <v>15</v>
      </c>
      <c r="J142" s="42" t="str">
        <f>HYPERLINK("https://www.greenweez.com/produit/graines-de-chia-bio-500g/2WEEZ0337","9.96")</f>
        <v>9.96</v>
      </c>
      <c r="K142" t="s">
        <v>15</v>
      </c>
    </row>
    <row r="143" spans="1:12" x14ac:dyDescent="0.3">
      <c r="A143" t="s">
        <v>316</v>
      </c>
      <c r="B143" s="42" t="str">
        <f>HYPERLINK("https://lafourche.fr/products/la-fourche-500g-de-graines-de-courge-en-vrac-bio","12.7")</f>
        <v>12.7</v>
      </c>
      <c r="C143" s="40" t="s">
        <v>841</v>
      </c>
      <c r="D143" s="42" t="str">
        <f>HYPERLINK("https://www.biocoop.fr/magasin-biocoop_champollion/graine-de-courge-france-250g-al8045-000.html","22.76")</f>
        <v>22.76</v>
      </c>
      <c r="F143" s="42" t="str">
        <f>HYPERLINK("https://www.biocoop.fr/magasin-biocoop_fontaine/graine-de-courge-france-250g-al8045-000.html","20.8")</f>
        <v>20.8</v>
      </c>
      <c r="G143" t="s">
        <v>15</v>
      </c>
      <c r="H143" s="42" t="str">
        <f>HYPERLINK("https://satoriz-comboire.bio/products/ec008?_pos=3&amp;_sid=8f28a5498&amp;_ss=r","14.95")</f>
        <v>14.95</v>
      </c>
      <c r="I143" t="s">
        <v>15</v>
      </c>
      <c r="J143" s="37" t="str">
        <f>HYPERLINK("https://www.greenweez.com/produit/graines-de-courge-bio-500g/2WEEZ0530","11.88")</f>
        <v>11.88</v>
      </c>
      <c r="K143" t="s">
        <v>15</v>
      </c>
    </row>
    <row r="144" spans="1:12" x14ac:dyDescent="0.3">
      <c r="A144" t="s">
        <v>318</v>
      </c>
      <c r="B144" s="42" t="str">
        <f>HYPERLINK("https://lafourche.fr/products/la-fourche-250g-de-pignons-de-cedre-en-vrac-bio","43.6")</f>
        <v>43.6</v>
      </c>
      <c r="C144" t="s">
        <v>15</v>
      </c>
      <c r="D144">
        <v>888888</v>
      </c>
      <c r="F144">
        <v>888888</v>
      </c>
      <c r="H144" s="37" t="str">
        <f>HYPERLINK("https://satoriz-comboire.bio/products/bof3007?_pos=1&amp;_sid=3170df032&amp;_ss=r","41.4")</f>
        <v>41.4</v>
      </c>
      <c r="I144" t="s">
        <v>15</v>
      </c>
      <c r="J144" s="42" t="str">
        <f>HYPERLINK("https://www.greenweez.com/produit/pignons-de-cedre-500g/2WEEZ0403","47.9")</f>
        <v>47.9</v>
      </c>
      <c r="K144" t="s">
        <v>15</v>
      </c>
    </row>
    <row r="145" spans="1:12" x14ac:dyDescent="0.3">
      <c r="A145" t="s">
        <v>321</v>
      </c>
      <c r="B145" s="37" t="str">
        <f>HYPERLINK("https://lafourche.fr/products/la-fourche-pignons-de-pin-bio-0-25kg","57.92")</f>
        <v>57.92</v>
      </c>
      <c r="C145" t="s">
        <v>15</v>
      </c>
      <c r="D145">
        <v>888888</v>
      </c>
      <c r="F145">
        <v>888888</v>
      </c>
      <c r="H145" s="42" t="str">
        <f>HYPERLINK("https://satoriz-comboire.bio/products/ag639?_pos=2&amp;_sid=265828df9&amp;_ss=r","94.8")</f>
        <v>94.8</v>
      </c>
      <c r="I145" t="s">
        <v>15</v>
      </c>
      <c r="J145" s="42" t="str">
        <f>HYPERLINK("https://www.greenweez.com/produit/pignons-de-pin-bio-125g/1DPFS0044","102.0")</f>
        <v>102.0</v>
      </c>
      <c r="K145" t="s">
        <v>15</v>
      </c>
    </row>
    <row r="146" spans="1:12" x14ac:dyDescent="0.3">
      <c r="A146" t="s">
        <v>325</v>
      </c>
      <c r="B146" s="37" t="str">
        <f>HYPERLINK("https://lafourche.fr/products/la-fourche-1kg-de-pois-chiches-en-vrac-bio","3.61")</f>
        <v>3.61</v>
      </c>
      <c r="C146" t="s">
        <v>15</v>
      </c>
      <c r="D146" s="42" t="str">
        <f>HYPERLINK("https://www.biocoop.fr/magasin-biocoop_champollion/pois-chiches-bio-al8031-000.html","4.95")</f>
        <v>4.95</v>
      </c>
      <c r="E146" t="s">
        <v>15</v>
      </c>
      <c r="F146" s="42" t="str">
        <f>HYPERLINK("https://www.biocoop.fr/magasin-biocoop_fontaine/pois-chiches-bio-al8031-000.html","4.5")</f>
        <v>4.5</v>
      </c>
      <c r="G146" t="s">
        <v>15</v>
      </c>
      <c r="H146" s="42" t="str">
        <f>HYPERLINK("https://satoriz-comboire.bio/collections/vrac/products/re40037","3.7")</f>
        <v>3.7</v>
      </c>
      <c r="I146" t="s">
        <v>15</v>
      </c>
      <c r="J146" s="42" t="str">
        <f>HYPERLINK("https://www.greenweez.com/produit/pois-chiches-origine-france-3kg/5GREE0125","4.65")</f>
        <v>4.65</v>
      </c>
      <c r="K146" t="s">
        <v>15</v>
      </c>
      <c r="L146">
        <v>0.2</v>
      </c>
    </row>
    <row r="147" spans="1:12" x14ac:dyDescent="0.3">
      <c r="A147" t="s">
        <v>328</v>
      </c>
      <c r="B147" s="37" t="str">
        <f>HYPERLINK("https://lafourche.fr/products/la-fourche-1kg-de-lentilles-corail-bio-en-vrac","3.3")</f>
        <v>3.3</v>
      </c>
      <c r="C147" t="s">
        <v>15</v>
      </c>
      <c r="D147" s="42" t="str">
        <f>HYPERLINK("https://www.biocoop.fr/magasin-biocoop_champollion/lentilles-corail-500g-al8038-000.html","8.7")</f>
        <v>8.7</v>
      </c>
      <c r="E147" t="s">
        <v>15</v>
      </c>
      <c r="F147" s="42" t="str">
        <f>HYPERLINK("https://www.biocoop.fr/magasin-biocoop_fontaine/lentilles-corail-500g-al8038-000.html","8.4")</f>
        <v>8.4</v>
      </c>
      <c r="G147" t="s">
        <v>15</v>
      </c>
      <c r="H147" s="37" t="str">
        <f>HYPERLINK("https://satoriz-comboire.bio/collections/vrac/products/eu1380","3.3")</f>
        <v>3.3</v>
      </c>
      <c r="I147" t="s">
        <v>15</v>
      </c>
      <c r="J147" s="42" t="str">
        <f>HYPERLINK("https://www.greenweez.com/produit/lentilles-corail-3kg/5GREE0154","3.4")</f>
        <v>3.4</v>
      </c>
      <c r="K147" s="38" t="s">
        <v>842</v>
      </c>
      <c r="L147">
        <v>0.5</v>
      </c>
    </row>
    <row r="148" spans="1:12" x14ac:dyDescent="0.3">
      <c r="A148" t="s">
        <v>332</v>
      </c>
      <c r="B148" s="37" t="str">
        <f>HYPERLINK("https://lafourche.fr/products/la-fourche-1kg-de-pois-casses-bio-en-vrac","3.99")</f>
        <v>3.99</v>
      </c>
      <c r="C148" t="s">
        <v>15</v>
      </c>
      <c r="D148" s="42" t="str">
        <f>HYPERLINK("https://www.biocoop.fr/magasin-biocoop_champollion/pois-casses-france-cuisson-rapide-250g-sa1122-000.html","8.32")</f>
        <v>8.32</v>
      </c>
      <c r="E148" t="s">
        <v>15</v>
      </c>
      <c r="F148" s="42" t="str">
        <f>HYPERLINK("https://www.biocoop.fr/magasin-biocoop_fontaine/pois-casses-france-500g-al8048-000.html","4.94")</f>
        <v>4.94</v>
      </c>
      <c r="G148" t="s">
        <v>15</v>
      </c>
      <c r="H148" s="42" t="str">
        <f>HYPERLINK("https://satoriz-comboire.bio/collections/vrac/products/eu1363","4.2")</f>
        <v>4.2</v>
      </c>
      <c r="I148" t="s">
        <v>15</v>
      </c>
      <c r="J148" s="37" t="str">
        <f>HYPERLINK("https://www.greenweez.com/produit/pois-casses-verts-3kg/5GREE0169","3.99")</f>
        <v>3.99</v>
      </c>
      <c r="K148" t="s">
        <v>15</v>
      </c>
      <c r="L148">
        <v>0.3</v>
      </c>
    </row>
    <row r="149" spans="1:12" x14ac:dyDescent="0.3">
      <c r="A149" t="s">
        <v>335</v>
      </c>
      <c r="B149" s="37" t="str">
        <f>HYPERLINK("https://lafourche.fr/products/la-fourche-1kg-de-lentilles-vertes-bio-en-vrac","4.59")</f>
        <v>4.59</v>
      </c>
      <c r="C149" s="40" t="s">
        <v>843</v>
      </c>
      <c r="D149" s="42" t="str">
        <f>HYPERLINK("https://www.biocoop.fr/magasin-biocoop_champollion/lentilles-vertes-bio-br0278-000.html","5.25")</f>
        <v>5.25</v>
      </c>
      <c r="E149" t="s">
        <v>15</v>
      </c>
      <c r="F149" s="42" t="str">
        <f>HYPERLINK("https://www.biocoop.fr/magasin-biocoop_fontaine/lentilles-vertes-bio-br0278-000.html","5.3")</f>
        <v>5.3</v>
      </c>
      <c r="G149" t="s">
        <v>15</v>
      </c>
      <c r="H149" s="42" t="str">
        <f>HYPERLINK("https://satoriz-comboire.bio/collections/vrac/products/re39341","4.8")</f>
        <v>4.8</v>
      </c>
      <c r="I149" t="s">
        <v>15</v>
      </c>
      <c r="J149" s="42" t="str">
        <f>HYPERLINK("https://www.greenweez.com/produit/lentilles-vertes-bio-france-2-5kg/2WEEZ0296","4.84")</f>
        <v>4.84</v>
      </c>
      <c r="K149" s="38" t="s">
        <v>844</v>
      </c>
      <c r="L149">
        <v>0.5</v>
      </c>
    </row>
    <row r="150" spans="1:12" x14ac:dyDescent="0.3">
      <c r="A150" t="s">
        <v>338</v>
      </c>
      <c r="B150" s="37" t="str">
        <f>HYPERLINK("https://lafourche.fr/products/celnat-haricots-blancs-lingots-de-vendee-500g","6.52")</f>
        <v>6.52</v>
      </c>
      <c r="C150" t="s">
        <v>15</v>
      </c>
      <c r="D150" s="42" t="str">
        <f>HYPERLINK("https://www.biocoop.fr/magasin-biocoop_champollion/haricots-blancs-lingots-500g-fc1002-000.html","8.4")</f>
        <v>8.4</v>
      </c>
      <c r="E150" t="s">
        <v>15</v>
      </c>
      <c r="F150" s="42" t="str">
        <f>HYPERLINK("https://www.biocoop.fr/magasin-biocoop_fontaine/haricots-blancs-lingots-bio-al8036-000.html","6.9")</f>
        <v>6.9</v>
      </c>
      <c r="G150" t="s">
        <v>15</v>
      </c>
      <c r="H150" s="42" t="str">
        <f>HYPERLINK("https://satoriz-comboire.bio/products/ra1?_pos=1&amp;_sid=ae7e90580&amp;_ss=r","6.95")</f>
        <v>6.95</v>
      </c>
      <c r="I150" t="s">
        <v>15</v>
      </c>
      <c r="J150">
        <v>888888</v>
      </c>
    </row>
    <row r="151" spans="1:12" x14ac:dyDescent="0.3">
      <c r="A151" t="s">
        <v>339</v>
      </c>
      <c r="B151" s="37" t="str">
        <f>HYPERLINK("https://lafourche.fr/products/la-fourche-penne-complete-bio-en-vrac-1kg","2.2")</f>
        <v>2.2</v>
      </c>
      <c r="C151" t="s">
        <v>15</v>
      </c>
      <c r="D151" s="42" t="str">
        <f>HYPERLINK("https://www.biocoop.fr/magasin-biocoop_champollion/pennes-complet-bio-al0143-000.html","3.05")</f>
        <v>3.05</v>
      </c>
      <c r="E151" t="s">
        <v>15</v>
      </c>
      <c r="F151" s="42" t="str">
        <f>HYPERLINK("https://www.biocoop.fr/magasin-biocoop_fontaine/penne-completes-500g-al0137-000.html","3.0")</f>
        <v>3.0</v>
      </c>
      <c r="G151" t="s">
        <v>15</v>
      </c>
      <c r="H151" s="42" t="str">
        <f>HYPERLINK("https://satoriz-comboire.bio/collections/vrac/products/eu1054","888888")</f>
        <v>888888</v>
      </c>
      <c r="I151" s="39" t="s">
        <v>99</v>
      </c>
      <c r="J151" s="42" t="str">
        <f>HYPERLINK("https://www.greenweez.com/produit/penne-bio-semi-complete-500g/2WEEZ0490","2.98")</f>
        <v>2.98</v>
      </c>
      <c r="K151" t="s">
        <v>15</v>
      </c>
    </row>
    <row r="152" spans="1:12" x14ac:dyDescent="0.3">
      <c r="A152" t="s">
        <v>341</v>
      </c>
      <c r="B152" s="37" t="str">
        <f>HYPERLINK("https://lafourche.fr/products/la-fourche-coquillettes-completes-bio-en-vrac-1kg","1.99")</f>
        <v>1.99</v>
      </c>
      <c r="C152" t="s">
        <v>15</v>
      </c>
      <c r="D152" s="42" t="str">
        <f>HYPERLINK("https://www.biocoop.fr/magasin-biocoop_champollion/coquillettes-1-2-completes-bio-al0060-000.html","2.2")</f>
        <v>2.2</v>
      </c>
      <c r="E152" t="s">
        <v>15</v>
      </c>
      <c r="F152" s="42" t="str">
        <f>HYPERLINK("https://www.biocoop.fr/magasin-biocoop_fontaine/coquillettes-completes-500g-al0028-000.html","3.2")</f>
        <v>3.2</v>
      </c>
      <c r="G152" t="s">
        <v>15</v>
      </c>
      <c r="H152" s="42" t="str">
        <f>HYPERLINK("https://satoriz-comboire.bio/collections/vrac/products/eu1053","888888")</f>
        <v>888888</v>
      </c>
      <c r="I152" s="39" t="s">
        <v>99</v>
      </c>
      <c r="J152" s="42" t="str">
        <f>HYPERLINK("https://www.greenweez.com/produit/coquillettes-demi-completes-1kg/1PRIM0788","2.87")</f>
        <v>2.87</v>
      </c>
      <c r="K152" t="s">
        <v>15</v>
      </c>
    </row>
    <row r="153" spans="1:12" x14ac:dyDescent="0.3">
      <c r="A153" t="s">
        <v>345</v>
      </c>
      <c r="B153" s="42" t="str">
        <f>HYPERLINK("https://lafourche.fr/products/bio-pour-tous-spaghetti-complets-bio-500g","2.3")</f>
        <v>2.3</v>
      </c>
      <c r="C153" s="38" t="s">
        <v>845</v>
      </c>
      <c r="D153" s="42" t="str">
        <f>HYPERLINK("https://www.biocoop.fr/magasin-biocoop_champollion/spaghettis-complets-500g-al0001-000.html","3.14")</f>
        <v>3.14</v>
      </c>
      <c r="E153" t="s">
        <v>15</v>
      </c>
      <c r="F153" s="42" t="str">
        <f>HYPERLINK("https://www.biocoop.fr/magasin-biocoop_fontaine/spaghettis-complets-500g-al0001-000.html","2.9")</f>
        <v>2.9</v>
      </c>
      <c r="G153" t="s">
        <v>15</v>
      </c>
      <c r="H153" s="37" t="str">
        <f>HYPERLINK("https://satoriz-comboire.bio/products/re44650?_pos=5&amp;_sid=376ef8b42&amp;_ss=r","2.15")</f>
        <v>2.15</v>
      </c>
      <c r="I153" t="s">
        <v>15</v>
      </c>
      <c r="J153" s="42" t="str">
        <f>HYPERLINK("https://www.greenweez.com/produit/spaghettis-complets-bio-italie-500g/2WEEZ0029","3.38")</f>
        <v>3.38</v>
      </c>
      <c r="K153" t="s">
        <v>15</v>
      </c>
      <c r="L153">
        <v>0.5</v>
      </c>
    </row>
    <row r="154" spans="1:12" x14ac:dyDescent="0.3">
      <c r="A154" t="s">
        <v>346</v>
      </c>
      <c r="B154" s="42" t="str">
        <f>HYPERLINK("https://lafourche.fr/products/bio-pour-tous-fusilli-integrales-bio-500g","2.52")</f>
        <v>2.52</v>
      </c>
      <c r="C154" t="s">
        <v>15</v>
      </c>
      <c r="D154" s="42" t="str">
        <f>HYPERLINK("https://www.biocoop.fr/magasin-biocoop_champollion/spirales-completes-500g-al0025-000.html","3.24")</f>
        <v>3.24</v>
      </c>
      <c r="E154" t="s">
        <v>15</v>
      </c>
      <c r="F154" s="42" t="str">
        <f>HYPERLINK("https://www.biocoop.fr/magasin-biocoop_fontaine/spirales-completes-500g-al0025-000.html","3.2")</f>
        <v>3.2</v>
      </c>
      <c r="G154" t="s">
        <v>15</v>
      </c>
      <c r="H154" s="37" t="str">
        <f>HYPERLINK("https://satoriz-comboire.bio/products/re39052?_pos=1&amp;_sid=2d3ebab7a&amp;_ss=r","2.3")</f>
        <v>2.3</v>
      </c>
      <c r="I154" t="s">
        <v>15</v>
      </c>
      <c r="J154" s="42" t="str">
        <f>HYPERLINK("https://www.greenweez.com/produit/torsades-completes-bio-italie-500g/2WEEZ0024","3.38")</f>
        <v>3.38</v>
      </c>
      <c r="K154" t="s">
        <v>15</v>
      </c>
      <c r="L154">
        <v>0.5</v>
      </c>
    </row>
    <row r="155" spans="1:12" x14ac:dyDescent="0.3">
      <c r="A155" t="s">
        <v>347</v>
      </c>
      <c r="B155" s="37" t="str">
        <f>HYPERLINK("https://lafourche.fr/products/la-fourche-1kg-de-riz-basmati-complet-en-vrac-bio","3.5")</f>
        <v>3.5</v>
      </c>
      <c r="C155" t="s">
        <v>15</v>
      </c>
      <c r="D155" s="42" t="str">
        <f>HYPERLINK("https://www.biocoop.fr/magasin-biocoop_champollion/riz-basmati-complet-bio-mf0081-000.html","4.4")</f>
        <v>4.4</v>
      </c>
      <c r="E155" t="s">
        <v>15</v>
      </c>
      <c r="F155" s="42" t="str">
        <f>HYPERLINK("https://www.biocoop.fr/magasin-biocoop_fontaine/riz-basmati-complet-mf0014-000.html","6.2")</f>
        <v>6.2</v>
      </c>
      <c r="G155" t="s">
        <v>15</v>
      </c>
      <c r="H155" s="42" t="str">
        <f>HYPERLINK("https://satoriz-comboire.bio/collections/vrac/products/eu2292","3.7")</f>
        <v>3.7</v>
      </c>
      <c r="I155" t="s">
        <v>15</v>
      </c>
      <c r="J155" s="42" t="str">
        <f>HYPERLINK("https://www.greenweez.com/produit/riz-basmati-complet-bio-2-5kg/2WEEZ0124","4.38")</f>
        <v>4.38</v>
      </c>
      <c r="K155" t="s">
        <v>15</v>
      </c>
    </row>
    <row r="156" spans="1:12" x14ac:dyDescent="0.3">
      <c r="A156" t="s">
        <v>351</v>
      </c>
      <c r="B156" s="45" t="str">
        <f>HYPERLINK("https://lafourche.fr/products/celnat-riz-long-complet-1kg","3.50")</f>
        <v>3.50</v>
      </c>
      <c r="C156" s="39" t="s">
        <v>99</v>
      </c>
      <c r="D156" s="42" t="str">
        <f>HYPERLINK("https://www.biocoop.fr/magasin-biocoop_champollion/riz-long-complet-camargue-1kg-bo0100-000.html","4.61")</f>
        <v>4.61</v>
      </c>
      <c r="E156" t="s">
        <v>15</v>
      </c>
      <c r="F156" s="42" t="str">
        <f>HYPERLINK("https://www.biocoop.fr/magasin-biocoop_fontaine/riz-long-complet-camargue-1kg-bo0100-000.html","4.8")</f>
        <v>4.8</v>
      </c>
      <c r="G156" t="s">
        <v>15</v>
      </c>
      <c r="H156" s="37" t="str">
        <f>HYPERLINK("https://satoriz-comboire.bio/collections/vrac/products/eu629","3.1")</f>
        <v>3.1</v>
      </c>
      <c r="I156" t="s">
        <v>15</v>
      </c>
      <c r="J156" s="42" t="str">
        <f>HYPERLINK("https://www.greenweez.com/produit/riz-long-brun-bio-2-5kg/2WEEZ0472","3.88")</f>
        <v>3.88</v>
      </c>
      <c r="K156" t="s">
        <v>15</v>
      </c>
      <c r="L156">
        <v>0.5</v>
      </c>
    </row>
    <row r="157" spans="1:12" x14ac:dyDescent="0.3">
      <c r="A157" t="s">
        <v>353</v>
      </c>
      <c r="B157" s="42" t="str">
        <f>HYPERLINK("https://lafourche.fr/products/celnat-riz-rond-complet-de-camargue-igp-bio-0-5kg","5.54")</f>
        <v>5.54</v>
      </c>
      <c r="C157" t="s">
        <v>15</v>
      </c>
      <c r="D157" s="42" t="str">
        <f>HYPERLINK("https://www.biocoop.fr/magasin-biocoop_champollion/riz-de-camargue-rond-1-2-complet-1kg-bo0106-000.html","5.25")</f>
        <v>5.25</v>
      </c>
      <c r="E157" t="s">
        <v>15</v>
      </c>
      <c r="F157" s="42" t="str">
        <f>HYPERLINK("https://www.biocoop.fr/magasin-biocoop_fontaine/riz-de-camargue-rond-1-2-complet-1kg-bo0106-000.html","4.95")</f>
        <v>4.95</v>
      </c>
      <c r="G157" t="s">
        <v>15</v>
      </c>
      <c r="H157" s="37" t="str">
        <f>HYPERLINK("https://satoriz-comboire.bio/collections/vrac/products/eu624","3.3")</f>
        <v>3.3</v>
      </c>
      <c r="I157" t="s">
        <v>15</v>
      </c>
      <c r="J157" s="42" t="str">
        <f>HYPERLINK("https://www.greenweez.com/produit/riz-rond-complet-bio-2-5kg/2WEEZ0126","4.38")</f>
        <v>4.38</v>
      </c>
      <c r="K157" t="s">
        <v>15</v>
      </c>
    </row>
    <row r="158" spans="1:12" x14ac:dyDescent="0.3">
      <c r="A158" s="35" t="s">
        <v>356</v>
      </c>
      <c r="B158" s="36"/>
      <c r="C158" s="36"/>
      <c r="D158" s="36"/>
      <c r="E158" s="36"/>
      <c r="F158" s="36"/>
      <c r="G158" s="36"/>
      <c r="H158" s="36"/>
      <c r="I158" s="36"/>
      <c r="J158" s="36"/>
      <c r="K158" s="36"/>
    </row>
    <row r="159" spans="1:12" x14ac:dyDescent="0.3">
      <c r="A159" t="s">
        <v>357</v>
      </c>
      <c r="B159" s="37" t="str">
        <f>HYPERLINK("https://lafourche.fr/products/la-fourche-creme-entiere-liquide-bio-3x20cl-0-6l","6.25")</f>
        <v>6.25</v>
      </c>
      <c r="D159" s="42" t="str">
        <f>HYPERLINK("https://www.biocoop.fr/magasin-biocoop_champollion/creme-entiere-fluide-30-mg-ls3001-000.html","7.25")</f>
        <v>7.25</v>
      </c>
      <c r="F159" s="42" t="str">
        <f>HYPERLINK("https://www.biocoop.fr/magasin-biocoop_fontaine/creme-entiere-fluide-30-mg-ls3001-000.html","7.25")</f>
        <v>7.25</v>
      </c>
      <c r="H159" s="37" t="str">
        <f>HYPERLINK("https://satoriz-comboire.bio/products/re16270?_pos=1&amp;_sid=9d4552554&amp;_ss=r","6.25")</f>
        <v>6.25</v>
      </c>
      <c r="J159" s="42" t="str">
        <f>HYPERLINK("https://www.greenweez.com/produit/creme-liquide-entiere-uht-30-mg-pf-3x20cl/1LAIP0002","8.25")</f>
        <v>8.25</v>
      </c>
      <c r="L159">
        <v>0.3</v>
      </c>
    </row>
    <row r="160" spans="1:12" x14ac:dyDescent="0.3">
      <c r="A160" t="s">
        <v>358</v>
      </c>
      <c r="B160" s="37" t="str">
        <f>HYPERLINK("https://lafourche.fr/products/la-fourche-lait-de-coco-bio-0-4l","4.25")</f>
        <v>4.25</v>
      </c>
      <c r="C160" t="s">
        <v>15</v>
      </c>
      <c r="D160" s="42" t="str">
        <f>HYPERLINK("https://www.biocoop.fr/magasin-biocoop_champollion/lait-coco-a-cuisiner-17-mg-tetra-1l-bc9029-000.html","5.14")</f>
        <v>5.14</v>
      </c>
      <c r="E160" t="s">
        <v>15</v>
      </c>
      <c r="F160" s="42" t="str">
        <f>HYPERLINK("https://www.biocoop.fr/magasin-biocoop_fontaine/lait-coco-40cl-mc0002-000.html","5.25")</f>
        <v>5.25</v>
      </c>
      <c r="G160" t="s">
        <v>15</v>
      </c>
      <c r="H160" s="42" t="str">
        <f>HYPERLINK("https://satoriz-comboire.bio/products/re41359","888888")</f>
        <v>888888</v>
      </c>
      <c r="I160" s="39" t="s">
        <v>99</v>
      </c>
      <c r="J160" s="37" t="str">
        <f>HYPERLINK("https://www.greenweez.com/produit/lait-de-coco-17-mg-400ml-equitable/2WEEZ0407","4.25")</f>
        <v>4.25</v>
      </c>
      <c r="K160" t="s">
        <v>15</v>
      </c>
    </row>
    <row r="161" spans="1:12" x14ac:dyDescent="0.3">
      <c r="A161" t="s">
        <v>359</v>
      </c>
      <c r="B161" s="37" t="str">
        <f>HYPERLINK("https://lafourche.fr/products/la-fourche-creme-de-coco-22-de-mg-bio-et-equitable-0-4l","4.72")</f>
        <v>4.72</v>
      </c>
      <c r="C161" s="40" t="s">
        <v>846</v>
      </c>
      <c r="D161" s="42" t="str">
        <f>HYPERLINK("https://www.biocoop.fr/magasin-biocoop_champollion/creme-coco-a-fouetter-400ml-bc9028-000.html","8.25")</f>
        <v>8.25</v>
      </c>
      <c r="E161" t="s">
        <v>15</v>
      </c>
      <c r="F161" s="42" t="str">
        <f>HYPERLINK("https://www.biocoop.fr/magasin-biocoop_fontaine/creme-de-coco-a-cuisiner-mc0003-000.html","5.75")</f>
        <v>5.75</v>
      </c>
      <c r="G161" t="s">
        <v>15</v>
      </c>
      <c r="H161" s="42" t="str">
        <f>HYPERLINK("https://satoriz-comboire.bio/collections/produits-frais/products/re41360","888888")</f>
        <v>888888</v>
      </c>
      <c r="I161" s="39" t="s">
        <v>99</v>
      </c>
      <c r="J161" s="42" t="str">
        <f>HYPERLINK("https://www.greenweez.com/produit/creme-de-coco-22-mg-40cl/1BASE0009","888888")</f>
        <v>888888</v>
      </c>
      <c r="K161" s="39" t="s">
        <v>99</v>
      </c>
    </row>
    <row r="162" spans="1:12" x14ac:dyDescent="0.3">
      <c r="A162" t="s">
        <v>362</v>
      </c>
      <c r="B162" s="37" t="str">
        <f>HYPERLINK("https://lafourche.fr/products/la-fourche-soja-cuisine-bio-3x20cl-0-6l","3.8")</f>
        <v>3.8</v>
      </c>
      <c r="C162" t="s">
        <v>15</v>
      </c>
      <c r="D162" s="42" t="str">
        <f>HYPERLINK("https://www.biocoop.fr/magasin-biocoop_champollion/cuisine-soja-20cl-sy1605-000.html","7.65")</f>
        <v>7.65</v>
      </c>
      <c r="E162" t="s">
        <v>15</v>
      </c>
      <c r="F162" s="42" t="str">
        <f>HYPERLINK("https://www.biocoop.fr/magasin-biocoop_fontaine/cuisine-soja-20cl-so-soja-cuisine-ti3018-000.html","5.5")</f>
        <v>5.5</v>
      </c>
      <c r="G162" t="s">
        <v>15</v>
      </c>
      <c r="H162" s="42" t="str">
        <f>HYPERLINK("https://satoriz-comboire.bio/collections/produits-frais/products/aa197367","4.8")</f>
        <v>4.8</v>
      </c>
      <c r="I162" t="s">
        <v>15</v>
      </c>
      <c r="J162" s="42" t="str">
        <f>HYPERLINK("https://www.greenweez.com/produit/lot-de-3-x-creme-soja-du-chef-25cl/1PACK3768","6.13")</f>
        <v>6.13</v>
      </c>
      <c r="K162" t="s">
        <v>15</v>
      </c>
      <c r="L162">
        <v>0.2</v>
      </c>
    </row>
    <row r="163" spans="1:12" x14ac:dyDescent="0.3">
      <c r="A163" t="s">
        <v>364</v>
      </c>
      <c r="B163" s="37" t="str">
        <f>HYPERLINK("https://lafourche.fr/products/lima-creme-cuisine-a-base-de-riz-bio-0-2kg","4.5")</f>
        <v>4.5</v>
      </c>
      <c r="C163" t="s">
        <v>15</v>
      </c>
      <c r="D163" s="42" t="str">
        <f>HYPERLINK("https://www.biocoop.fr/magasin-biocoop_champollion/cuisine-riz-liquide-20cl-ab5020-000.html","4.95")</f>
        <v>4.95</v>
      </c>
      <c r="E163" t="s">
        <v>15</v>
      </c>
      <c r="F163" s="42" t="str">
        <f>HYPERLINK("https://www.biocoop.fr/magasin-biocoop_fontaine/cuisine-riz-liquide-20cl-ab5020-000.html","4.95")</f>
        <v>4.95</v>
      </c>
      <c r="G163" t="s">
        <v>15</v>
      </c>
      <c r="H163" s="42" t="str">
        <f>HYPERLINK("https://satoriz-comboire.bio/collections/produits-frais/products/aa212388","4.9")</f>
        <v>4.9</v>
      </c>
      <c r="I163" t="s">
        <v>15</v>
      </c>
      <c r="J163" s="42" t="str">
        <f>HYPERLINK("https://www.greenweez.com/produit/preparation-de-riz-cuisine-200ml/1BRID0019","16.7")</f>
        <v>16.7</v>
      </c>
      <c r="K163" t="s">
        <v>15</v>
      </c>
      <c r="L163">
        <v>0.2</v>
      </c>
    </row>
    <row r="164" spans="1:12" x14ac:dyDescent="0.3">
      <c r="A164" t="s">
        <v>366</v>
      </c>
      <c r="B164" s="37" t="str">
        <f>HYPERLINK("https://lafourche.fr/products/lima-oat-avoine-cuisine-20cl","4.5")</f>
        <v>4.5</v>
      </c>
      <c r="C164" t="s">
        <v>15</v>
      </c>
      <c r="D164" s="37" t="str">
        <f>HYPERLINK("https://www.biocoop.fr/magasin-biocoop_champollion/avoine-cuisine-20cl-tb0030-000.html","4.5")</f>
        <v>4.5</v>
      </c>
      <c r="E164" t="s">
        <v>15</v>
      </c>
      <c r="F164" s="37" t="str">
        <f>HYPERLINK("https://www.biocoop.fr/magasin-biocoop_fontaine/avoine-cuisine-20cl-tb0030-000.html","4.5")</f>
        <v>4.5</v>
      </c>
      <c r="G164" t="s">
        <v>15</v>
      </c>
      <c r="H164" s="42" t="str">
        <f>HYPERLINK("https://satoriz-comboire.bio/collections/produits-frais/products/tb6","5.75")</f>
        <v>5.75</v>
      </c>
      <c r="I164" t="s">
        <v>15</v>
      </c>
      <c r="J164" s="42" t="str">
        <f>HYPERLINK("https://www.greenweez.com/produit/puree-davoine-cuisine-200ml/1LIMA0106","6.0")</f>
        <v>6.0</v>
      </c>
      <c r="K164" s="40" t="s">
        <v>730</v>
      </c>
      <c r="L164">
        <v>0.2</v>
      </c>
    </row>
    <row r="165" spans="1:12" x14ac:dyDescent="0.3">
      <c r="A165" t="s">
        <v>369</v>
      </c>
      <c r="B165" s="37" t="str">
        <f>HYPERLINK("https://lafourche.fr/products/lima-creme-cuisine-amande-bio-0-2l","4.9")</f>
        <v>4.9</v>
      </c>
      <c r="C165" t="s">
        <v>15</v>
      </c>
      <c r="D165" s="42" t="str">
        <f>HYPERLINK("https://www.biocoop.fr/magasin-biocoop_champollion/cuisine-amande-20cl-hm1061-000.html","9.0")</f>
        <v>9.0</v>
      </c>
      <c r="E165" t="s">
        <v>15</v>
      </c>
      <c r="F165" s="42" t="str">
        <f>HYPERLINK("https://www.biocoop.fr/magasin-biocoop_fontaine/amande-cuisine-25cl-ma0021-000.html","8.8")</f>
        <v>8.8</v>
      </c>
      <c r="G165" t="s">
        <v>15</v>
      </c>
      <c r="H165" s="42" t="str">
        <f>HYPERLINK("https://satoriz-comboire.bio/collections/produits-frais/products/pera6902a","9.5")</f>
        <v>9.5</v>
      </c>
      <c r="I165" t="s">
        <v>15</v>
      </c>
      <c r="J165" s="42" t="str">
        <f>HYPERLINK("https://www.greenweez.com/produit/amande-cuisine-20cl-1/1PERL0118","10.15")</f>
        <v>10.15</v>
      </c>
      <c r="K165" t="s">
        <v>15</v>
      </c>
    </row>
    <row r="166" spans="1:12" x14ac:dyDescent="0.3">
      <c r="A166" t="s">
        <v>372</v>
      </c>
      <c r="B166" s="37" t="str">
        <f>HYPERLINK("https://lafourche.fr/products/autour-du-riz-shoyu-sauce-soja-traditionnelle-bio-600ml","9.42")</f>
        <v>9.42</v>
      </c>
      <c r="C166" s="40" t="s">
        <v>847</v>
      </c>
      <c r="D166" s="42" t="str">
        <f>HYPERLINK("https://www.biocoop.fr/magasin-biocoop_champollion/shoyu-traditionnel-sauce-soja-mf1139-000.html","9.92")</f>
        <v>9.92</v>
      </c>
      <c r="E166" t="s">
        <v>15</v>
      </c>
      <c r="F166" s="42" t="str">
        <f>HYPERLINK("https://www.biocoop.fr/magasin-biocoop_fontaine/shoyu-traditionnel-sauce-soja-mf1139-000.html","9.92")</f>
        <v>9.92</v>
      </c>
      <c r="G166" t="s">
        <v>15</v>
      </c>
      <c r="H166" s="42" t="str">
        <f>HYPERLINK("https://satoriz-comboire.bio/collections/epicerie-salee/products/re2583","11.3")</f>
        <v>11.3</v>
      </c>
      <c r="I166" t="s">
        <v>15</v>
      </c>
      <c r="J166" s="42" t="str">
        <f>HYPERLINK("https://www.greenweez.com/produit/sauce-soja-shoyu-traditionnel-60cl/1FITN0063","11.23")</f>
        <v>11.23</v>
      </c>
      <c r="K166" t="s">
        <v>15</v>
      </c>
    </row>
    <row r="167" spans="1:12" x14ac:dyDescent="0.3">
      <c r="A167" t="s">
        <v>376</v>
      </c>
      <c r="B167" s="37" t="str">
        <f>HYPERLINK("https://lafourche.fr/products/autour-du-riz-veritable-sauce-tamari-bio-600ml","10.17")</f>
        <v>10.17</v>
      </c>
      <c r="C167" s="40" t="s">
        <v>194</v>
      </c>
      <c r="D167" s="42" t="str">
        <f>HYPERLINK("https://www.biocoop.fr/magasin-biocoop_champollion/veritable-tamari-sauce-soja-mf1140-000.html","11.58")</f>
        <v>11.58</v>
      </c>
      <c r="E167" t="s">
        <v>15</v>
      </c>
      <c r="F167" s="42" t="str">
        <f>HYPERLINK("https://www.biocoop.fr/magasin-biocoop_fontaine/veritable-tamari-sauce-soja-mf1140-000.html","11.58")</f>
        <v>11.58</v>
      </c>
      <c r="G167" t="s">
        <v>15</v>
      </c>
      <c r="H167" s="42" t="str">
        <f>HYPERLINK("https://satoriz-comboire.bio/products/da2810?_pos=1&amp;_sid=897b7d14d&amp;_ss=r","14.4")</f>
        <v>14.4</v>
      </c>
      <c r="I167" t="s">
        <v>15</v>
      </c>
      <c r="J167" s="42" t="str">
        <f>HYPERLINK("https://www.greenweez.com/produit/tamari-sauce-soja-60cl/1FITN0065","13.07")</f>
        <v>13.07</v>
      </c>
      <c r="K167" s="38" t="s">
        <v>731</v>
      </c>
    </row>
    <row r="168" spans="1:12" x14ac:dyDescent="0.3">
      <c r="A168" t="s">
        <v>379</v>
      </c>
      <c r="B168" s="42" t="str">
        <f>HYPERLINK("https://lafourche.fr/products/autour-du-riz-marinade-teriyaki-bio-200ml","17.45")</f>
        <v>17.45</v>
      </c>
      <c r="C168" t="s">
        <v>15</v>
      </c>
      <c r="D168" s="42" t="str">
        <f>HYPERLINK("https://www.biocoop.fr/magasin-biocoop_champollion/marinade-teriyaki-sauce-soja-douce-200ml-mf1135-000.html","18.65")</f>
        <v>18.65</v>
      </c>
      <c r="E168" t="s">
        <v>15</v>
      </c>
      <c r="F168" s="42" t="str">
        <f>HYPERLINK("https://www.biocoop.fr/magasin-biocoop_fontaine/marinade-teriyaki-sauce-soja-douce-200ml-mf1135-000.html","888888")</f>
        <v>888888</v>
      </c>
      <c r="G168" s="39" t="s">
        <v>99</v>
      </c>
      <c r="H168" s="37" t="str">
        <f>HYPERLINK("https://satoriz-comboire.bio/products/re31762?_pos=2&amp;_sid=a4310e210&amp;_ss=r","17.0")</f>
        <v>17.0</v>
      </c>
      <c r="I168" t="s">
        <v>15</v>
      </c>
      <c r="J168" s="42" t="str">
        <f>HYPERLINK("https://www.greenweez.com/produit/marinade-teriyaki-20cl/1FITN0068","19.7")</f>
        <v>19.7</v>
      </c>
      <c r="K168" t="s">
        <v>15</v>
      </c>
    </row>
    <row r="169" spans="1:12" x14ac:dyDescent="0.3">
      <c r="A169" t="s">
        <v>383</v>
      </c>
      <c r="B169" s="42" t="str">
        <f>HYPERLINK("https://lafourche.fr/products/prosain-coulis-de-tomates-du-sud-ouest-bio-425ml","3.51")</f>
        <v>3.51</v>
      </c>
      <c r="C169" t="s">
        <v>15</v>
      </c>
      <c r="D169" s="42" t="str">
        <f>HYPERLINK("https://www.biocoop.fr/magasin-biocoop_champollion/coulis-de-tomates-pr5266-000.html","4.27")</f>
        <v>4.27</v>
      </c>
      <c r="E169" t="s">
        <v>15</v>
      </c>
      <c r="F169" s="42" t="str">
        <f>HYPERLINK("https://www.biocoop.fr/magasin-biocoop_fontaine/coulis-de-tomates-pr5266-000.html","4.27")</f>
        <v>4.27</v>
      </c>
      <c r="G169" t="s">
        <v>15</v>
      </c>
      <c r="H169" s="42" t="str">
        <f>HYPERLINK("https://satoriz-comboire.bio/products/tdsppr5?_pos=4&amp;_sid=41218c552&amp;_ss=r","4.12")</f>
        <v>4.12</v>
      </c>
      <c r="I169" t="s">
        <v>15</v>
      </c>
      <c r="J169" s="37" t="str">
        <f>HYPERLINK("https://www.greenweez.com/produit/coulis-de-tomates-bio-500g/2WEEZ0415","2.28")</f>
        <v>2.28</v>
      </c>
      <c r="K169" s="38" t="s">
        <v>732</v>
      </c>
      <c r="L169">
        <v>0.5</v>
      </c>
    </row>
    <row r="170" spans="1:12" x14ac:dyDescent="0.3">
      <c r="A170" t="s">
        <v>385</v>
      </c>
      <c r="B170" s="37" t="str">
        <f>HYPERLINK("https://lafourche.fr/products/la-fourche-passata-bio-0-68kg","2.28")</f>
        <v>2.28</v>
      </c>
      <c r="C170" s="38" t="s">
        <v>848</v>
      </c>
      <c r="D170" s="42" t="str">
        <f>HYPERLINK("https://www.biocoop.fr/magasin-biocoop_champollion/sauce-tomate-passata-rustique-510g-ts5102-000.html","5.86")</f>
        <v>5.86</v>
      </c>
      <c r="E170" t="s">
        <v>15</v>
      </c>
      <c r="F170" s="42" t="str">
        <f>HYPERLINK("https://www.biocoop.fr/magasin-biocoop_fontaine/sauce-tomate-passata-rustique-510g-ts5102-000.html","5.49")</f>
        <v>5.49</v>
      </c>
      <c r="G170" t="s">
        <v>15</v>
      </c>
      <c r="H170" s="37" t="str">
        <f>HYPERLINK("https://satoriz-comboire.bio/products/re43264?_pos=1&amp;_sid=c9497427a&amp;_ss=r","2.28")</f>
        <v>2.28</v>
      </c>
      <c r="I170" t="s">
        <v>15</v>
      </c>
      <c r="J170" s="42" t="str">
        <f>HYPERLINK("https://www.greenweez.com/produit/sauce-tomate-passata-nature-690g-1/1LUCE0026","2.94")</f>
        <v>2.94</v>
      </c>
      <c r="K170" s="40" t="s">
        <v>849</v>
      </c>
    </row>
    <row r="171" spans="1:12" x14ac:dyDescent="0.3">
      <c r="A171" t="s">
        <v>389</v>
      </c>
      <c r="B171" s="37" t="str">
        <f>HYPERLINK("https://lafourche.fr/products/bio-pour-tous-passata-basilic-bio-0-68kg","2.35")</f>
        <v>2.35</v>
      </c>
      <c r="C171" s="38" t="s">
        <v>850</v>
      </c>
      <c r="D171" s="42" t="str">
        <f>HYPERLINK("https://www.biocoop.fr/magasin-biocoop_champollion/sauce-tomate-basilic-300g-ts5100-000.html","7.0")</f>
        <v>7.0</v>
      </c>
      <c r="E171" t="s">
        <v>15</v>
      </c>
      <c r="F171" s="42" t="str">
        <f>HYPERLINK("https://www.biocoop.fr/magasin-biocoop_fontaine/passata-au-basilic-350g-ts5128-000.html","6.0")</f>
        <v>6.0</v>
      </c>
      <c r="G171" t="s">
        <v>15</v>
      </c>
      <c r="H171" s="37" t="str">
        <f>HYPERLINK("https://satoriz-comboire.bio/collections/epicerie-salee/products/re43265","2.35")</f>
        <v>2.35</v>
      </c>
      <c r="I171" t="s">
        <v>15</v>
      </c>
      <c r="J171" s="42" t="str">
        <f>HYPERLINK("https://www.greenweez.com/produit/passata-basilic-680g/1LUCE0028","3.47")</f>
        <v>3.47</v>
      </c>
      <c r="K171" s="40" t="s">
        <v>733</v>
      </c>
    </row>
    <row r="172" spans="1:12" x14ac:dyDescent="0.3">
      <c r="A172" t="s">
        <v>393</v>
      </c>
      <c r="B172" s="37" t="str">
        <f>HYPERLINK("https://lafourche.fr/products/la-fourche-tomates-pelees-bio-800g-0-8kg","2.37")</f>
        <v>2.37</v>
      </c>
      <c r="C172" t="s">
        <v>15</v>
      </c>
      <c r="D172" s="42" t="str">
        <f>HYPERLINK("https://www.biocoop.fr/magasin-biocoop_champollion/tomates-entieres-pelees-240g-net-egoutte-ca0004-000.html","8.17")</f>
        <v>8.17</v>
      </c>
      <c r="E172" t="s">
        <v>15</v>
      </c>
      <c r="F172" s="42" t="str">
        <f>HYPERLINK("https://www.biocoop.fr/magasin-biocoop_fontaine/tomates-entieres-pelees-480g-net-egoutte-ca0014-000.html","5.52")</f>
        <v>5.52</v>
      </c>
      <c r="G172" t="s">
        <v>15</v>
      </c>
      <c r="H172" s="42" t="str">
        <f>HYPERLINK("https://satoriz-comboire.bio/products/re43269?_pos=1&amp;_sid=31eef6622&amp;_ss=r","4.27")</f>
        <v>4.27</v>
      </c>
      <c r="I172" t="s">
        <v>15</v>
      </c>
      <c r="J172" s="42" t="str">
        <f>HYPERLINK("https://www.greenweez.com/produit/tomates-pelees-format-familial-800g/1LUCE0032","3.35")</f>
        <v>3.35</v>
      </c>
      <c r="K172" t="s">
        <v>15</v>
      </c>
    </row>
    <row r="173" spans="1:12" x14ac:dyDescent="0.3">
      <c r="A173" t="s">
        <v>396</v>
      </c>
      <c r="B173" s="37" t="str">
        <f>HYPERLINK("https://lafourche.fr/products/la-fourche-tomates-concassees-bio-800g-0-8kg","2.44")</f>
        <v>2.44</v>
      </c>
      <c r="C173" t="s">
        <v>15</v>
      </c>
      <c r="D173" s="42" t="str">
        <f>HYPERLINK("https://www.biocoop.fr/magasin-biocoop_champollion/tomates-concassees-400g-ca0006-000.html","4.45")</f>
        <v>4.45</v>
      </c>
      <c r="E173" t="s">
        <v>15</v>
      </c>
      <c r="F173" s="42" t="str">
        <f>HYPERLINK("https://www.biocoop.fr/magasin-biocoop_fontaine/tomates-concassees-400g-ca0006-000.html","3.5")</f>
        <v>3.5</v>
      </c>
      <c r="G173" t="s">
        <v>15</v>
      </c>
      <c r="H173" s="42" t="str">
        <f>HYPERLINK("https://satoriz-comboire.bio/products/re43267?_pos=1&amp;_psq=Tomates%20concass%C3%A9e&amp;_ss=e&amp;_v=1.0","4.38")</f>
        <v>4.38</v>
      </c>
      <c r="I173" t="s">
        <v>15</v>
      </c>
      <c r="J173" s="42" t="str">
        <f>HYPERLINK("https://www.greenweez.com/produit/tomates-concassees-400g-1/1LUCE0025","4.1")</f>
        <v>4.1</v>
      </c>
      <c r="K173" t="s">
        <v>15</v>
      </c>
    </row>
    <row r="175" spans="1:12" ht="18.75" customHeight="1" x14ac:dyDescent="0.35">
      <c r="A175" s="33" t="s">
        <v>398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</row>
    <row r="176" spans="1:12" x14ac:dyDescent="0.3">
      <c r="A176" s="35" t="s">
        <v>399</v>
      </c>
      <c r="B176" s="36"/>
      <c r="C176" s="36"/>
      <c r="D176" s="36"/>
      <c r="E176" s="36"/>
      <c r="F176" s="36"/>
      <c r="G176" s="36"/>
      <c r="H176" s="36"/>
      <c r="I176" s="36"/>
      <c r="J176" s="36"/>
      <c r="K176" s="36"/>
    </row>
    <row r="177" spans="1:12" x14ac:dyDescent="0.3">
      <c r="A177" t="s">
        <v>400</v>
      </c>
      <c r="B177" s="37" t="str">
        <f>HYPERLINK("https://lafourche.fr/products/la-pateliere-arome-naturel-fleur-d-oranger-bio-1l","7.39")</f>
        <v>7.39</v>
      </c>
      <c r="D177" s="42" t="str">
        <f>HYPERLINK("https://www.biocoop.fr/magasin-biocoop_champollion/eau-de-fleur-d-oranger-50ml-ck2004-000.html","72.0")</f>
        <v>72.0</v>
      </c>
      <c r="F177" s="42" t="str">
        <f>HYPERLINK("https://www.biocoop.fr/magasin-biocoop_fontaine/eau-de-fleur-d-oranger-50ml-ck2004-000.html","73.0")</f>
        <v>73.0</v>
      </c>
      <c r="H177" s="42" t="str">
        <f>HYPERLINK("https://satoriz-comboire.bio/collections/epicerie-sucree/products/sero20201","10.45")</f>
        <v>10.45</v>
      </c>
      <c r="J177" s="42" t="str">
        <f>HYPERLINK("https://www.greenweez.com/produit/eau-florale-de-fleur-doranger-200ml/1LADR0102","33.3")</f>
        <v>33.3</v>
      </c>
    </row>
    <row r="178" spans="1:12" x14ac:dyDescent="0.3">
      <c r="A178" t="s">
        <v>401</v>
      </c>
      <c r="B178" s="37" t="str">
        <f>HYPERLINK("https://lafourche.fr/products/culinat-arome-naturel-damande-amere-bio-0-06l","57.17")</f>
        <v>57.17</v>
      </c>
      <c r="D178" s="42" t="str">
        <f>HYPERLINK("https://www.biocoop.fr/magasin-biocoop_champollion/arome-amande-amere-60ml-bp5140-000.html","888888")</f>
        <v>888888</v>
      </c>
      <c r="F178" s="42" t="str">
        <f>HYPERLINK("https://www.biocoop.fr/magasin-biocoop_fontaine/arome-amande-amere-60ml-bp5140-000.html","62.5")</f>
        <v>62.5</v>
      </c>
      <c r="H178">
        <v>888888</v>
      </c>
      <c r="J178" s="42" t="str">
        <f>HYPERLINK("https://www.greenweez.com/produit/arome-naturel-damande-amere-60ml/1CULI0015","66.5")</f>
        <v>66.5</v>
      </c>
    </row>
    <row r="179" spans="1:12" x14ac:dyDescent="0.3">
      <c r="A179" t="s">
        <v>402</v>
      </c>
      <c r="B179" s="42" t="str">
        <f>HYPERLINK("https://lafourche.fr/products/cook-extrait-de-vanille-40ml","269")</f>
        <v>269</v>
      </c>
      <c r="D179" s="42" t="str">
        <f>HYPERLINK("https://www.biocoop.fr/magasin-biocoop_champollion/extrait-naturel-de-vanille-bourbon-40ml-da9015-000.html","287.5")</f>
        <v>287.5</v>
      </c>
      <c r="F179" s="42" t="str">
        <f>HYPERLINK("https://www.biocoop.fr/magasin-biocoop_fontaine/extrait-naturel-de-vanille-bourbon-40ml-da9015-000.html","888888")</f>
        <v>888888</v>
      </c>
      <c r="H179" s="37" t="str">
        <f>HYPERLINK("https://satoriz-comboire.bio/collections/epicerie-sucree/products/cova","263.75")</f>
        <v>263.75</v>
      </c>
      <c r="J179" s="42" t="str">
        <f>HYPERLINK("https://www.greenweez.com/produit/extrait-de-vanille-30ml/6NATU0064","294.33")</f>
        <v>294.33</v>
      </c>
    </row>
    <row r="180" spans="1:12" x14ac:dyDescent="0.3">
      <c r="A180" t="s">
        <v>403</v>
      </c>
      <c r="B180" s="42" t="str">
        <f>HYPERLINK("https://lafourche.fr/products/cook-vanille-gousse-poudre-10g","1099")</f>
        <v>1099</v>
      </c>
      <c r="D180">
        <v>888888</v>
      </c>
      <c r="F180">
        <v>888888</v>
      </c>
      <c r="H180" s="37" t="str">
        <f>HYPERLINK("https://satoriz-comboire.bio/collections/epicerie-sucree/products/covanil1","1040.0")</f>
        <v>1040.0</v>
      </c>
      <c r="J180" s="42" t="str">
        <f>HYPERLINK("https://www.greenweez.com/produit/vanille-poudre-bio-10g/1COOK0108","1194.0")</f>
        <v>1194.0</v>
      </c>
    </row>
    <row r="181" spans="1:12" x14ac:dyDescent="0.3">
      <c r="A181" t="s">
        <v>404</v>
      </c>
      <c r="B181" s="37" t="str">
        <f>HYPERLINK("https://lafourche.fr/products/culinat-poudre-a-lever-sans-phosphate-bio-8x10g","15.13")</f>
        <v>15.13</v>
      </c>
      <c r="D181" s="42" t="str">
        <f>HYPERLINK("https://www.biocoop.fr/magasin-biocoop_champollion/poudre-a-lever-sans-gluten-8x10g-bp5153-000.html","888888")</f>
        <v>888888</v>
      </c>
      <c r="F181" s="42" t="str">
        <f>HYPERLINK("https://www.biocoop.fr/magasin-biocoop_fontaine/poudre-a-lever-sans-gluten-8x10g-bp5153-000.html","19.75")</f>
        <v>19.75</v>
      </c>
      <c r="H181" s="42" t="str">
        <f>HYPERLINK("https://satoriz-comboire.bio/products/pu7980?_pos=2&amp;_sid=ac4ce57b8&amp;_ss=r","16.67")</f>
        <v>16.67</v>
      </c>
      <c r="J181" s="42" t="str">
        <f>HYPERLINK("https://www.greenweez.com/produit/poudre-a-lever-sans-phosphate-sans-gluten-8x10g/1CULI0011","17.75")</f>
        <v>17.75</v>
      </c>
    </row>
    <row r="182" spans="1:12" x14ac:dyDescent="0.3">
      <c r="A182" t="s">
        <v>405</v>
      </c>
      <c r="B182" s="37" t="str">
        <f>HYPERLINK("https://lafourche.fr/products/natali-levure-boulangere-seche-54g","79.44")</f>
        <v>79.44</v>
      </c>
      <c r="D182" s="42" t="str">
        <f>HYPERLINK("https://www.biocoop.fr/magasin-biocoop_champollion/levure-boulangere-active-9g-ag2001-000.html","105.56")</f>
        <v>105.56</v>
      </c>
      <c r="F182" s="42" t="str">
        <f>HYPERLINK("https://www.biocoop.fr/magasin-biocoop_fontaine/levure-boulangere-active-9g-ag2001-000.html","105.56")</f>
        <v>105.56</v>
      </c>
      <c r="H182" s="42" t="str">
        <f>HYPERLINK("https://satoriz-comboire.bio/products/ralesa?_pos=3&amp;_sid=177cf0bd8&amp;_ss=r","88.89")</f>
        <v>88.89</v>
      </c>
      <c r="J182" s="42" t="str">
        <f>HYPERLINK("https://www.greenweez.com/produit/levure-boulangere-deshydratee-9-g/1RAPU0061","105.56")</f>
        <v>105.56</v>
      </c>
    </row>
    <row r="183" spans="1:12" x14ac:dyDescent="0.3">
      <c r="A183" t="s">
        <v>406</v>
      </c>
      <c r="B183" s="37" t="str">
        <f>HYPERLINK("https://lafourche.fr/products/natali-agar-agar-bio-en-poudre-50g","108.6")</f>
        <v>108.6</v>
      </c>
      <c r="D183" s="42" t="str">
        <f>HYPERLINK("https://www.biocoop.fr/magasin-biocoop_champollion/agar-agar-5x4g-na5186-000.html","175.0")</f>
        <v>175.0</v>
      </c>
      <c r="F183" s="42" t="str">
        <f>HYPERLINK("https://www.biocoop.fr/magasin-biocoop_fontaine/agar-agar-5x4g-na5186-000.html","175.0")</f>
        <v>175.0</v>
      </c>
      <c r="H183" s="42" t="str">
        <f>HYPERLINK("https://satoriz-comboire.bio/collections/epicerie-sucree/products/na510120","123.0")</f>
        <v>123.0</v>
      </c>
      <c r="J183" s="42" t="str">
        <f>HYPERLINK("https://www.greenweez.com/produit/agar-agar-5-sachets-de-4g/6NATU0140","166.0")</f>
        <v>166.0</v>
      </c>
    </row>
    <row r="184" spans="1:12" x14ac:dyDescent="0.3">
      <c r="A184" t="s">
        <v>407</v>
      </c>
      <c r="B184" s="42" t="str">
        <f>HYPERLINK("https://lafourche.fr/products/la-fourche-noix-de-coco-rapee-bio-en-vrac-0-5kg","7")</f>
        <v>7</v>
      </c>
      <c r="D184" s="42" t="str">
        <f>HYPERLINK("https://www.biocoop.fr/magasin-biocoop_champollion/noix-de-coco-rapee-philippines-bio-by0922-000.html","10.7")</f>
        <v>10.7</v>
      </c>
      <c r="F184" s="42" t="str">
        <f>HYPERLINK("https://www.biocoop.fr/magasin-biocoop_fontaine/noix-de-coco-rapee-philippines-bio-by0922-000.html","8.9")</f>
        <v>8.9</v>
      </c>
      <c r="H184" s="37" t="str">
        <f>HYPERLINK("https://satoriz-comboire.bio/products/ag0103?_pos=1&amp;_sid=044dfd52e&amp;_ss=r","5.95")</f>
        <v>5.95</v>
      </c>
      <c r="J184" s="42" t="str">
        <f>HYPERLINK("https://www.greenweez.com/produit/noix-de-coco-rapee-250g/1MKAL0101","9.24")</f>
        <v>9.24</v>
      </c>
    </row>
    <row r="185" spans="1:12" x14ac:dyDescent="0.3">
      <c r="A185" s="35" t="s">
        <v>408</v>
      </c>
      <c r="B185" s="36"/>
      <c r="C185" s="36"/>
      <c r="D185" s="36"/>
      <c r="E185" s="36"/>
      <c r="F185" s="36"/>
      <c r="G185" s="36"/>
      <c r="H185" s="36"/>
      <c r="I185" s="36"/>
      <c r="J185" s="36"/>
      <c r="K185" s="36"/>
    </row>
    <row r="186" spans="1:12" x14ac:dyDescent="0.3">
      <c r="A186" t="s">
        <v>409</v>
      </c>
      <c r="B186" s="37" t="str">
        <f>HYPERLINK("https://lafourche.fr/products/la-fourche-cookies-gout-tout-choco-bio-0-175kg","11.37")</f>
        <v>11.37</v>
      </c>
      <c r="C186" t="s">
        <v>15</v>
      </c>
      <c r="D186" s="42" t="str">
        <f>HYPERLINK("https://www.biocoop.fr/magasin-biocoop_champollion/cookie-cacao-et-pepites-de-chocolat-12-200g-ba7001-000.html","12.25")</f>
        <v>12.25</v>
      </c>
      <c r="E186" t="s">
        <v>15</v>
      </c>
      <c r="F186" s="42" t="str">
        <f>HYPERLINK("https://www.biocoop.fr/magasin-biocoop_fontaine/cookie-cacao-et-pepites-de-chocolat-12-200g-ba7001-000.html","12.25")</f>
        <v>12.25</v>
      </c>
      <c r="G186" t="s">
        <v>15</v>
      </c>
      <c r="H186" s="42" t="str">
        <f>HYPERLINK("https://satoriz-comboire.bio/products/mpi1vr002?_pos=2&amp;_psq=cookies&amp;_ss=e&amp;_v=1.0","15.2")</f>
        <v>15.2</v>
      </c>
      <c r="I186" t="s">
        <v>15</v>
      </c>
      <c r="J186" s="42" t="str">
        <f>HYPERLINK("https://www.greenweez.com/produit/cookies-tout-chocolat-1-5kg/2BELL0421","24.54")</f>
        <v>24.54</v>
      </c>
      <c r="K186" t="s">
        <v>15</v>
      </c>
      <c r="L186">
        <v>0.2</v>
      </c>
    </row>
    <row r="187" spans="1:12" x14ac:dyDescent="0.3">
      <c r="A187" t="s">
        <v>410</v>
      </c>
      <c r="B187" s="37" t="str">
        <f>HYPERLINK("https://lafourche.fr/products/la-fourche-petits-beurres-bio-0-15kg","9.13")</f>
        <v>9.13</v>
      </c>
      <c r="C187" s="40" t="s">
        <v>851</v>
      </c>
      <c r="D187" s="42" t="str">
        <f>HYPERLINK("https://www.biocoop.fr/magasin-biocoop_champollion/biscuit-petit-beurre-ble-complet-15-140g-ba7000-000.html","11.43")</f>
        <v>11.43</v>
      </c>
      <c r="E187" t="s">
        <v>15</v>
      </c>
      <c r="F187" s="42" t="str">
        <f>HYPERLINK("https://www.biocoop.fr/magasin-biocoop_fontaine/biscuit-petit-beurre-ble-complet-15-140g-ba7000-000.html","11.43")</f>
        <v>11.43</v>
      </c>
      <c r="G187" t="s">
        <v>15</v>
      </c>
      <c r="H187" s="42" t="str">
        <f>HYPERLINK("https://satoriz-comboire.bio/products/eu279?_pos=1&amp;_sid=e4bdc4aa2&amp;_ss=r","15.33")</f>
        <v>15.33</v>
      </c>
      <c r="I187" t="s">
        <v>15</v>
      </c>
      <c r="J187" s="42" t="str">
        <f>HYPERLINK("https://www.greenweez.com/produit/biscuits-ptit-beurre-155g/2MOUL0011","16.65")</f>
        <v>16.65</v>
      </c>
      <c r="K187" t="s">
        <v>15</v>
      </c>
    </row>
    <row r="188" spans="1:12" x14ac:dyDescent="0.3">
      <c r="A188" t="s">
        <v>411</v>
      </c>
      <c r="B188" s="37" t="str">
        <f>HYPERLINK("https://lafourche.fr/products/bio-pour-tous-petits-beurres-chocolat-noir-bio-0-15kg","15")</f>
        <v>15</v>
      </c>
      <c r="C188" s="38" t="s">
        <v>852</v>
      </c>
      <c r="D188" s="42" t="str">
        <f>HYPERLINK("https://www.biocoop.fr/magasin-biocoop_champollion/biscuit-petit-beurre-chocolat-noir-150g-bv5002-000.html","19.93")</f>
        <v>19.93</v>
      </c>
      <c r="E188" s="40" t="s">
        <v>735</v>
      </c>
      <c r="F188" s="42" t="str">
        <f>HYPERLINK("https://www.biocoop.fr/magasin-biocoop_fontaine/biscuit-petit-beurre-chocolat-noir-150g-bv5002-000.html","19.93")</f>
        <v>19.93</v>
      </c>
      <c r="G188" s="40" t="s">
        <v>735</v>
      </c>
      <c r="H188" s="42" t="str">
        <f>HYPERLINK("https://satoriz-comboire.bio/products/re41657?_pos=7&amp;_sid=e4bdc4aa2&amp;_ss=r","16.0")</f>
        <v>16.0</v>
      </c>
      <c r="I188" t="s">
        <v>15</v>
      </c>
      <c r="J188" s="42" t="str">
        <f>HYPERLINK("https://www.greenweez.com/produit/ptits-beurre-chocolat-noir-150g/1BTER0166","32.0")</f>
        <v>32.0</v>
      </c>
      <c r="K188" t="s">
        <v>15</v>
      </c>
      <c r="L188">
        <v>0.2</v>
      </c>
    </row>
    <row r="189" spans="1:12" x14ac:dyDescent="0.3">
      <c r="A189" t="s">
        <v>412</v>
      </c>
      <c r="B189" s="37" t="str">
        <f>HYPERLINK("https://lafourche.fr/products/bonneterre-genoises-chocolat-coeur-orange-bio-0-15kg","19")</f>
        <v>19</v>
      </c>
      <c r="C189" t="s">
        <v>15</v>
      </c>
      <c r="D189" s="42" t="str">
        <f>HYPERLINK("https://www.biocoop.fr/magasin-biocoop_champollion/biscuit-nappe-orange-noir-tentation-130g-ca1141-000.html","28.46")</f>
        <v>28.46</v>
      </c>
      <c r="E189" t="s">
        <v>15</v>
      </c>
      <c r="F189" s="42" t="str">
        <f>HYPERLINK("https://www.biocoop.fr/magasin-biocoop_fontaine/biscuit-nappe-orange-noir-tentation-130g-ca1141-000.html","888888")</f>
        <v>888888</v>
      </c>
      <c r="G189" s="39" t="s">
        <v>99</v>
      </c>
      <c r="H189" s="42" t="str">
        <f>HYPERLINK("https://satoriz-comboire.bio/collections/epicerie-sucree/products/mpie006","25.77")</f>
        <v>25.77</v>
      </c>
      <c r="I189" t="s">
        <v>15</v>
      </c>
      <c r="J189" s="42" t="str">
        <f>HYPERLINK("https://www.greenweez.com/produit/biscuits-tentation-orange-130g/2MOUL0007","888888")</f>
        <v>888888</v>
      </c>
      <c r="K189" s="39" t="s">
        <v>99</v>
      </c>
    </row>
    <row r="190" spans="1:12" x14ac:dyDescent="0.3">
      <c r="A190" t="s">
        <v>413</v>
      </c>
      <c r="B190" s="42" t="str">
        <f>HYPERLINK("https://lafourche.fr/products/bio-pour-tous-gouters-fourres-ronds-chocolat-noir-bio-0-185kg","13.89")</f>
        <v>13.89</v>
      </c>
      <c r="C190" t="s">
        <v>15</v>
      </c>
      <c r="D190" s="37" t="str">
        <f>HYPERLINK("https://www.biocoop.fr/magasin-biocoop_champollion/biscuit-fourre-epeautre-cacao-15-pm1899-000.html","9.97")</f>
        <v>9.97</v>
      </c>
      <c r="E190" t="s">
        <v>15</v>
      </c>
      <c r="F190" s="37" t="str">
        <f>HYPERLINK("https://www.biocoop.fr/magasin-biocoop_fontaine/biscuit-fourre-epeautre-cacao-15-pm1899-000.html","9.97")</f>
        <v>9.97</v>
      </c>
      <c r="G190" t="s">
        <v>15</v>
      </c>
      <c r="H190" s="42" t="str">
        <f>HYPERLINK("https://satoriz-comboire.bio/collections/epicerie-sucree/products/re41660","12.97")</f>
        <v>12.97</v>
      </c>
      <c r="I190" t="s">
        <v>15</v>
      </c>
      <c r="J190" s="42" t="str">
        <f>HYPERLINK("https://www.greenweez.com/produit/gouter-chocolat-noir-225g/3EVER0030","13.69")</f>
        <v>13.69</v>
      </c>
      <c r="K190" s="38" t="s">
        <v>853</v>
      </c>
      <c r="L190">
        <v>0.2</v>
      </c>
    </row>
    <row r="191" spans="1:12" x14ac:dyDescent="0.3">
      <c r="A191" t="s">
        <v>414</v>
      </c>
      <c r="B191" s="37" t="str">
        <f>HYPERLINK("https://lafourche.fr/products/moulin-des-moines-boudoirs-princesse-bio-200g","9.95")</f>
        <v>9.95</v>
      </c>
      <c r="C191" t="s">
        <v>15</v>
      </c>
      <c r="D191" s="42" t="str">
        <f>HYPERLINK("https://www.biocoop.fr/magasin-biocoop_champollion/boudoirs-aux-oeufs-frais-30-175g-bv6000-000.html","14.0")</f>
        <v>14.0</v>
      </c>
      <c r="E191" t="s">
        <v>15</v>
      </c>
      <c r="F191" s="42" t="str">
        <f>HYPERLINK("https://www.biocoop.fr/magasin-biocoop_fontaine/boudoirs-aux-oeufs-frais-30-175g-bv6000-000.html","14.0")</f>
        <v>14.0</v>
      </c>
      <c r="G191" t="s">
        <v>15</v>
      </c>
      <c r="H191" s="42" t="str">
        <f>HYPERLINK("https://satoriz-comboire.bio/products/re41663?_pos=2&amp;_sid=8a641806d&amp;_ss=r","12.57")</f>
        <v>12.57</v>
      </c>
      <c r="I191" t="s">
        <v>15</v>
      </c>
      <c r="J191" s="42" t="str">
        <f>HYPERLINK("https://www.greenweez.com/produit/boudoirs-200g/1MOUL0009","11.1")</f>
        <v>11.1</v>
      </c>
      <c r="K191" t="s">
        <v>15</v>
      </c>
    </row>
    <row r="192" spans="1:12" x14ac:dyDescent="0.3">
      <c r="A192" t="s">
        <v>415</v>
      </c>
      <c r="B192" s="37" t="str">
        <f>HYPERLINK("https://lafourche.fr/products/la-fourche-biscuits-petit-dejeuner-choco-noisette-bio-0-2kg","12.4")</f>
        <v>12.4</v>
      </c>
      <c r="C192" t="s">
        <v>15</v>
      </c>
      <c r="D192">
        <v>888888</v>
      </c>
      <c r="F192">
        <v>888888</v>
      </c>
      <c r="H192" s="42" t="str">
        <f>HYPERLINK("https://satoriz-comboire.bio/collections/epicerie-sucree/products/mpi0534","16.05")</f>
        <v>16.05</v>
      </c>
      <c r="I192" t="s">
        <v>15</v>
      </c>
      <c r="J192" s="42" t="str">
        <f>HYPERLINK("https://www.greenweez.com/produit/ptit-dej-bio-cereales-chocolat-190g/2MOUL0024","16.79")</f>
        <v>16.79</v>
      </c>
      <c r="K192" t="s">
        <v>15</v>
      </c>
    </row>
    <row r="193" spans="1:12" x14ac:dyDescent="0.3">
      <c r="A193" t="s">
        <v>416</v>
      </c>
      <c r="B193" s="37" t="str">
        <f>HYPERLINK("https://lafourche.fr/products/biscuits-ptit-dej-cereales-miel-et-chocolat","14.11")</f>
        <v>14.11</v>
      </c>
      <c r="C193" t="s">
        <v>15</v>
      </c>
      <c r="D193" s="42" t="str">
        <f>HYPERLINK("https://www.biocoop.fr/magasin-biocoop_champollion/biscuit-cereales-miel-chocolat-190g-ca1149-000.html","17.11")</f>
        <v>17.11</v>
      </c>
      <c r="E193" t="s">
        <v>15</v>
      </c>
      <c r="F193" s="42" t="str">
        <f>HYPERLINK("https://www.biocoop.fr/magasin-biocoop_fontaine/biscuit-cereales-miel-chocolat-190g-ca1149-000.html","17.37")</f>
        <v>17.37</v>
      </c>
      <c r="G193" t="s">
        <v>15</v>
      </c>
      <c r="H193" s="42" t="str">
        <f>HYPERLINK("https://satoriz-comboire.bio/collections/epicerie-sucree/products/mpi0534","16.05")</f>
        <v>16.05</v>
      </c>
      <c r="I193" t="s">
        <v>15</v>
      </c>
      <c r="J193" s="42" t="str">
        <f>HYPERLINK("https://www.greenweez.com/produit/ptit-dej-bio-chocolat-miel-190g/2MOUL0025","16.79")</f>
        <v>16.79</v>
      </c>
      <c r="K193" t="s">
        <v>15</v>
      </c>
      <c r="L193">
        <v>0.2</v>
      </c>
    </row>
    <row r="194" spans="1:12" x14ac:dyDescent="0.3">
      <c r="A194" s="35" t="s">
        <v>417</v>
      </c>
      <c r="B194" s="36"/>
      <c r="C194" s="36"/>
      <c r="D194" s="36"/>
      <c r="E194" s="36"/>
      <c r="F194" s="36"/>
      <c r="G194" s="36"/>
      <c r="H194" s="36"/>
      <c r="I194" s="36"/>
      <c r="J194" s="36"/>
      <c r="K194" s="36"/>
    </row>
    <row r="195" spans="1:12" x14ac:dyDescent="0.3">
      <c r="A195" t="s">
        <v>418</v>
      </c>
      <c r="B195" s="37" t="str">
        <f>HYPERLINK("https://lafourche.fr/products/la-fourche-palets-de-chocolat-noir-50-equitables-et-bio-en-vrac-0-5kg","9.58")</f>
        <v>9.58</v>
      </c>
      <c r="C195" s="40" t="s">
        <v>839</v>
      </c>
      <c r="D195" s="42" t="str">
        <f>HYPERLINK("https://www.biocoop.fr/magasin-biocoop_champollion/chocolat-noir-dessert-palets-58-bio-po0450-000.html","13.9")</f>
        <v>13.9</v>
      </c>
      <c r="E195" t="s">
        <v>15</v>
      </c>
      <c r="F195" s="42" t="str">
        <f>HYPERLINK("https://www.biocoop.fr/magasin-biocoop_fontaine/chocolat-noir-palet-54-bio-da9010-000.html","13.9")</f>
        <v>13.9</v>
      </c>
      <c r="G195" t="s">
        <v>15</v>
      </c>
      <c r="H195" s="42" t="str">
        <f>HYPERLINK("https://satoriz-comboire.bio/collections/vrac/products/ma8069","15.2")</f>
        <v>15.2</v>
      </c>
      <c r="I195" t="s">
        <v>15</v>
      </c>
      <c r="J195" s="42" t="str">
        <f>HYPERLINK("https://www.greenweez.com/produit/palets-de-chocolat-noir-58-1kg/1KAOK0016","21.48")</f>
        <v>21.48</v>
      </c>
      <c r="K195" t="s">
        <v>15</v>
      </c>
    </row>
    <row r="196" spans="1:12" x14ac:dyDescent="0.3">
      <c r="A196" t="s">
        <v>422</v>
      </c>
      <c r="B196" s="42" t="str">
        <f>HYPERLINK("https://lafourche.fr/products/la-fourche-pepites-de-chocolat-noir-60-bio-equitable-2-5kg","15.41")</f>
        <v>15.41</v>
      </c>
      <c r="C196" t="s">
        <v>15</v>
      </c>
      <c r="D196" s="42" t="str">
        <f>HYPERLINK("https://www.biocoop.fr/magasin-biocoop_champollion/chocolat-noir-pepites-60-by0943-000.html","26.0")</f>
        <v>26.0</v>
      </c>
      <c r="E196" s="40" t="s">
        <v>738</v>
      </c>
      <c r="F196" s="37" t="str">
        <f>HYPERLINK("https://www.biocoop.fr/magasin-biocoop_fontaine/chocolat-noir-pepites-60-bio-po0448-000.html","12.95")</f>
        <v>12.95</v>
      </c>
      <c r="G196" t="s">
        <v>15</v>
      </c>
      <c r="H196" s="42" t="str">
        <f>HYPERLINK("https://satoriz-comboire.bio/collections/vrac/products/ma73001","15.4")</f>
        <v>15.4</v>
      </c>
      <c r="I196" t="s">
        <v>15</v>
      </c>
      <c r="J196" s="42" t="str">
        <f>HYPERLINK("https://www.greenweez.com/produit/pepites-de-chocolat-noir-60-de-cacao-5kg/1SENF0062","15.9")</f>
        <v>15.9</v>
      </c>
      <c r="K196" s="38" t="s">
        <v>739</v>
      </c>
      <c r="L196">
        <v>0.2</v>
      </c>
    </row>
    <row r="197" spans="1:12" x14ac:dyDescent="0.3">
      <c r="A197" t="s">
        <v>425</v>
      </c>
      <c r="B197" s="37" t="str">
        <f>HYPERLINK("https://lafourche.fr/products/la-fourche-pepites-de-chocolat-au-lait-36-equitables-et-bio-en-vrac-0-5kg","15.78")</f>
        <v>15.78</v>
      </c>
      <c r="C197" t="s">
        <v>15</v>
      </c>
      <c r="D197" s="42" t="str">
        <f>HYPERLINK("https://www.biocoop.fr/magasin-biocoop_champollion/chocolat-lait-pepites-38-bio-da9007-000.html","888888")</f>
        <v>888888</v>
      </c>
      <c r="E197" s="39" t="s">
        <v>99</v>
      </c>
      <c r="F197" s="42" t="str">
        <f>HYPERLINK("https://www.biocoop.fr/magasin-biocoop_fontaine/chocolat-lait-pepites-38-bio-da9007-000.html","15.9")</f>
        <v>15.9</v>
      </c>
      <c r="G197" t="s">
        <v>15</v>
      </c>
      <c r="H197" s="42" t="str">
        <f>HYPERLINK("https://satoriz-comboire.bio/collections/vrac/products/ma00074","21.8")</f>
        <v>21.8</v>
      </c>
      <c r="I197" t="s">
        <v>15</v>
      </c>
      <c r="J197" s="42" t="str">
        <f>HYPERLINK("https://www.greenweez.com/produit/pepites-de-chocolat-au-lait-36-bio-et-equitables-500g/2WEEZ0400","23.88")</f>
        <v>23.88</v>
      </c>
      <c r="K197" t="s">
        <v>15</v>
      </c>
    </row>
    <row r="198" spans="1:12" x14ac:dyDescent="0.3">
      <c r="A198" t="s">
        <v>427</v>
      </c>
      <c r="B198" s="42" t="str">
        <f>HYPERLINK("https://lafourche.fr/products/chocolat-patissier-56-bio","14.75")</f>
        <v>14.75</v>
      </c>
      <c r="C198" t="s">
        <v>15</v>
      </c>
      <c r="D198" s="37" t="str">
        <f>HYPERLINK("https://www.biocoop.fr/magasin-biocoop_champollion/chocolat-noir-dessert-200g-bc4078-000.html","13.5")</f>
        <v>13.5</v>
      </c>
      <c r="E198" t="s">
        <v>15</v>
      </c>
      <c r="F198" s="42" t="str">
        <f>HYPERLINK("https://www.biocoop.fr/magasin-biocoop_fontaine/chocolat-noir-dessert-58-200g-aa0106-000.html","18.0")</f>
        <v>18.0</v>
      </c>
      <c r="G198" t="s">
        <v>15</v>
      </c>
      <c r="H198" s="42" t="str">
        <f>HYPERLINK("https://satoriz-comboire.bio/collections/epicerie-sucree/products/bt2411","14.5")</f>
        <v>14.5</v>
      </c>
      <c r="I198" t="s">
        <v>15</v>
      </c>
      <c r="J198" s="42" t="str">
        <f>HYPERLINK("https://www.greenweez.com/produit/lot-de-3-chocolats-noirs-dessert-bio-56-200g/1PACK3608","17.77")</f>
        <v>17.77</v>
      </c>
      <c r="K198" t="s">
        <v>15</v>
      </c>
    </row>
    <row r="199" spans="1:12" x14ac:dyDescent="0.3">
      <c r="A199" t="s">
        <v>431</v>
      </c>
      <c r="B199" s="42" t="str">
        <f>HYPERLINK("https://lafourche.fr/products/chocolat-noir-a-la-fleur-de-sel-la-fourche-bio","21.5")</f>
        <v>21.5</v>
      </c>
      <c r="C199" t="s">
        <v>15</v>
      </c>
      <c r="D199" s="37" t="str">
        <f>HYPERLINK("https://www.biocoop.fr/magasin-biocoop_champollion/chocolat-noir-fleur-de-sel-70-100g-bc4087-000.html","19.9")</f>
        <v>19.9</v>
      </c>
      <c r="E199" t="s">
        <v>15</v>
      </c>
      <c r="F199" s="42" t="str">
        <f>HYPERLINK("https://www.biocoop.fr/magasin-biocoop_fontaine/chocolat-noir-fleur-de-sel-70-100g-po0456-000.html","31.0")</f>
        <v>31.0</v>
      </c>
      <c r="G199" t="s">
        <v>15</v>
      </c>
      <c r="H199" s="42" t="str">
        <f>HYPERLINK("https://satoriz-comboire.bio/collections/epicerie-sucree/products/ma7079","28.0")</f>
        <v>28.0</v>
      </c>
      <c r="I199" t="s">
        <v>15</v>
      </c>
      <c r="J199" s="42" t="str">
        <f>HYPERLINK("https://www.greenweez.com/produit/lot-de-3-chocolats-noirs-bio-70-fleur-de-sel-100g/1PACK3610","22.63")</f>
        <v>22.63</v>
      </c>
      <c r="K199" t="s">
        <v>15</v>
      </c>
    </row>
    <row r="200" spans="1:12" x14ac:dyDescent="0.3">
      <c r="A200" t="s">
        <v>435</v>
      </c>
      <c r="B200" s="42" t="str">
        <f>HYPERLINK("https://lafourche.fr/products/chocolat-noir-55p-a-lorange","23.9")</f>
        <v>23.9</v>
      </c>
      <c r="C200" t="s">
        <v>15</v>
      </c>
      <c r="D200" s="42" t="str">
        <f>HYPERLINK("https://www.biocoop.fr/magasin-biocoop_champollion/chocolat-noir-orange-58-100g-po0424-000.html","888888")</f>
        <v>888888</v>
      </c>
      <c r="E200" s="39" t="s">
        <v>99</v>
      </c>
      <c r="F200" s="42" t="str">
        <f>HYPERLINK("https://www.biocoop.fr/magasin-biocoop_fontaine/chocolat-noir-orange-58-100g-po0424-000.html","25.0")</f>
        <v>25.0</v>
      </c>
      <c r="G200" t="s">
        <v>15</v>
      </c>
      <c r="H200" s="42" t="str">
        <f>HYPERLINK("https://satoriz-comboire.bio/collections/epicerie-sucree/products/ma1213","28.0")</f>
        <v>28.0</v>
      </c>
      <c r="I200" t="s">
        <v>15</v>
      </c>
      <c r="J200" s="37" t="str">
        <f>HYPERLINK("https://www.greenweez.com/produit/tablette-chocolat-noir-orange-100g/1EURO0003","22.9")</f>
        <v>22.9</v>
      </c>
      <c r="K200" s="38" t="s">
        <v>854</v>
      </c>
    </row>
    <row r="201" spans="1:12" x14ac:dyDescent="0.3">
      <c r="A201" s="35" t="s">
        <v>438</v>
      </c>
      <c r="B201" s="36"/>
      <c r="C201" s="36"/>
      <c r="D201" s="36"/>
      <c r="E201" s="36"/>
      <c r="F201" s="36"/>
      <c r="G201" s="36"/>
      <c r="H201" s="36"/>
      <c r="I201" s="36"/>
      <c r="J201" s="36"/>
      <c r="K201" s="36"/>
    </row>
    <row r="202" spans="1:12" x14ac:dyDescent="0.3">
      <c r="A202" t="s">
        <v>439</v>
      </c>
      <c r="B202" s="37" t="str">
        <f>HYPERLINK("https://lafourche.fr/products/sojade-so-soja-dessert-vanille-uht-bio-0-53kg","4.32")</f>
        <v>4.32</v>
      </c>
      <c r="C202" t="s">
        <v>15</v>
      </c>
      <c r="D202" s="42" t="str">
        <f>HYPERLINK("https://www.biocoop.fr/magasin-biocoop_champollion/so-soja-vanille-ti3031-000.html","4.72")</f>
        <v>4.72</v>
      </c>
      <c r="E202" t="s">
        <v>15</v>
      </c>
      <c r="F202" s="42" t="str">
        <f>HYPERLINK("https://www.biocoop.fr/magasin-biocoop_fontaine/so-soja-vanille-ti3031-000.html","4.72")</f>
        <v>4.72</v>
      </c>
      <c r="G202" t="s">
        <v>15</v>
      </c>
      <c r="H202" s="42" t="str">
        <f>HYPERLINK("https://satoriz-comboire.bio/collections/epicerie-sucree/products/fr18736","4.62")</f>
        <v>4.62</v>
      </c>
      <c r="I202" t="s">
        <v>15</v>
      </c>
      <c r="J202" s="42" t="str">
        <f>HYPERLINK("https://www.greenweez.com/","888888")</f>
        <v>888888</v>
      </c>
      <c r="K202" s="39" t="s">
        <v>99</v>
      </c>
    </row>
    <row r="203" spans="1:12" x14ac:dyDescent="0.3">
      <c r="A203" s="35" t="s">
        <v>246</v>
      </c>
      <c r="B203" s="36"/>
      <c r="C203" s="36"/>
      <c r="D203" s="36"/>
      <c r="E203" s="36"/>
      <c r="F203" s="36"/>
      <c r="G203" s="36"/>
      <c r="H203" s="36"/>
      <c r="I203" s="36"/>
      <c r="J203" s="36"/>
      <c r="K203" s="36"/>
    </row>
    <row r="204" spans="1:12" x14ac:dyDescent="0.3">
      <c r="A204" t="s">
        <v>441</v>
      </c>
      <c r="B204" s="37" t="str">
        <f>HYPERLINK("https://lafourche.fr/products/la-fourche-puree-pommes-bio-0-915kg","3.88")</f>
        <v>3.88</v>
      </c>
      <c r="C204" s="38" t="s">
        <v>855</v>
      </c>
      <c r="D204" s="42" t="str">
        <f>HYPERLINK("https://www.biocoop.fr/magasin-biocoop_champollion/puree-pomme-pr5264-000.html","4.51")</f>
        <v>4.51</v>
      </c>
      <c r="E204" t="s">
        <v>15</v>
      </c>
      <c r="F204" s="42" t="str">
        <f>HYPERLINK("https://www.biocoop.fr/magasin-biocoop_fontaine/puree-pomme-pr5264-000.html","4.51")</f>
        <v>4.51</v>
      </c>
      <c r="G204" t="s">
        <v>15</v>
      </c>
      <c r="H204" s="42" t="str">
        <f>HYPERLINK("https://satoriz-comboire.bio/collections/epicerie-sucree/products/cn0849","4.74")</f>
        <v>4.74</v>
      </c>
      <c r="I204" t="s">
        <v>15</v>
      </c>
      <c r="J204" s="42" t="str">
        <f>HYPERLINK("https://www.greenweez.com/produit/puree-de-pommes-bio-700g/2WEEZ0536","4.11")</f>
        <v>4.11</v>
      </c>
      <c r="K204" s="38" t="s">
        <v>834</v>
      </c>
    </row>
    <row r="205" spans="1:12" x14ac:dyDescent="0.3">
      <c r="A205" t="s">
        <v>443</v>
      </c>
      <c r="B205" s="37" t="str">
        <f>HYPERLINK("https://lafourche.fr/products/la-fourche-puree-pommes-poires-bio-0-915kg","4.54")</f>
        <v>4.54</v>
      </c>
      <c r="C205" t="s">
        <v>15</v>
      </c>
      <c r="D205" s="42" t="str">
        <f>HYPERLINK("https://www.biocoop.fr/magasin-biocoop_champollion/puree-pomme-poire-he2002-000.html","6.12")</f>
        <v>6.12</v>
      </c>
      <c r="E205" t="s">
        <v>15</v>
      </c>
      <c r="F205" s="42" t="str">
        <f>HYPERLINK("https://www.biocoop.fr/magasin-biocoop_fontaine/puree-pomme-poire-1-05kg-dn1113-000.html","6.48")</f>
        <v>6.48</v>
      </c>
      <c r="G205" t="s">
        <v>15</v>
      </c>
      <c r="H205" s="42" t="str">
        <f>HYPERLINK("https://satoriz-comboire.bio/products/ar00021?_pos=2&amp;_psq=pomme%20poire&amp;_ss=e&amp;_v=1.0","5.35")</f>
        <v>5.35</v>
      </c>
      <c r="I205" t="s">
        <v>15</v>
      </c>
      <c r="J205" s="42" t="str">
        <f>HYPERLINK("https://www.greenweez.com/produit/puree-pomme-poire-bio-700g/2WEEZ0538","4.87")</f>
        <v>4.87</v>
      </c>
      <c r="K205" s="38" t="s">
        <v>856</v>
      </c>
    </row>
    <row r="206" spans="1:12" x14ac:dyDescent="0.3">
      <c r="A206" t="s">
        <v>445</v>
      </c>
      <c r="B206" s="37" t="str">
        <f>HYPERLINK("https://lafourche.fr/products/compote-danival-dani-pom-pomme-banane-1-05kg-bio","5.15")</f>
        <v>5.15</v>
      </c>
      <c r="C206" s="40" t="s">
        <v>116</v>
      </c>
      <c r="D206" s="42" t="str">
        <f>HYPERLINK("https://www.biocoop.fr/magasin-biocoop_champollion/puree-de-pommes-et-bananes-cn0219-000.html","6.2")</f>
        <v>6.2</v>
      </c>
      <c r="E206" t="s">
        <v>15</v>
      </c>
      <c r="F206" s="42" t="str">
        <f>HYPERLINK("https://www.biocoop.fr/magasin-biocoop_fontaine/puree-de-pommes-et-bananes-cn0219-000.html","6.2")</f>
        <v>6.2</v>
      </c>
      <c r="G206" t="s">
        <v>15</v>
      </c>
      <c r="H206" s="42" t="str">
        <f>HYPERLINK("https://satoriz-comboire.bio/products/da01440?_pos=2&amp;_psq=pomme%20banane&amp;_ss=e&amp;_v=1.0","5.62")</f>
        <v>5.62</v>
      </c>
      <c r="I206" t="s">
        <v>15</v>
      </c>
      <c r="J206" s="42" t="str">
        <f>HYPERLINK("https://www.greenweez.com/produit/dessert-pomme-banane-1-05kg/1DANI0190","5.88")</f>
        <v>5.88</v>
      </c>
      <c r="K206" t="s">
        <v>15</v>
      </c>
    </row>
    <row r="207" spans="1:12" x14ac:dyDescent="0.3">
      <c r="A207" t="s">
        <v>448</v>
      </c>
      <c r="B207" s="37" t="str">
        <f>HYPERLINK("https://lafourche.fr/products/sojade-so-soja-dessert-chocolat-uht-bio-0-53kg","4.32")</f>
        <v>4.32</v>
      </c>
      <c r="C207" t="s">
        <v>15</v>
      </c>
      <c r="D207" s="42" t="str">
        <f>HYPERLINK("https://www.biocoop.fr/magasin-biocoop_champollion/so-soja-chocolat-ti3030-000.html","5.94")</f>
        <v>5.94</v>
      </c>
      <c r="E207" t="s">
        <v>15</v>
      </c>
      <c r="F207" s="42" t="str">
        <f>HYPERLINK("https://www.biocoop.fr/magasin-biocoop_fontaine/so-soja-chocolat-ti3030-000.html","5.0")</f>
        <v>5.0</v>
      </c>
      <c r="G207" t="s">
        <v>15</v>
      </c>
      <c r="H207" s="42" t="str">
        <f>HYPERLINK("https://satoriz-comboire.bio/collections/epicerie-sucree/products/fr18734","4.62")</f>
        <v>4.62</v>
      </c>
      <c r="I207" t="s">
        <v>15</v>
      </c>
      <c r="J207" s="42" t="str">
        <f>HYPERLINK("https://www.greenweez.com/","888888")</f>
        <v>888888</v>
      </c>
      <c r="K207" s="39" t="s">
        <v>99</v>
      </c>
    </row>
    <row r="208" spans="1:12" x14ac:dyDescent="0.3">
      <c r="A208" s="35" t="s">
        <v>449</v>
      </c>
      <c r="B208" s="36"/>
      <c r="C208" s="36"/>
      <c r="D208" s="36"/>
      <c r="E208" s="36"/>
      <c r="F208" s="36"/>
      <c r="G208" s="36"/>
      <c r="H208" s="36"/>
      <c r="I208" s="36"/>
      <c r="J208" s="36"/>
      <c r="K208" s="36"/>
    </row>
    <row r="209" spans="1:12" x14ac:dyDescent="0.3">
      <c r="A209" t="s">
        <v>450</v>
      </c>
      <c r="B209" s="37" t="str">
        <f>HYPERLINK("https://lafourche.fr/products/elibio-cereales-fourrees-tout-chocolat-bio-375g","9.92")</f>
        <v>9.92</v>
      </c>
      <c r="C209" t="s">
        <v>15</v>
      </c>
      <c r="D209" s="42" t="str">
        <f>HYPERLINK("https://www.biocoop.fr/magasin-biocoop_champollion/ka-re-fourres-chocolat-noisettes-bio-lg2005-000.html","10.9")</f>
        <v>10.9</v>
      </c>
      <c r="E209" t="s">
        <v>15</v>
      </c>
      <c r="F209" s="42" t="str">
        <f>HYPERLINK("https://www.biocoop.fr/magasin-biocoop_fontaine/ka-re-fourres-chocolat-noisettes-bio-lg2005-000.html","9.95")</f>
        <v>9.95</v>
      </c>
      <c r="G209" s="40" t="s">
        <v>857</v>
      </c>
      <c r="H209" s="42" t="str">
        <f>HYPERLINK("https://satoriz-comboire.bio/collections/vrac/products/gr554","10.7")</f>
        <v>10.7</v>
      </c>
      <c r="I209" t="s">
        <v>15</v>
      </c>
      <c r="J209" s="42" t="str">
        <f>HYPERLINK("https://www.greenweez.com/produit/cereales-kare-fourrees-chocolat-noisettes-500g/1GRIL0036","13.04")</f>
        <v>13.04</v>
      </c>
      <c r="K209" t="s">
        <v>15</v>
      </c>
    </row>
    <row r="210" spans="1:12" x14ac:dyDescent="0.3">
      <c r="A210" t="s">
        <v>455</v>
      </c>
      <c r="B210" s="42" t="str">
        <f>HYPERLINK("https://lafourche.fr/products/grillon-dor-chocolune-bio-0-375kg","9.44")</f>
        <v>9.44</v>
      </c>
      <c r="C210" t="s">
        <v>15</v>
      </c>
      <c r="D210" s="42" t="str">
        <f>HYPERLINK("https://www.biocoop.fr/magasin-biocoop_champollion/crosti-griffs-choco-10kg-bio-pr5170-000.html","8.99")</f>
        <v>8.99</v>
      </c>
      <c r="E210" t="s">
        <v>15</v>
      </c>
      <c r="F210" s="42" t="str">
        <f>HYPERLINK("https://www.biocoop.fr/magasin-biocoop_fontaine/crosti-griffs-choco-10kg-bio-pr5170-000.html","8.99")</f>
        <v>8.99</v>
      </c>
      <c r="G210" t="s">
        <v>15</v>
      </c>
      <c r="H210" s="37" t="str">
        <f>HYPERLINK("https://satoriz-comboire.bio/collections/vrac/products/grexch","8.1")</f>
        <v>8.1</v>
      </c>
      <c r="I210" t="s">
        <v>15</v>
      </c>
      <c r="J210" s="42" t="str">
        <f>HYPERLINK("https://www.greenweez.com/produit/cereales-chocolune-375g/1GRIL0051","11.33")</f>
        <v>11.33</v>
      </c>
      <c r="K210" t="s">
        <v>15</v>
      </c>
    </row>
    <row r="211" spans="1:12" x14ac:dyDescent="0.3">
      <c r="A211" t="s">
        <v>458</v>
      </c>
      <c r="B211" s="37" t="str">
        <f>HYPERLINK("https://lafourche.fr/products/cereales-mops-au-miel","9.63")</f>
        <v>9.63</v>
      </c>
      <c r="C211" t="s">
        <v>15</v>
      </c>
      <c r="D211" s="42" t="str">
        <f>HYPERLINK("https://www.biocoop.fr/magasin-biocoop_champollion/mops-miel-lg2066-000.html","11.0")</f>
        <v>11.0</v>
      </c>
      <c r="E211" t="s">
        <v>15</v>
      </c>
      <c r="F211" s="42" t="str">
        <f>HYPERLINK("https://www.biocoop.fr/magasin-biocoop_fontaine/mops-miel-lg2066-000.html","11.0")</f>
        <v>11.0</v>
      </c>
      <c r="G211" t="s">
        <v>15</v>
      </c>
      <c r="H211" s="42" t="str">
        <f>HYPERLINK("https://satoriz-comboire.bio/products/gr375m?_pos=1&amp;_sid=0bc07d989&amp;_ss=r","10.67")</f>
        <v>10.67</v>
      </c>
      <c r="I211" s="40" t="s">
        <v>858</v>
      </c>
      <c r="J211" s="42" t="str">
        <f>HYPERLINK("https://www.greenweez.com/produit/cereales-mops-miel-300g/1GRIL0172","10.5")</f>
        <v>10.5</v>
      </c>
      <c r="K211" t="s">
        <v>15</v>
      </c>
      <c r="L211">
        <v>0.2</v>
      </c>
    </row>
    <row r="212" spans="1:12" x14ac:dyDescent="0.3">
      <c r="A212" t="s">
        <v>460</v>
      </c>
      <c r="B212" s="37" t="str">
        <f>HYPERLINK("https://lafourche.fr/products/la-fourche-1kg-de-petits-flocons-d-avoine-en-vrac-france-bio","2.53")</f>
        <v>2.53</v>
      </c>
      <c r="C212" s="40" t="s">
        <v>859</v>
      </c>
      <c r="D212" s="42" t="str">
        <f>HYPERLINK("https://www.biocoop.fr/magasin-biocoop_champollion/flocons-d-avoine-petits-non-toastes-bio-pr5344-000.html","2.85")</f>
        <v>2.85</v>
      </c>
      <c r="E212" t="s">
        <v>15</v>
      </c>
      <c r="F212" s="42" t="str">
        <f>HYPERLINK("https://www.biocoop.fr/magasin-biocoop_fontaine/flocons-d-avoine-petits-non-toastes-bio-pr5344-000.html","2.85")</f>
        <v>2.85</v>
      </c>
      <c r="G212" t="s">
        <v>15</v>
      </c>
      <c r="H212" s="42" t="str">
        <f>HYPERLINK("https://satoriz-comboire.bio/products/cefap25?_pos=5&amp;_sid=da63f8fb6&amp;_ss=r","3.05")</f>
        <v>3.05</v>
      </c>
      <c r="I212" t="s">
        <v>15</v>
      </c>
      <c r="J212" s="42" t="str">
        <f>HYPERLINK("https://www.greenweez.com/produit/flocons-davoine-petit-bio-1-5kg/2WEEZ0129","2.93")</f>
        <v>2.93</v>
      </c>
      <c r="K212" t="s">
        <v>15</v>
      </c>
      <c r="L212">
        <v>0.1</v>
      </c>
    </row>
    <row r="213" spans="1:12" x14ac:dyDescent="0.3">
      <c r="A213" t="s">
        <v>463</v>
      </c>
      <c r="B213" s="37" t="str">
        <f>HYPERLINK("https://lafourche.fr/products/la-fourche-1kg-de-gros-flocons-davoine-bio-en-vrac","2.53")</f>
        <v>2.53</v>
      </c>
      <c r="C213" s="40" t="s">
        <v>859</v>
      </c>
      <c r="D213" s="42" t="str">
        <f>HYPERLINK("https://www.biocoop.fr/magasin-biocoop_champollion/flocons-d-avoine-gros-bio-lg2061-000.html","3.95")</f>
        <v>3.95</v>
      </c>
      <c r="E213" t="s">
        <v>15</v>
      </c>
      <c r="F213" s="42" t="str">
        <f>HYPERLINK("https://www.biocoop.fr/magasin-biocoop_fontaine/flocons-d-avoine-gros-bio-lg2061-000.html","3.9")</f>
        <v>3.9</v>
      </c>
      <c r="G213" t="s">
        <v>15</v>
      </c>
      <c r="H213" s="42" t="str">
        <f>HYPERLINK("https://satoriz-comboire.bio/products/cefag-10?_pos=14&amp;_sid=da63f8fb6&amp;_ss=r","3.05")</f>
        <v>3.05</v>
      </c>
      <c r="I213" t="s">
        <v>15</v>
      </c>
      <c r="J213" s="42" t="str">
        <f>HYPERLINK("https://www.greenweez.com/produit/flocons-davoine-gros-bio-1-5kg/2WEEZ0531","2.85")</f>
        <v>2.85</v>
      </c>
      <c r="K213" t="s">
        <v>15</v>
      </c>
    </row>
    <row r="214" spans="1:12" x14ac:dyDescent="0.3">
      <c r="A214" t="s">
        <v>465</v>
      </c>
      <c r="B214" s="37" t="str">
        <f>HYPERLINK("https://lafourche.fr/products/la-fourche-1kg-de-muesli-5-cereales-en-vrac-bio","4.5")</f>
        <v>4.5</v>
      </c>
      <c r="D214" s="42" t="str">
        <f>HYPERLINK("https://www.biocoop.fr/magasin-biocoop_champollion/muesli-graines-et-fruits-secs-1kg-lg1713-000.html","7.37")</f>
        <v>7.37</v>
      </c>
      <c r="F214" s="42" t="str">
        <f>HYPERLINK("https://www.biocoop.fr/magasin-biocoop_fontaine/muesli-graines-et-fruits-secs-1kg-lg1713-000.html","7.35")</f>
        <v>7.35</v>
      </c>
      <c r="H214" s="42" t="str">
        <f>HYPERLINK("https://satoriz-comboire.bio/products/ce25b?_pos=1&amp;_sid=67fc15be8&amp;_ss=r","5.8")</f>
        <v>5.8</v>
      </c>
      <c r="J214" s="42" t="str">
        <f>HYPERLINK("https://www.greenweez.com/produit/muesli-5-cereales-500g/1CELN0029","6.92")</f>
        <v>6.92</v>
      </c>
    </row>
    <row r="215" spans="1:12" x14ac:dyDescent="0.3">
      <c r="A215" t="s">
        <v>466</v>
      </c>
      <c r="B215" s="42" t="str">
        <f>HYPERLINK("https://lafourche.fr/products/grillon-mueslifruits-1kg","5.46")</f>
        <v>5.46</v>
      </c>
      <c r="D215" s="42" t="str">
        <f>HYPERLINK("https://www.biocoop.fr/magasin-biocoop_champollion/muesli-aux-fruits-bio-pr5343-000.html","5.35")</f>
        <v>5.35</v>
      </c>
      <c r="F215" s="37" t="str">
        <f>HYPERLINK("https://www.biocoop.fr/magasin-biocoop_fontaine/muesli-aux-fruits-bio-pr5343-000.html","4.7")</f>
        <v>4.7</v>
      </c>
      <c r="H215" s="42" t="str">
        <f>HYPERLINK("https://satoriz-comboire.bio/products/ce0990?_pos=1&amp;_sid=93dc83ac9&amp;_ss=r","4.95")</f>
        <v>4.95</v>
      </c>
      <c r="J215" s="42" t="str">
        <f>HYPERLINK("https://www.greenweez.com/produit/muesli-fruits-1kg/1GRIL0001","6.26")</f>
        <v>6.26</v>
      </c>
    </row>
    <row r="216" spans="1:12" x14ac:dyDescent="0.3">
      <c r="A216" t="s">
        <v>467</v>
      </c>
      <c r="B216" s="37" t="str">
        <f>HYPERLINK("https://lafourche.fr/products/la-fourche-muesli-croustillant-nature-bio-1kg","4.79")</f>
        <v>4.79</v>
      </c>
      <c r="D216" s="42" t="str">
        <f>HYPERLINK("https://www.biocoop.fr/magasin-biocoop_champollion/muesli-croustillant-essentiel-1kg-aa0122-000.html","6.95")</f>
        <v>6.95</v>
      </c>
      <c r="F216" s="42" t="str">
        <f>HYPERLINK("https://www.biocoop.fr/magasin-biocoop_fontaine/krounchy-nature-lg2007-000.html","7.0")</f>
        <v>7.0</v>
      </c>
      <c r="H216" s="42" t="str">
        <f>HYPERLINK("https://satoriz-comboire.bio/products/gr2953?_pos=2&amp;_sid=b5ee3b45c&amp;_ss=r","5.15")</f>
        <v>5.15</v>
      </c>
      <c r="J216" s="42" t="str">
        <f>HYPERLINK("https://www.greenweez.com/produit/krounchy-nature-1kg/1GRIL0018","5.05")</f>
        <v>5.05</v>
      </c>
    </row>
    <row r="217" spans="1:12" x14ac:dyDescent="0.3">
      <c r="A217" t="s">
        <v>468</v>
      </c>
      <c r="B217" s="37" t="str">
        <f>HYPERLINK("https://lafourche.fr/products/la-fourche-muesli-croustillant-duo-choco-bio-1kg","5.95")</f>
        <v>5.95</v>
      </c>
      <c r="D217" s="42" t="str">
        <f>HYPERLINK("https://www.biocoop.fr/magasin-biocoop_champollion/krounchy-epeautre-chocolat-noir-lg1932-000.html","8.7")</f>
        <v>8.7</v>
      </c>
      <c r="F217" s="42" t="str">
        <f>HYPERLINK("https://www.biocoop.fr/magasin-biocoop_fontaine/krounchy-epeautre-chocolat-noir-lg1932-000.html","8.7")</f>
        <v>8.7</v>
      </c>
      <c r="H217" s="42" t="str">
        <f>HYPERLINK("https://satoriz-comboire.bio/products/grceee?_pos=1&amp;_sid=b5ee3b45c&amp;_ss=r","6.85")</f>
        <v>6.85</v>
      </c>
      <c r="J217" s="42" t="str">
        <f>HYPERLINK("https://www.greenweez.com/produit/krounchy-chocolat-1kg/1GRIL0020","6.94")</f>
        <v>6.94</v>
      </c>
    </row>
    <row r="218" spans="1:12" x14ac:dyDescent="0.3">
      <c r="A218" t="s">
        <v>469</v>
      </c>
      <c r="B218" s="42" t="str">
        <f>HYPERLINK("https://lafourche.fr/products/grillon-krounchy-fruits-rouges-500g","11.98")</f>
        <v>11.98</v>
      </c>
      <c r="D218" s="42" t="str">
        <f>HYPERLINK("https://www.biocoop.fr/magasin-biocoop_champollion/krounchy-fruits-rouges-lg0966-000.html","14.9")</f>
        <v>14.9</v>
      </c>
      <c r="F218" s="42" t="str">
        <f>HYPERLINK("https://www.biocoop.fr/magasin-biocoop_fontaine/krounchy-fruits-rouges-lg0966-000.html","14.9")</f>
        <v>14.9</v>
      </c>
      <c r="H218" s="42" t="str">
        <f>HYPERLINK("https://satoriz-comboire.bio/products/grcrufr?_pos=13&amp;_sid=b5ee3b45c&amp;_ss=r","14.4")</f>
        <v>14.4</v>
      </c>
      <c r="J218" s="37" t="str">
        <f>HYPERLINK("https://www.greenweez.com/produit/crunchy-fruits-rouges-bio-500g/5GREE0216","9.9")</f>
        <v>9.9</v>
      </c>
    </row>
    <row r="219" spans="1:12" x14ac:dyDescent="0.3">
      <c r="A219" s="35" t="s">
        <v>470</v>
      </c>
      <c r="B219" s="36"/>
      <c r="C219" s="36"/>
      <c r="D219" s="36"/>
      <c r="E219" s="36"/>
      <c r="F219" s="36"/>
      <c r="G219" s="36"/>
      <c r="H219" s="36"/>
      <c r="I219" s="36"/>
      <c r="J219" s="36"/>
      <c r="K219" s="36"/>
    </row>
    <row r="220" spans="1:12" x14ac:dyDescent="0.3">
      <c r="A220" t="s">
        <v>471</v>
      </c>
      <c r="B220" s="37" t="str">
        <f>HYPERLINK("https://lafourche.fr/products/la-fourche-500g-amandes-decortiquees-en-vrac-bio","13.04")</f>
        <v>13.04</v>
      </c>
      <c r="C220" s="38" t="s">
        <v>860</v>
      </c>
      <c r="D220" s="42" t="str">
        <f>HYPERLINK("https://www.biocoop.fr/magasin-biocoop_champollion/amandes-completes-bio-ag3005-000.html","15.9")</f>
        <v>15.9</v>
      </c>
      <c r="E220" t="s">
        <v>15</v>
      </c>
      <c r="F220" s="42" t="str">
        <f>HYPERLINK("https://www.biocoop.fr/magasin-biocoop_fontaine/amande-complete-italie-bio-bc5507-000.html","14.95")</f>
        <v>14.95</v>
      </c>
      <c r="G220" t="s">
        <v>15</v>
      </c>
      <c r="H220" s="42" t="str">
        <f>HYPERLINK("https://satoriz-comboire.bio/collections/vrac/products/ag0417","13.05")</f>
        <v>13.05</v>
      </c>
      <c r="I220" t="s">
        <v>15</v>
      </c>
      <c r="J220" s="42" t="str">
        <f>HYPERLINK("https://www.greenweez.com/produit/amandes-decortiquees-1kg/2WEEZ0354","14.95")</f>
        <v>14.95</v>
      </c>
      <c r="K220" t="s">
        <v>15</v>
      </c>
    </row>
    <row r="221" spans="1:12" x14ac:dyDescent="0.3">
      <c r="A221" t="s">
        <v>476</v>
      </c>
      <c r="B221" s="37" t="str">
        <f>HYPERLINK("https://lafourche.fr/products/la-fourche-noisettes-bio-2-5kg","14.98")</f>
        <v>14.98</v>
      </c>
      <c r="C221" t="s">
        <v>15</v>
      </c>
      <c r="D221" s="42" t="str">
        <f>HYPERLINK("https://www.biocoop.fr/magasin-biocoop_champollion/noisettes-bio-bc5500-000.html","21.5")</f>
        <v>21.5</v>
      </c>
      <c r="E221" s="40" t="s">
        <v>740</v>
      </c>
      <c r="F221" s="42" t="str">
        <f>HYPERLINK("https://www.biocoop.fr/magasin-biocoop_fontaine/noisettes-bio-bc5500-000.html","19.9")</f>
        <v>19.9</v>
      </c>
      <c r="G221" s="38" t="s">
        <v>861</v>
      </c>
      <c r="H221" s="42" t="str">
        <f>HYPERLINK("https://satoriz-comboire.bio/collections/vrac/products/ag0394","16.65")</f>
        <v>16.65</v>
      </c>
      <c r="I221" t="s">
        <v>15</v>
      </c>
      <c r="J221" s="42" t="str">
        <f>HYPERLINK("https://www.greenweez.com/produit/noisettes-decortiquees-2-5kg/2WEEZ0386","16.78")</f>
        <v>16.78</v>
      </c>
      <c r="K221" s="40" t="s">
        <v>741</v>
      </c>
    </row>
    <row r="222" spans="1:12" x14ac:dyDescent="0.3">
      <c r="A222" t="s">
        <v>480</v>
      </c>
      <c r="B222" s="42" t="str">
        <f>HYPERLINK("https://lafourche.fr/products/la-fourche-500g-de-noix-de-cajou-bio-en-vrac","16.7")</f>
        <v>16.7</v>
      </c>
      <c r="C222" t="s">
        <v>15</v>
      </c>
      <c r="D222" s="42" t="str">
        <f>HYPERLINK("https://www.biocoop.fr/magasin-biocoop_champollion/noix-de-cajou-bio-ag3057-000.html","19.9")</f>
        <v>19.9</v>
      </c>
      <c r="E222" s="38" t="s">
        <v>742</v>
      </c>
      <c r="F222" s="42" t="str">
        <f>HYPERLINK("https://www.biocoop.fr/magasin-biocoop_fontaine/noix-de-cajou-bio-ag3057-000.html","19.9")</f>
        <v>19.9</v>
      </c>
      <c r="G222" t="s">
        <v>15</v>
      </c>
      <c r="H222" s="42" t="str">
        <f>HYPERLINK("https://satoriz-comboire.bio/collections/vrac/products/ag0585","16.7")</f>
        <v>16.7</v>
      </c>
      <c r="I222" t="s">
        <v>15</v>
      </c>
      <c r="J222" s="37" t="str">
        <f>HYPERLINK("https://www.greenweez.com/produit/noix-de-cajou-crues-2-5kg/2WEEZ0391","13.4")</f>
        <v>13.4</v>
      </c>
      <c r="K222" s="38" t="s">
        <v>743</v>
      </c>
    </row>
    <row r="223" spans="1:12" x14ac:dyDescent="0.3">
      <c r="A223" t="s">
        <v>483</v>
      </c>
      <c r="B223" s="37" t="str">
        <f>HYPERLINK("https://lafourche.fr/products/la-fourche-raisins-secs-sultanine-bio-2-5kg","7.2")</f>
        <v>7.2</v>
      </c>
      <c r="C223" t="s">
        <v>15</v>
      </c>
      <c r="D223" s="42" t="str">
        <f>HYPERLINK("https://www.biocoop.fr/magasin-biocoop_champollion/raisins-sultanine-n-9-bio-ag3030-000.html","7.95")</f>
        <v>7.95</v>
      </c>
      <c r="E223" t="s">
        <v>15</v>
      </c>
      <c r="F223" s="42" t="str">
        <f>HYPERLINK("https://www.biocoop.fr/magasin-biocoop_fontaine/raisins-sultanine-n-9-bio-ag3030-000.html","7.95")</f>
        <v>7.95</v>
      </c>
      <c r="G223" t="s">
        <v>15</v>
      </c>
      <c r="H223" s="37" t="str">
        <f>HYPERLINK("https://satoriz-comboire.bio/collections/vrac/products/ag0387","7.2")</f>
        <v>7.2</v>
      </c>
      <c r="I223" t="s">
        <v>15</v>
      </c>
      <c r="J223" s="42" t="str">
        <f>HYPERLINK("https://www.greenweez.com/produit/lot-de-2-raisins-sultanines-bio-500g/1PACK3586","9.8")</f>
        <v>9.8</v>
      </c>
      <c r="K223" t="s">
        <v>15</v>
      </c>
    </row>
    <row r="224" spans="1:12" x14ac:dyDescent="0.3">
      <c r="A224" t="s">
        <v>487</v>
      </c>
      <c r="B224" s="37" t="str">
        <f>HYPERLINK("https://lafourche.fr/products/la-fourche-250g-de-cranberries-en-vrac-bio","14.36")</f>
        <v>14.36</v>
      </c>
      <c r="C224" t="s">
        <v>15</v>
      </c>
      <c r="D224" s="42" t="str">
        <f>HYPERLINK("https://www.biocoop.fr/magasin-biocoop_champollion/cranberry-sechee-canada-bio-ag3039-000.html","15.5")</f>
        <v>15.5</v>
      </c>
      <c r="E224" t="s">
        <v>15</v>
      </c>
      <c r="F224" s="42" t="str">
        <f>HYPERLINK("https://www.biocoop.fr/magasin-biocoop_fontaine/cranberry-sechee-canada-bio-ag3039-000.html","15.5")</f>
        <v>15.5</v>
      </c>
      <c r="G224" t="s">
        <v>15</v>
      </c>
      <c r="H224" s="42" t="str">
        <f>HYPERLINK("https://satoriz-comboire.bio/collections/vrac/products/ag0479","15.2")</f>
        <v>15.2</v>
      </c>
      <c r="I224" t="s">
        <v>15</v>
      </c>
      <c r="J224" s="42" t="str">
        <f>HYPERLINK("https://www.greenweez.com/produit/cranberries-demies-bio-500g/2WEEZ0368","14.96")</f>
        <v>14.96</v>
      </c>
      <c r="K224" s="38" t="s">
        <v>80</v>
      </c>
    </row>
    <row r="225" spans="1:12" x14ac:dyDescent="0.3">
      <c r="A225" s="35" t="s">
        <v>491</v>
      </c>
      <c r="B225" s="36"/>
      <c r="C225" s="36"/>
      <c r="D225" s="36"/>
      <c r="E225" s="36"/>
      <c r="F225" s="36"/>
      <c r="G225" s="36"/>
      <c r="H225" s="36"/>
      <c r="I225" s="36"/>
      <c r="J225" s="36"/>
      <c r="K225" s="36"/>
    </row>
    <row r="226" spans="1:12" x14ac:dyDescent="0.3">
      <c r="A226" t="s">
        <v>492</v>
      </c>
      <c r="B226" s="37" t="str">
        <f>HYPERLINK("https://lafourche.fr/products/la-fourche-sirop-d-agave-bio-0-5l","6.88")</f>
        <v>6.88</v>
      </c>
      <c r="C226" s="38" t="s">
        <v>862</v>
      </c>
      <c r="D226" s="42" t="str">
        <f>HYPERLINK("https://www.biocoop.fr/magasin-biocoop_champollion/sirop-agave-690g-na6021-000.html","10.13")</f>
        <v>10.13</v>
      </c>
      <c r="E226" t="s">
        <v>15</v>
      </c>
      <c r="F226" s="42" t="str">
        <f>HYPERLINK("https://www.biocoop.fr/magasin-biocoop_fontaine/sirop-agave-690g-na6021-000.html","10.13")</f>
        <v>10.13</v>
      </c>
      <c r="G226" t="s">
        <v>15</v>
      </c>
      <c r="H226" s="42" t="str">
        <f>HYPERLINK("https://satoriz-comboire.bio/collections/epicerie-sucree/products/re39977","8.48")</f>
        <v>8.48</v>
      </c>
      <c r="I226" t="s">
        <v>15</v>
      </c>
      <c r="J226" s="42" t="str">
        <f>HYPERLINK("https://www.greenweez.com/produit/sirop-dagave-330g-1/1MKAL0163","9.36")</f>
        <v>9.36</v>
      </c>
      <c r="K226" s="38" t="s">
        <v>734</v>
      </c>
    </row>
    <row r="227" spans="1:12" x14ac:dyDescent="0.3">
      <c r="A227" s="35" t="s">
        <v>495</v>
      </c>
      <c r="B227" s="36"/>
      <c r="C227" s="36"/>
      <c r="D227" s="36"/>
      <c r="E227" s="36"/>
      <c r="F227" s="36"/>
      <c r="G227" s="36"/>
      <c r="H227" s="36"/>
      <c r="I227" s="36"/>
      <c r="J227" s="36"/>
      <c r="K227" s="36"/>
    </row>
    <row r="228" spans="1:12" x14ac:dyDescent="0.3">
      <c r="A228" t="s">
        <v>496</v>
      </c>
      <c r="B228" s="37" t="str">
        <f>HYPERLINK("https://lafourche.fr/products/la-fourche-farine-de-ble-bio-t65-2-5kg","1.32")</f>
        <v>1.32</v>
      </c>
      <c r="C228" s="40" t="s">
        <v>863</v>
      </c>
      <c r="D228" s="42" t="str">
        <f>HYPERLINK("https://www.biocoop.fr/magasin-biocoop_champollion/farine-de-ble-t65-bio-dm3003-000.html","1.75")</f>
        <v>1.75</v>
      </c>
      <c r="E228" t="s">
        <v>15</v>
      </c>
      <c r="F228" s="42" t="str">
        <f>HYPERLINK("https://www.biocoop.fr/magasin-biocoop_fontaine/farine-de-ble-t65-2-5kg-dm3002-000.html","1.58")</f>
        <v>1.58</v>
      </c>
      <c r="G228" t="s">
        <v>15</v>
      </c>
      <c r="H228" s="42" t="str">
        <f>HYPERLINK("https://satoriz-comboire.bio/collections/epicerie-salee/products/pi65","1.85")</f>
        <v>1.85</v>
      </c>
      <c r="I228" t="s">
        <v>15</v>
      </c>
      <c r="J228" s="42" t="str">
        <f>HYPERLINK("https://www.greenweez.com/produit/farine-de-ble-t65-meule-france-bio-2-5kg/2WEEZ0239","1.89")</f>
        <v>1.89</v>
      </c>
      <c r="K228" t="s">
        <v>15</v>
      </c>
      <c r="L228">
        <v>1</v>
      </c>
    </row>
    <row r="229" spans="1:12" x14ac:dyDescent="0.3">
      <c r="A229" t="s">
        <v>498</v>
      </c>
      <c r="B229" s="37" t="str">
        <f>HYPERLINK("https://lafourche.fr/products/la-fourche-farine-de-ble-t110-bio-2-5kg","1.6")</f>
        <v>1.6</v>
      </c>
      <c r="C229" s="40" t="s">
        <v>14</v>
      </c>
      <c r="D229" s="42" t="str">
        <f>HYPERLINK("https://www.biocoop.fr/magasin-biocoop_champollion/farine-de-ble-t110-1kg-br0212-000.html","2.8")</f>
        <v>2.8</v>
      </c>
      <c r="E229" t="s">
        <v>15</v>
      </c>
      <c r="F229" s="42" t="str">
        <f>HYPERLINK("https://www.biocoop.fr/magasin-biocoop_fontaine/farine-de-ble-t110-1kg-br0212-000.html","2.79")</f>
        <v>2.79</v>
      </c>
      <c r="G229" t="s">
        <v>15</v>
      </c>
      <c r="H229" s="42" t="str">
        <f>HYPERLINK("https://satoriz-comboire.bio/collections/epicerie-salee/products/pi110","1.9")</f>
        <v>1.9</v>
      </c>
      <c r="I229" t="s">
        <v>15</v>
      </c>
      <c r="J229" s="42" t="str">
        <f>HYPERLINK("https://www.greenweez.com/produit/farine-de-ble-demi-complete-t110-2-5kg/1MOUL0318","2.13")</f>
        <v>2.13</v>
      </c>
      <c r="K229" t="s">
        <v>15</v>
      </c>
    </row>
    <row r="230" spans="1:12" x14ac:dyDescent="0.3">
      <c r="A230" t="s">
        <v>500</v>
      </c>
      <c r="B230" s="13" t="str">
        <f>HYPERLINK("https://lafourche.fr/products/la-fourche-farine-de-seigle-bio-1kg","1.74")</f>
        <v>1.74</v>
      </c>
      <c r="C230" s="39" t="s">
        <v>99</v>
      </c>
      <c r="D230" s="42" t="str">
        <f>HYPERLINK("https://www.biocoop.fr/magasin-biocoop_champollion/farine-de-seigle-t130-1kg-br0213-000.html","2.83")</f>
        <v>2.83</v>
      </c>
      <c r="E230" t="s">
        <v>15</v>
      </c>
      <c r="F230" s="42" t="str">
        <f>HYPERLINK("https://www.biocoop.fr/magasin-biocoop_fontaine/farine-de-seigle-t130-1kg-br0213-000.html","2.85")</f>
        <v>2.85</v>
      </c>
      <c r="G230" t="s">
        <v>15</v>
      </c>
      <c r="H230" s="42" t="str">
        <f>HYPERLINK("https://satoriz-comboire.bio/collections/epicerie-salee/products/seix1","2.05")</f>
        <v>2.05</v>
      </c>
      <c r="I230" t="s">
        <v>15</v>
      </c>
      <c r="J230" s="42" t="str">
        <f>HYPERLINK("https://www.greenweez.com/produit/farine-de-seigle-t130-bio-france-2-5kg/2WEEZ0238","1.94")</f>
        <v>1.94</v>
      </c>
      <c r="K230" t="s">
        <v>15</v>
      </c>
    </row>
    <row r="231" spans="1:12" x14ac:dyDescent="0.3">
      <c r="A231" t="s">
        <v>502</v>
      </c>
      <c r="B231" s="37" t="str">
        <f>HYPERLINK("https://lafourche.fr/products/celnat-farine-5-cereales-1kg","2.92")</f>
        <v>2.92</v>
      </c>
      <c r="C231" t="s">
        <v>15</v>
      </c>
      <c r="D231" s="42" t="str">
        <f>HYPERLINK("https://www.biocoop.fr/magasin-biocoop_champollion/farine-de-5-cereales-t130-1kg-br0219-000.html","3.2")</f>
        <v>3.2</v>
      </c>
      <c r="E231" t="s">
        <v>15</v>
      </c>
      <c r="F231" s="42" t="str">
        <f>HYPERLINK("https://www.biocoop.fr/magasin-biocoop_fontaine/farine-de-5-cereales-t130-1kg-br0219-000.html","3.2")</f>
        <v>3.2</v>
      </c>
      <c r="G231" t="s">
        <v>15</v>
      </c>
      <c r="H231" s="42" t="str">
        <f>HYPERLINK("https://satoriz-comboire.bio/collections/epicerie-salee/products/cei03003","3.4")</f>
        <v>3.4</v>
      </c>
      <c r="I231" t="s">
        <v>15</v>
      </c>
      <c r="J231" s="42" t="str">
        <f>HYPERLINK("https://www.greenweez.com/produit/farine-complete-5-cereales-bio-3kg/5GREE0146","2.98")</f>
        <v>2.98</v>
      </c>
      <c r="K231" t="s">
        <v>15</v>
      </c>
    </row>
    <row r="232" spans="1:12" x14ac:dyDescent="0.3">
      <c r="A232" t="s">
        <v>505</v>
      </c>
      <c r="B232" s="42" t="str">
        <f>HYPERLINK("https://lafourche.fr/products/la-fourche-1kg-de-sucre-blond-bio-en-vrac","2.7")</f>
        <v>2.7</v>
      </c>
      <c r="C232" t="s">
        <v>15</v>
      </c>
      <c r="D232" s="42" t="str">
        <f>HYPERLINK("https://www.biocoop.fr/magasin-biocoop_champollion/sucre-de-canne-roux-morceaux-irregulier-bio-ne0106-000.html","5.15")</f>
        <v>5.15</v>
      </c>
      <c r="E232" t="s">
        <v>15</v>
      </c>
      <c r="F232" s="42" t="str">
        <f>HYPERLINK("https://www.biocoop.fr/magasin-biocoop_fontaine/sucre-canne-blond-bio-ne0107-000.html","3.45")</f>
        <v>3.45</v>
      </c>
      <c r="G232" t="s">
        <v>15</v>
      </c>
      <c r="H232" s="37" t="str">
        <f>HYPERLINK("https://satoriz-comboire.bio/collections/vrac/products/eu3133","1.95")</f>
        <v>1.95</v>
      </c>
      <c r="I232" t="s">
        <v>15</v>
      </c>
      <c r="J232" s="42" t="str">
        <f>HYPERLINK("https://www.greenweez.com/produit/sucre-brun-de-canne-5kg/1MKAL0177","3.79")</f>
        <v>3.79</v>
      </c>
      <c r="K232" t="s">
        <v>15</v>
      </c>
      <c r="L232">
        <v>0.5</v>
      </c>
    </row>
    <row r="233" spans="1:12" x14ac:dyDescent="0.3">
      <c r="A233" t="s">
        <v>509</v>
      </c>
      <c r="B233" s="42" t="str">
        <f>HYPERLINK("https://lafourche.fr/products/la-fourche-1kg-de-sucre-de-canne-complet-dulcita-bio-en-vrac","3.99")</f>
        <v>3.99</v>
      </c>
      <c r="C233" t="s">
        <v>15</v>
      </c>
      <c r="D233" s="42" t="str">
        <f>HYPERLINK("https://www.biocoop.fr/magasin-biocoop_champollion/epicerie-sucree/farines-sucres-aides-a-la-patisserie/sucres.html","13.98")</f>
        <v>13.98</v>
      </c>
      <c r="E233" t="s">
        <v>15</v>
      </c>
      <c r="F233" s="42" t="str">
        <f>HYPERLINK("https://www.biocoop.fr/magasin-biocoop_fontaine/sucre-canne-complet-dulcita-1kg-sm0393-000.html","6.1")</f>
        <v>6.1</v>
      </c>
      <c r="G233" t="s">
        <v>15</v>
      </c>
      <c r="H233" s="37" t="str">
        <f>HYPERLINK("https://satoriz-comboire.bio/collections/vrac/products/eu10092","2.75")</f>
        <v>2.75</v>
      </c>
      <c r="I233" t="s">
        <v>15</v>
      </c>
      <c r="J233" s="42" t="str">
        <f>HYPERLINK("https://www.greenweez.com/produit/sucre-de-canne-complet-bio-500g/2WEEZ0261","4.56")</f>
        <v>4.56</v>
      </c>
      <c r="K233" s="38" t="s">
        <v>864</v>
      </c>
    </row>
    <row r="234" spans="1:12" x14ac:dyDescent="0.3">
      <c r="A234" s="35" t="s">
        <v>512</v>
      </c>
      <c r="B234" s="36"/>
      <c r="C234" s="36"/>
      <c r="D234" s="36"/>
      <c r="E234" s="36"/>
      <c r="F234" s="36"/>
      <c r="G234" s="36"/>
      <c r="H234" s="36"/>
      <c r="I234" s="36"/>
      <c r="J234" s="36"/>
      <c r="K234" s="36"/>
    </row>
    <row r="235" spans="1:12" x14ac:dyDescent="0.3">
      <c r="A235" t="s">
        <v>513</v>
      </c>
      <c r="B235" s="42" t="str">
        <f>HYPERLINK("https://lafourche.fr/products/la-fourche-pate-a-tartiner-chocolat-noisettes-bio-700g","9.64")</f>
        <v>9.64</v>
      </c>
      <c r="C235" t="s">
        <v>15</v>
      </c>
      <c r="D235" s="42" t="str">
        <f>HYPERLINK("https://www.biocoop.fr/magasin-biocoop_champollion/pate-a-tartiner-noisette-cacao-600g-lg3150-000.html","10.83")</f>
        <v>10.83</v>
      </c>
      <c r="E235" t="s">
        <v>15</v>
      </c>
      <c r="F235" s="42" t="str">
        <f>HYPERLINK("https://www.biocoop.fr/magasin-biocoop_fontaine/pate-a-tartiner-noisette-cacao-600g-lg3150-000.html","10.83")</f>
        <v>10.83</v>
      </c>
      <c r="G235" t="s">
        <v>15</v>
      </c>
      <c r="H235" s="42" t="str">
        <f>HYPERLINK("https://satoriz-comboire.bio/collections/epicerie-sucree/products/re40699","11.6")</f>
        <v>11.6</v>
      </c>
      <c r="I235" t="s">
        <v>15</v>
      </c>
      <c r="J235" s="37" t="str">
        <f>HYPERLINK("https://www.greenweez.com/produit/pate-a-tartiner-noisettes-et-cacao-bio-600g/2WEEZ0443","8.92")</f>
        <v>8.92</v>
      </c>
      <c r="K235" t="s">
        <v>15</v>
      </c>
      <c r="L235">
        <v>0.5</v>
      </c>
    </row>
    <row r="236" spans="1:12" x14ac:dyDescent="0.3">
      <c r="A236" t="s">
        <v>514</v>
      </c>
      <c r="B236" s="37" t="str">
        <f>HYPERLINK("https://lafourche.fr/products/la-fourche-pate-a-tartiner-chocolat-noisette-bio-0-7kg","9.93")</f>
        <v>9.93</v>
      </c>
      <c r="C236" t="s">
        <v>15</v>
      </c>
      <c r="D236" s="42" t="str">
        <f>HYPERLINK("https://www.biocoop.fr/magasin-biocoop_champollion/pate-a-tartiner-chokenut-700g-np0036-000.html","23.79")</f>
        <v>23.79</v>
      </c>
      <c r="E236" t="s">
        <v>15</v>
      </c>
      <c r="F236" s="42" t="str">
        <f>HYPERLINK("https://www.biocoop.fr/magasin-biocoop_fontaine/pate-a-tartiner-chocolade-sans-lait-350g-he0779-000.html","29.14")</f>
        <v>29.14</v>
      </c>
      <c r="G236" t="s">
        <v>15</v>
      </c>
      <c r="H236" s="42" t="str">
        <f>HYPERLINK("https://satoriz-comboire.bio/collections/epicerie-sucree/products/re43701","12.69")</f>
        <v>12.69</v>
      </c>
      <c r="I236" t="s">
        <v>15</v>
      </c>
      <c r="J236" s="42" t="str">
        <f>HYPERLINK("https://www.greenweez.com/produit/pate-a-tartiner-nocciolata-sans-lait-650g/1NOCC0005","11.49")</f>
        <v>11.49</v>
      </c>
      <c r="K236" t="s">
        <v>15</v>
      </c>
    </row>
    <row r="237" spans="1:12" x14ac:dyDescent="0.3">
      <c r="A237" t="s">
        <v>517</v>
      </c>
      <c r="B237" s="37" t="str">
        <f>HYPERLINK("https://lafourche.fr/products/natur-avenir-creme-de-marrons-d-ardeche-aop-bio-0-325kg","11.29")</f>
        <v>11.29</v>
      </c>
      <c r="C237" t="s">
        <v>15</v>
      </c>
      <c r="D237" s="42" t="str">
        <f>HYPERLINK("https://www.biocoop.fr/magasin-biocoop_champollion/creme-de-chataigne-360g-dm0709-000.html","13.86")</f>
        <v>13.86</v>
      </c>
      <c r="E237" t="s">
        <v>15</v>
      </c>
      <c r="F237" s="42" t="str">
        <f>HYPERLINK("https://www.biocoop.fr/magasin-biocoop_fontaine/creme-de-chataigne-360g-dm0709-000.html","15.56")</f>
        <v>15.56</v>
      </c>
      <c r="G237" t="s">
        <v>15</v>
      </c>
      <c r="H237" s="42" t="str">
        <f>HYPERLINK("https://satoriz-comboire.bio/products/re42052?_pos=2&amp;_sid=75640a58e&amp;_ss=r","12.62")</f>
        <v>12.62</v>
      </c>
      <c r="I237" t="s">
        <v>15</v>
      </c>
      <c r="J237" s="42" t="str">
        <f>HYPERLINK("https://www.greenweez.com/produit/creme-de-marrons-bio-55-320g/2WEEZ0462","12.13")</f>
        <v>12.13</v>
      </c>
      <c r="K237" t="s">
        <v>15</v>
      </c>
    </row>
    <row r="238" spans="1:12" x14ac:dyDescent="0.3">
      <c r="A238" t="s">
        <v>522</v>
      </c>
      <c r="B238" s="37" t="str">
        <f>HYPERLINK("https://lafourche.fr/products/la-fourche-miel-bio-toutes-fleurs-origine-bulgarie-1kg","10.6")</f>
        <v>10.6</v>
      </c>
      <c r="C238" t="s">
        <v>15</v>
      </c>
      <c r="D238" s="42" t="str">
        <f>HYPERLINK("https://www.biocoop.fr/magasin-biocoop_champollion/miel-toutes-fleurs-1kg-mz2000-000.html","15.2")</f>
        <v>15.2</v>
      </c>
      <c r="E238" t="s">
        <v>15</v>
      </c>
      <c r="F238" s="42" t="str">
        <f>HYPERLINK("https://www.biocoop.fr/magasin-biocoop_fontaine/miel-toutes-fleurs-1kg-mz2000-000.html","16.55")</f>
        <v>16.55</v>
      </c>
      <c r="G238" t="s">
        <v>15</v>
      </c>
      <c r="H238" s="42" t="str">
        <f>HYPERLINK("https://satoriz-comboire.bio/collections/epicerie-sucree/products/rc1","18.5")</f>
        <v>18.5</v>
      </c>
      <c r="I238" t="s">
        <v>15</v>
      </c>
      <c r="J238" s="42" t="str">
        <f>HYPERLINK("https://www.greenweez.com/produit/miel-toutes-fleurs-liquide-origine-ue-1kg/4TERR0044","17.95")</f>
        <v>17.95</v>
      </c>
      <c r="K238" t="s">
        <v>15</v>
      </c>
    </row>
    <row r="239" spans="1:12" x14ac:dyDescent="0.3">
      <c r="A239" t="s">
        <v>525</v>
      </c>
      <c r="B239" s="42" t="str">
        <f>HYPERLINK("https://lafourche.fr/products/la-fourche-miel-de-montagne-bio-0-25kg","22")</f>
        <v>22</v>
      </c>
      <c r="C239" t="s">
        <v>15</v>
      </c>
      <c r="D239">
        <v>888888</v>
      </c>
      <c r="F239">
        <v>888888</v>
      </c>
      <c r="H239" s="42" t="str">
        <f>HYPERLINK("https://satoriz-comboire.bio/collections/epicerie-sucree/products/ver052","22.4")</f>
        <v>22.4</v>
      </c>
      <c r="I239" t="s">
        <v>15</v>
      </c>
      <c r="J239" s="37" t="str">
        <f>HYPERLINK("https://www.greenweez.com/produit/miel-de-montagne-bio-espagne-500g/2WEEZ0036","16.1")</f>
        <v>16.1</v>
      </c>
      <c r="K239" s="38" t="s">
        <v>832</v>
      </c>
    </row>
    <row r="240" spans="1:12" x14ac:dyDescent="0.3">
      <c r="A240" t="s">
        <v>528</v>
      </c>
      <c r="B240" s="37" t="str">
        <f>HYPERLINK("https://lafourche.fr/products/la-fourche-puree-100-cacahuetes-bio-0-5kg","9.98")</f>
        <v>9.98</v>
      </c>
      <c r="C240" t="s">
        <v>15</v>
      </c>
      <c r="D240" s="42" t="str">
        <f>HYPERLINK("https://www.biocoop.fr/magasin-biocoop_champollion/beurre-de-cacahuetes-500g-ra0617-000.html","13.2")</f>
        <v>13.2</v>
      </c>
      <c r="E240" t="s">
        <v>15</v>
      </c>
      <c r="F240" s="42" t="str">
        <f>HYPERLINK("https://www.biocoop.fr/magasin-biocoop_fontaine/beurre-de-cacahuetes-500g-ra0617-000.html","13.2")</f>
        <v>13.2</v>
      </c>
      <c r="G240" t="s">
        <v>15</v>
      </c>
      <c r="H240" s="42" t="str">
        <f>HYPERLINK("https://satoriz-comboire.bio/collections/epicerie-sucree/products/ag001216","10.46")</f>
        <v>10.46</v>
      </c>
      <c r="I240" t="s">
        <v>15</v>
      </c>
      <c r="J240" s="42" t="str">
        <f>HYPERLINK("https://www.greenweez.com/produit/beurre-de-cacahuetes-280g/1PERL0131","888888")</f>
        <v>888888</v>
      </c>
      <c r="K240" s="39" t="s">
        <v>99</v>
      </c>
    </row>
    <row r="241" spans="1:11" x14ac:dyDescent="0.3">
      <c r="A241" t="s">
        <v>530</v>
      </c>
      <c r="B241" s="42" t="str">
        <f>HYPERLINK("https://lafourche.fr/products/la-fourche-tahin-100-sesame-demi-complet-bio-0-5kg","12.78")</f>
        <v>12.78</v>
      </c>
      <c r="C241" s="40" t="s">
        <v>865</v>
      </c>
      <c r="D241" s="42" t="str">
        <f>HYPERLINK("https://www.biocoop.fr/magasin-biocoop_champollion/puree-de-sesame-1-2-complet-350g-he0860-000.html","20.43")</f>
        <v>20.43</v>
      </c>
      <c r="E241" t="s">
        <v>15</v>
      </c>
      <c r="F241" s="42" t="str">
        <f>HYPERLINK("https://www.biocoop.fr/magasin-biocoop_fontaine/epicerie-sucree/petit-dejeuner/purees-d-oleagineux.html?product_list_order=price_ref_asc","11.57")</f>
        <v>11.57</v>
      </c>
      <c r="G241" s="38" t="s">
        <v>866</v>
      </c>
      <c r="H241" s="42" t="str">
        <f>HYPERLINK("https://satoriz-comboire.bio/collections/epicerie-sucree/products/per1240","18.93")</f>
        <v>18.93</v>
      </c>
      <c r="I241" t="s">
        <v>15</v>
      </c>
      <c r="J241" s="37" t="str">
        <f>HYPERLINK("https://www.greenweez.com/produit/puree-de-sesame-complet-bio-700g/2WEEZ0504","10.21")</f>
        <v>10.21</v>
      </c>
      <c r="K241" s="38" t="s">
        <v>867</v>
      </c>
    </row>
    <row r="242" spans="1:11" x14ac:dyDescent="0.3">
      <c r="A242" t="s">
        <v>534</v>
      </c>
      <c r="B242" s="37" t="str">
        <f>HYPERLINK("https://lafourche.fr/products/la-fourche-puree-100-amandes-completes-bio-0-5kg","21.18")</f>
        <v>21.18</v>
      </c>
      <c r="C242" s="40" t="s">
        <v>868</v>
      </c>
      <c r="D242" s="42" t="str">
        <f>HYPERLINK("https://www.biocoop.fr/magasin-biocoop_champollion/puree-d-amande-complete-non-toastee-275g-da8051-000.html","32.69")</f>
        <v>32.69</v>
      </c>
      <c r="E242" t="s">
        <v>15</v>
      </c>
      <c r="F242" s="42" t="str">
        <f>HYPERLINK("https://www.biocoop.fr/magasin-biocoop_fontaine/puree-d-amande-complete-grillee-750g-da8074-000.html","28.6")</f>
        <v>28.6</v>
      </c>
      <c r="G242" t="s">
        <v>15</v>
      </c>
      <c r="H242" s="42" t="str">
        <f>HYPERLINK("https://satoriz-comboire.bio/collections/epicerie-sucree/products/ag001043","21.77")</f>
        <v>21.77</v>
      </c>
      <c r="I242" t="s">
        <v>15</v>
      </c>
      <c r="J242" s="42" t="str">
        <f>HYPERLINK("https://www.greenweez.com/produit/puree-damandes-completes-bio-700g/2WEEZ0283","22.77")</f>
        <v>22.77</v>
      </c>
      <c r="K242" t="s">
        <v>15</v>
      </c>
    </row>
    <row r="243" spans="1:11" x14ac:dyDescent="0.3">
      <c r="A243" t="s">
        <v>538</v>
      </c>
      <c r="B243" s="37" t="str">
        <f>HYPERLINK("https://lafourche.fr/products/la-fourche-puree-100-noix-de-cajou-bio-0-5kg","21.98")</f>
        <v>21.98</v>
      </c>
      <c r="C243" t="s">
        <v>15</v>
      </c>
      <c r="D243" s="42" t="str">
        <f>HYPERLINK("https://www.biocoop.fr/magasin-biocoop_champollion/puree-de-noix-de-cajou-crue-300g-pd0107-000.html","32.4")</f>
        <v>32.4</v>
      </c>
      <c r="E243" t="s">
        <v>15</v>
      </c>
      <c r="F243" s="42" t="str">
        <f>HYPERLINK("https://www.biocoop.fr/magasin-biocoop_fontaine/puree-de-noix-de-cajou-350g-he0751-000.html","29.14")</f>
        <v>29.14</v>
      </c>
      <c r="G243" s="38" t="s">
        <v>745</v>
      </c>
      <c r="H243" s="42" t="str">
        <f>HYPERLINK("https://satoriz-comboire.bio/collections/epicerie-sucree/products/per1435","26.5")</f>
        <v>26.5</v>
      </c>
      <c r="I243" t="s">
        <v>15</v>
      </c>
      <c r="J243" s="42" t="str">
        <f>HYPERLINK("https://www.greenweez.com/produit/puree-de-noix-de-cajou-bio-350g/2WEEZ0285","24.23")</f>
        <v>24.23</v>
      </c>
      <c r="K243" t="s">
        <v>15</v>
      </c>
    </row>
    <row r="244" spans="1:11" x14ac:dyDescent="0.3">
      <c r="A244" t="s">
        <v>540</v>
      </c>
      <c r="B244" s="42" t="str">
        <f>HYPERLINK("https://lafourche.fr/products/la-fourche-puree-100-noisettes-bio-0-5kg","22.36")</f>
        <v>22.36</v>
      </c>
      <c r="C244" s="38" t="s">
        <v>869</v>
      </c>
      <c r="D244" s="42" t="str">
        <f>HYPERLINK("https://www.biocoop.fr/magasin-biocoop_champollion/puree-de-noisette-700g-he0702-000.html","33.14")</f>
        <v>33.14</v>
      </c>
      <c r="E244" t="s">
        <v>15</v>
      </c>
      <c r="F244" s="42" t="str">
        <f>HYPERLINK("https://www.biocoop.fr/magasin-biocoop_fontaine/puree-de-noisette-700g-he0702-000.html","32.14")</f>
        <v>32.14</v>
      </c>
      <c r="G244" t="s">
        <v>15</v>
      </c>
      <c r="H244" s="42" t="str">
        <f>HYPERLINK("https://satoriz-comboire.bio/collections/epicerie-sucree/products/ag001044","26.0")</f>
        <v>26.0</v>
      </c>
      <c r="I244" t="s">
        <v>15</v>
      </c>
      <c r="J244" s="37" t="str">
        <f>HYPERLINK("https://www.greenweez.com/produit/puree-de-noisettes-bio-700g/2WEEZ0289","18.99")</f>
        <v>18.99</v>
      </c>
      <c r="K244" s="38" t="s">
        <v>737</v>
      </c>
    </row>
    <row r="245" spans="1:11" x14ac:dyDescent="0.3">
      <c r="A245" s="35" t="s">
        <v>545</v>
      </c>
      <c r="B245" s="36"/>
      <c r="C245" s="36"/>
      <c r="D245" s="36"/>
      <c r="E245" s="36"/>
      <c r="F245" s="36"/>
      <c r="G245" s="36"/>
      <c r="H245" s="36"/>
      <c r="I245" s="36"/>
      <c r="J245" s="36"/>
      <c r="K245" s="36"/>
    </row>
    <row r="246" spans="1:11" x14ac:dyDescent="0.3">
      <c r="A246" t="s">
        <v>546</v>
      </c>
      <c r="B246" s="37" t="str">
        <f>HYPERLINK("https://lafourche.fr/products/borsa-biscottes-completes-bio-0-3kg","8.83")</f>
        <v>8.83</v>
      </c>
      <c r="C246" t="s">
        <v>15</v>
      </c>
      <c r="D246" s="37" t="str">
        <f>HYPERLINK("https://www.biocoop.fr/magasin-biocoop_champollion/biscottes-a-la-farine-complete-300g-bo1013-000.html","8.83")</f>
        <v>8.83</v>
      </c>
      <c r="E246" t="s">
        <v>15</v>
      </c>
      <c r="F246" s="37" t="str">
        <f>HYPERLINK("https://www.biocoop.fr/magasin-biocoop_fontaine/biscottes-a-la-farine-complete-300g-bo1013-000.html","8.83")</f>
        <v>8.83</v>
      </c>
      <c r="G246" t="s">
        <v>15</v>
      </c>
      <c r="H246" s="42" t="str">
        <f>HYPERLINK("https://satoriz-comboire.bio/collections/boulangerie/products/ma3424","9.17")</f>
        <v>9.17</v>
      </c>
      <c r="I246" t="s">
        <v>15</v>
      </c>
      <c r="J246" s="42" t="str">
        <f>HYPERLINK("https://www.greenweez.com/produit/biscottes-a-la-farine-complete-300g/1BORS0001","11.6")</f>
        <v>11.6</v>
      </c>
      <c r="K246" t="s">
        <v>15</v>
      </c>
    </row>
    <row r="247" spans="1:11" x14ac:dyDescent="0.3">
      <c r="A247" t="s">
        <v>549</v>
      </c>
      <c r="B247" s="42" t="str">
        <f>HYPERLINK("https://lafourche.fr/products/lima-galettes-de-riz-100g","8.5")</f>
        <v>8.5</v>
      </c>
      <c r="C247" t="s">
        <v>15</v>
      </c>
      <c r="D247" s="42" t="str">
        <f>HYPERLINK("https://www.biocoop.fr/magasin-biocoop_champollion/galettes-de-riz-de-camargue-complet-130g-bo0159-000.html","9.23")</f>
        <v>9.23</v>
      </c>
      <c r="E247" t="s">
        <v>15</v>
      </c>
      <c r="F247" s="42" t="str">
        <f>HYPERLINK("https://www.biocoop.fr/magasin-biocoop_fontaine/galettes-de-riz-de-camargue-complet-130g-bo0159-000.html","9.23")</f>
        <v>9.23</v>
      </c>
      <c r="G247" t="s">
        <v>15</v>
      </c>
      <c r="H247" s="42" t="str">
        <f>HYPERLINK("https://satoriz-comboire.bio/collections/boulangerie/products/pu7840009","10.5")</f>
        <v>10.5</v>
      </c>
      <c r="I247" t="s">
        <v>15</v>
      </c>
      <c r="J247" s="37" t="str">
        <f>HYPERLINK("https://www.greenweez.com/produit/galettes-riz-de-camargue-sans-sel-100-france-130g/1PRIM0474","6.91")</f>
        <v>6.91</v>
      </c>
      <c r="K247" t="s">
        <v>15</v>
      </c>
    </row>
    <row r="248" spans="1:11" x14ac:dyDescent="0.3">
      <c r="A248" t="s">
        <v>554</v>
      </c>
      <c r="B248" s="37" t="str">
        <f>HYPERLINK("https://lafourche.fr/products/lima-galettes-de-riz-au-chocolat-noir-bio-0-1kg","19.9")</f>
        <v>19.9</v>
      </c>
      <c r="C248" s="38" t="s">
        <v>870</v>
      </c>
      <c r="D248" s="42" t="str">
        <f>HYPERLINK("https://www.biocoop.fr/magasin-biocoop_champollion/galette-riz-complet-choco-noir-8-100g-cf5007-000.html","23.0")</f>
        <v>23.0</v>
      </c>
      <c r="E248" t="s">
        <v>15</v>
      </c>
      <c r="F248" s="42" t="str">
        <f>HYPERLINK("https://www.biocoop.fr/magasin-biocoop_fontaine/galette-riz-complet-choco-noir-8-100g-cf5007-000.html","23.0")</f>
        <v>23.0</v>
      </c>
      <c r="G248" t="s">
        <v>15</v>
      </c>
      <c r="H248" s="42" t="str">
        <f>HYPERLINK("https://satoriz-comboire.bio/collections/boulangerie/products/pu7840085","25.5")</f>
        <v>25.5</v>
      </c>
      <c r="I248" t="s">
        <v>15</v>
      </c>
      <c r="J248" s="42" t="str">
        <f>HYPERLINK("https://www.greenweez.com/produit/galettes-de-riz-au-chocolat-noir-100g/1MKAL0059","888888")</f>
        <v>888888</v>
      </c>
      <c r="K248" s="39" t="s">
        <v>99</v>
      </c>
    </row>
    <row r="249" spans="1:11" x14ac:dyDescent="0.3">
      <c r="A249" t="s">
        <v>556</v>
      </c>
      <c r="B249" s="42" t="str">
        <f>HYPERLINK("https://lafourche.fr/products/pivert-pain-grille-250g","11")</f>
        <v>11</v>
      </c>
      <c r="C249" t="s">
        <v>15</v>
      </c>
      <c r="D249" s="37" t="str">
        <f>HYPERLINK("https://www.biocoop.fr/magasin-biocoop_champollion/epicerie-sucree/pains-galettes-biscottes/biscottes-pains-grilles.html?product_list_order=price_ref_asc","8.67")</f>
        <v>8.67</v>
      </c>
      <c r="E249" t="s">
        <v>15</v>
      </c>
      <c r="F249">
        <v>888888</v>
      </c>
      <c r="H249" s="42" t="str">
        <f>HYPERLINK("https://satoriz-comboire.bio/collections/boulangerie/products/ma1521","10.2")</f>
        <v>10.2</v>
      </c>
      <c r="I249" t="s">
        <v>15</v>
      </c>
      <c r="J249" s="42" t="str">
        <f>HYPERLINK("https://www.greenweez.com/produit/pain-grille-a-la-farine-complete-250g/1BORS0008","13.36")</f>
        <v>13.36</v>
      </c>
      <c r="K249" s="40" t="s">
        <v>746</v>
      </c>
    </row>
    <row r="250" spans="1:11" x14ac:dyDescent="0.3">
      <c r="A250" t="s">
        <v>558</v>
      </c>
      <c r="B250" s="42" t="str">
        <f>HYPERLINK("https://lafourche.fr/products/pivert-petits-pains-grilles-graines-et-cereales-225g","13.29")</f>
        <v>13.29</v>
      </c>
      <c r="C250" t="s">
        <v>15</v>
      </c>
      <c r="D250" s="42" t="str">
        <f>HYPERLINK("https://www.biocoop.fr/magasin-biocoop_champollion/petit-grille-aux-graines-170g-al3052-000.html","27.65")</f>
        <v>27.65</v>
      </c>
      <c r="E250" s="40" t="s">
        <v>747</v>
      </c>
      <c r="F250" s="37" t="str">
        <f>HYPERLINK("https://www.biocoop.fr/magasin-biocoop_fontaine/petit-pain-grille-cereales-graines-225g-bo1016-000.html","10.89")</f>
        <v>10.89</v>
      </c>
      <c r="G250" t="s">
        <v>15</v>
      </c>
      <c r="H250" s="42" t="str">
        <f>HYPERLINK("https://satoriz-comboire.bio/collections/boulangerie/products/mpi120268","13.11")</f>
        <v>13.11</v>
      </c>
      <c r="I250" t="s">
        <v>15</v>
      </c>
      <c r="J250" s="42" t="str">
        <f>HYPERLINK("https://www.greenweez.com/produit/petits-pains-grilles-cereales-et-graines-225g/1BORS0005","13.96")</f>
        <v>13.96</v>
      </c>
      <c r="K250" t="s">
        <v>15</v>
      </c>
    </row>
    <row r="252" spans="1:11" ht="18.75" customHeight="1" x14ac:dyDescent="0.35">
      <c r="A252" s="33" t="s">
        <v>561</v>
      </c>
      <c r="B252" s="34"/>
      <c r="C252" s="34"/>
      <c r="D252" s="34"/>
      <c r="E252" s="34"/>
      <c r="F252" s="34"/>
      <c r="G252" s="34"/>
      <c r="H252" s="34"/>
      <c r="I252" s="34"/>
      <c r="J252" s="34"/>
      <c r="K252" s="34"/>
    </row>
    <row r="253" spans="1:11" x14ac:dyDescent="0.3">
      <c r="A253" s="35" t="s">
        <v>562</v>
      </c>
      <c r="B253" s="36"/>
      <c r="C253" s="36"/>
      <c r="D253" s="36"/>
      <c r="E253" s="36"/>
      <c r="F253" s="36"/>
      <c r="G253" s="36"/>
      <c r="H253" s="36"/>
      <c r="I253" s="36"/>
      <c r="J253" s="36"/>
      <c r="K253" s="36"/>
    </row>
    <row r="254" spans="1:11" x14ac:dyDescent="0.3">
      <c r="A254" t="s">
        <v>563</v>
      </c>
      <c r="B254" s="37" t="str">
        <f>HYPERLINK("https://lafourche.fr/products/la-fourche-pommes-candine-bio-origine-france-1-kg","2.58")</f>
        <v>2.58</v>
      </c>
      <c r="C254" t="s">
        <v>15</v>
      </c>
      <c r="D254">
        <v>888888</v>
      </c>
      <c r="F254" s="42" t="str">
        <f>HYPERLINK("https://www.biocoop.fr/magasin-biocoop_fontaine/pomme-bicolore-fel4194-000-france.html","3.2")</f>
        <v>3.2</v>
      </c>
      <c r="G254" s="40" t="s">
        <v>871</v>
      </c>
      <c r="H254" s="42" t="str">
        <f>HYPERLINK("https://satoriz-comboire.bio/collections/fruits-et-legumes/products/fru716","3.2")</f>
        <v>3.2</v>
      </c>
      <c r="I254" s="40" t="s">
        <v>749</v>
      </c>
      <c r="J254" s="42" t="str">
        <f>HYPERLINK("https://www.greenweez.com/produit/pomme-regal-you-candine/1VRAC0415","2.92")</f>
        <v>2.92</v>
      </c>
      <c r="K254" s="38" t="s">
        <v>872</v>
      </c>
    </row>
    <row r="255" spans="1:11" x14ac:dyDescent="0.3">
      <c r="A255" t="s">
        <v>564</v>
      </c>
      <c r="B255">
        <v>888888</v>
      </c>
      <c r="D255" s="37" t="str">
        <f>HYPERLINK("https://www.biocoop.fr/magasin-biocoop_champollion/banane-cavendish-fel4011-000-dominicaine-republique-.html","2.09")</f>
        <v>2.09</v>
      </c>
      <c r="E255" t="s">
        <v>15</v>
      </c>
      <c r="F255">
        <v>888888</v>
      </c>
      <c r="H255" s="42" t="str">
        <f>HYPERLINK("https://satoriz-comboire.bio/collections/fruits-et-legumes/products/fru140","2.1")</f>
        <v>2.1</v>
      </c>
      <c r="I255" t="s">
        <v>15</v>
      </c>
      <c r="J255" s="42" t="str">
        <f>HYPERLINK("https://www.greenweez.com/produit/bananes-jaunes/1VRAC0018","2.29")</f>
        <v>2.29</v>
      </c>
      <c r="K255" t="s">
        <v>15</v>
      </c>
    </row>
    <row r="256" spans="1:11" x14ac:dyDescent="0.3">
      <c r="A256" t="s">
        <v>565</v>
      </c>
      <c r="B256" s="37" t="str">
        <f>HYPERLINK("https://lafourche.fr/products/la-fourche-clementines-bio-origine-espagne-1kg","888888")</f>
        <v>888888</v>
      </c>
      <c r="C256" s="39" t="s">
        <v>99</v>
      </c>
      <c r="D256" s="41">
        <v>888888</v>
      </c>
      <c r="F256" s="41">
        <v>888888</v>
      </c>
      <c r="H256" s="37" t="str">
        <f>HYPERLINK("https://satoriz-comboire.bio/collections/fruits-et-legumes/products/fru210","888888")</f>
        <v>888888</v>
      </c>
      <c r="I256" s="39" t="s">
        <v>99</v>
      </c>
      <c r="J256" s="37" t="str">
        <f>HYPERLINK("https://www.greenweez.com/produit/clementines-espagne-1/1VRAC0019","888888")</f>
        <v>888888</v>
      </c>
      <c r="K256" s="39" t="s">
        <v>99</v>
      </c>
    </row>
    <row r="257" spans="1:11" x14ac:dyDescent="0.3">
      <c r="A257" t="s">
        <v>566</v>
      </c>
      <c r="B257" s="42" t="str">
        <f>HYPERLINK("https://lafourche.fr/products/la-fourche-kiwis-bio-origine-france-0-5kg","888888")</f>
        <v>888888</v>
      </c>
      <c r="C257" s="39" t="s">
        <v>99</v>
      </c>
      <c r="D257">
        <v>888888</v>
      </c>
      <c r="F257" s="37" t="str">
        <f>HYPERLINK("https://www.biocoop.fr/magasin-biocoop_fontaine/kiwi-vert-fel4030-000-italie.html","5.9")</f>
        <v>5.9</v>
      </c>
      <c r="G257" s="38" t="s">
        <v>751</v>
      </c>
      <c r="H257" s="37" t="str">
        <f>HYPERLINK("https://satoriz-comboire.bio/collections/fruits-et-legumes/products/fru300","5.9")</f>
        <v>5.9</v>
      </c>
      <c r="I257" s="40" t="s">
        <v>873</v>
      </c>
      <c r="J257" s="42" t="str">
        <f>HYPERLINK("https://www.greenweez.com/produit/kiwi-hayward-italie-1/1VRAC0014","888888")</f>
        <v>888888</v>
      </c>
      <c r="K257" s="39" t="s">
        <v>99</v>
      </c>
    </row>
    <row r="258" spans="1:11" x14ac:dyDescent="0.3">
      <c r="A258" t="s">
        <v>567</v>
      </c>
      <c r="B258" s="37" t="str">
        <f>HYPERLINK("https://lafourche.fr/products/la-fourche-poires-conference-bio-origine-france-0-5kg","888888")</f>
        <v>888888</v>
      </c>
      <c r="D258" s="41">
        <v>888888</v>
      </c>
      <c r="F258" s="41">
        <v>888888</v>
      </c>
      <c r="H258" s="37" t="str">
        <f>HYPERLINK("https://satoriz-comboire.bio/collections/fruits-et-legumes/products/fru604","888888")</f>
        <v>888888</v>
      </c>
      <c r="J258" s="37" t="str">
        <f>HYPERLINK("https://www.greenweez.com/produit/poire-conference-france-1/1VRAC0015","888888")</f>
        <v>888888</v>
      </c>
    </row>
    <row r="259" spans="1:11" x14ac:dyDescent="0.3">
      <c r="A259" t="s">
        <v>568</v>
      </c>
      <c r="B259" s="42" t="str">
        <f>HYPERLINK("https://lafourche.fr/products/la-fourche-oranges-bio-origine-espagne-kg-1","888888")</f>
        <v>888888</v>
      </c>
      <c r="C259" s="39" t="s">
        <v>99</v>
      </c>
      <c r="D259">
        <v>888888</v>
      </c>
      <c r="F259" s="42" t="str">
        <f>HYPERLINK("https://www.biocoop.fr/magasin-biocoop_fontaine/orange-blonde-navel.html","2.4")</f>
        <v>2.4</v>
      </c>
      <c r="G259" s="40" t="s">
        <v>874</v>
      </c>
      <c r="H259" s="37" t="str">
        <f>HYPERLINK("https://satoriz-comboire.bio/collections/fruits-et-legumes/products/fru450","2.3")</f>
        <v>2.3</v>
      </c>
      <c r="I259" t="s">
        <v>15</v>
      </c>
      <c r="J259" s="42" t="str">
        <f>HYPERLINK("https://www.greenweez.com/produit/orange-de-table-espagne-1/1VRAC0009","888888")</f>
        <v>888888</v>
      </c>
      <c r="K259" s="39" t="s">
        <v>99</v>
      </c>
    </row>
    <row r="260" spans="1:11" x14ac:dyDescent="0.3">
      <c r="A260" t="s">
        <v>569</v>
      </c>
      <c r="B260" s="37" t="str">
        <f>HYPERLINK("https://lafourche.fr/products/la-fourche-citron-bio-origine-italie-kg-0-5-2","2.3")</f>
        <v>2.3</v>
      </c>
      <c r="C260" t="s">
        <v>15</v>
      </c>
      <c r="D260" s="42" t="str">
        <f>HYPERLINK("https://www.biocoop.fr/magasin-biocoop_champollion/citron-jaune.html","2.5")</f>
        <v>2.5</v>
      </c>
      <c r="E260" s="38" t="s">
        <v>348</v>
      </c>
      <c r="F260" s="42" t="str">
        <f>HYPERLINK("https://www.biocoop.fr/magasin-biocoop_fontaine/citron-jaune.html","2.6")</f>
        <v>2.6</v>
      </c>
      <c r="G260" s="40" t="s">
        <v>649</v>
      </c>
      <c r="H260" s="42" t="str">
        <f>HYPERLINK("https://satoriz-comboire.bio/collections/fruits-et-legumes/products/fru202","3.6")</f>
        <v>3.6</v>
      </c>
      <c r="I260" t="s">
        <v>15</v>
      </c>
      <c r="J260" s="42" t="str">
        <f>HYPERLINK("https://www.greenweez.com/produit/citron-jaune-espagne-1/1VRAC0011","2.48")</f>
        <v>2.48</v>
      </c>
      <c r="K260" s="38" t="s">
        <v>875</v>
      </c>
    </row>
    <row r="261" spans="1:11" x14ac:dyDescent="0.3">
      <c r="A261" s="35" t="s">
        <v>570</v>
      </c>
      <c r="B261" s="36"/>
      <c r="C261" s="36"/>
      <c r="D261" s="36"/>
      <c r="E261" s="36"/>
      <c r="F261" s="36"/>
      <c r="G261" s="36"/>
      <c r="H261" s="36"/>
      <c r="I261" s="36"/>
      <c r="J261" s="36"/>
      <c r="K261" s="36"/>
    </row>
    <row r="262" spans="1:11" x14ac:dyDescent="0.3">
      <c r="A262" t="s">
        <v>571</v>
      </c>
      <c r="B262" s="42" t="str">
        <f>HYPERLINK("https://lafourche.fr/products/la-fourche-ail-bio-origine-france-0-3kg","13.3")</f>
        <v>13.3</v>
      </c>
      <c r="C262" t="s">
        <v>15</v>
      </c>
      <c r="D262">
        <v>888888</v>
      </c>
      <c r="F262" s="42" t="str">
        <f>HYPERLINK("https://www.biocoop.fr/magasin-biocoop_fontaine/ail-sec-blanc.html","15.0")</f>
        <v>15.0</v>
      </c>
      <c r="G262" t="s">
        <v>15</v>
      </c>
      <c r="H262" s="37" t="str">
        <f>HYPERLINK("https://satoriz-comboire.bio/collections/fruits-et-legumes/products/lgu105","9.5")</f>
        <v>9.5</v>
      </c>
      <c r="I262" s="38" t="s">
        <v>876</v>
      </c>
      <c r="J262" s="42" t="str">
        <f>HYPERLINK("https://www.greenweez.com/produit/ail-blanc-violet-sec-espagne-1/1VRAC0299","11.15")</f>
        <v>11.15</v>
      </c>
      <c r="K262" t="s">
        <v>15</v>
      </c>
    </row>
    <row r="263" spans="1:11" x14ac:dyDescent="0.3">
      <c r="A263" t="s">
        <v>572</v>
      </c>
      <c r="B263" s="37" t="str">
        <f>HYPERLINK("https://lafourche.fr/products/la-fourche-oignons-jaunes-bio-origine-france-1kg","2.35")</f>
        <v>2.35</v>
      </c>
      <c r="C263" t="s">
        <v>15</v>
      </c>
      <c r="D263">
        <v>888888</v>
      </c>
      <c r="F263" s="42" t="str">
        <f>HYPERLINK("https://www.biocoop.fr/magasin-biocoop_fontaine/oignon-vrac-jaune.html","2.9")</f>
        <v>2.9</v>
      </c>
      <c r="G263" t="s">
        <v>15</v>
      </c>
      <c r="H263" s="42" t="str">
        <f>HYPERLINK("https://satoriz-comboire.bio/collections/fruits-et-legumes/products/lgu608","2.5")</f>
        <v>2.5</v>
      </c>
      <c r="I263" s="40" t="s">
        <v>755</v>
      </c>
      <c r="J263" s="42" t="str">
        <f>HYPERLINK("https://www.greenweez.com/produit/oignon-jaune-cal-40-80-france/1VRAC0533","2.82")</f>
        <v>2.82</v>
      </c>
      <c r="K263" t="s">
        <v>15</v>
      </c>
    </row>
    <row r="264" spans="1:11" x14ac:dyDescent="0.3">
      <c r="A264" t="s">
        <v>573</v>
      </c>
      <c r="B264" s="42" t="str">
        <f>HYPERLINK("https://lafourche.fr/products/la-fourche-oignons-rouges-bio-origine-france-1kg","3.09")</f>
        <v>3.09</v>
      </c>
      <c r="C264" s="38" t="s">
        <v>756</v>
      </c>
      <c r="D264" s="42" t="str">
        <f>HYPERLINK("https://www.biocoop.fr/magasin-biocoop_champollion/oignon-vrac-rouge.html","4.25")</f>
        <v>4.25</v>
      </c>
      <c r="E264" s="40" t="s">
        <v>877</v>
      </c>
      <c r="F264" s="42" t="str">
        <f>HYPERLINK("https://www.biocoop.fr/magasin-biocoop_fontaine/oignon-vrac-rouge.html","3.9")</f>
        <v>3.9</v>
      </c>
      <c r="G264" s="40" t="s">
        <v>878</v>
      </c>
      <c r="H264" s="37" t="str">
        <f>HYPERLINK("https://satoriz-comboire.bio/collections/fruits-et-legumes/products/oignon-rouge","2.96")</f>
        <v>2.96</v>
      </c>
      <c r="I264" s="38" t="s">
        <v>757</v>
      </c>
      <c r="J264">
        <v>888888</v>
      </c>
    </row>
    <row r="265" spans="1:11" x14ac:dyDescent="0.3">
      <c r="A265" t="s">
        <v>574</v>
      </c>
      <c r="B265">
        <v>888888</v>
      </c>
      <c r="D265">
        <v>888888</v>
      </c>
      <c r="F265" s="42" t="str">
        <f>HYPERLINK("https://www.biocoop.fr/magasin-biocoop_fontaine/betterave-rouge.html","2.95")</f>
        <v>2.95</v>
      </c>
      <c r="G265" t="s">
        <v>15</v>
      </c>
      <c r="H265" s="37" t="str">
        <f>HYPERLINK("https://satoriz-comboire.bio/collections/fruits-et-legumes/products/lgu210-1","2.76")</f>
        <v>2.76</v>
      </c>
      <c r="I265" s="40" t="s">
        <v>203</v>
      </c>
      <c r="J265" s="42" t="str">
        <f>HYPERLINK("https://www.greenweez.com/produit/betterave-rouge-france-2/1VRAC0023","3.12")</f>
        <v>3.12</v>
      </c>
      <c r="K265" t="s">
        <v>15</v>
      </c>
    </row>
    <row r="266" spans="1:11" x14ac:dyDescent="0.3">
      <c r="A266" t="s">
        <v>575</v>
      </c>
      <c r="B266">
        <v>888888</v>
      </c>
      <c r="D266" s="37" t="str">
        <f>HYPERLINK("https://www.biocoop.fr/magasin-biocoop_champollion/blette-pied.html","3.95")</f>
        <v>3.95</v>
      </c>
      <c r="E266" t="s">
        <v>15</v>
      </c>
      <c r="F266">
        <v>888888</v>
      </c>
      <c r="H266" s="42" t="str">
        <f>HYPERLINK("https://satoriz-comboire.bio/collections/fruits-et-legumes/products/lgu222","888888")</f>
        <v>888888</v>
      </c>
      <c r="I266" s="39" t="s">
        <v>99</v>
      </c>
      <c r="J266">
        <v>888888</v>
      </c>
    </row>
    <row r="267" spans="1:11" x14ac:dyDescent="0.3">
      <c r="A267" t="s">
        <v>576</v>
      </c>
      <c r="B267">
        <v>888888</v>
      </c>
      <c r="D267">
        <v>888888</v>
      </c>
      <c r="F267" s="42" t="str">
        <f>HYPERLINK("https://www.biocoop.fr/magasin-biocoop_fontaine/chou-brocoli.html","4.5")</f>
        <v>4.5</v>
      </c>
      <c r="G267" s="38" t="s">
        <v>879</v>
      </c>
      <c r="H267" s="37" t="str">
        <f>HYPERLINK("https://satoriz-comboire.bio/collections/fruits-et-legumes/products/lgu230","3.96")</f>
        <v>3.96</v>
      </c>
      <c r="I267" s="38" t="s">
        <v>880</v>
      </c>
      <c r="J267" s="42" t="str">
        <f>HYPERLINK("https://www.greenweez.com/produit/brocoli-france/1VRAC0033","7.3")</f>
        <v>7.3</v>
      </c>
      <c r="K267" s="40" t="s">
        <v>881</v>
      </c>
    </row>
    <row r="268" spans="1:11" x14ac:dyDescent="0.3">
      <c r="A268" t="s">
        <v>577</v>
      </c>
      <c r="B268" s="42" t="str">
        <f>HYPERLINK("https://lafourche.fr/products/la-fourche-carottes-bio-origine-france-2-kg-2","888888")</f>
        <v>888888</v>
      </c>
      <c r="C268" s="39" t="s">
        <v>99</v>
      </c>
      <c r="D268" s="37" t="str">
        <f>HYPERLINK("https://www.biocoop.fr/magasin-biocoop_champollion/carotte-lavee.html","2.5")</f>
        <v>2.5</v>
      </c>
      <c r="E268" t="s">
        <v>15</v>
      </c>
      <c r="F268" s="42" t="str">
        <f>HYPERLINK("https://www.biocoop.fr/magasin-biocoop_fontaine/carotte-lavee.html","2.8")</f>
        <v>2.8</v>
      </c>
      <c r="G268" s="40" t="s">
        <v>165</v>
      </c>
      <c r="H268" s="42" t="str">
        <f>HYPERLINK("https://satoriz-comboire.bio/collections/fruits-et-legumes/products/lgu250","888888")</f>
        <v>888888</v>
      </c>
      <c r="I268" s="39" t="s">
        <v>99</v>
      </c>
      <c r="J268" s="42" t="str">
        <f>HYPERLINK("https://www.greenweez.com/produit/carottes-lavees-france-2/1VRAC0034","3.76")</f>
        <v>3.76</v>
      </c>
      <c r="K268" s="40" t="s">
        <v>882</v>
      </c>
    </row>
    <row r="269" spans="1:11" x14ac:dyDescent="0.3">
      <c r="A269" t="s">
        <v>578</v>
      </c>
      <c r="B269" s="41">
        <v>888888</v>
      </c>
      <c r="D269" s="41">
        <v>888888</v>
      </c>
      <c r="F269" s="41">
        <v>888888</v>
      </c>
      <c r="H269" s="37" t="str">
        <f>HYPERLINK("https://satoriz-comboire.bio/collections/fruits-et-legumes/products/lgu300","888888")</f>
        <v>888888</v>
      </c>
      <c r="I269" s="39" t="s">
        <v>99</v>
      </c>
      <c r="J269" s="37" t="str">
        <f>HYPERLINK("https://www.greenweez.com/produit/celeri-rave/1VRAC0422","888888")</f>
        <v>888888</v>
      </c>
      <c r="K269" s="39" t="s">
        <v>99</v>
      </c>
    </row>
    <row r="270" spans="1:11" x14ac:dyDescent="0.3">
      <c r="A270" t="s">
        <v>579</v>
      </c>
      <c r="B270" s="42" t="str">
        <f>HYPERLINK("https://lafourche.fr/products/la-fourche-celeri-branche-bio-0-5kg","888888")</f>
        <v>888888</v>
      </c>
      <c r="C270" s="39" t="s">
        <v>99</v>
      </c>
      <c r="D270" s="37" t="str">
        <f>HYPERLINK("https://www.biocoop.fr/magasin-biocoop_champollion/celeri-branche.html","3.5")</f>
        <v>3.5</v>
      </c>
      <c r="E270" s="40" t="s">
        <v>883</v>
      </c>
      <c r="F270" s="37" t="str">
        <f>HYPERLINK("https://www.biocoop.fr/magasin-biocoop_fontaine/celeri-branche.html","3.5")</f>
        <v>3.5</v>
      </c>
      <c r="G270" s="38" t="s">
        <v>289</v>
      </c>
      <c r="H270" s="42" t="str">
        <f>HYPERLINK("https://satoriz-comboire.bio/collections/fruits-et-legumes/products/lgu301","888888")</f>
        <v>888888</v>
      </c>
      <c r="I270" s="39" t="s">
        <v>99</v>
      </c>
      <c r="J270" s="42" t="str">
        <f>HYPERLINK("https://www.greenweez.com/produit/celeri-branche/1VRAC0040","888888")</f>
        <v>888888</v>
      </c>
      <c r="K270" s="39" t="s">
        <v>99</v>
      </c>
    </row>
    <row r="271" spans="1:11" x14ac:dyDescent="0.3">
      <c r="A271" t="s">
        <v>580</v>
      </c>
      <c r="B271" s="37" t="str">
        <f>HYPERLINK("https://lafourche.fr/products/la-fourche-champignons-de-paris-bio-origine-france-0-5-kg-2","9.8")</f>
        <v>9.8</v>
      </c>
      <c r="C271" t="s">
        <v>15</v>
      </c>
      <c r="D271">
        <v>888888</v>
      </c>
      <c r="F271" s="42" t="str">
        <f>HYPERLINK("https://www.biocoop.fr/magasin-biocoop_fontaine/champignon-blond.html","9.9")</f>
        <v>9.9</v>
      </c>
      <c r="G271" t="s">
        <v>15</v>
      </c>
      <c r="H271" s="42" t="str">
        <f>HYPERLINK("https://satoriz-comboire.bio/collections/fruits-et-legumes/products/lgu321","12.7")</f>
        <v>12.7</v>
      </c>
      <c r="I271" t="s">
        <v>15</v>
      </c>
      <c r="J271" s="42" t="str">
        <f>HYPERLINK("https://www.greenweez.com/produit/champignons-blancs/1VRAC0150","13.68")</f>
        <v>13.68</v>
      </c>
      <c r="K271" s="38" t="s">
        <v>80</v>
      </c>
    </row>
    <row r="272" spans="1:11" x14ac:dyDescent="0.3">
      <c r="A272" t="s">
        <v>581</v>
      </c>
      <c r="B272" s="42" t="str">
        <f>HYPERLINK("https://lafourche.fr/products/la-fourche-champignons-pleurotes-bio-origine-france-0-25-kg","888888")</f>
        <v>888888</v>
      </c>
      <c r="C272" s="39" t="s">
        <v>99</v>
      </c>
      <c r="D272">
        <v>888888</v>
      </c>
      <c r="F272">
        <v>888888</v>
      </c>
      <c r="H272" s="37" t="str">
        <f>HYPERLINK("https://satoriz-comboire.bio/collections/fruits-et-legumes/products/lgu325","14.5")</f>
        <v>14.5</v>
      </c>
      <c r="I272" t="s">
        <v>15</v>
      </c>
      <c r="J272" s="42" t="str">
        <f>HYPERLINK("https://www.greenweez.com/produit/champignon-pleurote-ile-de-france-1/1VRAC0311","15.87")</f>
        <v>15.87</v>
      </c>
      <c r="K272" s="38" t="s">
        <v>80</v>
      </c>
    </row>
    <row r="273" spans="1:11" x14ac:dyDescent="0.3">
      <c r="A273" t="s">
        <v>582</v>
      </c>
      <c r="B273" s="37" t="str">
        <f>HYPERLINK("https://lafourche.fr/products/la-fourche-choux-de-bruxelles-origine-france-0-25kg","888888")</f>
        <v>888888</v>
      </c>
      <c r="C273" s="39" t="s">
        <v>99</v>
      </c>
      <c r="D273" s="41">
        <v>888888</v>
      </c>
      <c r="F273" s="41">
        <v>888888</v>
      </c>
      <c r="H273" s="37" t="str">
        <f>HYPERLINK("https://satoriz-comboire.bio/collections/fruits-et-legumes/products/lgu338","888888")</f>
        <v>888888</v>
      </c>
      <c r="I273" s="39" t="s">
        <v>99</v>
      </c>
      <c r="J273" s="41">
        <v>888888</v>
      </c>
    </row>
    <row r="274" spans="1:11" x14ac:dyDescent="0.3">
      <c r="A274" t="s">
        <v>583</v>
      </c>
      <c r="B274">
        <v>888888</v>
      </c>
      <c r="D274" s="37" t="str">
        <f>HYPERLINK("https://www.biocoop.fr/magasin-biocoop_champollion/chou-rouge-fel1980-000-france.html","2.5")</f>
        <v>2.5</v>
      </c>
      <c r="E274" s="38" t="s">
        <v>348</v>
      </c>
      <c r="F274">
        <v>888888</v>
      </c>
      <c r="H274" s="42" t="str">
        <f>HYPERLINK("https://satoriz-comboire.bio/collections/fruits-et-legumes/products/lgu343","3.16")</f>
        <v>3.16</v>
      </c>
      <c r="I274" s="40" t="s">
        <v>884</v>
      </c>
      <c r="J274">
        <v>888888</v>
      </c>
    </row>
    <row r="275" spans="1:11" x14ac:dyDescent="0.3">
      <c r="A275" t="s">
        <v>584</v>
      </c>
      <c r="B275">
        <v>888888</v>
      </c>
      <c r="D275" s="42" t="str">
        <f>HYPERLINK("https://www.biocoop.fr/magasin-biocoop_champollion/courge-butternut-fel4759-000-france.html","2.95")</f>
        <v>2.95</v>
      </c>
      <c r="E275" t="s">
        <v>15</v>
      </c>
      <c r="F275" s="37" t="str">
        <f>HYPERLINK("https://www.biocoop.fr/magasin-biocoop_fontaine/courge-butternut-fel4759-000-france.html","2.9")</f>
        <v>2.9</v>
      </c>
      <c r="G275" s="38" t="s">
        <v>429</v>
      </c>
      <c r="H275" s="42" t="str">
        <f>HYPERLINK("https://satoriz-comboire.bio/collections/fruits-et-legumes/products/lgu401","2.96")</f>
        <v>2.96</v>
      </c>
      <c r="I275" s="40" t="s">
        <v>885</v>
      </c>
      <c r="J275" s="42" t="str">
        <f>HYPERLINK("https://www.greenweez.com/produit/courge-butternut-france-2-5kg/1VRAC0036","888888")</f>
        <v>888888</v>
      </c>
      <c r="K275" s="39" t="s">
        <v>99</v>
      </c>
    </row>
    <row r="276" spans="1:11" x14ac:dyDescent="0.3">
      <c r="A276" t="s">
        <v>585</v>
      </c>
      <c r="B276" s="42" t="str">
        <f>HYPERLINK("https://lafourche.fr/products/la-fourche-echalotes-bio-origine-france-0-5kg","3.98")</f>
        <v>3.98</v>
      </c>
      <c r="C276" t="s">
        <v>15</v>
      </c>
      <c r="D276" s="37" t="str">
        <f>HYPERLINK("https://www.biocoop.fr/magasin-biocoop_champollion/echalote-vrac.html","3.75")</f>
        <v>3.75</v>
      </c>
      <c r="E276" t="s">
        <v>15</v>
      </c>
      <c r="F276" s="42" t="str">
        <f>HYPERLINK("https://www.biocoop.fr/magasin-biocoop_fontaine/echalote-vrac.html","4.5")</f>
        <v>4.5</v>
      </c>
      <c r="G276" t="s">
        <v>15</v>
      </c>
      <c r="H276" s="42" t="str">
        <f>HYPERLINK("https://satoriz-comboire.bio/collections/fruits-et-legumes/products/lgu420","4.0")</f>
        <v>4.0</v>
      </c>
      <c r="I276" t="s">
        <v>15</v>
      </c>
      <c r="J276" s="42" t="str">
        <f>HYPERLINK("https://www.greenweez.com/produit/echalote-nouvelle/1VRAC0053","4.18")</f>
        <v>4.18</v>
      </c>
      <c r="K276" t="s">
        <v>15</v>
      </c>
    </row>
    <row r="277" spans="1:11" x14ac:dyDescent="0.3">
      <c r="A277" t="s">
        <v>586</v>
      </c>
      <c r="B277" s="37" t="str">
        <f>HYPERLINK("https://lafourche.fr/products/la-fourche-endives-bio-origine-france-0-5kg","7.96")</f>
        <v>7.96</v>
      </c>
      <c r="C277" s="40" t="s">
        <v>886</v>
      </c>
      <c r="D277">
        <v>888888</v>
      </c>
      <c r="F277">
        <v>888888</v>
      </c>
      <c r="H277" s="42" t="str">
        <f>HYPERLINK("https://satoriz-comboire.bio/collections/fruits-et-legumes/products/lgu422","8.5")</f>
        <v>8.5</v>
      </c>
      <c r="I277" s="40" t="s">
        <v>887</v>
      </c>
      <c r="J277" s="42" t="str">
        <f>HYPERLINK("https://www.greenweez.com/produit/endive-france-4/1VRAC0047","9.92")</f>
        <v>9.92</v>
      </c>
      <c r="K277" s="40" t="s">
        <v>888</v>
      </c>
    </row>
    <row r="278" spans="1:11" x14ac:dyDescent="0.3">
      <c r="A278" t="s">
        <v>587</v>
      </c>
      <c r="B278">
        <v>888888</v>
      </c>
      <c r="D278">
        <v>888888</v>
      </c>
      <c r="F278">
        <v>888888</v>
      </c>
      <c r="H278" s="37" t="str">
        <f>HYPERLINK("https://satoriz-comboire.bio/collections/fruits-et-legumes/products/lgu440","2.92")</f>
        <v>2.92</v>
      </c>
      <c r="I278" s="38" t="s">
        <v>889</v>
      </c>
      <c r="J278" s="42" t="str">
        <f>HYPERLINK("https://www.greenweez.com/produit/epinards/1VRAC0083","888888")</f>
        <v>888888</v>
      </c>
      <c r="K278" s="39" t="s">
        <v>99</v>
      </c>
    </row>
    <row r="279" spans="1:11" x14ac:dyDescent="0.3">
      <c r="A279" t="s">
        <v>588</v>
      </c>
      <c r="B279">
        <v>888888</v>
      </c>
      <c r="D279" s="42" t="str">
        <f>HYPERLINK("https://www.biocoop.fr/magasin-biocoop_champollion/fenouil-fel4515-000-france.html","4.75")</f>
        <v>4.75</v>
      </c>
      <c r="E279" s="40" t="s">
        <v>772</v>
      </c>
      <c r="F279" s="42" t="str">
        <f>HYPERLINK("https://www.biocoop.fr/magasin-biocoop_fontaine/fenouil-fel4515-000-france.html","4.9")</f>
        <v>4.9</v>
      </c>
      <c r="G279" t="s">
        <v>15</v>
      </c>
      <c r="H279" s="37" t="str">
        <f>HYPERLINK("https://satoriz-comboire.bio/collections/fruits-et-legumes/products/lgu460","3.9")</f>
        <v>3.9</v>
      </c>
      <c r="I279" s="40" t="s">
        <v>890</v>
      </c>
      <c r="J279">
        <v>888888</v>
      </c>
    </row>
    <row r="280" spans="1:11" x14ac:dyDescent="0.3">
      <c r="A280" t="s">
        <v>589</v>
      </c>
      <c r="B280" s="42" t="str">
        <f>HYPERLINK("https://lafourche.fr/products/la-fourche-panais-bio-origine-france-0-5kg","888888")</f>
        <v>888888</v>
      </c>
      <c r="C280" s="39" t="s">
        <v>99</v>
      </c>
      <c r="D280">
        <v>888888</v>
      </c>
      <c r="F280">
        <v>888888</v>
      </c>
      <c r="H280" s="37" t="str">
        <f>HYPERLINK("https://satoriz-comboire.bio/collections/fruits-et-legumes/products/lgu620","4.9")</f>
        <v>4.9</v>
      </c>
      <c r="I280" s="40" t="s">
        <v>891</v>
      </c>
      <c r="J280" s="42" t="str">
        <f>HYPERLINK("https://www.greenweez.com/produit/panais-1/1VRAC0031","5.52")</f>
        <v>5.52</v>
      </c>
      <c r="K280" s="40" t="s">
        <v>774</v>
      </c>
    </row>
    <row r="281" spans="1:11" x14ac:dyDescent="0.3">
      <c r="A281" t="s">
        <v>590</v>
      </c>
      <c r="B281">
        <v>888888</v>
      </c>
      <c r="D281" s="42" t="str">
        <f>HYPERLINK("https://www.biocoop.fr/magasin-biocoop_champollion/patate-douce-fel4074-000-france.html","4.75")</f>
        <v>4.75</v>
      </c>
      <c r="E281" s="40" t="s">
        <v>334</v>
      </c>
      <c r="F281" s="42" t="str">
        <f>HYPERLINK("https://www.biocoop.fr/magasin-biocoop_fontaine/patate-douce-fel4074-000-france.html","4.5")</f>
        <v>4.5</v>
      </c>
      <c r="G281" t="s">
        <v>15</v>
      </c>
      <c r="H281" s="37" t="str">
        <f>HYPERLINK("https://satoriz-comboire.bio/collections/fruits-et-legumes/products/lgu631","2.5")</f>
        <v>2.5</v>
      </c>
      <c r="I281" t="s">
        <v>15</v>
      </c>
      <c r="J281" s="42" t="str">
        <f>HYPERLINK("https://www.greenweez.com/produit/patate-douce-france-2/1VRAC0048","4.91")</f>
        <v>4.91</v>
      </c>
      <c r="K281" s="40" t="s">
        <v>892</v>
      </c>
    </row>
    <row r="282" spans="1:11" x14ac:dyDescent="0.3">
      <c r="A282" t="s">
        <v>591</v>
      </c>
      <c r="B282" s="42" t="str">
        <f>HYPERLINK("https://lafourche.fr/products/la-fourche-poireaux-bio-origine-france-0-5kg","2.8")</f>
        <v>2.8</v>
      </c>
      <c r="C282" s="38" t="s">
        <v>893</v>
      </c>
      <c r="D282">
        <v>888888</v>
      </c>
      <c r="F282" s="42" t="str">
        <f>HYPERLINK("https://www.biocoop.fr/magasin-biocoop_fontaine/poireau.html","3.9")</f>
        <v>3.9</v>
      </c>
      <c r="G282" t="s">
        <v>15</v>
      </c>
      <c r="H282" s="37" t="str">
        <f>HYPERLINK("https://satoriz-comboire.bio/collections/fruits-et-legumes/products/lgu710","2.7")</f>
        <v>2.7</v>
      </c>
      <c r="I282" s="38" t="s">
        <v>894</v>
      </c>
      <c r="J282" s="42" t="str">
        <f>HYPERLINK("https://www.greenweez.com/produit/poireau-france-2/1VRAC0024","3.03")</f>
        <v>3.03</v>
      </c>
      <c r="K282" s="38" t="s">
        <v>895</v>
      </c>
    </row>
    <row r="283" spans="1:11" x14ac:dyDescent="0.3">
      <c r="A283" t="s">
        <v>592</v>
      </c>
      <c r="B283" s="42" t="str">
        <f>HYPERLINK("https://lafourche.fr/products/la-fourche-pommes-de-terre-allians-bio-origine-france-2-kg","888888")</f>
        <v>888888</v>
      </c>
      <c r="C283" s="39" t="s">
        <v>99</v>
      </c>
      <c r="D283">
        <v>888888</v>
      </c>
      <c r="F283">
        <v>888888</v>
      </c>
      <c r="H283" s="37" t="str">
        <f>HYPERLINK("https://satoriz-comboire.bio/collections/fruits-et-legumes/products/lgu761","2.0")</f>
        <v>2.0</v>
      </c>
      <c r="I283" s="40" t="s">
        <v>896</v>
      </c>
      <c r="J283" s="42" t="str">
        <f>HYPERLINK("https://www.greenweez.com/produit/pomme-de-terre-charlotte/1VRAC0032","2.5")</f>
        <v>2.5</v>
      </c>
      <c r="K283" t="s">
        <v>15</v>
      </c>
    </row>
    <row r="285" spans="1:11" ht="18.75" customHeight="1" x14ac:dyDescent="0.35">
      <c r="A285" s="33" t="s">
        <v>593</v>
      </c>
      <c r="B285" s="34"/>
      <c r="C285" s="34"/>
      <c r="D285" s="34"/>
      <c r="E285" s="34"/>
      <c r="F285" s="34"/>
      <c r="G285" s="34"/>
      <c r="H285" s="34"/>
      <c r="I285" s="34"/>
      <c r="J285" s="34"/>
      <c r="K285" s="34"/>
    </row>
    <row r="286" spans="1:11" x14ac:dyDescent="0.3">
      <c r="A286" s="35" t="s">
        <v>594</v>
      </c>
      <c r="B286" s="36"/>
      <c r="C286" s="36"/>
      <c r="D286" s="36"/>
      <c r="E286" s="36"/>
      <c r="F286" s="36"/>
      <c r="G286" s="36"/>
      <c r="H286" s="36"/>
      <c r="I286" s="36"/>
      <c r="J286" s="36"/>
      <c r="K286" s="36"/>
    </row>
    <row r="287" spans="1:11" x14ac:dyDescent="0.3">
      <c r="A287" t="s">
        <v>595</v>
      </c>
      <c r="B287" s="37" t="str">
        <f>HYPERLINK("https://lafourche.fr/products/cosmo-naturel-shampoing-solide-cuir-chevelu-sensible-amande-douce-bio-0-085kg","73.29")</f>
        <v>73.29</v>
      </c>
      <c r="C287" t="s">
        <v>15</v>
      </c>
      <c r="D287" s="42" t="str">
        <f>HYPERLINK("https://www.biocoop.fr/magasin-biocoop_champollion/shampooing-solide-amande-douce-85g-lg5128-000.html","88.24")</f>
        <v>88.24</v>
      </c>
      <c r="E287" t="s">
        <v>15</v>
      </c>
      <c r="F287" s="42" t="str">
        <f>HYPERLINK("https://www.biocoop.fr/magasin-biocoop_fontaine/shampooing-solide-cheveux-gras-85g-lg5104-000.html","82.24")</f>
        <v>82.24</v>
      </c>
      <c r="G287" t="s">
        <v>15</v>
      </c>
      <c r="H287" s="42" t="str">
        <f>HYPERLINK("https://satoriz-comboire.bio/collections/soins-beaute/products/lgco6317","90.0")</f>
        <v>90.0</v>
      </c>
      <c r="I287" t="s">
        <v>15</v>
      </c>
      <c r="J287" s="42" t="str">
        <f>HYPERLINK("https://www.greenweez.com/produit/shampoing-solide-cuir-chevelu-sensible-85g/1COSM0217","76.24")</f>
        <v>76.24</v>
      </c>
      <c r="K287" t="s">
        <v>15</v>
      </c>
    </row>
    <row r="288" spans="1:11" x14ac:dyDescent="0.3">
      <c r="A288" s="35" t="s">
        <v>600</v>
      </c>
      <c r="B288" s="36"/>
      <c r="C288" s="36"/>
      <c r="D288" s="36"/>
      <c r="E288" s="36"/>
      <c r="F288" s="36"/>
      <c r="G288" s="36"/>
      <c r="H288" s="36"/>
      <c r="I288" s="36"/>
      <c r="J288" s="36"/>
      <c r="K288" s="36"/>
    </row>
    <row r="289" spans="1:11" x14ac:dyDescent="0.3">
      <c r="A289" t="s">
        <v>601</v>
      </c>
      <c r="B289" s="42" t="str">
        <f>HYPERLINK("https://lafourche.fr/products/najel-savon-d-alep-40prct-huile-de-baies-de-laurier-185g-ecologique","30.54")</f>
        <v>30.54</v>
      </c>
      <c r="C289" t="s">
        <v>15</v>
      </c>
      <c r="D289" s="42" t="str">
        <f>HYPERLINK("https://www.biocoop.fr/magasin-biocoop_champollion/savon-d-alep-40-nj1017-000.html","41.08")</f>
        <v>41.08</v>
      </c>
      <c r="E289" t="s">
        <v>15</v>
      </c>
      <c r="F289" s="42" t="str">
        <f>HYPERLINK("https://www.biocoop.fr/magasin-biocoop_fontaine/savon-d-alep-40-nj1017-000.html","41.35")</f>
        <v>41.35</v>
      </c>
      <c r="G289" s="38" t="s">
        <v>777</v>
      </c>
      <c r="H289" s="42" t="str">
        <f>HYPERLINK("https://satoriz-comboire.bio/collections/soins-beaute/products/l30035","48.67")</f>
        <v>48.67</v>
      </c>
      <c r="I289" t="s">
        <v>15</v>
      </c>
      <c r="J289" s="37" t="str">
        <f>HYPERLINK("https://www.greenweez.com/produit/savon-dalep-traditionnel-40-200g/1LAUR0009","23.0")</f>
        <v>23.0</v>
      </c>
      <c r="K289" t="s">
        <v>15</v>
      </c>
    </row>
    <row r="290" spans="1:11" x14ac:dyDescent="0.3">
      <c r="A290" t="s">
        <v>605</v>
      </c>
      <c r="B290" s="37" t="str">
        <f>HYPERLINK("https://lafourche.fr/products/la-fourche-cube-de-marseille-600g","7.17")</f>
        <v>7.17</v>
      </c>
      <c r="D290">
        <v>888888</v>
      </c>
      <c r="F290">
        <v>888888</v>
      </c>
      <c r="H290" s="42" t="str">
        <f>HYPERLINK("https://satoriz-comboire.bio/products/lc20?_pos=6&amp;_sid=8deb37f9d&amp;_ss=r","12.4")</f>
        <v>12.4</v>
      </c>
      <c r="J290" s="42" t="str">
        <f>HYPERLINK("https://www.greenweez.com/produit/savon-de-marseille-cube-vegetal-600g/1FERA0006","12.08")</f>
        <v>12.08</v>
      </c>
    </row>
    <row r="291" spans="1:11" x14ac:dyDescent="0.3">
      <c r="A291" s="35" t="s">
        <v>606</v>
      </c>
      <c r="B291" s="36"/>
      <c r="C291" s="36"/>
      <c r="D291" s="36"/>
      <c r="E291" s="36"/>
      <c r="F291" s="36"/>
      <c r="G291" s="36"/>
      <c r="H291" s="36"/>
      <c r="I291" s="36"/>
      <c r="J291" s="36"/>
      <c r="K291" s="36"/>
    </row>
    <row r="292" spans="1:11" x14ac:dyDescent="0.3">
      <c r="A292" t="s">
        <v>607</v>
      </c>
      <c r="B292" s="37" t="str">
        <f>HYPERLINK("https://lafourche.fr/products/tadam-serviettes-dermo-sensitives-maxi-normal-18unite","0.14")</f>
        <v>0.14</v>
      </c>
      <c r="D292" s="42" t="str">
        <f>HYPERLINK("https://www.biocoop.fr/magasin-biocoop_champollion/serviettes-ultra-regular-14-bo2111-000.html","0.23")</f>
        <v>0.23</v>
      </c>
      <c r="F292" s="42" t="str">
        <f>HYPERLINK("https://www.biocoop.fr/magasin-biocoop_fontaine/serviettes-ultra-regular-14-bo2111-000.html","0.23")</f>
        <v>0.23</v>
      </c>
      <c r="H292" s="42" t="str">
        <f>HYPERLINK("https://satoriz-comboire.bio/collections/soins-beaute/products/pu627","0.24")</f>
        <v>0.24</v>
      </c>
      <c r="J292" s="42" t="str">
        <f>HYPERLINK("https://www.greenweez.com/produit/14-serviettes-normales-hypoallergeniques-0-ultra-avec-ailette/2LOVE0028","0.21")</f>
        <v>0.21</v>
      </c>
    </row>
    <row r="293" spans="1:11" x14ac:dyDescent="0.3">
      <c r="A293" t="s">
        <v>608</v>
      </c>
      <c r="B293" s="42" t="str">
        <f>HYPERLINK("https://lafourche.fr/products/tadam-serviettes-dermo-sensitives-ultra-nuit-plus-10unite","0.25")</f>
        <v>0.25</v>
      </c>
      <c r="D293">
        <v>888888</v>
      </c>
      <c r="F293">
        <v>888888</v>
      </c>
      <c r="H293" s="42" t="str">
        <f>HYPERLINK("https://satoriz-comboire.bio/collections/soins-beaute/products/pu6210","0.43")</f>
        <v>0.43</v>
      </c>
      <c r="J293" s="45" t="str">
        <f>HYPERLINK("https://www.greenweez.com/produit/serviettes-maxi-nuit-hypoallergeniques-pliees-x12/2LOVE0059","0.25")</f>
        <v>0.25</v>
      </c>
    </row>
    <row r="294" spans="1:11" x14ac:dyDescent="0.3">
      <c r="A294" t="s">
        <v>609</v>
      </c>
      <c r="B294" s="42" t="str">
        <f>HYPERLINK("https://lafourche.fr/products/tadam-protege-lingerie-dermo-sensitif-normal-24unite","0.1")</f>
        <v>0.1</v>
      </c>
      <c r="D294">
        <v>888888</v>
      </c>
      <c r="F294">
        <v>888888</v>
      </c>
      <c r="H294" s="42" t="str">
        <f>HYPERLINK("https://satoriz-comboire.bio/collections/soins-beaute/products/eu5844","0.16")</f>
        <v>0.16</v>
      </c>
      <c r="J294" s="45" t="str">
        <f>HYPERLINK("https://www.greenweez.com/produit/30-protege-slips-hypoallergeniques-0/2LOVE0027","0.10")</f>
        <v>0.10</v>
      </c>
    </row>
    <row r="295" spans="1:11" x14ac:dyDescent="0.3">
      <c r="A295" t="s">
        <v>610</v>
      </c>
      <c r="B295" s="37" t="str">
        <f>HYPERLINK("https://lafourche.fr/products/tadam-serviettes-dermo-sensitives-ultra-super-plus-12unite","0.21")</f>
        <v>0.21</v>
      </c>
      <c r="D295" s="42" t="str">
        <f>HYPERLINK("https://www.biocoop.fr/magasin-biocoop_champollion/serviettes-ultra-super-12-bo2116-000.html","0.29")</f>
        <v>0.29</v>
      </c>
      <c r="F295" s="42" t="str">
        <f>HYPERLINK("https://www.biocoop.fr/magasin-biocoop_fontaine/serviettes-ultra-super-12-bo2116-000.html","0.3")</f>
        <v>0.3</v>
      </c>
      <c r="H295" s="42" t="str">
        <f>HYPERLINK("https://satoriz-comboire.bio/collections/soins-beaute/products/pu628","0.28")</f>
        <v>0.28</v>
      </c>
      <c r="J295" s="45" t="str">
        <f>HYPERLINK("https://www.greenweez.com/produit/serviettes-hypoallergeniques-maxi-super-x14-sans-ailettes/2LOVE0070","0.23")</f>
        <v>0.23</v>
      </c>
    </row>
    <row r="296" spans="1:11" x14ac:dyDescent="0.3">
      <c r="A296" t="s">
        <v>611</v>
      </c>
      <c r="B296" s="37" t="str">
        <f>HYPERLINK("https://lafourche.fr/products/tampon-normal-avec-applicateur-x16","0.25")</f>
        <v>0.25</v>
      </c>
      <c r="D296" s="42" t="str">
        <f>HYPERLINK("https://www.biocoop.fr/magasin-biocoop_champollion/tampons-regular-avec-applicateur-16-bo2103-000.html","0.3")</f>
        <v>0.3</v>
      </c>
      <c r="F296" s="42" t="str">
        <f>HYPERLINK("https://www.biocoop.fr/magasin-biocoop_fontaine/tampons-regular-avec-applicateur-16-bo2103-000.html","0.32")</f>
        <v>0.32</v>
      </c>
      <c r="H296" s="42" t="str">
        <f>HYPERLINK("https://satoriz-comboire.bio/collections/soins-beaute/products/pu624","0.31")</f>
        <v>0.31</v>
      </c>
      <c r="J296" s="45" t="str">
        <f>HYPERLINK("https://www.greenweez.com/produit/tampons-normal-avec-applicateur-x16/1NATR0018","0.27")</f>
        <v>0.27</v>
      </c>
    </row>
    <row r="297" spans="1:11" x14ac:dyDescent="0.3">
      <c r="A297" t="s">
        <v>612</v>
      </c>
      <c r="B297" s="37" t="str">
        <f>HYPERLINK("https://lafourche.fr/products/natracare-tampon-normal-en-coton-bio-sans-applicateur-x20","0.17")</f>
        <v>0.17</v>
      </c>
      <c r="D297" s="42" t="str">
        <f>HYPERLINK("https://www.biocoop.fr/magasin-biocoop_champollion/tampons-regular-sans-applicateur-20-bo2100-000.html","0.19")</f>
        <v>0.19</v>
      </c>
      <c r="F297" s="42" t="str">
        <f>HYPERLINK("https://www.biocoop.fr/magasin-biocoop_fontaine/tampons-regular-sans-applicateur-20-bo2100-000.html","0.19")</f>
        <v>0.19</v>
      </c>
      <c r="H297" s="42" t="str">
        <f>HYPERLINK("https://satoriz-comboire.bio/collections/soins-beaute/products/pu6213","0.2")</f>
        <v>0.2</v>
      </c>
      <c r="J297" s="42" t="str">
        <f>HYPERLINK("https://www.greenweez.com/produit/tampons-normal-sans-applicateur-x20/1NATR0016","0.18")</f>
        <v>0.18</v>
      </c>
    </row>
    <row r="298" spans="1:11" x14ac:dyDescent="0.3">
      <c r="A298" t="s">
        <v>613</v>
      </c>
      <c r="B298" s="37" t="str">
        <f>HYPERLINK("https://lafourche.fr/products/tampon-super-avec-applicateur-x16","0.27")</f>
        <v>0.27</v>
      </c>
      <c r="D298">
        <v>888888</v>
      </c>
      <c r="F298">
        <v>888888</v>
      </c>
      <c r="H298" s="42" t="str">
        <f>HYPERLINK("https://satoriz-comboire.bio/collections/soins-beaute/products/eu5847","0.41")</f>
        <v>0.41</v>
      </c>
      <c r="J298" s="45" t="str">
        <f>HYPERLINK("https://www.greenweez.com/produit/tampons-super-avec-applicateur-x16/1NATR0020","0.28")</f>
        <v>0.28</v>
      </c>
    </row>
    <row r="299" spans="1:11" x14ac:dyDescent="0.3">
      <c r="A299" t="s">
        <v>614</v>
      </c>
      <c r="B299" s="37" t="str">
        <f>HYPERLINK("https://lafourche.fr/products/natracare-tampon-super-en-coton-bio-sans-applicateur-x20","0.18")</f>
        <v>0.18</v>
      </c>
      <c r="D299" s="42" t="str">
        <f>HYPERLINK("https://www.biocoop.fr/magasin-biocoop_champollion/tampon-super-20-bo2101-000.html","888888")</f>
        <v>888888</v>
      </c>
      <c r="F299" s="42" t="str">
        <f>HYPERLINK("https://www.biocoop.fr/magasin-biocoop_fontaine/tampon-super-20-bo2101-000.html","0.24")</f>
        <v>0.24</v>
      </c>
      <c r="H299" s="42" t="str">
        <f>HYPERLINK("https://satoriz-comboire.bio/collections/soins-beaute/products/eu5850","0.28")</f>
        <v>0.28</v>
      </c>
      <c r="J299" s="42" t="str">
        <f>HYPERLINK("https://www.greenweez.com/produit/tampons-super-sans-applicateur-x20/1NATR0019","0.19")</f>
        <v>0.19</v>
      </c>
    </row>
    <row r="301" spans="1:11" ht="18.75" customHeight="1" x14ac:dyDescent="0.35">
      <c r="A301" s="33" t="s">
        <v>615</v>
      </c>
      <c r="B301" s="34"/>
      <c r="C301" s="34"/>
      <c r="D301" s="34"/>
      <c r="E301" s="34"/>
      <c r="F301" s="34"/>
      <c r="G301" s="34"/>
      <c r="H301" s="34"/>
      <c r="I301" s="34"/>
      <c r="J301" s="34"/>
      <c r="K301" s="34"/>
    </row>
    <row r="302" spans="1:11" x14ac:dyDescent="0.3">
      <c r="A302" s="35" t="s">
        <v>616</v>
      </c>
      <c r="B302" s="36"/>
      <c r="C302" s="36"/>
      <c r="D302" s="36"/>
      <c r="E302" s="36"/>
      <c r="F302" s="36"/>
      <c r="G302" s="36"/>
      <c r="H302" s="36"/>
      <c r="I302" s="36"/>
      <c r="J302" s="36"/>
      <c r="K302" s="36"/>
    </row>
    <row r="303" spans="1:11" x14ac:dyDescent="0.3">
      <c r="A303" t="s">
        <v>617</v>
      </c>
      <c r="B303" s="42" t="str">
        <f>HYPERLINK("https://lafourche.fr/products/la-fourche-vinaigre-blanc-12-5l","1.8")</f>
        <v>1.8</v>
      </c>
      <c r="C303" t="s">
        <v>15</v>
      </c>
      <c r="D303" s="42" t="str">
        <f>HYPERLINK("https://www.biocoop.fr/magasin-biocoop_champollion/vinaigre-d-alcool-8-se4010-000.html","888888")</f>
        <v>888888</v>
      </c>
      <c r="E303" s="39" t="s">
        <v>99</v>
      </c>
      <c r="F303" s="42" t="str">
        <f>HYPERLINK("https://www.biocoop.fr/magasin-biocoop_fontaine/vinaigre-d-alcool-8-se4010-000.html","888888")</f>
        <v>888888</v>
      </c>
      <c r="G303" s="39" t="s">
        <v>99</v>
      </c>
      <c r="H303" s="37" t="str">
        <f>HYPERLINK("https://satoriz-comboire.bio/collections/maison/products/cb4405","1.59")</f>
        <v>1.59</v>
      </c>
      <c r="I303" t="s">
        <v>15</v>
      </c>
      <c r="J303" s="42" t="str">
        <f>HYPERLINK("https://www.greenweez.com/produit/vinaigre-blanc-9-5deg-5l/2WEEZ0344","1.8")</f>
        <v>1.8</v>
      </c>
      <c r="K303" s="40" t="s">
        <v>778</v>
      </c>
    </row>
    <row r="304" spans="1:11" x14ac:dyDescent="0.3">
      <c r="A304" t="s">
        <v>619</v>
      </c>
      <c r="B304" s="42" t="str">
        <f>HYPERLINK("https://lafourche.fr/products/bicarbonate-la-fourche-2kg","3.38")</f>
        <v>3.38</v>
      </c>
      <c r="C304" s="38" t="s">
        <v>897</v>
      </c>
      <c r="D304" s="42" t="str">
        <f>HYPERLINK("https://www.biocoop.fr/magasin-biocoop_champollion/bicarbonate-de-soude-se4001-000.html","4.9")</f>
        <v>4.9</v>
      </c>
      <c r="E304" t="s">
        <v>15</v>
      </c>
      <c r="F304" s="42" t="str">
        <f>HYPERLINK("https://www.biocoop.fr/magasin-biocoop_fontaine/bicarbonate-soude-se4066-000.html","3.1")</f>
        <v>3.1</v>
      </c>
      <c r="G304" t="s">
        <v>15</v>
      </c>
      <c r="H304" s="37" t="str">
        <f>HYPERLINK("https://satoriz-comboire.bio/collections/maison/products/ls2","2.6")</f>
        <v>2.6</v>
      </c>
      <c r="I304" t="s">
        <v>15</v>
      </c>
      <c r="J304" s="42" t="str">
        <f>HYPERLINK("https://www.greenweez.com/produit/bicarbonate-de-soude-technique-2-5kg/2ECOD0552","3.78")</f>
        <v>3.78</v>
      </c>
      <c r="K304" s="40" t="s">
        <v>779</v>
      </c>
    </row>
    <row r="305" spans="1:12" x14ac:dyDescent="0.3">
      <c r="A305" t="s">
        <v>623</v>
      </c>
      <c r="B305" s="42" t="str">
        <f>HYPERLINK("https://lafourche.fr/products/cristaux-de-soude-la-fourche-1kg","3.99")</f>
        <v>3.99</v>
      </c>
      <c r="C305" s="38" t="s">
        <v>898</v>
      </c>
      <c r="D305" s="42" t="str">
        <f>HYPERLINK("https://www.biocoop.fr/magasin-biocoop_champollion/soude-en-cristaux-500g-se4005-000.html","888888")</f>
        <v>888888</v>
      </c>
      <c r="E305" s="39" t="s">
        <v>99</v>
      </c>
      <c r="F305" s="42" t="str">
        <f>HYPERLINK("https://www.biocoop.fr/magasin-biocoop_fontaine/soude-en-cristaux-500g-se4005-000.html","888888")</f>
        <v>888888</v>
      </c>
      <c r="G305" s="39" t="s">
        <v>99</v>
      </c>
      <c r="H305" s="42" t="str">
        <f>HYPERLINK("https://satoriz-comboire.bio/collections/maison/products/eu7667","6.3")</f>
        <v>6.3</v>
      </c>
      <c r="I305" t="s">
        <v>15</v>
      </c>
      <c r="J305" s="37" t="str">
        <f>HYPERLINK("https://www.greenweez.com/produit/lot-de-2-soude-en-cristaux-1kg/1PACK1039","3.81")</f>
        <v>3.81</v>
      </c>
      <c r="K305" t="s">
        <v>15</v>
      </c>
    </row>
    <row r="306" spans="1:12" x14ac:dyDescent="0.3">
      <c r="A306" t="s">
        <v>626</v>
      </c>
      <c r="B306" s="37" t="str">
        <f>HYPERLINK("https://lafourche.fr/products/percarbonate-2kg-la-fourche","4.64")</f>
        <v>4.64</v>
      </c>
      <c r="C306" t="s">
        <v>15</v>
      </c>
      <c r="D306" s="42" t="str">
        <f>HYPERLINK("https://www.biocoop.fr/magasin-biocoop_champollion/percarbonate-de-soude-1kg-se4004-000.html","6.15")</f>
        <v>6.15</v>
      </c>
      <c r="E306" t="s">
        <v>15</v>
      </c>
      <c r="F306" s="42" t="str">
        <f>HYPERLINK("https://www.biocoop.fr/magasin-biocoop_fontaine/percarbonate-de-soude-1kg-se4004-000.html","5.95")</f>
        <v>5.95</v>
      </c>
      <c r="G306" s="38" t="s">
        <v>780</v>
      </c>
      <c r="H306" s="42" t="str">
        <f>HYPERLINK("https://satoriz-comboire.bio/collections/maison/products/eco014","5.5")</f>
        <v>5.5</v>
      </c>
      <c r="I306" s="38" t="s">
        <v>781</v>
      </c>
      <c r="J306" s="42" t="str">
        <f>HYPERLINK("https://www.greenweez.com/produit/percarbonate-de-soude-1kg-2/2WEEZ0347","4.93")</f>
        <v>4.93</v>
      </c>
      <c r="K306" s="38" t="s">
        <v>844</v>
      </c>
    </row>
    <row r="307" spans="1:12" x14ac:dyDescent="0.3">
      <c r="A307" t="s">
        <v>629</v>
      </c>
      <c r="B307" s="37" t="str">
        <f>HYPERLINK("https://lafourche.fr/products/artisan-savonnier-blanc-de-meudon-500g","5.7")</f>
        <v>5.7</v>
      </c>
      <c r="C307" t="s">
        <v>15</v>
      </c>
      <c r="D307" s="42" t="str">
        <f>HYPERLINK("https://www.biocoop.fr/magasin-biocoop_champollion/blanc-de-meudon-500g-se4075-000.html","7.4")</f>
        <v>7.4</v>
      </c>
      <c r="E307" t="s">
        <v>15</v>
      </c>
      <c r="F307" s="42" t="str">
        <f>HYPERLINK("https://www.biocoop.fr/magasin-biocoop_fontaine/blanc-de-meudon-500g-se4075-000.html","7.7")</f>
        <v>7.7</v>
      </c>
      <c r="G307" t="s">
        <v>15</v>
      </c>
      <c r="H307" s="42" t="str">
        <f>HYPERLINK("https://satoriz-comboire.bio/collections/maison/products/ecod008","7.3")</f>
        <v>7.3</v>
      </c>
      <c r="I307" t="s">
        <v>15</v>
      </c>
      <c r="J307" s="42" t="str">
        <f>HYPERLINK("https://www.greenweez.com/produit/blanc-de-meudon-diy-500g/1ARTI0062","6.58")</f>
        <v>6.58</v>
      </c>
      <c r="K307" t="s">
        <v>15</v>
      </c>
    </row>
    <row r="308" spans="1:12" x14ac:dyDescent="0.3">
      <c r="A308" t="s">
        <v>634</v>
      </c>
      <c r="B308" s="42" t="str">
        <f>HYPERLINK("https://lafourche.fr/products/etamine-du-lys-savon-noir-5l","5.86")</f>
        <v>5.86</v>
      </c>
      <c r="C308" t="s">
        <v>15</v>
      </c>
      <c r="D308" s="42" t="str">
        <f>HYPERLINK("https://www.biocoop.fr/magasin-biocoop_champollion/savon-noir-liquide-olive-se4041-000.html","888888")</f>
        <v>888888</v>
      </c>
      <c r="E308" s="39" t="s">
        <v>99</v>
      </c>
      <c r="F308" s="42" t="str">
        <f>HYPERLINK("https://www.biocoop.fr/magasin-biocoop_fontaine/savon-noir-liquide-olive-se4041-000.html","888888")</f>
        <v>888888</v>
      </c>
      <c r="G308" s="39" t="s">
        <v>99</v>
      </c>
      <c r="H308" s="42" t="str">
        <f>HYPERLINK("https://satoriz-comboire.bio/collections/maison/products/eu9721","5.55")</f>
        <v>5.55</v>
      </c>
      <c r="I308" t="s">
        <v>15</v>
      </c>
      <c r="J308" s="37" t="str">
        <f>HYPERLINK("https://www.greenweez.com/produit/savon-noir-maison-5l-1/2WEEZ0042","4.58")</f>
        <v>4.58</v>
      </c>
      <c r="K308" t="s">
        <v>15</v>
      </c>
    </row>
    <row r="309" spans="1:12" x14ac:dyDescent="0.3">
      <c r="A309" t="s">
        <v>637</v>
      </c>
      <c r="B309" s="37" t="str">
        <f>HYPERLINK("https://lafourche.fr/products/acide-citrique-la-fourche-1kg","7.45")</f>
        <v>7.45</v>
      </c>
      <c r="C309" t="s">
        <v>15</v>
      </c>
      <c r="D309" s="42" t="str">
        <f>HYPERLINK("https://www.biocoop.fr/magasin-biocoop_champollion/acide-citrique-1kg-se4000-000.html","10.55")</f>
        <v>10.55</v>
      </c>
      <c r="E309" t="s">
        <v>15</v>
      </c>
      <c r="F309" s="42" t="str">
        <f>HYPERLINK("https://www.biocoop.fr/magasin-biocoop_fontaine/acide-citrique-1kg-se4000-000.html","8.99")</f>
        <v>8.99</v>
      </c>
      <c r="G309" s="38" t="s">
        <v>783</v>
      </c>
      <c r="H309" s="42" t="str">
        <f>HYPERLINK("https://satoriz-comboire.bio/collections/maison/products/eco012","7.5")</f>
        <v>7.5</v>
      </c>
      <c r="I309" s="38" t="s">
        <v>784</v>
      </c>
      <c r="J309" s="42" t="str">
        <f>HYPERLINK("https://www.greenweez.com/produit/lot-de-2-acide-citrique-1kg/1PACK0470","8.34")</f>
        <v>8.34</v>
      </c>
      <c r="K309" s="38" t="s">
        <v>899</v>
      </c>
    </row>
    <row r="310" spans="1:12" x14ac:dyDescent="0.3">
      <c r="A310" t="s">
        <v>641</v>
      </c>
      <c r="B310" s="42" t="str">
        <f>HYPERLINK("https://lafourche.fr/products/la-fourche-mon-savon-de-marseille-en-copeaux-1kg","9.95")</f>
        <v>9.95</v>
      </c>
      <c r="C310" t="s">
        <v>15</v>
      </c>
      <c r="D310" s="42" t="str">
        <f>HYPERLINK("https://www.biocoop.fr/magasin-biocoop_champollion/paillettes-de-savon-1kg-se4009-000.html","12.25")</f>
        <v>12.25</v>
      </c>
      <c r="E310" t="s">
        <v>15</v>
      </c>
      <c r="F310" s="42" t="str">
        <f>HYPERLINK("https://www.biocoop.fr/magasin-biocoop_fontaine/paillettes-de-savon-1kg-se4009-000.html","10.6")</f>
        <v>10.6</v>
      </c>
      <c r="G310" t="s">
        <v>15</v>
      </c>
      <c r="H310" s="42" t="str">
        <f>HYPERLINK("https://satoriz-comboire.bio/collections/maison/products/sle8163","12.85")</f>
        <v>12.85</v>
      </c>
      <c r="I310" t="s">
        <v>15</v>
      </c>
      <c r="J310" s="37" t="str">
        <f>HYPERLINK("https://www.greenweez.com/produit/lot-de-2-paillettes-de-savon-bio-1kg/1PACK1072","9.69")</f>
        <v>9.69</v>
      </c>
      <c r="K310" t="s">
        <v>15</v>
      </c>
    </row>
    <row r="311" spans="1:12" x14ac:dyDescent="0.3">
      <c r="A311" s="35" t="s">
        <v>643</v>
      </c>
      <c r="B311" s="36"/>
      <c r="C311" s="36"/>
      <c r="D311" s="36"/>
      <c r="E311" s="36"/>
      <c r="F311" s="36"/>
      <c r="G311" s="36"/>
      <c r="H311" s="36"/>
      <c r="I311" s="36"/>
      <c r="J311" s="36"/>
      <c r="K311" s="36"/>
    </row>
    <row r="312" spans="1:12" x14ac:dyDescent="0.3">
      <c r="A312" t="s">
        <v>644</v>
      </c>
      <c r="B312" s="37" t="str">
        <f>HYPERLINK("https://lafourche.fr/products/la-fourche-lessive-liquide-5l","2.6")</f>
        <v>2.6</v>
      </c>
      <c r="C312" t="s">
        <v>15</v>
      </c>
      <c r="D312" s="42" t="str">
        <f>HYPERLINK("https://www.biocoop.fr/magasin-biocoop_champollion/lessive-liquide-lavande-lg1104-000.html","4.25")</f>
        <v>4.25</v>
      </c>
      <c r="E312" t="s">
        <v>15</v>
      </c>
      <c r="F312" s="42" t="str">
        <f>HYPERLINK("https://www.biocoop.fr/magasin-biocoop_fontaine/lessive-liquide-lavande-lg1103-000.html","4.99")</f>
        <v>4.99</v>
      </c>
      <c r="G312" t="s">
        <v>15</v>
      </c>
      <c r="H312" s="42" t="str">
        <f>HYPERLINK("https://satoriz-comboire.bio/collections/maison/products/lgase3606","3.63")</f>
        <v>3.63</v>
      </c>
      <c r="I312" t="s">
        <v>15</v>
      </c>
      <c r="J312" s="42" t="str">
        <f>HYPERLINK("https://www.greenweez.com/produit/lessive-ecologique-savon-de-marseille-250g/1WRAP0007","2.99")</f>
        <v>2.99</v>
      </c>
      <c r="K312" t="s">
        <v>15</v>
      </c>
    </row>
    <row r="313" spans="1:12" x14ac:dyDescent="0.3">
      <c r="A313" t="s">
        <v>646</v>
      </c>
      <c r="B313" s="37" t="str">
        <f>HYPERLINK("https://lafourche.fr/products/la-fourche-lessive-en-poudre-blanc-et-couleurs-certifiee-ecodetergent-1kg","7.25")</f>
        <v>7.25</v>
      </c>
      <c r="C313" s="38" t="s">
        <v>900</v>
      </c>
      <c r="D313" s="42" t="str">
        <f>HYPERLINK("https://www.biocoop.fr/magasin-biocoop_champollion/lessive-poudre-ultra-concentree-800g-se4057-000.html","12.44")</f>
        <v>12.44</v>
      </c>
      <c r="E313" t="s">
        <v>15</v>
      </c>
      <c r="F313" s="42" t="str">
        <f>HYPERLINK("https://www.biocoop.fr/magasin-biocoop_fontaine/lessive-poudre-ultra-concentree-800g-se4057-000.html","12.69")</f>
        <v>12.69</v>
      </c>
      <c r="G313" t="s">
        <v>15</v>
      </c>
      <c r="H313" s="42" t="str">
        <f>HYPERLINK("https://satoriz-comboire.bio/products/ecdo430?_pos=1&amp;_sid=1e5552213&amp;_ss=r","11.0")</f>
        <v>11.0</v>
      </c>
      <c r="I313" t="s">
        <v>15</v>
      </c>
      <c r="J313" s="42" t="str">
        <f>HYPERLINK("https://www.greenweez.com/produit/4-mois-de-lessive-en-poudre-ecologique-1kg/2WEEZ0229","7.9")</f>
        <v>7.9</v>
      </c>
      <c r="K313" s="38" t="s">
        <v>80</v>
      </c>
      <c r="L313">
        <v>0.2</v>
      </c>
    </row>
    <row r="314" spans="1:12" x14ac:dyDescent="0.3">
      <c r="A314" t="s">
        <v>647</v>
      </c>
      <c r="B314" s="13" t="str">
        <f>HYPERLINK("https://lafourche.fr/products/la-fourche-adoucissant-a-la-lavande-5l","2.59")</f>
        <v>2.59</v>
      </c>
      <c r="C314" s="39" t="s">
        <v>99</v>
      </c>
      <c r="D314" s="42" t="str">
        <f>HYPERLINK("https://www.biocoop.fr/magasin-biocoop_champollion/assouplissant-lavande-lg1030-000.html","3.9")</f>
        <v>3.9</v>
      </c>
      <c r="E314" t="s">
        <v>15</v>
      </c>
      <c r="F314" s="42" t="str">
        <f>HYPERLINK("https://www.biocoop.fr/magasin-biocoop_fontaine/assouplissant-lavande-lg1030-000.html","3.9")</f>
        <v>3.9</v>
      </c>
      <c r="G314" t="s">
        <v>15</v>
      </c>
      <c r="H314" s="42" t="str">
        <f>HYPERLINK("https://satoriz-comboire.bio/collections/maison/products/lgase3619","3.37")</f>
        <v>3.37</v>
      </c>
      <c r="I314" t="s">
        <v>15</v>
      </c>
      <c r="J314" s="42" t="str">
        <f>HYPERLINK("https://www.greenweez.com/produit/assouplissant-concentre-lavande-1-5l/1LERU0042","3.47")</f>
        <v>3.47</v>
      </c>
      <c r="K314" t="s">
        <v>15</v>
      </c>
      <c r="L314">
        <v>0.1</v>
      </c>
    </row>
    <row r="315" spans="1:12" x14ac:dyDescent="0.3">
      <c r="A315" s="35" t="s">
        <v>652</v>
      </c>
      <c r="B315" s="36"/>
      <c r="C315" s="36"/>
      <c r="D315" s="36"/>
      <c r="E315" s="36"/>
      <c r="F315" s="36"/>
      <c r="G315" s="36"/>
      <c r="H315" s="36"/>
      <c r="I315" s="36"/>
      <c r="J315" s="36"/>
      <c r="K315" s="36"/>
    </row>
    <row r="316" spans="1:12" x14ac:dyDescent="0.3">
      <c r="A316" t="s">
        <v>653</v>
      </c>
      <c r="B316" s="37" t="str">
        <f>HYPERLINK("https://lafourche.fr/products/la-fourche-liquide-vaisselle-certifie-ecodetergent-5l","1.98")</f>
        <v>1.98</v>
      </c>
      <c r="C316" t="s">
        <v>15</v>
      </c>
      <c r="D316" s="42" t="str">
        <f>HYPERLINK("https://www.biocoop.fr/magasin-biocoop_champollion/liquide-vaisselle-citron-lg1002-000.html","2.75")</f>
        <v>2.75</v>
      </c>
      <c r="E316" t="s">
        <v>15</v>
      </c>
      <c r="F316" s="42" t="str">
        <f>HYPERLINK("https://www.biocoop.fr/magasin-biocoop_fontaine/vaisselle-liquide-sans-parfum-1l-lg1122-000.html","3.2")</f>
        <v>3.2</v>
      </c>
      <c r="G316" t="s">
        <v>15</v>
      </c>
      <c r="H316" s="42" t="str">
        <f>HYPERLINK("https://satoriz-comboire.bio/collections/maison/products/lgase3608","2.75")</f>
        <v>2.75</v>
      </c>
      <c r="I316" t="s">
        <v>15</v>
      </c>
      <c r="J316" s="42" t="str">
        <f>HYPERLINK("https://www.greenweez.com/produit/liquide-vaisselle-citron-ecologique-5l/2WEEZ0511","2.32")</f>
        <v>2.32</v>
      </c>
      <c r="K316" s="38" t="s">
        <v>309</v>
      </c>
      <c r="L316">
        <v>0.1</v>
      </c>
    </row>
    <row r="317" spans="1:12" x14ac:dyDescent="0.3">
      <c r="A317" t="s">
        <v>654</v>
      </c>
      <c r="B317" s="42" t="str">
        <f>HYPERLINK("https://lafourche.fr/products/la-fourche-savon-vaisselle-200g","11.25")</f>
        <v>11.25</v>
      </c>
      <c r="C317" t="s">
        <v>15</v>
      </c>
      <c r="D317" s="37" t="str">
        <f>HYPERLINK("https://www.biocoop.fr/magasin-biocoop_champollion/savon-solide-vaisselle-aloe-vera-200g-cm0103-000.html","3.99")</f>
        <v>3.99</v>
      </c>
      <c r="E317" t="s">
        <v>15</v>
      </c>
      <c r="F317" s="42" t="str">
        <f>HYPERLINK("https://www.biocoop.fr/magasin-biocoop_fontaine/savon-solide-vaisselle-aloe-vera-200g-cm0103-000.html","4.15")</f>
        <v>4.15</v>
      </c>
      <c r="G317" t="s">
        <v>15</v>
      </c>
      <c r="H317" s="42" t="str">
        <f>HYPERLINK("https://satoriz-comboire.bio/collections/maison/products/lc6","18.75")</f>
        <v>18.75</v>
      </c>
      <c r="I317" t="s">
        <v>15</v>
      </c>
      <c r="J317" s="42" t="str">
        <f>HYPERLINK("https://www.greenweez.com/produit/savon-vaisselle-ecologique-solide-romarin-200g/1WRAP0009","29.06")</f>
        <v>29.06</v>
      </c>
      <c r="K317" s="40" t="s">
        <v>901</v>
      </c>
    </row>
    <row r="319" spans="1:12" ht="18.75" customHeight="1" x14ac:dyDescent="0.35">
      <c r="A319" s="33" t="s">
        <v>902</v>
      </c>
      <c r="B319" s="34"/>
      <c r="C319" s="34"/>
      <c r="D319" s="34"/>
      <c r="E319" s="34"/>
      <c r="F319" s="34"/>
      <c r="G319" s="34"/>
      <c r="H319" s="34"/>
      <c r="I319" s="34"/>
      <c r="J319" s="34"/>
      <c r="K319" s="34"/>
    </row>
    <row r="320" spans="1:12" x14ac:dyDescent="0.3">
      <c r="A320" s="35" t="s">
        <v>903</v>
      </c>
      <c r="B320" s="36"/>
      <c r="C320" s="36"/>
      <c r="D320" s="36"/>
      <c r="E320" s="36"/>
      <c r="F320" s="36"/>
      <c r="G320" s="36"/>
      <c r="H320" s="36"/>
      <c r="I320" s="36"/>
      <c r="J320" s="36"/>
      <c r="K320" s="36"/>
    </row>
    <row r="321" spans="1:12" x14ac:dyDescent="0.3">
      <c r="A321" t="s">
        <v>904</v>
      </c>
      <c r="B321" s="42" t="str">
        <f>HYPERLINK("https://lafourche.fr/products/la-fourche-huile-essentielle-de-tea-tree-0-03l","263.33")</f>
        <v>263.33</v>
      </c>
      <c r="D321" s="42" t="str">
        <f>HYPERLINK("https://www.biocoop.fr/magasin-biocoop_champollion/he-tea-tree-50ml-he1055-000.html","399.0")</f>
        <v>399.0</v>
      </c>
      <c r="F321" s="42" t="str">
        <f>HYPERLINK("https://www.biocoop.fr/magasin-biocoop_fontaine/he-tea-tree-50ml-he1055-000.html","419.8")</f>
        <v>419.8</v>
      </c>
      <c r="H321" s="42" t="str">
        <f>HYPERLINK("https://satoriz-comboire.bio/products/c7339635?_pos=1&amp;_sid=8f5684b05&amp;_ss=r","695.0")</f>
        <v>695.0</v>
      </c>
      <c r="J321" s="37" t="str">
        <f>HYPERLINK("https://www.greenweez.com/produit/huile-essentielle-de-tea-tree-bio-30ml/2WEEZ0447","208.33")</f>
        <v>208.33</v>
      </c>
    </row>
    <row r="322" spans="1:12" x14ac:dyDescent="0.3">
      <c r="A322" t="s">
        <v>905</v>
      </c>
      <c r="B322" s="42" t="str">
        <f>HYPERLINK("https://lafourche.fr/products/la-fourche-huile-essentielle-de-citron-0-01l","398")</f>
        <v>398</v>
      </c>
      <c r="D322" s="42" t="str">
        <f>HYPERLINK("https://www.biocoop.fr/magasin-biocoop_champollion/he-citron-zeste-10ml-he1139-000.html","517.0")</f>
        <v>517.0</v>
      </c>
      <c r="F322" s="37" t="str">
        <f>HYPERLINK("https://www.biocoop.fr/magasin-biocoop_fontaine/he-citron-zeste-50ml-he1036-000.html","313.0")</f>
        <v>313.0</v>
      </c>
      <c r="H322" s="42" t="str">
        <f>HYPERLINK("https://satoriz-comboire.bio/collections/bien-etre-sante/products/c7339641","790.0")</f>
        <v>790.0</v>
      </c>
      <c r="J322" s="42" t="str">
        <f>HYPERLINK("https://www.greenweez.com/produit/huile-essentielle-citron-bio-10ml-2/2WEEZ0315","322.0")</f>
        <v>322.0</v>
      </c>
    </row>
    <row r="323" spans="1:12" x14ac:dyDescent="0.3">
      <c r="A323" t="s">
        <v>906</v>
      </c>
      <c r="B323" s="42" t="str">
        <f>HYPERLINK("https://lafourche.fr/products/la-fourche-huile-essentielle-de-lavandin-super-0-01l","296")</f>
        <v>296</v>
      </c>
      <c r="D323" s="37" t="str">
        <f>HYPERLINK("https://www.biocoop.fr/magasin-biocoop_champollion/he-lavandin-super-50ml-he1051-000.html","281.0")</f>
        <v>281.0</v>
      </c>
      <c r="F323" s="42" t="str">
        <f>HYPERLINK("https://www.biocoop.fr/magasin-biocoop_fontaine/he-lavandin-super-50ml-he1051-000.html","302.0")</f>
        <v>302.0</v>
      </c>
      <c r="H323" s="42" t="str">
        <f>HYPERLINK("https://satoriz-comboire.bio/products/c7339718?_pos=2&amp;_sid=a3bdb864e&amp;_ss=r","490.0")</f>
        <v>490.0</v>
      </c>
      <c r="J323" s="42" t="str">
        <f>HYPERLINK("https://www.greenweez.com/produit/huile-essentielle-de-lavandin-diy-10ml/1ADIY0017","490.0")</f>
        <v>490.0</v>
      </c>
    </row>
    <row r="324" spans="1:12" x14ac:dyDescent="0.3">
      <c r="A324" t="s">
        <v>907</v>
      </c>
      <c r="B324" s="37" t="str">
        <f>HYPERLINK("https://lafourche.fr/products/la-fourche-huile-essentielle-de-menthe-poivree-0-01l","456")</f>
        <v>456</v>
      </c>
      <c r="D324" s="42" t="str">
        <f>HYPERLINK("https://www.biocoop.fr/magasin-biocoop_champollion/he-menthe-poivree-10ml-he1015-000.html","769.0")</f>
        <v>769.0</v>
      </c>
      <c r="F324" s="42" t="str">
        <f>HYPERLINK("https://www.biocoop.fr/magasin-biocoop_fontaine/he-menthe-poivree-10ml-he1015-000.html","835.0")</f>
        <v>835.0</v>
      </c>
      <c r="H324" s="42" t="str">
        <f>HYPERLINK("https://satoriz-comboire.bio/products/c7339724?_pos=2&amp;_psq=he+menthe&amp;_ss=e&amp;_v=1.0","815.0")</f>
        <v>815.0</v>
      </c>
      <c r="J324" s="42" t="str">
        <f>HYPERLINK("https://www.greenweez.com/produit/huile-essentielle-menthe-poivree-france-bio-10ml/2WEEZ0317","466.0")</f>
        <v>466.0</v>
      </c>
    </row>
    <row r="327" spans="1:12" x14ac:dyDescent="0.3">
      <c r="A327" t="s">
        <v>656</v>
      </c>
      <c r="B327" t="e">
        <f>SUMPRODUCT($L5:$L326*B5:B326)</f>
        <v>#VALUE!</v>
      </c>
      <c r="D327" t="e">
        <f>SUMPRODUCT($L5:$L326*D5:D326)</f>
        <v>#VALUE!</v>
      </c>
      <c r="F327" t="e">
        <f>SUMPRODUCT($L5:$L326*F5:F326)</f>
        <v>#VALUE!</v>
      </c>
      <c r="H327" t="e">
        <f>SUMPRODUCT($L5:$L326*H5:H326)</f>
        <v>#VALUE!</v>
      </c>
      <c r="J327" t="e">
        <f>SUMPRODUCT($L5:$L326*J5:J326)</f>
        <v>#VALUE!</v>
      </c>
    </row>
    <row r="328" spans="1:12" x14ac:dyDescent="0.3"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</row>
    <row r="330" spans="1:12" x14ac:dyDescent="0.3">
      <c r="B330" s="43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7"/>
  <sheetViews>
    <sheetView tabSelected="1" workbookViewId="0">
      <selection activeCell="O4" sqref="O4"/>
    </sheetView>
  </sheetViews>
  <sheetFormatPr baseColWidth="10" defaultColWidth="8.88671875" defaultRowHeight="14.4" x14ac:dyDescent="0.3"/>
  <cols>
    <col min="1" max="1" width="27.77734375" style="44" bestFit="1" customWidth="1"/>
    <col min="2" max="16384" width="8.88671875" style="44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3" ht="18" customHeight="1" x14ac:dyDescent="0.35">
      <c r="A3" s="46" t="s">
        <v>11</v>
      </c>
      <c r="B3" s="47"/>
      <c r="C3" s="47"/>
      <c r="D3" s="47"/>
      <c r="E3" s="47"/>
      <c r="F3" s="47"/>
      <c r="G3" s="47"/>
      <c r="H3" s="47"/>
      <c r="I3" s="47"/>
      <c r="J3" s="47"/>
      <c r="K3" s="47"/>
    </row>
    <row r="4" spans="1:13" x14ac:dyDescent="0.3">
      <c r="A4" s="48" t="s">
        <v>12</v>
      </c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3" x14ac:dyDescent="0.3">
      <c r="A5" t="s">
        <v>13</v>
      </c>
      <c r="B5" s="50" t="str">
        <f>HYPERLINK("https://lafourche.fr/products/la-fourche-boisson-avoine-bio-1l","1.58")</f>
        <v>1.58</v>
      </c>
      <c r="C5" s="51" t="s">
        <v>788</v>
      </c>
      <c r="D5" s="52" t="str">
        <f>HYPERLINK("https://www.biocoop.fr/magasin-biocoop_champollion/boisson-avoine-naturel-1l-tb0026-000.html","2.21")</f>
        <v>2.21</v>
      </c>
      <c r="E5" t="s">
        <v>15</v>
      </c>
      <c r="F5" s="52" t="str">
        <f>HYPERLINK("https://www.biocoop.fr/magasin-biocoop_fontaine/boisson-avoine-naturel-1l-tb0026-000.html","2.15")</f>
        <v>2.15</v>
      </c>
      <c r="G5" t="s">
        <v>15</v>
      </c>
      <c r="H5" s="52" t="str">
        <f>HYPERLINK("https://satoriz-comboire.bio/collections/boissons-sans-alcools/sous-famille-boissons-vegetales_boissons-avoine","1.7")</f>
        <v>1.7</v>
      </c>
      <c r="I5" s="53" t="s">
        <v>908</v>
      </c>
      <c r="J5" s="54" t="str">
        <f>HYPERLINK("https://www.greenweez.com/produit/boisson-vegetale-avoine-sans-sucres-1l/3EVER0147","888888")</f>
        <v>888888</v>
      </c>
      <c r="K5" s="55" t="s">
        <v>909</v>
      </c>
      <c r="L5">
        <v>1</v>
      </c>
      <c r="M5" s="44" t="s">
        <v>1243</v>
      </c>
    </row>
    <row r="6" spans="1:13" x14ac:dyDescent="0.3">
      <c r="A6" t="s">
        <v>16</v>
      </c>
      <c r="B6" s="50" t="str">
        <f>HYPERLINK("https://lafourche.fr/products/la-fourche-boisson-riz-bio-1l","1.54")</f>
        <v>1.54</v>
      </c>
      <c r="C6" t="s">
        <v>15</v>
      </c>
      <c r="D6" s="52" t="str">
        <f>HYPERLINK("https://www.biocoop.fr/magasin-biocoop_champollion/boisson-de-riz-naturel-1l-tb0036-000.html","1.85")</f>
        <v>1.85</v>
      </c>
      <c r="E6" t="s">
        <v>15</v>
      </c>
      <c r="F6" s="52" t="str">
        <f>HYPERLINK("https://www.biocoop.fr/magasin-biocoop_fontaine/boisson-riz-nature-1l-tb0038-000.html","1.85")</f>
        <v>1.85</v>
      </c>
      <c r="G6" t="s">
        <v>15</v>
      </c>
      <c r="H6" s="52" t="str">
        <f>HYPERLINK("https://satoriz-comboire.bio/collections/boissons-sans-alcools/products/in1","1.55")</f>
        <v>1.55</v>
      </c>
      <c r="I6" t="s">
        <v>15</v>
      </c>
      <c r="J6" s="52" t="str">
        <f>HYPERLINK("https://www.greenweez.com/produit/lot-de-6-boissons-vegetales-riz-sans-sucre-1l/1PACK3637","1.6")</f>
        <v>1.6</v>
      </c>
      <c r="K6" s="53" t="s">
        <v>635</v>
      </c>
      <c r="L6">
        <v>1</v>
      </c>
    </row>
    <row r="7" spans="1:13" x14ac:dyDescent="0.3">
      <c r="A7" t="s">
        <v>17</v>
      </c>
      <c r="B7" s="52" t="str">
        <f>HYPERLINK("https://lafourche.fr/products/la-fourche-boisson-a-lamande-intense-bio-1l","2.7")</f>
        <v>2.7</v>
      </c>
      <c r="C7" s="51" t="s">
        <v>790</v>
      </c>
      <c r="D7" s="52" t="str">
        <f>HYPERLINK("https://www.biocoop.fr/magasin-biocoop_champollion/boisson-de-riz-amande-1l-tb0028-000.html","2.55")</f>
        <v>2.55</v>
      </c>
      <c r="E7" t="s">
        <v>15</v>
      </c>
      <c r="F7" s="52" t="str">
        <f>HYPERLINK("https://www.biocoop.fr/magasin-biocoop_fontaine/boisson-amande-intense-1l-hm1044-000.html","2.85")</f>
        <v>2.85</v>
      </c>
      <c r="G7" t="s">
        <v>15</v>
      </c>
      <c r="H7" s="52" t="str">
        <f>HYPERLINK("https://satoriz-comboire.bio/collections/boissons-sans-alcools/products/lbt235","2.95")</f>
        <v>2.95</v>
      </c>
      <c r="I7" t="s">
        <v>15</v>
      </c>
      <c r="J7" s="50" t="str">
        <f>HYPERLINK("https://www.greenweez.com/produit/lot-de-6-boissons-vegetales-amande-sans-sucre-1l/1PACK3639","1.84")</f>
        <v>1.84</v>
      </c>
      <c r="K7" s="51" t="s">
        <v>910</v>
      </c>
    </row>
    <row r="8" spans="1:13" x14ac:dyDescent="0.3">
      <c r="A8" t="s">
        <v>18</v>
      </c>
      <c r="B8" s="50" t="str">
        <f>HYPERLINK("https://lafourche.fr/products/la-fourche-boisson-soja-bio-1l","1.29")</f>
        <v>1.29</v>
      </c>
      <c r="C8" t="s">
        <v>15</v>
      </c>
      <c r="D8" s="52" t="str">
        <f>HYPERLINK("https://www.biocoop.fr/magasin-biocoop_champollion/boissons/boissons-vegetales.html","1.85")</f>
        <v>1.85</v>
      </c>
      <c r="E8" t="s">
        <v>15</v>
      </c>
      <c r="F8" s="52" t="str">
        <f>HYPERLINK("https://www.biocoop.fr/magasin-biocoop_fontaine/boisson-soja-nature-1l-sy1723-000.html","1.7")</f>
        <v>1.7</v>
      </c>
      <c r="G8" s="51" t="s">
        <v>686</v>
      </c>
      <c r="H8" s="52" t="str">
        <f>HYPERLINK("https://satoriz-comboire.bio/collections/boissons-sans-alcools/products/re42896","1.45")</f>
        <v>1.45</v>
      </c>
      <c r="I8" t="s">
        <v>15</v>
      </c>
      <c r="J8" s="52" t="str">
        <f>HYPERLINK("https://www.greenweez.com/produit/boisson-vegetale-soja-nature-1l/1BTER0574","2.18")</f>
        <v>2.18</v>
      </c>
      <c r="K8" s="53" t="s">
        <v>911</v>
      </c>
    </row>
    <row r="9" spans="1:13" x14ac:dyDescent="0.3">
      <c r="A9" s="48" t="s">
        <v>21</v>
      </c>
      <c r="B9" s="49"/>
      <c r="C9" s="49"/>
      <c r="D9" s="49"/>
      <c r="E9" s="49"/>
      <c r="F9" s="49"/>
      <c r="G9" s="49"/>
      <c r="H9" s="49"/>
      <c r="I9" s="49"/>
      <c r="J9" s="49"/>
      <c r="K9" s="49"/>
    </row>
    <row r="10" spans="1:13" x14ac:dyDescent="0.3">
      <c r="A10" t="s">
        <v>22</v>
      </c>
      <c r="B10" s="50" t="str">
        <f>HYPERLINK("https://lafourche.fr/products/pur-jus-de-pomme","2.55")</f>
        <v>2.55</v>
      </c>
      <c r="C10" s="51" t="s">
        <v>912</v>
      </c>
      <c r="D10" s="52" t="str">
        <f>HYPERLINK("https://www.biocoop.fr/magasin-biocoop_champollion/jus-de-pomme-tetra-1l-ls4001-000.html","2.72")</f>
        <v>2.72</v>
      </c>
      <c r="E10" t="s">
        <v>15</v>
      </c>
      <c r="F10" s="50" t="str">
        <f>HYPERLINK("https://www.biocoop.fr/magasin-biocoop_fontaine/jus-de-pomme-tetra-1l-ls4001-000.html","2.55")</f>
        <v>2.55</v>
      </c>
      <c r="G10" t="s">
        <v>15</v>
      </c>
      <c r="H10" s="52" t="str">
        <f>HYPERLINK("https://satoriz-comboire.bio/collections/boissons-sans-alcools/products/vt4310292","2.9")</f>
        <v>2.9</v>
      </c>
      <c r="I10" t="s">
        <v>15</v>
      </c>
      <c r="J10" s="52" t="str">
        <f>HYPERLINK("https://www.greenweez.com/produit/lot-de-3-jus-de-pomme-bio-1l/1PACK3598","3.26")</f>
        <v>3.26</v>
      </c>
      <c r="K10" s="53" t="s">
        <v>913</v>
      </c>
      <c r="L10">
        <v>2</v>
      </c>
    </row>
    <row r="11" spans="1:13" x14ac:dyDescent="0.3">
      <c r="A11" t="s">
        <v>26</v>
      </c>
      <c r="B11" s="52" t="str">
        <f>HYPERLINK("https://lafourche.fr/products/bio-pour-tous-pur-jus-dorange-bio-1l","3.15")</f>
        <v>3.15</v>
      </c>
      <c r="C11" s="51" t="s">
        <v>914</v>
      </c>
      <c r="D11" s="50" t="str">
        <f>HYPERLINK("https://www.biocoop.fr/magasin-biocoop_champollion/jus-orange-tetra-2l-em1007-000.html","3.06")</f>
        <v>3.06</v>
      </c>
      <c r="E11" s="51" t="s">
        <v>821</v>
      </c>
      <c r="F11" s="52" t="str">
        <f>HYPERLINK("https://www.biocoop.fr/magasin-biocoop_fontaine/jus-orange-tetra-2l-em1007-000.html","3.4")</f>
        <v>3.4</v>
      </c>
      <c r="G11" t="s">
        <v>15</v>
      </c>
      <c r="H11" s="52" t="str">
        <f>HYPERLINK("https://satoriz-comboire.bio/collections/boissons-sans-alcools/products/re39815","3.25")</f>
        <v>3.25</v>
      </c>
      <c r="I11" s="51" t="s">
        <v>792</v>
      </c>
      <c r="J11" s="52" t="str">
        <f>HYPERLINK("https://www.greenweez.com/produit/lot-de-3-jus-dorange-bio-1l/1PACK3600","3.65")</f>
        <v>3.65</v>
      </c>
      <c r="K11" s="53" t="s">
        <v>915</v>
      </c>
      <c r="L11">
        <v>2</v>
      </c>
    </row>
    <row r="12" spans="1:13" x14ac:dyDescent="0.3">
      <c r="A12" t="s">
        <v>30</v>
      </c>
      <c r="B12" s="50" t="str">
        <f>HYPERLINK("https://lafourche.fr/products/vitamont-cocktail-kids-junior-bio-1l","3.45")</f>
        <v>3.45</v>
      </c>
      <c r="C12" s="53" t="s">
        <v>916</v>
      </c>
      <c r="D12" s="52" t="str">
        <f>HYPERLINK("https://www.biocoop.fr/magasin-biocoop_champollion/jus-d-orange-mandarine-raisin-1l-ls4004-000.html","3.7")</f>
        <v>3.7</v>
      </c>
      <c r="E12" t="s">
        <v>15</v>
      </c>
      <c r="F12" s="52" t="str">
        <f>HYPERLINK("https://www.biocoop.fr/magasin-biocoop_fontaine/cocktail-5-fruits-1l-vt4728-000.html","3.99")</f>
        <v>3.99</v>
      </c>
      <c r="G12" s="51" t="s">
        <v>917</v>
      </c>
      <c r="H12" s="52" t="str">
        <f>HYPERLINK("https://satoriz-comboire.bio/collections/boissons-sans-alcools/products/re39816","3.6")</f>
        <v>3.6</v>
      </c>
      <c r="I12" t="s">
        <v>15</v>
      </c>
      <c r="J12" s="52" t="str">
        <f>HYPERLINK("https://www.greenweez.com/produit/lot-de-3-jus-multifruits-bio-1l/1PACK3599","3.85")</f>
        <v>3.85</v>
      </c>
      <c r="K12" s="53" t="s">
        <v>918</v>
      </c>
      <c r="L12">
        <v>2</v>
      </c>
    </row>
    <row r="13" spans="1:13" x14ac:dyDescent="0.3">
      <c r="A13" t="s">
        <v>34</v>
      </c>
      <c r="B13" s="52" t="str">
        <f>HYPERLINK("https://lafourche.fr/products/vitamont-jus-matin-tonique-orange-sanguine-et-pamplemousse-1l-bio","3.65")</f>
        <v>3.65</v>
      </c>
      <c r="C13" s="53" t="s">
        <v>919</v>
      </c>
      <c r="D13" s="50" t="str">
        <f>HYPERLINK("https://www.biocoop.fr/magasin-biocoop_champollion/jus-de-raisin-rouge-1l-ls4005-000.html","3.2")</f>
        <v>3.2</v>
      </c>
      <c r="E13" t="s">
        <v>15</v>
      </c>
      <c r="F13" s="52" t="str">
        <f>HYPERLINK("https://www.biocoop.fr/magasin-biocoop_fontaine/jus-de-raisin-rouge-1l-ls4005-000.html","888888")</f>
        <v>888888</v>
      </c>
      <c r="G13" t="s">
        <v>99</v>
      </c>
      <c r="H13" s="52" t="str">
        <f>HYPERLINK("https://satoriz-comboire.bio/products/vt4310042?_pos=1&amp;_sid=4d862041b&amp;_ss=r","3.9")</f>
        <v>3.9</v>
      </c>
      <c r="I13" t="s">
        <v>15</v>
      </c>
      <c r="J13" s="52" t="str">
        <f>HYPERLINK("https://www.greenweez.com/produit/pur-jus-de-raisin-bio-tetra-pak-1l/5VITA0126","4.28")</f>
        <v>4.28</v>
      </c>
      <c r="K13" s="53" t="s">
        <v>920</v>
      </c>
    </row>
    <row r="14" spans="1:13" x14ac:dyDescent="0.3">
      <c r="A14" s="48" t="s">
        <v>38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1:13" x14ac:dyDescent="0.3">
      <c r="A15" t="s">
        <v>39</v>
      </c>
      <c r="B15" s="50" t="str">
        <f>HYPERLINK("https://lafourche.fr/products/la-fourche-lait-demi-ecreme-bio-et-equitable-6x1l-6l","1.11")</f>
        <v>1.11</v>
      </c>
      <c r="C15" t="s">
        <v>15</v>
      </c>
      <c r="D15" s="52" t="str">
        <f>HYPERLINK("https://www.biocoop.fr/magasin-biocoop_champollion/lait-demi-ecreme-sterilise-uht-ad6922-000.html","1.2")</f>
        <v>1.2</v>
      </c>
      <c r="E15" s="51" t="s">
        <v>921</v>
      </c>
      <c r="F15" s="52" t="str">
        <f>HYPERLINK("https://www.biocoop.fr/magasin-biocoop_fontaine/lait-demi-ecreme-sterilise-uht-1l-ad6923-000.html","1.15")</f>
        <v>1.15</v>
      </c>
      <c r="G15" t="s">
        <v>15</v>
      </c>
      <c r="H15" s="52" t="str">
        <f>HYPERLINK("https://satoriz-comboire.bio/collections/produits-frais/products/cbvi6916","1.2")</f>
        <v>1.2</v>
      </c>
      <c r="I15" t="s">
        <v>15</v>
      </c>
      <c r="J15" s="52" t="str">
        <f>HYPERLINK("https://www.greenweez.com/produit/lait-sterilise-uht-demi-ecreme-1l/1BTER0554","1.94")</f>
        <v>1.94</v>
      </c>
      <c r="K15" s="53" t="s">
        <v>922</v>
      </c>
      <c r="L15">
        <v>6</v>
      </c>
    </row>
    <row r="16" spans="1:13" x14ac:dyDescent="0.3">
      <c r="A16" s="48" t="s">
        <v>41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3">
      <c r="A17" t="s">
        <v>42</v>
      </c>
      <c r="B17" s="50" t="str">
        <f>HYPERLINK("https://lafourche.fr/products/elibio-sirop-de-menthe-bio-0-5l","5.99")</f>
        <v>5.99</v>
      </c>
      <c r="C17" s="53" t="s">
        <v>793</v>
      </c>
      <c r="D17" s="52" t="str">
        <f>HYPERLINK("https://www.biocoop.fr/magasin-biocoop_champollion/sirop-menthe-70cl-bg5003-000.html","888888")</f>
        <v>888888</v>
      </c>
      <c r="E17" t="s">
        <v>99</v>
      </c>
      <c r="F17" s="52" t="str">
        <f>HYPERLINK("https://www.biocoop.fr/magasin-biocoop_fontaine/sirop-menthe-70cl-bg5003-000.html","9.36")</f>
        <v>9.36</v>
      </c>
      <c r="G17" t="s">
        <v>15</v>
      </c>
      <c r="H17" s="52" t="str">
        <f>HYPERLINK("https://satoriz-comboire.bio/products/big7430?_pos=4&amp;_sid=54d23de92&amp;_ss=r","9.07")</f>
        <v>9.07</v>
      </c>
      <c r="I17" t="s">
        <v>15</v>
      </c>
      <c r="J17" s="52" t="str">
        <f>HYPERLINK("https://www.greenweez.com/produit/sirop-de-menthe-1l/1MENE0020","8.95")</f>
        <v>8.95</v>
      </c>
      <c r="K17" s="53" t="s">
        <v>923</v>
      </c>
    </row>
    <row r="18" spans="1:11" x14ac:dyDescent="0.3">
      <c r="A18" t="s">
        <v>43</v>
      </c>
      <c r="B18" s="50" t="str">
        <f>HYPERLINK("https://lafourche.fr/products/elibio-sirop-de-genadine-bio-0-5l","5.99")</f>
        <v>5.99</v>
      </c>
      <c r="C18" s="53" t="s">
        <v>793</v>
      </c>
      <c r="D18" s="52" t="str">
        <f>HYPERLINK("https://www.biocoop.fr/magasin-biocoop_champollion/sirop-grenadine-70cl-bg5000-000.html","888888")</f>
        <v>888888</v>
      </c>
      <c r="E18" t="s">
        <v>99</v>
      </c>
      <c r="F18" s="52" t="str">
        <f>HYPERLINK("https://www.biocoop.fr/magasin-biocoop_fontaine/sirop-grenadine-70cl-bg5000-000.html","9.64")</f>
        <v>9.64</v>
      </c>
      <c r="G18" t="s">
        <v>15</v>
      </c>
      <c r="H18" s="52" t="str">
        <f>HYPERLINK("https://satoriz-comboire.bio/products/st60234?_pos=1&amp;_sid=5b36669db&amp;_ss=r","9.5")</f>
        <v>9.5</v>
      </c>
      <c r="I18" t="s">
        <v>15</v>
      </c>
      <c r="J18" s="52" t="str">
        <f>HYPERLINK("https://www.greenweez.com/produit/sirop-de-grenadine-1l/1MENE0019","8.95")</f>
        <v>8.95</v>
      </c>
      <c r="K18" s="53" t="s">
        <v>923</v>
      </c>
    </row>
    <row r="19" spans="1:11" x14ac:dyDescent="0.3">
      <c r="A19" t="s">
        <v>44</v>
      </c>
      <c r="B19" s="50" t="str">
        <f>HYPERLINK("https://lafourche.fr/products/elibio-sirop-de-citron-bio-1l","5.99")</f>
        <v>5.99</v>
      </c>
      <c r="C19" s="53" t="s">
        <v>793</v>
      </c>
      <c r="D19" s="52" t="str">
        <f>HYPERLINK("https://www.biocoop.fr/magasin-biocoop_champollion/sirop-de-citron-au-sucre-de-canne-70cl-ro6000-000.html","7.07")</f>
        <v>7.07</v>
      </c>
      <c r="E19" t="s">
        <v>15</v>
      </c>
      <c r="F19" s="52" t="str">
        <f>HYPERLINK("https://www.biocoop.fr/magasin-biocoop_fontaine/sirop-de-citron-au-sucre-de-canne-70cl-ro6000-000.html","7.21")</f>
        <v>7.21</v>
      </c>
      <c r="G19" t="s">
        <v>15</v>
      </c>
      <c r="H19" s="52" t="str">
        <f>HYPERLINK("https://satoriz-comboire.bio/products/st60236?_pos=2&amp;_sid=bfaa22f0a&amp;_ss=r","9.2")</f>
        <v>9.2</v>
      </c>
      <c r="I19" t="s">
        <v>15</v>
      </c>
      <c r="J19" s="52" t="str">
        <f>HYPERLINK("https://www.greenweez.com/produit/sirop-de-citron-1l/1MENE0021","8.95")</f>
        <v>8.95</v>
      </c>
      <c r="K19" s="53" t="s">
        <v>923</v>
      </c>
    </row>
    <row r="20" spans="1:11" x14ac:dyDescent="0.3">
      <c r="A20" t="s">
        <v>45</v>
      </c>
      <c r="B20" s="50" t="str">
        <f>HYPERLINK("https://lafourche.fr/products/maison-meneau-sirop-dorgeat-bio-0-5l","11.8")</f>
        <v>11.8</v>
      </c>
      <c r="C20" s="51" t="s">
        <v>535</v>
      </c>
      <c r="D20" s="52" t="str">
        <f>HYPERLINK("https://www.biocoop.fr/magasin-biocoop_champollion/sirop-d-orgeat-au-sucre-de-canne-50cl-mb0006-000.html","12.2")</f>
        <v>12.2</v>
      </c>
      <c r="E20" t="s">
        <v>15</v>
      </c>
      <c r="F20" s="52" t="str">
        <f>HYPERLINK("https://www.biocoop.fr/magasin-biocoop_fontaine/sirop-d-orgeat-au-sucre-de-canne-50cl-mb0006-000.html","13.8")</f>
        <v>13.8</v>
      </c>
      <c r="G20" t="s">
        <v>15</v>
      </c>
      <c r="H20" s="52" t="str">
        <f>HYPERLINK("https://satoriz-comboire.bio/products/st97029?_pos=1&amp;_sid=940e9ee22&amp;_ss=r","13.9")</f>
        <v>13.9</v>
      </c>
      <c r="I20" t="s">
        <v>15</v>
      </c>
      <c r="J20" s="52" t="str">
        <f>HYPERLINK("https://www.greenweez.com/produit/sirop-dorgeat-50cl/1MENE0053","13.18")</f>
        <v>13.18</v>
      </c>
      <c r="K20" t="s">
        <v>15</v>
      </c>
    </row>
    <row r="21" spans="1:11" x14ac:dyDescent="0.3">
      <c r="A21" t="s">
        <v>46</v>
      </c>
      <c r="B21" s="50" t="str">
        <f>HYPERLINK("https://lafourche.fr/products/maison-meneau-sirop-peche-50cl-bio","13.58")</f>
        <v>13.58</v>
      </c>
      <c r="C21" t="s">
        <v>15</v>
      </c>
      <c r="D21">
        <v>888888</v>
      </c>
      <c r="F21">
        <v>888888</v>
      </c>
      <c r="H21" s="52" t="str">
        <f>HYPERLINK("https://satoriz-comboire.bio/products/st97047?_pos=1&amp;_sid=805242a5b&amp;_ss=r","15.3")</f>
        <v>15.3</v>
      </c>
      <c r="I21" t="s">
        <v>15</v>
      </c>
      <c r="J21" s="52" t="str">
        <f>HYPERLINK("https://www.greenweez.com/produit/sirop-de-peche-50cl/1MENE0056","14.58")</f>
        <v>14.58</v>
      </c>
      <c r="K21" s="53" t="s">
        <v>924</v>
      </c>
    </row>
    <row r="22" spans="1:11" x14ac:dyDescent="0.3">
      <c r="A22" s="48" t="s">
        <v>47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1:11" x14ac:dyDescent="0.3">
      <c r="A23" t="s">
        <v>48</v>
      </c>
      <c r="B23" s="50" t="str">
        <f>HYPERLINK("https://lafourche.fr/products/cola-bio","2.99")</f>
        <v>2.99</v>
      </c>
      <c r="C23" t="s">
        <v>15</v>
      </c>
      <c r="D23" s="52" t="str">
        <f>HYPERLINK("https://www.biocoop.fr/magasin-biocoop_champollion/cola-1l-vt0680-000.html","4.02")</f>
        <v>4.02</v>
      </c>
      <c r="E23" s="51" t="s">
        <v>925</v>
      </c>
      <c r="F23" s="52" t="str">
        <f>HYPERLINK("https://www.biocoop.fr/magasin-biocoop_fontaine/cola-1l-vt0680-000.html","4.15")</f>
        <v>4.15</v>
      </c>
      <c r="G23" t="s">
        <v>15</v>
      </c>
      <c r="H23" s="52" t="str">
        <f>HYPERLINK("https://satoriz-comboire.bio/products/vtcola?_pos=2&amp;_sid=a5c47adfe&amp;_ss=r","3.65")</f>
        <v>3.65</v>
      </c>
      <c r="I23" t="s">
        <v>15</v>
      </c>
      <c r="J23" s="52" t="str">
        <f>HYPERLINK("https://www.greenweez.com/produit/cola-bio-equitable-1l/5VITA0045","4.28")</f>
        <v>4.28</v>
      </c>
      <c r="K23" s="53" t="s">
        <v>212</v>
      </c>
    </row>
    <row r="24" spans="1:11" x14ac:dyDescent="0.3">
      <c r="A24" t="s">
        <v>49</v>
      </c>
      <c r="B24" s="52" t="str">
        <f>HYPERLINK("https://lafourche.fr/products/vitamont-limonade-d-antan-75cl-bio","3.6")</f>
        <v>3.6</v>
      </c>
      <c r="C24" t="s">
        <v>15</v>
      </c>
      <c r="D24" s="52" t="str">
        <f>HYPERLINK("https://www.biocoop.fr/magasin-biocoop_champollion/limonade-75cl-mb0067-000.html","3.13")</f>
        <v>3.13</v>
      </c>
      <c r="E24" t="s">
        <v>15</v>
      </c>
      <c r="F24" s="52" t="str">
        <f>HYPERLINK("https://www.biocoop.fr/magasin-biocoop_fontaine/limonade-75cl-mb0067-000.html","3.13")</f>
        <v>3.13</v>
      </c>
      <c r="G24" t="s">
        <v>15</v>
      </c>
      <c r="H24" s="50" t="str">
        <f>HYPERLINK("https://satoriz-comboire.bio/products/selm1?_pos=1&amp;_sid=7ce88d87a&amp;_ss=r","2.85")</f>
        <v>2.85</v>
      </c>
      <c r="I24" t="s">
        <v>15</v>
      </c>
      <c r="J24" s="52" t="str">
        <f>HYPERLINK("https://www.greenweez.com/produit/limonade-dantan-75cl-25-cl-offerts/5VITA0081","3.88")</f>
        <v>3.88</v>
      </c>
      <c r="K24" s="53" t="s">
        <v>926</v>
      </c>
    </row>
    <row r="25" spans="1:11" x14ac:dyDescent="0.3">
      <c r="A25" t="s">
        <v>50</v>
      </c>
      <c r="B25" s="52" t="str">
        <f>HYPERLINK("https://lafourche.fr/products/vitamont-citronnade-au-pur-jus-de-citron-jaune-75cl-bio","3.73")</f>
        <v>3.73</v>
      </c>
      <c r="C25" s="53" t="s">
        <v>927</v>
      </c>
      <c r="D25" s="52" t="str">
        <f>HYPERLINK("https://www.biocoop.fr/magasin-biocoop_champollion/citronnade-citron-vert-75cl-vt4959-000.html","888888")</f>
        <v>888888</v>
      </c>
      <c r="E25" t="s">
        <v>99</v>
      </c>
      <c r="F25" s="52" t="str">
        <f>HYPERLINK("https://www.biocoop.fr/magasin-biocoop_fontaine/citronnade-citron-vert-75cl-vt4959-000.html","4.07")</f>
        <v>4.07</v>
      </c>
      <c r="G25" t="s">
        <v>15</v>
      </c>
      <c r="H25" s="50" t="str">
        <f>HYPERLINK("https://satoriz-comboire.bio/products/vt10883?_pos=3&amp;_sid=d446ce772&amp;_ss=r","3.4")</f>
        <v>3.4</v>
      </c>
      <c r="I25" t="s">
        <v>15</v>
      </c>
      <c r="J25" s="52" t="str">
        <f>HYPERLINK("https://www.greenweez.com/produit/citronnade-citrons-jaunes-bio-75cl/5VITA0060","888888")</f>
        <v>888888</v>
      </c>
      <c r="K25" t="s">
        <v>99</v>
      </c>
    </row>
    <row r="26" spans="1:11" x14ac:dyDescent="0.3">
      <c r="A26" t="s">
        <v>51</v>
      </c>
      <c r="B26" s="50" t="str">
        <f>HYPERLINK("https://lafourche.fr/products/coteaux-nantais-bio-apibul-pommes-75cl","4.6")</f>
        <v>4.6</v>
      </c>
      <c r="C26" t="s">
        <v>15</v>
      </c>
      <c r="D26" s="52" t="str">
        <f>HYPERLINK("https://www.biocoop.fr/magasin-biocoop_champollion/petillant-de-fruit-100-pomme-75cl-or1100-000.html","4.89")</f>
        <v>4.89</v>
      </c>
      <c r="E26" t="s">
        <v>15</v>
      </c>
      <c r="F26" s="52" t="str">
        <f>HYPERLINK("https://www.biocoop.fr/magasin-biocoop_fontaine/apibul-pommes-75cl-cn0040-000.html","5.24")</f>
        <v>5.24</v>
      </c>
      <c r="G26" t="s">
        <v>15</v>
      </c>
      <c r="H26" s="52" t="str">
        <f>HYPERLINK("https://satoriz-comboire.bio/collections/boissons-sans-alcools/products/cn0057","5.27")</f>
        <v>5.27</v>
      </c>
      <c r="I26" t="s">
        <v>15</v>
      </c>
      <c r="J26" s="54" t="str">
        <f>HYPERLINK("https://www.greenweez.com/produit/apibul-pommes-75cl/1COTE0197","6.12")</f>
        <v>6.12</v>
      </c>
      <c r="K26" s="53" t="s">
        <v>928</v>
      </c>
    </row>
    <row r="27" spans="1:11" x14ac:dyDescent="0.3">
      <c r="A27" t="s">
        <v>52</v>
      </c>
      <c r="B27" s="50" t="str">
        <f>HYPERLINK("https://lafourche.fr/products/coteaux-nantais-bio-apibul-pommes-framboises-75cl","5.19")</f>
        <v>5.19</v>
      </c>
      <c r="C27" t="s">
        <v>15</v>
      </c>
      <c r="D27">
        <v>888888</v>
      </c>
      <c r="F27">
        <v>888888</v>
      </c>
      <c r="H27" s="52" t="str">
        <f>HYPERLINK("https://satoriz-comboire.bio/collections/boissons-sans-alcools/products/cn0039","6.4")</f>
        <v>6.4</v>
      </c>
      <c r="I27" t="s">
        <v>15</v>
      </c>
      <c r="J27" s="52" t="str">
        <f>HYPERLINK("https://www.greenweez.com/produit/apibul-pommes-framboises-75cl/1COTE0031","7.44")</f>
        <v>7.44</v>
      </c>
      <c r="K27" s="53" t="s">
        <v>164</v>
      </c>
    </row>
    <row r="28" spans="1:11" x14ac:dyDescent="0.3">
      <c r="A28" s="48" t="s">
        <v>53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</row>
    <row r="29" spans="1:11" x14ac:dyDescent="0.3">
      <c r="A29" t="s">
        <v>57</v>
      </c>
      <c r="B29" s="52" t="str">
        <f>HYPERLINK("https://lafourche.fr/products/la-fourche-cafe-moulu-equilibre-arabica-honduras-bio-equitable-0-5kg","14.4")</f>
        <v>14.4</v>
      </c>
      <c r="C29" s="53" t="s">
        <v>33</v>
      </c>
      <c r="D29" s="52" t="str">
        <f>HYPERLINK("https://www.biocoop.fr/magasin-biocoop_champollion/cafe-arabica-melange-origine-equilibre-250g-mx0055-000.html","18.6")</f>
        <v>18.6</v>
      </c>
      <c r="E29" t="s">
        <v>15</v>
      </c>
      <c r="F29" s="52" t="str">
        <f>HYPERLINK("https://www.biocoop.fr/magasin-biocoop_fontaine/cafe-melange-tresor-des-andes-500g-cp4107-000.html","14.4")</f>
        <v>14.4</v>
      </c>
      <c r="G29" t="s">
        <v>15</v>
      </c>
      <c r="H29" s="50" t="str">
        <f>HYPERLINK("https://satoriz-comboire.bio/collections/epicerie-sucree/products/st13500","13.7")</f>
        <v>13.7</v>
      </c>
      <c r="I29" s="51" t="s">
        <v>929</v>
      </c>
      <c r="J29" s="52" t="str">
        <f>HYPERLINK("https://www.greenweez.com/produit/cafe-moulu-100-arabica-medium-500g/2BIOD0016","16.96")</f>
        <v>16.96</v>
      </c>
      <c r="K29" s="53" t="s">
        <v>930</v>
      </c>
    </row>
    <row r="30" spans="1:11" x14ac:dyDescent="0.3">
      <c r="A30" t="s">
        <v>54</v>
      </c>
      <c r="B30" s="52" t="str">
        <f>HYPERLINK("https://lafourche.fr/products/la-fourche-cafe-en-grains-equilibre-arabica-honduras-bio-equitable-1kg","14.46")</f>
        <v>14.46</v>
      </c>
      <c r="C30" s="53" t="s">
        <v>40</v>
      </c>
      <c r="D30" s="52" t="str">
        <f>HYPERLINK("https://www.biocoop.fr/magasin-biocoop_champollion/cafe-mexique-grains-bio-mx0046-000.html","21.25")</f>
        <v>21.25</v>
      </c>
      <c r="E30" t="s">
        <v>15</v>
      </c>
      <c r="F30" s="52" t="str">
        <f>HYPERLINK("https://www.biocoop.fr/magasin-biocoop_fontaine/cafe-melange-tresor-peuples-grains-500g-cp4105-000.html","20.8")</f>
        <v>20.8</v>
      </c>
      <c r="G30" t="s">
        <v>15</v>
      </c>
      <c r="H30" s="50" t="str">
        <f>HYPERLINK("https://satoriz-comboire.bio/collections/epicerie-sucree/products/dag53","14.3")</f>
        <v>14.3</v>
      </c>
      <c r="I30" t="s">
        <v>15</v>
      </c>
      <c r="J30" s="52" t="str">
        <f>HYPERLINK("https://www.greenweez.com/produit/cafe-en-grains-100-arabica-medium-1kg/2BIOD0010","15.94")</f>
        <v>15.94</v>
      </c>
      <c r="K30" s="53" t="s">
        <v>931</v>
      </c>
    </row>
    <row r="31" spans="1:11" x14ac:dyDescent="0.3">
      <c r="A31" t="s">
        <v>55</v>
      </c>
      <c r="B31" s="50" t="str">
        <f>HYPERLINK("https://lafourche.fr/products/lima-chicoree-bio-500g","11.2")</f>
        <v>11.2</v>
      </c>
      <c r="C31" s="51" t="s">
        <v>264</v>
      </c>
      <c r="D31" s="52" t="str">
        <f>HYPERLINK("https://www.biocoop.fr/magasin-biocoop_champollion/magasin-biocoop_champollion/chicoree-bio-lr5005-000.html","888888")</f>
        <v>888888</v>
      </c>
      <c r="E31" t="s">
        <v>99</v>
      </c>
      <c r="F31" s="52" t="str">
        <f>HYPERLINK("https://www.biocoop.fr/magasin-biocoop_fontaine/chicoree-torrefiee-gout-doux-lr5001-000.html","21.25")</f>
        <v>21.25</v>
      </c>
      <c r="G31" t="s">
        <v>15</v>
      </c>
      <c r="H31" s="52" t="str">
        <f>HYPERLINK("https://satoriz-comboire.bio/collections/epicerie-sucree/products/re42658","14.88")</f>
        <v>14.88</v>
      </c>
      <c r="I31" t="s">
        <v>15</v>
      </c>
      <c r="J31" s="52" t="str">
        <f>HYPERLINK("https://www.greenweez.com/produit/chicoree-cicoria-original-filtre-500g/1LIMA0071","13.16")</f>
        <v>13.16</v>
      </c>
      <c r="K31" s="53" t="s">
        <v>181</v>
      </c>
    </row>
    <row r="32" spans="1:11" x14ac:dyDescent="0.3">
      <c r="A32" t="s">
        <v>56</v>
      </c>
      <c r="B32" s="50" t="str">
        <f>HYPERLINK("https://lafourche.fr/products/bio-pour-tous-chicoree-torrefiee-soluble-bio-0-2kg","31.5")</f>
        <v>31.5</v>
      </c>
      <c r="C32" t="s">
        <v>15</v>
      </c>
      <c r="D32" s="52" t="str">
        <f>HYPERLINK("https://www.biocoop.fr/magasin-biocoop_champollion/magasin-biocoop_champollion/chicoree-soluble-200g-lr5007-000.html","888888")</f>
        <v>888888</v>
      </c>
      <c r="E32" t="s">
        <v>99</v>
      </c>
      <c r="F32" s="52" t="str">
        <f>HYPERLINK("https://www.biocoop.fr/magasin-biocoop_fontaine/chicoree-instantanee-recharge-180g-pr5353-000.html","40.28")</f>
        <v>40.28</v>
      </c>
      <c r="G32" t="s">
        <v>15</v>
      </c>
      <c r="H32" s="52" t="str">
        <f>HYPERLINK("https://satoriz-comboire.bio/collections/epicerie-sucree/products/re41362","32.0")</f>
        <v>32.0</v>
      </c>
      <c r="I32" t="s">
        <v>15</v>
      </c>
      <c r="J32" s="52" t="str">
        <f>HYPERLINK("https://www.greenweez.com/produit/chicoree-torrefiee-soluble-bio-200g/1DAGO0034","39.7")</f>
        <v>39.7</v>
      </c>
      <c r="K32" s="53" t="s">
        <v>932</v>
      </c>
    </row>
    <row r="33" spans="1:13" x14ac:dyDescent="0.3">
      <c r="A33" t="s">
        <v>58</v>
      </c>
      <c r="B33" s="52" t="str">
        <f>HYPERLINK("https://lafourche.fr/products/biodyssee-poudre-chocolatee-32-bio-800g","8.74")</f>
        <v>8.74</v>
      </c>
      <c r="C33" s="53" t="s">
        <v>933</v>
      </c>
      <c r="D33" s="52" t="str">
        <f>HYPERLINK("https://www.biocoop.fr/magasin-biocoop_champollion/poudre-cacaotee-pour-le-petit-dejeuner-jk1001-000.html","7.49")</f>
        <v>7.49</v>
      </c>
      <c r="E33" t="s">
        <v>15</v>
      </c>
      <c r="F33" s="52" t="str">
        <f>HYPERLINK("https://www.biocoop.fr/magasin-biocoop_fontaine/poudre-cacaotee-pour-le-petit-dejeuner-jk1001-000.html","7.49")</f>
        <v>7.49</v>
      </c>
      <c r="G33" t="s">
        <v>15</v>
      </c>
      <c r="H33" s="50" t="str">
        <f>HYPERLINK("https://satoriz-comboire.bio/collections/epicerie-sucree/products/re47003","6.5")</f>
        <v>6.5</v>
      </c>
      <c r="I33" t="s">
        <v>15</v>
      </c>
      <c r="J33" s="52" t="str">
        <f>HYPERLINK("https://www.greenweez.com/produit/preparation-en-poudre-cacao-cool-matin-500g/1VITA0049","888888")</f>
        <v>888888</v>
      </c>
      <c r="K33" s="56" t="s">
        <v>934</v>
      </c>
      <c r="L33">
        <v>0.2</v>
      </c>
    </row>
    <row r="34" spans="1:13" x14ac:dyDescent="0.3">
      <c r="A34" t="s">
        <v>62</v>
      </c>
      <c r="B34" s="50" t="str">
        <f>HYPERLINK("https://lafourche.fr/products/biodyssee-poudre-de-cacao-maigre-10-12-mg-250g","13")</f>
        <v>13</v>
      </c>
      <c r="C34" s="53" t="s">
        <v>184</v>
      </c>
      <c r="D34" s="52" t="str">
        <f>HYPERLINK("https://www.biocoop.fr/magasin-biocoop_champollion/poudre-cacao-pur-250g-jk1000-000.html","21.4")</f>
        <v>21.4</v>
      </c>
      <c r="E34" t="s">
        <v>15</v>
      </c>
      <c r="F34" s="52" t="str">
        <f>HYPERLINK("https://www.biocoop.fr/magasin-biocoop_fontaine/poudre-cacao-pur-250g-jk1000-000.html","19.96")</f>
        <v>19.96</v>
      </c>
      <c r="G34" t="s">
        <v>15</v>
      </c>
      <c r="H34" s="52" t="str">
        <f>HYPERLINK("https://satoriz-comboire.bio/collections/epicerie-sucree/products/ma9011","14.8")</f>
        <v>14.8</v>
      </c>
      <c r="I34" t="s">
        <v>15</v>
      </c>
      <c r="J34" s="52" t="str">
        <f>HYPERLINK("https://www.greenweez.com/produit/poudre-de-cacao-bio-500g/2WEEZ0158","17.9")</f>
        <v>17.9</v>
      </c>
      <c r="K34" s="53" t="s">
        <v>935</v>
      </c>
    </row>
    <row r="35" spans="1:13" x14ac:dyDescent="0.3">
      <c r="A35" t="s">
        <v>66</v>
      </c>
      <c r="B35" s="52" t="str">
        <f>HYPERLINK("https://lafourche.fr/products/biodyssee-the-vert-gunpowder-de-chine-bio-100g","40.5")</f>
        <v>40.5</v>
      </c>
      <c r="C35" t="s">
        <v>15</v>
      </c>
      <c r="D35" s="52" t="str">
        <f>HYPERLINK("https://www.biocoop.fr/magasin-biocoop_champollion/the-vert-chine-gunpowder-jg0161-000.html","65.5")</f>
        <v>65.5</v>
      </c>
      <c r="E35" t="s">
        <v>15</v>
      </c>
      <c r="F35" s="52" t="str">
        <f>HYPERLINK("https://www.biocoop.fr/magasin-biocoop_fontaine/the-vert-chine-gunpowder-jg0161-000.html","66.5")</f>
        <v>66.5</v>
      </c>
      <c r="G35" s="53" t="s">
        <v>936</v>
      </c>
      <c r="H35" s="52" t="str">
        <f>HYPERLINK("https://satoriz-comboire.bio/collections/epicerie-sucree/products/st23518","51.25")</f>
        <v>51.25</v>
      </c>
      <c r="I35" t="s">
        <v>15</v>
      </c>
      <c r="J35" s="50" t="str">
        <f>HYPERLINK("https://www.greenweez.com/produit/the-vert-gunpowder-bio-vrac-200g/2WEEZ0431","29.5")</f>
        <v>29.5</v>
      </c>
      <c r="K35" s="53" t="s">
        <v>779</v>
      </c>
    </row>
    <row r="36" spans="1:13" x14ac:dyDescent="0.3">
      <c r="A36" t="s">
        <v>67</v>
      </c>
      <c r="B36" s="50" t="str">
        <f>HYPERLINK("https://lafourche.fr/products/biodyssee-the-vert-sencha-de-chine-bio-100g","42.7")</f>
        <v>42.7</v>
      </c>
      <c r="C36" t="s">
        <v>15</v>
      </c>
      <c r="D36" s="52" t="str">
        <f>HYPERLINK("https://www.biocoop.fr/magasin-biocoop_champollion/the-vert-chine-sencha-zhejiang-bio-jg0679-000.html","44.96")</f>
        <v>44.96</v>
      </c>
      <c r="E36" s="51" t="s">
        <v>937</v>
      </c>
      <c r="F36" s="52" t="str">
        <f>HYPERLINK("https://www.biocoop.fr/magasin-biocoop_fontaine/the-vert-chine-sencha-zhejiang-bio-jg0679-000.html","52.4")</f>
        <v>52.4</v>
      </c>
      <c r="G36" t="s">
        <v>15</v>
      </c>
      <c r="H36" s="52" t="str">
        <f>HYPERLINK("https://satoriz-comboire.bio/collections/epicerie-sucree/products/st23515","60.25")</f>
        <v>60.25</v>
      </c>
      <c r="I36" t="s">
        <v>15</v>
      </c>
      <c r="J36" s="52" t="str">
        <f>HYPERLINK("https://www.greenweez.com/produit/the-vert-sencha-origine-chine-200g/1DEST0533","58.0")</f>
        <v>58.0</v>
      </c>
      <c r="K36" s="53" t="s">
        <v>938</v>
      </c>
    </row>
    <row r="37" spans="1:13" x14ac:dyDescent="0.3">
      <c r="A37" t="s">
        <v>68</v>
      </c>
      <c r="B37" s="52" t="str">
        <f>HYPERLINK("https://lafourche.fr/products/biodyssee-the-noir-breakfast-de-ceylan-bio-100g","39.9")</f>
        <v>39.9</v>
      </c>
      <c r="C37" s="53" t="s">
        <v>939</v>
      </c>
      <c r="D37" s="52" t="str">
        <f>HYPERLINK("https://www.biocoop.fr/magasin-biocoop_champollion/the-noir-english-breakfast-bio-jg0155-000.html","44.56")</f>
        <v>44.56</v>
      </c>
      <c r="E37" s="51" t="s">
        <v>940</v>
      </c>
      <c r="F37" s="52" t="str">
        <f>HYPERLINK("https://www.biocoop.fr/magasin-biocoop_fontaine/the-noir-breakfast-ceylan-100g-to1025-000.html","51.0")</f>
        <v>51.0</v>
      </c>
      <c r="G37" s="53" t="s">
        <v>941</v>
      </c>
      <c r="H37" s="52" t="str">
        <f>HYPERLINK("https://satoriz-comboire.bio/products/st23502?_pos=3&amp;_sid=b9236397b&amp;_ss=r","888888")</f>
        <v>888888</v>
      </c>
      <c r="I37" s="56" t="s">
        <v>942</v>
      </c>
      <c r="J37" s="50" t="str">
        <f>HYPERLINK("https://www.greenweez.com/produit/the-noir-breakfast-bio-vrac-200g/2WEEZ0434","34.5")</f>
        <v>34.5</v>
      </c>
      <c r="K37" s="53" t="s">
        <v>943</v>
      </c>
    </row>
    <row r="38" spans="1:13" x14ac:dyDescent="0.3">
      <c r="A38" t="s">
        <v>69</v>
      </c>
      <c r="B38" s="50" t="str">
        <f>HYPERLINK("https://lafourche.fr/products/la-fourche-the-vert-menthe-bio-equitable-0-1kg","39.9")</f>
        <v>39.9</v>
      </c>
      <c r="C38" t="s">
        <v>15</v>
      </c>
      <c r="D38" s="52" t="str">
        <f>HYPERLINK("https://www.biocoop.fr/magasin-biocoop_champollion/the-vert-menthe-parfum-de-medina-bio-jg0677-000.html","44.44")</f>
        <v>44.44</v>
      </c>
      <c r="E38" s="51" t="s">
        <v>937</v>
      </c>
      <c r="F38" s="52" t="str">
        <f>HYPERLINK("https://www.biocoop.fr/magasin-biocoop_fontaine/the-vert-menthe-parfum-de-medina-bio-jg0677-000.html","44.11")</f>
        <v>44.11</v>
      </c>
      <c r="G38" s="51" t="s">
        <v>937</v>
      </c>
      <c r="H38" s="52" t="str">
        <f>HYPERLINK("https://satoriz-comboire.bio/products/st23516?_pos=2&amp;_sid=f98d83d08&amp;_ss=r","888888")</f>
        <v>888888</v>
      </c>
      <c r="I38" s="56" t="s">
        <v>944</v>
      </c>
      <c r="J38" s="52" t="str">
        <f>HYPERLINK("https://www.greenweez.com/produit/the-vert-a-la-menthe-200g/1DEST0423","68.35")</f>
        <v>68.35</v>
      </c>
      <c r="K38" t="s">
        <v>15</v>
      </c>
    </row>
    <row r="39" spans="1:13" x14ac:dyDescent="0.3">
      <c r="A39" t="s">
        <v>70</v>
      </c>
      <c r="B39" s="52" t="str">
        <f>HYPERLINK("https://lafourche.fr/products/biodyssee-the-vert-fleuri-au-jasmin-bio-0-1kg","47.9")</f>
        <v>47.9</v>
      </c>
      <c r="C39" s="53" t="s">
        <v>945</v>
      </c>
      <c r="D39" s="52" t="str">
        <f>HYPERLINK("https://www.biocoop.fr/magasin-biocoop_champollion/the-vert-jasmin-flowers-bio-jg0087-000.html","60.19")</f>
        <v>60.19</v>
      </c>
      <c r="E39" s="51" t="s">
        <v>937</v>
      </c>
      <c r="F39" s="52" t="str">
        <f>HYPERLINK("https://www.biocoop.fr/magasin-biocoop_fontaine/the-vert-jasmin-ft2003-000.html","67.71")</f>
        <v>67.71</v>
      </c>
      <c r="G39" s="53" t="s">
        <v>946</v>
      </c>
      <c r="H39" s="52" t="str">
        <f>HYPERLINK("https://satoriz-comboire.bio/products/ma04628?_pos=3&amp;_sid=81e463890&amp;_ss=r","63.54")</f>
        <v>63.54</v>
      </c>
      <c r="I39" t="s">
        <v>15</v>
      </c>
      <c r="J39" s="50" t="str">
        <f>HYPERLINK("https://www.greenweez.com/produit/the-vert-jasmin-bio-vrac-200g/2WEEZ0433","44.45")</f>
        <v>44.45</v>
      </c>
      <c r="K39" s="53" t="s">
        <v>640</v>
      </c>
    </row>
    <row r="40" spans="1:13" x14ac:dyDescent="0.3">
      <c r="A40" t="s">
        <v>71</v>
      </c>
      <c r="B40" s="52" t="str">
        <f>HYPERLINK("https://lafourche.fr/products/gaia-rooibos-nature-100g","48.4")</f>
        <v>48.4</v>
      </c>
      <c r="C40" t="s">
        <v>15</v>
      </c>
      <c r="D40" s="50" t="str">
        <f>HYPERLINK("https://www.biocoop.fr/magasin-biocoop_champollion/rooibos-nature-to1011-000.html","47.5")</f>
        <v>47.5</v>
      </c>
      <c r="E40" t="s">
        <v>15</v>
      </c>
      <c r="F40" s="52" t="str">
        <f>HYPERLINK("https://www.biocoop.fr/magasin-biocoop_fontaine/rooibos-nature-to1011-000.html","48.0")</f>
        <v>48.0</v>
      </c>
      <c r="G40" s="53" t="s">
        <v>947</v>
      </c>
      <c r="H40" s="52" t="str">
        <f>HYPERLINK("https://satoriz-comboire.bio/collections/epicerie-sucree/products/st6062","53.0")</f>
        <v>53.0</v>
      </c>
      <c r="I40" s="53" t="s">
        <v>948</v>
      </c>
      <c r="J40" s="52" t="str">
        <f>HYPERLINK("https://www.greenweez.com/produit/rooibos-nature-dafrique-du-sud-100g/1DEST0413","49.5")</f>
        <v>49.5</v>
      </c>
      <c r="K40" s="53" t="s">
        <v>32</v>
      </c>
    </row>
    <row r="41" spans="1:13" x14ac:dyDescent="0.3">
      <c r="A41" t="s">
        <v>72</v>
      </c>
      <c r="B41" s="50" t="str">
        <f>HYPERLINK("https://lafourche.fr/products/yogi-tea-infusion-chai-tea-bio-90g","44.33")</f>
        <v>44.33</v>
      </c>
      <c r="C41" t="s">
        <v>15</v>
      </c>
      <c r="D41" s="52" t="str">
        <f>HYPERLINK("https://www.biocoop.fr/magasin-biocoop_champollion/tisane-classic-chai-90g-gt1000-000.html","51.67")</f>
        <v>51.67</v>
      </c>
      <c r="E41" t="s">
        <v>15</v>
      </c>
      <c r="F41" s="52" t="str">
        <f>HYPERLINK("https://www.biocoop.fr/magasin-biocoop_fontaine/tisane-classic-chai-90g-gt1000-000.html","51.67")</f>
        <v>51.67</v>
      </c>
      <c r="G41" t="s">
        <v>15</v>
      </c>
      <c r="H41" s="52" t="str">
        <f>HYPERLINK("https://satoriz-comboire.bio/products/pu710051?_pos=4&amp;_sid=56ad69599&amp;_ss=r","46.67")</f>
        <v>46.67</v>
      </c>
      <c r="I41" t="s">
        <v>15</v>
      </c>
      <c r="J41" s="52" t="str">
        <f>HYPERLINK("https://www.greenweez.com/produit/infusion-vrac-classic-chai-90g/1YOGI0049","52.0")</f>
        <v>52.0</v>
      </c>
      <c r="K41" s="53" t="s">
        <v>949</v>
      </c>
    </row>
    <row r="42" spans="1:13" x14ac:dyDescent="0.3">
      <c r="A42" t="s">
        <v>73</v>
      </c>
      <c r="B42" s="50" t="str">
        <f>HYPERLINK("https://lafourche.fr/products/gaia-tisane-bonne-nuit-50g","106")</f>
        <v>106</v>
      </c>
      <c r="C42" t="s">
        <v>15</v>
      </c>
      <c r="D42" s="52" t="str">
        <f>HYPERLINK("https://www.biocoop.fr/magasin-biocoop_champollion/tisane-bonne-nuit-jg0634-000.html","128.0")</f>
        <v>128.0</v>
      </c>
      <c r="E42" t="s">
        <v>15</v>
      </c>
      <c r="F42" s="52" t="str">
        <f>HYPERLINK("https://www.biocoop.fr/magasin-biocoop_fontaine/tisane-bonne-nuit-jg0634-000.html","128.0")</f>
        <v>128.0</v>
      </c>
      <c r="G42" t="s">
        <v>15</v>
      </c>
      <c r="H42" s="52" t="str">
        <f>HYPERLINK("https://satoriz-comboire.bio/collections/epicerie-sucree/products/jgth502","122.0")</f>
        <v>122.0</v>
      </c>
      <c r="I42" t="s">
        <v>15</v>
      </c>
      <c r="J42" s="52" t="str">
        <f>HYPERLINK("https://www.greenweez.com/produit/tisane-bonne-nuit-50g/3JARD0022","125.8")</f>
        <v>125.8</v>
      </c>
      <c r="K42" t="s">
        <v>15</v>
      </c>
    </row>
    <row r="43" spans="1:13" x14ac:dyDescent="0.3">
      <c r="A43" t="s">
        <v>74</v>
      </c>
      <c r="B43" s="50" t="str">
        <f>HYPERLINK("https://lafourche.fr/products/gaia-tisane-calmetoux-50g","109")</f>
        <v>109</v>
      </c>
      <c r="C43" t="s">
        <v>15</v>
      </c>
      <c r="D43" s="52" t="str">
        <f>HYPERLINK("https://www.biocoop.fr/magasin-biocoop_champollion/tisane-calmetoux-jg0637-000.html","128.0")</f>
        <v>128.0</v>
      </c>
      <c r="E43" t="s">
        <v>15</v>
      </c>
      <c r="F43" s="52" t="str">
        <f>HYPERLINK("https://www.biocoop.fr/magasin-biocoop_fontaine/tisane-calmetoux-jg0637-000.html","128.0")</f>
        <v>128.0</v>
      </c>
      <c r="G43" t="s">
        <v>15</v>
      </c>
      <c r="H43" s="52" t="str">
        <f>HYPERLINK("https://satoriz-comboire.bio/collections/epicerie-sucree/products/jgth508","122.0")</f>
        <v>122.0</v>
      </c>
      <c r="I43" t="s">
        <v>15</v>
      </c>
      <c r="J43" s="52" t="str">
        <f>HYPERLINK("https://www.greenweez.com/produit/tisane-calme-toux-50g/3JARD0074","888888")</f>
        <v>888888</v>
      </c>
      <c r="K43" s="56" t="s">
        <v>950</v>
      </c>
      <c r="M43" s="44" t="s">
        <v>1243</v>
      </c>
    </row>
    <row r="44" spans="1:13" x14ac:dyDescent="0.3">
      <c r="A44" t="s">
        <v>75</v>
      </c>
      <c r="B44" s="50" t="str">
        <f>HYPERLINK("https://lafourche.fr/products/les-jardins-de-gaia-tisane-remede-elfique-bio-0-05kg","106")</f>
        <v>106</v>
      </c>
      <c r="C44" t="s">
        <v>15</v>
      </c>
      <c r="D44" s="52" t="str">
        <f>HYPERLINK("https://www.biocoop.fr/magasin-biocoop_champollion/tisane-remede-elfique-50g-aa0429-000.html","888888")</f>
        <v>888888</v>
      </c>
      <c r="E44" t="s">
        <v>99</v>
      </c>
      <c r="F44" s="52" t="str">
        <f>HYPERLINK("https://www.biocoop.fr/magasin-biocoop_fontaine/tisane-remede-elfique-50g-aa0429-000.html","151.0")</f>
        <v>151.0</v>
      </c>
      <c r="G44" s="53" t="s">
        <v>951</v>
      </c>
      <c r="H44" s="52" t="str">
        <f>HYPERLINK("https://satoriz-comboire.bio/collections/epicerie-sucree/products/jgth517","122.0")</f>
        <v>122.0</v>
      </c>
      <c r="I44" t="s">
        <v>15</v>
      </c>
      <c r="J44" s="52" t="str">
        <f>HYPERLINK("https://www.greenweez.com/produit/tisane-remede-elfique-detox-50g/3JARD0021","129.8")</f>
        <v>129.8</v>
      </c>
      <c r="K44" s="53" t="s">
        <v>952</v>
      </c>
    </row>
    <row r="46" spans="1:13" ht="18" customHeight="1" x14ac:dyDescent="0.35">
      <c r="A46" s="46" t="s">
        <v>76</v>
      </c>
      <c r="B46" s="47"/>
      <c r="C46" s="47"/>
      <c r="D46" s="47"/>
      <c r="E46" s="47"/>
      <c r="F46" s="47"/>
      <c r="G46" s="47"/>
      <c r="H46" s="47"/>
      <c r="I46" s="47"/>
      <c r="J46" s="47"/>
      <c r="K46" s="47"/>
    </row>
    <row r="47" spans="1:13" x14ac:dyDescent="0.3">
      <c r="A47" s="48" t="s">
        <v>77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</row>
    <row r="48" spans="1:13" x14ac:dyDescent="0.3">
      <c r="A48" t="s">
        <v>78</v>
      </c>
      <c r="B48" s="52" t="str">
        <f>HYPERLINK("https://lafourche.fr/products/holle-lait-1-bio-demeter-pour-nourrissons-des-la-naissance-jusqu-a-6-mois-0-4kg","21.12")</f>
        <v>21.12</v>
      </c>
      <c r="C48" s="51" t="s">
        <v>953</v>
      </c>
      <c r="D48" s="52" t="str">
        <f>HYPERLINK("https://www.biocoop.fr/magasin-biocoop_champollion/lait-infantile-1er-age-800g-nt2000-000.html","19.7")</f>
        <v>19.7</v>
      </c>
      <c r="E48" t="s">
        <v>15</v>
      </c>
      <c r="F48" s="50" t="str">
        <f>HYPERLINK("https://www.biocoop.fr/magasin-biocoop_fontaine/lait-infantile-1er-age-800g-nt2000-000.html","18.9")</f>
        <v>18.9</v>
      </c>
      <c r="G48" t="s">
        <v>15</v>
      </c>
      <c r="H48" s="52" t="str">
        <f>HYPERLINK("https://satoriz-comboire.bio/collections/bebe/products/pu660168808","22.88")</f>
        <v>22.88</v>
      </c>
      <c r="I48" t="s">
        <v>15</v>
      </c>
      <c r="J48" s="52" t="str">
        <f>HYPERLINK("https://www.greenweez.com/produit/lot-de-3-lait-1-combiotic-r-pour-nourrissons-de-0-a-6-mois/1PACK3439","888888")</f>
        <v>888888</v>
      </c>
      <c r="K48" s="56" t="s">
        <v>954</v>
      </c>
    </row>
    <row r="49" spans="1:12" x14ac:dyDescent="0.3">
      <c r="A49" t="s">
        <v>83</v>
      </c>
      <c r="B49" s="52" t="str">
        <f>HYPERLINK("https://lafourche.fr/products/holle-lait-de-suite-2-demeter-bio-des-6-mois-0-6kg","19.65")</f>
        <v>19.65</v>
      </c>
      <c r="C49" s="51" t="s">
        <v>955</v>
      </c>
      <c r="D49" s="52" t="str">
        <f>HYPERLINK("https://www.biocoop.fr/magasin-biocoop_champollion/lait-infantile-2eme-age-800g-nt2001-000.html","19.99")</f>
        <v>19.99</v>
      </c>
      <c r="E49" t="s">
        <v>15</v>
      </c>
      <c r="F49" s="50" t="str">
        <f>HYPERLINK("https://www.biocoop.fr/magasin-biocoop_fontaine/lait-infantile-2eme-age-800g-nt2001-000.html","17.9")</f>
        <v>17.9</v>
      </c>
      <c r="G49" t="s">
        <v>15</v>
      </c>
      <c r="H49" s="52" t="str">
        <f>HYPERLINK("https://satoriz-comboire.bio/collections/bebe/products/pu660154208","22.25")</f>
        <v>22.25</v>
      </c>
      <c r="I49" t="s">
        <v>15</v>
      </c>
      <c r="J49" s="52" t="str">
        <f>HYPERLINK("https://www.greenweez.com/produit/lot-de-3-x-lait-infantile-2eme-age-900g-de-6-a-12-mois/1PACK3351","888888")</f>
        <v>888888</v>
      </c>
      <c r="K49" s="56" t="s">
        <v>956</v>
      </c>
    </row>
    <row r="50" spans="1:12" x14ac:dyDescent="0.3">
      <c r="A50" t="s">
        <v>86</v>
      </c>
      <c r="B50" s="52" t="str">
        <f>HYPERLINK("https://lafourche.fr/products/hipp-lait-3-de-croissance-essentia-bio-0-6kg","18.48")</f>
        <v>18.48</v>
      </c>
      <c r="C50" s="51" t="s">
        <v>957</v>
      </c>
      <c r="D50" s="52" t="str">
        <f>HYPERLINK("https://www.biocoop.fr/magasin-biocoop_champollion/lait-infantile-3eme-age-800g-nt2002-000.html","18.9")</f>
        <v>18.9</v>
      </c>
      <c r="E50" t="s">
        <v>15</v>
      </c>
      <c r="F50" s="50" t="str">
        <f>HYPERLINK("https://www.biocoop.fr/magasin-biocoop_fontaine/lait-infantile-3eme-age-800g-nt2002-000.html","16.9")</f>
        <v>16.9</v>
      </c>
      <c r="G50" s="51" t="s">
        <v>688</v>
      </c>
      <c r="H50" s="52" t="str">
        <f>HYPERLINK("https://satoriz-comboire.bio/collections/bebe/products/pu660154308","20.92")</f>
        <v>20.92</v>
      </c>
      <c r="I50" t="s">
        <v>15</v>
      </c>
      <c r="J50" s="52" t="str">
        <f>HYPERLINK("https://www.greenweez.com/produit/lot-de-3-laits-de-suite-3-demeter-600g-des-10-mois/1PACK3673","19.78")</f>
        <v>19.78</v>
      </c>
      <c r="K50" s="53" t="s">
        <v>958</v>
      </c>
    </row>
    <row r="51" spans="1:12" x14ac:dyDescent="0.3">
      <c r="A51" t="s">
        <v>89</v>
      </c>
      <c r="B51" s="52" t="str">
        <f>HYPERLINK("https://lafourche.fr/products/tidoo-liniment-oleocalcaire-familial-900ml","14.29")</f>
        <v>14.29</v>
      </c>
      <c r="C51" t="s">
        <v>15</v>
      </c>
      <c r="D51" s="52" t="str">
        <f>HYPERLINK("https://www.biocoop.fr/magasin-biocoop_champollion/liniment-oleo-calcaire-bebe-lg5038-000.html","16.9")</f>
        <v>16.9</v>
      </c>
      <c r="E51" t="s">
        <v>15</v>
      </c>
      <c r="F51" s="52" t="str">
        <f>HYPERLINK("https://www.biocoop.fr/magasin-biocoop_fontaine/liniment-oleo-calcaire-bebe-lg5038-000.html","17.4")</f>
        <v>17.4</v>
      </c>
      <c r="G51" s="51" t="s">
        <v>959</v>
      </c>
      <c r="H51" s="52" t="str">
        <f>HYPERLINK("https://satoriz-comboire.bio/products/ecoae035?_pos=3&amp;_sid=db2ea40dc&amp;_ss=r","16.9")</f>
        <v>16.9</v>
      </c>
      <c r="I51" t="s">
        <v>15</v>
      </c>
      <c r="J51" s="50" t="str">
        <f>HYPERLINK("https://www.greenweez.com/produit/liniment-bebe-oleocalcaire-1l/2WEEZ0527","10.9")</f>
        <v>10.9</v>
      </c>
      <c r="K51" t="s">
        <v>15</v>
      </c>
    </row>
    <row r="53" spans="1:12" ht="18" customHeight="1" x14ac:dyDescent="0.35">
      <c r="A53" s="46" t="s">
        <v>90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</row>
    <row r="54" spans="1:12" x14ac:dyDescent="0.3">
      <c r="A54" s="48" t="s">
        <v>91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</row>
    <row r="55" spans="1:12" x14ac:dyDescent="0.3">
      <c r="A55" t="s">
        <v>92</v>
      </c>
      <c r="B55" s="50" t="str">
        <f>HYPERLINK("https://lafourche.fr/products/la-fourche-gressins-a-l-huile-d-olive-bio-0-16kg","11.19")</f>
        <v>11.19</v>
      </c>
      <c r="C55" t="s">
        <v>15</v>
      </c>
      <c r="D55" s="52" t="str">
        <f>HYPERLINK("https://www.biocoop.fr/magasin-biocoop_champollion/gressins-a-l-huile-d-olive-vierge-sd2008-000.html","38.0")</f>
        <v>38.0</v>
      </c>
      <c r="E55" t="s">
        <v>15</v>
      </c>
      <c r="F55" s="52" t="str">
        <f>HYPERLINK("https://www.biocoop.fr/magasin-biocoop_fontaine/gressin-nature-150g-gr4007-000.html","12.67")</f>
        <v>12.67</v>
      </c>
      <c r="G55" t="s">
        <v>15</v>
      </c>
      <c r="H55" s="52" t="str">
        <f>HYPERLINK("https://satoriz-comboire.bio/collections/epicerie-salee/products/tgc01","12.67")</f>
        <v>12.67</v>
      </c>
      <c r="I55" t="s">
        <v>15</v>
      </c>
      <c r="J55" s="52" t="str">
        <f>HYPERLINK("https://www.greenweez.com/produit/gressins-au-sesame-160g/1LAZZ0072","888888")</f>
        <v>888888</v>
      </c>
      <c r="K55" s="56" t="s">
        <v>960</v>
      </c>
    </row>
    <row r="56" spans="1:12" x14ac:dyDescent="0.3">
      <c r="A56" t="s">
        <v>93</v>
      </c>
      <c r="B56" s="50" t="str">
        <f>HYPERLINK("https://lafourche.fr/products/moulin-des-moines-sticks-depeautre-200g-bio","9.95")</f>
        <v>9.95</v>
      </c>
      <c r="C56" t="s">
        <v>15</v>
      </c>
      <c r="D56" s="52" t="str">
        <f>HYPERLINK("https://www.biocoop.fr/magasin-biocoop_champollion/sticks-epeautre-pur-200g-ml1211-000.html","888888")</f>
        <v>888888</v>
      </c>
      <c r="E56" t="s">
        <v>99</v>
      </c>
      <c r="F56" s="52" t="str">
        <f>HYPERLINK("https://www.biocoop.fr/magasin-biocoop_fontaine/sticks-epeautre-pur-200g-ml1211-000.html","888888")</f>
        <v>888888</v>
      </c>
      <c r="G56" s="56" t="s">
        <v>961</v>
      </c>
      <c r="H56">
        <v>888888</v>
      </c>
      <c r="J56" s="52" t="str">
        <f>HYPERLINK("https://www.greenweez.com/produit/sticks-depeautre-a-lhuile-dolive-200g/1MOUL0035","11.45")</f>
        <v>11.45</v>
      </c>
      <c r="K56" t="s">
        <v>99</v>
      </c>
    </row>
    <row r="57" spans="1:12" x14ac:dyDescent="0.3">
      <c r="A57" t="s">
        <v>94</v>
      </c>
      <c r="B57" s="52" t="str">
        <f>HYPERLINK("https://lafourche.fr/products/moulin-des-moines-bretzels-depeautre-150g-bio","11.53")</f>
        <v>11.53</v>
      </c>
      <c r="C57" t="s">
        <v>15</v>
      </c>
      <c r="D57" s="52" t="str">
        <f>HYPERLINK("https://www.biocoop.fr/magasin-biocoop_champollion/bretzel-epeautre-bio-ml1218-000.html","8.45")</f>
        <v>8.45</v>
      </c>
      <c r="E57" s="51" t="s">
        <v>834</v>
      </c>
      <c r="F57" s="50" t="str">
        <f>HYPERLINK("https://www.biocoop.fr/magasin-biocoop_fontaine/bretzel-epeautre-bio-ml1218-000.html","7.91")</f>
        <v>7.91</v>
      </c>
      <c r="G57" s="51" t="s">
        <v>962</v>
      </c>
      <c r="H57" s="52" t="str">
        <f>HYPERLINK("https://satoriz-comboire.bio/products/eu1740?_pos=1&amp;_psq=bretzel&amp;_ss=e&amp;_v=1.0","16.0")</f>
        <v>16.0</v>
      </c>
      <c r="I57" t="s">
        <v>15</v>
      </c>
      <c r="J57" s="52" t="str">
        <f>HYPERLINK("https://www.greenweez.com/produit/bretzels-epeautre-sesame-et-huile-dolive-150g/1MOUL0033","12.93")</f>
        <v>12.93</v>
      </c>
      <c r="K57" s="53" t="s">
        <v>691</v>
      </c>
    </row>
    <row r="58" spans="1:12" x14ac:dyDescent="0.3">
      <c r="A58" t="s">
        <v>95</v>
      </c>
      <c r="B58" s="52" t="str">
        <f>HYPERLINK("https://lafourche.fr/products/pural-chips-au-mais-nature-bio-0-2kg","10.8")</f>
        <v>10.8</v>
      </c>
      <c r="C58" s="51" t="s">
        <v>692</v>
      </c>
      <c r="D58" s="52" t="str">
        <f>HYPERLINK("https://www.biocoop.fr/magasin-biocoop_champollion/tortilla-chips-mais-natures-200g-ap0010-000.html","12.5")</f>
        <v>12.5</v>
      </c>
      <c r="E58" t="s">
        <v>15</v>
      </c>
      <c r="F58" s="50" t="str">
        <f>HYPERLINK("https://www.biocoop.fr/magasin-biocoop_fontaine/tortilla-chips-mais-natures-200g-ap0010-000.html","10.65")</f>
        <v>10.65</v>
      </c>
      <c r="G58" s="51" t="s">
        <v>963</v>
      </c>
      <c r="H58" s="52" t="str">
        <f>HYPERLINK("https://satoriz-comboire.bio/products/pu6901460","12.0")</f>
        <v>12.0</v>
      </c>
      <c r="I58" s="53" t="s">
        <v>33</v>
      </c>
      <c r="J58" s="52" t="str">
        <f>HYPERLINK("https://www.greenweez.com/produit/chips-de-mais-nature-125g/1PURA0072","15.52")</f>
        <v>15.52</v>
      </c>
      <c r="K58" s="53" t="s">
        <v>964</v>
      </c>
    </row>
    <row r="59" spans="1:12" x14ac:dyDescent="0.3">
      <c r="A59" t="s">
        <v>96</v>
      </c>
      <c r="B59" s="50" t="str">
        <f>HYPERLINK("https://lafourche.fr/products/trafo-chips-salees-125g","14.4")</f>
        <v>14.4</v>
      </c>
      <c r="C59" t="s">
        <v>15</v>
      </c>
      <c r="D59" s="52" t="str">
        <f>HYPERLINK("https://www.biocoop.fr/magasin-biocoop_champollion/chips-pdt-natures-100g-cs5010-000.html","27.0")</f>
        <v>27.0</v>
      </c>
      <c r="E59" t="s">
        <v>15</v>
      </c>
      <c r="F59" s="52" t="str">
        <f>HYPERLINK("https://www.biocoop.fr/magasin-biocoop_fontaine/chips-pdt-natures-200g-ao4005-000.html","16.95")</f>
        <v>16.95</v>
      </c>
      <c r="G59" s="51" t="s">
        <v>965</v>
      </c>
      <c r="H59" s="52" t="str">
        <f>HYPERLINK("https://satoriz-comboire.bio/collections/epicerie-salee/products/ma5776","15.6")</f>
        <v>15.6</v>
      </c>
      <c r="I59" t="s">
        <v>15</v>
      </c>
      <c r="J59" s="52" t="str">
        <f>HYPERLINK("https://www.greenweez.com/produit/chips-nature-format-familial-220g/1APER0002","18.39")</f>
        <v>18.39</v>
      </c>
      <c r="K59" t="s">
        <v>15</v>
      </c>
    </row>
    <row r="60" spans="1:12" x14ac:dyDescent="0.3">
      <c r="A60" t="s">
        <v>97</v>
      </c>
      <c r="B60" s="50" t="str">
        <f>HYPERLINK("https://lafourche.fr/products/la-fourche-250g-de-pistaches-en-coque-grillees-salees-en-vrac-bio","23.4")</f>
        <v>23.4</v>
      </c>
      <c r="C60" s="53" t="s">
        <v>263</v>
      </c>
      <c r="D60" s="52" t="str">
        <f>HYPERLINK("https://www.biocoop.fr/magasin-biocoop_champollion/pistaches-coques-grillees-salees-bio-ag3041-000.html","32.39")</f>
        <v>32.39</v>
      </c>
      <c r="E60" t="s">
        <v>15</v>
      </c>
      <c r="F60" s="52" t="str">
        <f>HYPERLINK("https://www.biocoop.fr/magasin-biocoop_fontaine/pistaches-coques-grillees-salees-bio-ag3041-000.html","888888")</f>
        <v>888888</v>
      </c>
      <c r="G60" t="s">
        <v>99</v>
      </c>
      <c r="H60" s="52" t="str">
        <f>HYPERLINK("https://satoriz-comboire.bio/collections/vrac/products/ag0653","24.9")</f>
        <v>24.9</v>
      </c>
      <c r="I60" t="s">
        <v>15</v>
      </c>
      <c r="J60" s="52" t="str">
        <f>HYPERLINK("https://www.greenweez.com/produit/pistaches-en-coques-grillees-salees-500g/2WEEZ0404","888888")</f>
        <v>888888</v>
      </c>
      <c r="K60" t="s">
        <v>99</v>
      </c>
      <c r="L60">
        <v>0.25</v>
      </c>
    </row>
    <row r="61" spans="1:12" x14ac:dyDescent="0.3">
      <c r="A61" t="s">
        <v>100</v>
      </c>
      <c r="B61" s="50" t="str">
        <f>HYPERLINK("https://lafourche.fr/products/la-fourche-cacahuetes-grillees-salees-bio-en-vrac-0-5kg","7.8")</f>
        <v>7.8</v>
      </c>
      <c r="C61" s="53" t="s">
        <v>800</v>
      </c>
      <c r="D61" s="52" t="str">
        <f>HYPERLINK("https://www.biocoop.fr/magasin-biocoop_champollion/arachide-grillee-nature-bio-ag3062-000.html","9.18")</f>
        <v>9.18</v>
      </c>
      <c r="E61" s="51" t="s">
        <v>842</v>
      </c>
      <c r="F61" s="52" t="str">
        <f>HYPERLINK("https://www.biocoop.fr/magasin-biocoop_fontaine/arachides-grillees-et-salees-egypte-bio-ag3063-000.html","10.03")</f>
        <v>10.03</v>
      </c>
      <c r="G61" s="51" t="s">
        <v>842</v>
      </c>
      <c r="H61" s="52" t="str">
        <f>HYPERLINK("https://satoriz-comboire.bio/collections/vrac/products/bof3707","8.15")</f>
        <v>8.15</v>
      </c>
      <c r="I61" t="s">
        <v>15</v>
      </c>
      <c r="J61" s="52" t="str">
        <f>HYPERLINK("https://www.greenweez.com/produit/arachides-decortiquees-grillees-nature-500g/2WEEZ0360","11.88")</f>
        <v>11.88</v>
      </c>
      <c r="K61" t="s">
        <v>15</v>
      </c>
    </row>
    <row r="62" spans="1:12" x14ac:dyDescent="0.3">
      <c r="A62" s="48" t="s">
        <v>101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</row>
    <row r="63" spans="1:12" x14ac:dyDescent="0.3">
      <c r="A63" t="s">
        <v>102</v>
      </c>
      <c r="B63" s="50" t="str">
        <f>HYPERLINK("https://lafourche.fr/products/philia-bouillon-de-legumes-cubes-66g-bio","15")</f>
        <v>15</v>
      </c>
      <c r="C63" t="s">
        <v>15</v>
      </c>
      <c r="D63" s="52" t="str">
        <f>HYPERLINK("https://www.biocoop.fr/magasin-biocoop_champollion/epicerie-salee/condiments-sauces-aides-culinaires/bouillons.html?product_list_order=price_ref_asc","22.5")</f>
        <v>22.5</v>
      </c>
      <c r="E63" s="53" t="s">
        <v>801</v>
      </c>
      <c r="F63" s="52" t="str">
        <f>HYPERLINK("https://www.biocoop.fr/magasin-biocoop_fontaine/bouillon-de-legumes-en-cube-hl1004-000.html","22.16")</f>
        <v>22.16</v>
      </c>
      <c r="G63" t="s">
        <v>15</v>
      </c>
      <c r="H63" s="52" t="str">
        <f>HYPERLINK("https://satoriz-comboire.bio/products/ralegplu?_pos=9&amp;_sid=deed539af&amp;_ss=r","16.4")</f>
        <v>16.4</v>
      </c>
      <c r="I63" t="s">
        <v>15</v>
      </c>
      <c r="J63" s="52" t="str">
        <f>HYPERLINK("https://www.greenweez.com/produit/bouillon-de-legumes-en-poudre-sans-levure-500g/1RAPU0182","16.8")</f>
        <v>16.8</v>
      </c>
      <c r="K63" t="s">
        <v>15</v>
      </c>
    </row>
    <row r="64" spans="1:12" x14ac:dyDescent="0.3">
      <c r="A64" t="s">
        <v>104</v>
      </c>
      <c r="B64" s="50" t="str">
        <f>HYPERLINK("https://lafourche.fr/products/danival-cube-miso-bio-8x10g-bio","40.75")</f>
        <v>40.75</v>
      </c>
      <c r="C64" t="s">
        <v>15</v>
      </c>
      <c r="D64" s="52" t="str">
        <f>HYPERLINK("https://www.biocoop.fr/magasin-biocoop_champollion/miso-cube-original-8-80g-dn1090-000.html","888888")</f>
        <v>888888</v>
      </c>
      <c r="E64" t="s">
        <v>99</v>
      </c>
      <c r="F64" s="52" t="str">
        <f>HYPERLINK("https://www.biocoop.fr/magasin-biocoop_fontaine/miso-cube-original-8-80g-dn1090-000.html","49.38")</f>
        <v>49.38</v>
      </c>
      <c r="G64" s="51" t="s">
        <v>802</v>
      </c>
      <c r="H64" s="52" t="str">
        <f>HYPERLINK("https://satoriz-comboire.bio/products/da2889?_pos=3&amp;_sid=9469a6a77&amp;_ss=r","45.63")</f>
        <v>45.63</v>
      </c>
      <c r="I64" t="s">
        <v>15</v>
      </c>
      <c r="J64" s="52" t="str">
        <f>HYPERLINK("https://www.greenweez.com/produit/miso-en-cubes-original-8x10g/1DANI0197","49.38")</f>
        <v>49.38</v>
      </c>
      <c r="K64" s="53" t="s">
        <v>966</v>
      </c>
    </row>
    <row r="65" spans="1:12" x14ac:dyDescent="0.3">
      <c r="A65" t="s">
        <v>108</v>
      </c>
      <c r="B65" s="50" t="str">
        <f>HYPERLINK("https://lafourche.fr/products/danival-miso-riz-bio-0-39kg","17.92")</f>
        <v>17.92</v>
      </c>
      <c r="C65" s="53" t="s">
        <v>694</v>
      </c>
      <c r="D65" s="52" t="str">
        <f>HYPERLINK("https://www.biocoop.fr/magasin-biocoop_champollion/miso-riz-200g-dn0733-000.html","24.95")</f>
        <v>24.95</v>
      </c>
      <c r="E65" t="s">
        <v>15</v>
      </c>
      <c r="F65" s="52" t="str">
        <f>HYPERLINK("https://www.biocoop.fr/magasin-biocoop_fontaine/miso-riz-200g-dn0733-000.html","24.75")</f>
        <v>24.75</v>
      </c>
      <c r="G65" s="51" t="s">
        <v>695</v>
      </c>
      <c r="H65" s="52" t="str">
        <f>HYPERLINK("https://satoriz-comboire.bio/products/re2573?_pos=8&amp;_sid=9469a6a77&amp;_ss=r","20.38")</f>
        <v>20.38</v>
      </c>
      <c r="I65" t="s">
        <v>15</v>
      </c>
      <c r="J65" s="52" t="str">
        <f>HYPERLINK("https://www.greenweez.com/produit/miso-de-riz-390g/1DANI0048","20.67")</f>
        <v>20.67</v>
      </c>
      <c r="K65" t="s">
        <v>15</v>
      </c>
    </row>
    <row r="66" spans="1:12" x14ac:dyDescent="0.3">
      <c r="A66" t="s">
        <v>111</v>
      </c>
      <c r="B66" s="50" t="str">
        <f>HYPERLINK("https://lafourche.fr/products/la-fourche-gomasio-bio-0-5kg","9.98")</f>
        <v>9.98</v>
      </c>
      <c r="C66" t="s">
        <v>15</v>
      </c>
      <c r="D66" s="52" t="str">
        <f>HYPERLINK("https://www.biocoop.fr/magasin-biocoop_champollion/gomasio-300g-he0775-000.html","20.17")</f>
        <v>20.17</v>
      </c>
      <c r="E66" t="s">
        <v>15</v>
      </c>
      <c r="F66" s="52" t="str">
        <f>HYPERLINK("https://www.biocoop.fr/magasin-biocoop_fontaine/gomasio-300g-he0775-000.html","20.33")</f>
        <v>20.33</v>
      </c>
      <c r="G66" t="s">
        <v>15</v>
      </c>
      <c r="H66" s="52" t="str">
        <f>HYPERLINK("https://satoriz-comboire.bio/products/go300?_pos=3&amp;_sid=8c4a51e31&amp;_ss=r","19.5")</f>
        <v>19.5</v>
      </c>
      <c r="I66" t="s">
        <v>15</v>
      </c>
      <c r="J66" s="52" t="str">
        <f>HYPERLINK("https://www.greenweez.com/produit/gomasio-loriginal-500g/1SENF0012","13.38")</f>
        <v>13.38</v>
      </c>
      <c r="K66" s="53" t="s">
        <v>803</v>
      </c>
    </row>
    <row r="67" spans="1:12" x14ac:dyDescent="0.3">
      <c r="A67" t="s">
        <v>115</v>
      </c>
      <c r="B67" s="50" t="str">
        <f>HYPERLINK("https://lafourche.fr/products/la-fourche-curcuma-moulu-bio-0-25kg","14.76")</f>
        <v>14.76</v>
      </c>
      <c r="C67" t="s">
        <v>15</v>
      </c>
      <c r="D67" s="52" t="str">
        <f>HYPERLINK("https://www.biocoop.fr/magasin-biocoop_champollion/curcuma-en-poudre-racine-bio-ck2048-000.html","16.74")</f>
        <v>16.74</v>
      </c>
      <c r="E67" s="51" t="s">
        <v>967</v>
      </c>
      <c r="F67" s="52" t="str">
        <f>HYPERLINK("https://www.biocoop.fr/magasin-biocoop_fontaine/curcuma-poudre-35g-ck0906-000.html","68.57")</f>
        <v>68.57</v>
      </c>
      <c r="G67" s="53" t="s">
        <v>968</v>
      </c>
      <c r="H67" s="52" t="str">
        <f>HYPERLINK("https://satoriz-comboire.bio/products/cocurcrapc500?_pos=5&amp;_sid=0aacfc20c&amp;_ss=r","23.7")</f>
        <v>23.7</v>
      </c>
      <c r="I67" t="s">
        <v>15</v>
      </c>
      <c r="J67" s="52" t="str">
        <f>HYPERLINK("https://www.greenweez.com/produit/curcuma-poudre-bio-250g/2WEEZ0074","15.16")</f>
        <v>15.16</v>
      </c>
      <c r="K67" s="53" t="s">
        <v>969</v>
      </c>
    </row>
    <row r="68" spans="1:12" x14ac:dyDescent="0.3">
      <c r="A68" t="s">
        <v>118</v>
      </c>
      <c r="B68" s="52" t="str">
        <f>HYPERLINK("https://lafourche.fr/products/la-fourche-curry-jaune-moulu-bio-0-15kg","30.6")</f>
        <v>30.6</v>
      </c>
      <c r="C68" t="s">
        <v>15</v>
      </c>
      <c r="D68" s="50" t="str">
        <f>HYPERLINK("https://www.biocoop.fr/magasin-biocoop_champollion/curry-poudre-bio-ck2049-000.html","25.07")</f>
        <v>25.07</v>
      </c>
      <c r="E68" s="51" t="s">
        <v>970</v>
      </c>
      <c r="F68" s="52" t="str">
        <f>HYPERLINK("https://www.biocoop.fr/magasin-biocoop_fontaine/curry-en-poudre-35g-ck0907-000.html","91.43")</f>
        <v>91.43</v>
      </c>
      <c r="G68" s="53" t="s">
        <v>971</v>
      </c>
      <c r="H68" s="52" t="str">
        <f>HYPERLINK("https://satoriz-comboire.bio/products/cocurrmapc","32.7")</f>
        <v>32.7</v>
      </c>
      <c r="I68" s="51" t="s">
        <v>972</v>
      </c>
      <c r="J68" s="52" t="str">
        <f>HYPERLINK("https://www.greenweez.com/produit/curry-en-poudre-bio-150g/2WEEZ0162","31.2")</f>
        <v>31.2</v>
      </c>
      <c r="K68" t="s">
        <v>15</v>
      </c>
      <c r="L68">
        <v>0.02</v>
      </c>
    </row>
    <row r="69" spans="1:12" x14ac:dyDescent="0.3">
      <c r="A69" t="s">
        <v>120</v>
      </c>
      <c r="B69" s="52" t="str">
        <f>HYPERLINK("https://lafourche.fr/products/la-fourche-cannelle-moulue-bio-0-15kg","26.6")</f>
        <v>26.6</v>
      </c>
      <c r="C69" t="s">
        <v>15</v>
      </c>
      <c r="D69" s="52" t="str">
        <f>HYPERLINK("https://www.biocoop.fr/magasin-biocoop_champollion/cannelle-poudre-100g-ck2151-000.html","51.5")</f>
        <v>51.5</v>
      </c>
      <c r="E69" s="51" t="s">
        <v>973</v>
      </c>
      <c r="F69" s="52" t="str">
        <f>HYPERLINK("https://www.biocoop.fr/magasin-biocoop_fontaine/cannelle-moulue-35g-ck1419-000.html","70.0")</f>
        <v>70.0</v>
      </c>
      <c r="G69" s="53" t="s">
        <v>974</v>
      </c>
      <c r="H69" s="50" t="str">
        <f>HYPERLINK("https://satoriz-comboire.bio/products/cocannegpc?_pos=2&amp;_sid=a0e00fe60&amp;_ss=r","26.1")</f>
        <v>26.1</v>
      </c>
      <c r="I69" t="s">
        <v>15</v>
      </c>
      <c r="J69" s="52" t="str">
        <f>HYPERLINK("https://www.greenweez.com/produit/cannelle-de-ceylan-en-poudre-500g/1COOK0184","26.46")</f>
        <v>26.46</v>
      </c>
      <c r="K69" s="51" t="s">
        <v>832</v>
      </c>
    </row>
    <row r="70" spans="1:12" x14ac:dyDescent="0.3">
      <c r="A70" t="s">
        <v>124</v>
      </c>
      <c r="B70" s="50" t="str">
        <f>HYPERLINK("https://lafourche.fr/products/la-fourche-paprika-doux-bio-0-15kg","27.93")</f>
        <v>27.93</v>
      </c>
      <c r="C70" t="s">
        <v>15</v>
      </c>
      <c r="D70" s="52" t="str">
        <f>HYPERLINK("https://www.biocoop.fr/magasin-biocoop_champollion/paprika-doux-de-hongrie-40g-ck0922-000.html","88.75")</f>
        <v>88.75</v>
      </c>
      <c r="E70" t="s">
        <v>15</v>
      </c>
      <c r="F70" s="52" t="str">
        <f>HYPERLINK("https://www.biocoop.fr/magasin-biocoop_fontaine/paprika-doux-de-hongrie-40g-ck0922-000.html","87.5")</f>
        <v>87.5</v>
      </c>
      <c r="G70" t="s">
        <v>15</v>
      </c>
      <c r="H70" s="52" t="str">
        <f>HYPERLINK("https://satoriz-comboire.bio/products/copapdfr?_pos=2&amp;_sid=444323c97&amp;_ss=r","72.5")</f>
        <v>72.5</v>
      </c>
      <c r="I70" t="s">
        <v>15</v>
      </c>
      <c r="J70" s="52" t="str">
        <f>HYPERLINK("https://www.greenweez.com/produit/paprika-doux-en-poudre-bio-150g/2WEEZ0165","29.87")</f>
        <v>29.87</v>
      </c>
      <c r="K70" s="53" t="s">
        <v>518</v>
      </c>
      <c r="L70">
        <v>0.02</v>
      </c>
    </row>
    <row r="71" spans="1:12" x14ac:dyDescent="0.3">
      <c r="A71" t="s">
        <v>128</v>
      </c>
      <c r="B71" s="52" t="str">
        <f>HYPERLINK("https://lafourche.fr/products/la-fourche-paprika-fume-bio-0-15kg","35")</f>
        <v>35</v>
      </c>
      <c r="C71" s="53" t="s">
        <v>805</v>
      </c>
      <c r="D71" s="52" t="str">
        <f>HYPERLINK("https://www.biocoop.fr/magasin-biocoop_champollion/paprika-fume-fl1217-000.html","77.5")</f>
        <v>77.5</v>
      </c>
      <c r="E71" t="s">
        <v>15</v>
      </c>
      <c r="F71" s="52" t="str">
        <f>HYPERLINK("https://www.biocoop.fr/magasin-biocoop_fontaine/paprika-fume-fl1217-000.html","888888")</f>
        <v>888888</v>
      </c>
      <c r="G71" t="s">
        <v>99</v>
      </c>
      <c r="H71" s="52" t="str">
        <f>HYPERLINK("https://satoriz-comboire.bio/products/emhbe58b?_pos=2&amp;_sid=3ef3d1d3c&amp;_ss=r","888888")</f>
        <v>888888</v>
      </c>
      <c r="I71" s="56" t="s">
        <v>975</v>
      </c>
      <c r="J71" s="50" t="str">
        <f>HYPERLINK("https://www.greenweez.com/produit/paprika-fume-sachet-recharge-250g/1ECOI0084","31.04")</f>
        <v>31.04</v>
      </c>
      <c r="K71" t="s">
        <v>15</v>
      </c>
    </row>
    <row r="72" spans="1:12" x14ac:dyDescent="0.3">
      <c r="A72" t="s">
        <v>131</v>
      </c>
      <c r="B72" s="52" t="str">
        <f>HYPERLINK("https://lafourche.fr/products/la-fourche-paprika-doux-bio-0-15kg","27.93")</f>
        <v>27.93</v>
      </c>
      <c r="C72" t="s">
        <v>15</v>
      </c>
      <c r="D72" s="52" t="str">
        <f>HYPERLINK("https://www.biocoop.fr/magasin-biocoop_champollion/gingembre-racine-poudre-bio-ck2051-000.html","28.6")</f>
        <v>28.6</v>
      </c>
      <c r="E72" s="51" t="s">
        <v>937</v>
      </c>
      <c r="F72" s="52" t="str">
        <f>HYPERLINK("https://www.biocoop.fr/magasin-biocoop_fontaine/gingembre-poudre-30g-ck0908-000.html","95.0")</f>
        <v>95.0</v>
      </c>
      <c r="G72" s="53" t="s">
        <v>976</v>
      </c>
      <c r="H72" s="52" t="str">
        <f>HYPERLINK("https://satoriz-comboire.bio/products/cogingse","52.5")</f>
        <v>52.5</v>
      </c>
      <c r="I72" s="51" t="s">
        <v>977</v>
      </c>
      <c r="J72" s="50" t="str">
        <f>HYPERLINK("https://www.greenweez.com/produit/gingembre-en-poudre-bio-200g/2WEEZ0161","24.75")</f>
        <v>24.75</v>
      </c>
      <c r="K72" s="51" t="s">
        <v>697</v>
      </c>
      <c r="L72">
        <v>0.02</v>
      </c>
    </row>
    <row r="73" spans="1:12" x14ac:dyDescent="0.3">
      <c r="A73" t="s">
        <v>132</v>
      </c>
      <c r="B73" s="50" t="str">
        <f>HYPERLINK("https://lafourche.fr/products/biodyssee-coriandre-en-poudre-bio-0-035kg","42.57")</f>
        <v>42.57</v>
      </c>
      <c r="C73" s="51" t="s">
        <v>806</v>
      </c>
      <c r="D73" s="52" t="str">
        <f>HYPERLINK("https://www.biocoop.fr/magasin-biocoop_champollion/coriandre-moulue-30g-ck0925-000.html","73.33")</f>
        <v>73.33</v>
      </c>
      <c r="E73" s="53" t="s">
        <v>698</v>
      </c>
      <c r="F73" s="52" t="str">
        <f>HYPERLINK("https://www.biocoop.fr/magasin-biocoop_fontaine/coriandre-moulue-30g-ck0925-000.html","75.0")</f>
        <v>75.0</v>
      </c>
      <c r="G73" t="s">
        <v>15</v>
      </c>
      <c r="H73" s="52" t="str">
        <f>HYPERLINK("https://satoriz-comboire.bio/collections/epicerie-salee/products/cocorpc","65.0")</f>
        <v>65.0</v>
      </c>
      <c r="I73" t="s">
        <v>15</v>
      </c>
      <c r="J73" s="52" t="str">
        <f>HYPERLINK("https://www.greenweez.com/produit/poudre-de-graines-de-coriandre-35g/2BIOD0049","55.43")</f>
        <v>55.43</v>
      </c>
      <c r="K73" s="51" t="s">
        <v>699</v>
      </c>
    </row>
    <row r="74" spans="1:12" x14ac:dyDescent="0.3">
      <c r="A74" t="s">
        <v>136</v>
      </c>
      <c r="B74" s="50" t="str">
        <f>HYPERLINK("https://lafourche.fr/products/cook-fenugrec-poudre-55g","37.82")</f>
        <v>37.82</v>
      </c>
      <c r="C74" t="s">
        <v>15</v>
      </c>
      <c r="D74" s="52" t="str">
        <f>HYPERLINK("https://www.biocoop.fr/magasin-biocoop_champollion/fenugrec-moulu-55g-ck1209-000.html","47.27")</f>
        <v>47.27</v>
      </c>
      <c r="E74" t="s">
        <v>15</v>
      </c>
      <c r="F74" s="52" t="str">
        <f>HYPERLINK("https://www.biocoop.fr/magasin-biocoop_fontaine/fenugrec-moulu-55g-ck1209-000.html","888888")</f>
        <v>888888</v>
      </c>
      <c r="G74" t="s">
        <v>99</v>
      </c>
      <c r="H74" s="52" t="str">
        <f>HYPERLINK("https://satoriz-comboire.bio/products/cofenuc?_pos=1&amp;_sid=a8a199e11&amp;_ss=r","41.82")</f>
        <v>41.82</v>
      </c>
      <c r="I74" t="s">
        <v>15</v>
      </c>
      <c r="J74" s="52" t="str">
        <f>HYPERLINK("https://www.greenweez.com/produit/fenugrec-poudre-bio-50g/1COOK0022","47.4")</f>
        <v>47.4</v>
      </c>
      <c r="K74" t="s">
        <v>15</v>
      </c>
    </row>
    <row r="75" spans="1:12" x14ac:dyDescent="0.3">
      <c r="A75" t="s">
        <v>139</v>
      </c>
      <c r="B75" s="50" t="str">
        <f>HYPERLINK("https://lafourche.fr/products/la-fourche-ras-el-hanout-bio-0-15kg","46.6")</f>
        <v>46.6</v>
      </c>
      <c r="C75" t="s">
        <v>15</v>
      </c>
      <c r="D75" s="52" t="str">
        <f>HYPERLINK("https://www.biocoop.fr/magasin-biocoop_champollion/ras-el-hanout-35g-ar0215-000.html","94.86")</f>
        <v>94.86</v>
      </c>
      <c r="E75" t="s">
        <v>15</v>
      </c>
      <c r="F75" s="52" t="str">
        <f>HYPERLINK("https://www.biocoop.fr/magasin-biocoop_fontaine/ras-el-hanout-35g-ar0215-000.html","102.86")</f>
        <v>102.86</v>
      </c>
      <c r="G75" t="s">
        <v>15</v>
      </c>
      <c r="H75" s="52" t="str">
        <f>HYPERLINK("https://satoriz-comboire.bio/products/corasec?_pos=3&amp;_sid=7032da4b7&amp;_ss=r","88.57")</f>
        <v>88.57</v>
      </c>
      <c r="I75" t="s">
        <v>15</v>
      </c>
      <c r="J75" s="52" t="str">
        <f>HYPERLINK("https://www.greenweez.com/produit/melange-ras-el-hanout-bio-35g/1COOK0072","98.57")</f>
        <v>98.57</v>
      </c>
      <c r="K75" t="s">
        <v>15</v>
      </c>
    </row>
    <row r="76" spans="1:12" x14ac:dyDescent="0.3">
      <c r="A76" t="s">
        <v>142</v>
      </c>
      <c r="B76" s="52" t="str">
        <f>HYPERLINK("https://lafourche.fr/products/la-fourche-herbes-de-provence-bio-0-2kg","47.5")</f>
        <v>47.5</v>
      </c>
      <c r="C76" t="s">
        <v>15</v>
      </c>
      <c r="D76" s="52" t="str">
        <f>HYPERLINK("https://www.biocoop.fr/magasin-biocoop_champollion/herbes-de-provence-50g-ar0035-000.html","66.0")</f>
        <v>66.0</v>
      </c>
      <c r="E76" t="s">
        <v>15</v>
      </c>
      <c r="F76" s="50" t="str">
        <f>HYPERLINK("https://www.biocoop.fr/magasin-biocoop_fontaine/herbes-de-provence-sans-marjolaine-bio-ck2106-000.html","28.9")</f>
        <v>28.9</v>
      </c>
      <c r="G76" s="51" t="s">
        <v>842</v>
      </c>
      <c r="H76" s="52" t="str">
        <f>HYPERLINK("https://satoriz-comboire.bio/products/coherpmafr","112.5")</f>
        <v>112.5</v>
      </c>
      <c r="I76" s="53" t="s">
        <v>978</v>
      </c>
      <c r="J76" s="52" t="str">
        <f>HYPERLINK("https://www.greenweez.com/produit/herbes-de-provence-60g/2BIOD0053","65.17")</f>
        <v>65.17</v>
      </c>
      <c r="K76" t="s">
        <v>15</v>
      </c>
      <c r="L76">
        <v>0.02</v>
      </c>
    </row>
    <row r="77" spans="1:12" x14ac:dyDescent="0.3">
      <c r="A77" t="s">
        <v>144</v>
      </c>
      <c r="B77" s="50" t="str">
        <f>HYPERLINK("https://lafourche.fr/products/la-fourche-cumin-graines-bio-0-15kg","59")</f>
        <v>59</v>
      </c>
      <c r="C77" t="s">
        <v>15</v>
      </c>
      <c r="D77" s="52" t="str">
        <f>HYPERLINK("https://www.biocoop.fr/magasin-biocoop_champollion/cumin-graines-40g-ck0924-000.html","96.25")</f>
        <v>96.25</v>
      </c>
      <c r="E77" t="s">
        <v>15</v>
      </c>
      <c r="F77" s="52" t="str">
        <f>HYPERLINK("https://www.biocoop.fr/magasin-biocoop_fontaine/cumin-graines-40g-ck0924-000.html","95.0")</f>
        <v>95.0</v>
      </c>
      <c r="G77" t="s">
        <v>15</v>
      </c>
      <c r="H77" s="52" t="str">
        <f>HYPERLINK("https://satoriz-comboire.bio/products/cocum?_pos=1&amp;_sid=d9ea7a39f&amp;_ss=r","87.5")</f>
        <v>87.5</v>
      </c>
      <c r="I77" t="s">
        <v>15</v>
      </c>
      <c r="J77" s="52" t="str">
        <f>HYPERLINK("https://www.greenweez.com/produit/graines-de-cumin-eco-recharge-40g/1COOK0177","78.25")</f>
        <v>78.25</v>
      </c>
      <c r="K77" t="s">
        <v>15</v>
      </c>
    </row>
    <row r="78" spans="1:12" x14ac:dyDescent="0.3">
      <c r="A78" t="s">
        <v>149</v>
      </c>
      <c r="B78" s="52" t="str">
        <f>HYPERLINK("https://lafourche.fr/products/la-fourche-cumin-moulu-bio-0-15kg","58.6")</f>
        <v>58.6</v>
      </c>
      <c r="C78" t="s">
        <v>15</v>
      </c>
      <c r="D78" s="52" t="str">
        <f>HYPERLINK("https://www.biocoop.fr/magasin-biocoop_champollion/cumin-poudre-100g-ck2152-000.html","82.0")</f>
        <v>82.0</v>
      </c>
      <c r="E78" s="51" t="s">
        <v>979</v>
      </c>
      <c r="F78" s="50" t="str">
        <f>HYPERLINK("https://www.biocoop.fr/magasin-biocoop_fontaine/graines-de-cumin-en-poudre-bio-ck2050-000.html","30.51")</f>
        <v>30.51</v>
      </c>
      <c r="G78" s="53" t="s">
        <v>980</v>
      </c>
      <c r="H78" s="52" t="str">
        <f>HYPERLINK("https://satoriz-comboire.bio/collections/epicerie-salee/products/cocumigrpr","80.0")</f>
        <v>80.0</v>
      </c>
      <c r="I78" t="s">
        <v>15</v>
      </c>
      <c r="J78" s="52" t="str">
        <f>HYPERLINK("https://www.greenweez.com/produit/cumin-poudre-bio-80g/1COOK0138","91.9")</f>
        <v>91.9</v>
      </c>
      <c r="K78" s="51" t="s">
        <v>981</v>
      </c>
      <c r="L78">
        <v>0.02</v>
      </c>
    </row>
    <row r="79" spans="1:12" x14ac:dyDescent="0.3">
      <c r="A79" t="s">
        <v>154</v>
      </c>
      <c r="B79" s="50" t="str">
        <f>HYPERLINK("https://lafourche.fr/products/biodyssee-noix-de-muscade-moulue-bio-0-05kg","67")</f>
        <v>67</v>
      </c>
      <c r="C79" s="53" t="s">
        <v>982</v>
      </c>
      <c r="D79" s="52" t="str">
        <f>HYPERLINK("https://www.biocoop.fr/magasin-biocoop_champollion/muscade-moulue-35g-ck0926-000.html","142.57")</f>
        <v>142.57</v>
      </c>
      <c r="E79" t="s">
        <v>15</v>
      </c>
      <c r="F79" s="52" t="str">
        <f>HYPERLINK("https://www.biocoop.fr/magasin-biocoop_fontaine/muscade-moulue-35g-ck0926-000.html","142.57")</f>
        <v>142.57</v>
      </c>
      <c r="G79" t="s">
        <v>15</v>
      </c>
      <c r="H79" s="52" t="str">
        <f>HYPERLINK("https://satoriz-comboire.bio/products/comusmou?_pos=1&amp;_sid=e5cb2307e&amp;_ss=r","120.0")</f>
        <v>120.0</v>
      </c>
      <c r="I79" t="s">
        <v>15</v>
      </c>
      <c r="J79" s="52" t="str">
        <f>HYPERLINK("https://www.greenweez.com/produit/noix-de-muscade-moulue-50g/2BIOD0044","79.0")</f>
        <v>79.0</v>
      </c>
      <c r="K79" s="51" t="s">
        <v>807</v>
      </c>
    </row>
    <row r="80" spans="1:12" x14ac:dyDescent="0.3">
      <c r="A80" t="s">
        <v>158</v>
      </c>
      <c r="B80" s="50" t="str">
        <f>HYPERLINK("https://lafourche.fr/products/cook-colombo-poudre-35g","56.86")</f>
        <v>56.86</v>
      </c>
      <c r="C80" s="51" t="s">
        <v>808</v>
      </c>
      <c r="D80" s="52" t="str">
        <f>HYPERLINK("https://www.biocoop.fr/magasin-biocoop_champollion/melange-epices-colombo-35g-ck0947-000.html","67.14")</f>
        <v>67.14</v>
      </c>
      <c r="E80" t="s">
        <v>15</v>
      </c>
      <c r="F80" s="52" t="str">
        <f>HYPERLINK("https://www.biocoop.fr/magasin-biocoop_fontaine/melange-epices-colombo-35g-ck0947-000.html","888888")</f>
        <v>888888</v>
      </c>
      <c r="G80" t="s">
        <v>99</v>
      </c>
      <c r="H80" s="52" t="str">
        <f>HYPERLINK("https://satoriz-comboire.bio/products/coloc?_pos=7&amp;_sid=0aacfc20c&amp;_ss=r","62.86")</f>
        <v>62.86</v>
      </c>
      <c r="I80" t="s">
        <v>15</v>
      </c>
      <c r="J80" s="52" t="str">
        <f>HYPERLINK("https://www.greenweez.com/produit/colombo-bio-50g/1LACA0042","888888")</f>
        <v>888888</v>
      </c>
      <c r="K80" t="s">
        <v>99</v>
      </c>
    </row>
    <row r="81" spans="1:11" x14ac:dyDescent="0.3">
      <c r="A81" t="s">
        <v>160</v>
      </c>
      <c r="B81" s="50" t="str">
        <f>HYPERLINK("https://lafourche.fr/products/cook-piment-doux-40g","64.75")</f>
        <v>64.75</v>
      </c>
      <c r="C81" s="51" t="s">
        <v>809</v>
      </c>
      <c r="D81" s="52" t="str">
        <f>HYPERLINK("https://www.biocoop.fr/magasin-biocoop_champollion/piment-doux-d-espagne-40g-ck0940-000.html","81.25")</f>
        <v>81.25</v>
      </c>
      <c r="E81" t="s">
        <v>15</v>
      </c>
      <c r="F81" s="52" t="str">
        <f>HYPERLINK("https://www.biocoop.fr/magasin-biocoop_fontaine/piment-doux-d-espagne-40g-ck0940-000.html","81.25")</f>
        <v>81.25</v>
      </c>
      <c r="G81" t="s">
        <v>15</v>
      </c>
      <c r="H81" s="52" t="str">
        <f>HYPERLINK("https://satoriz-comboire.bio/products/copimdou?_pos=2&amp;_sid=da3bb6d2d&amp;_ss=r","72.5")</f>
        <v>72.5</v>
      </c>
      <c r="I81" t="s">
        <v>15</v>
      </c>
      <c r="J81" s="52" t="str">
        <f>HYPERLINK("https://www.greenweez.com/produit/piment-doux-despagne-bio-40g/1COOK0038","72.75")</f>
        <v>72.75</v>
      </c>
      <c r="K81" s="51" t="s">
        <v>224</v>
      </c>
    </row>
    <row r="82" spans="1:11" x14ac:dyDescent="0.3">
      <c r="A82" t="s">
        <v>163</v>
      </c>
      <c r="B82" s="50" t="str">
        <f>HYPERLINK("https://lafourche.fr/products/cook-melange-pour-chili-35g","79.71")</f>
        <v>79.71</v>
      </c>
      <c r="C82" t="s">
        <v>15</v>
      </c>
      <c r="D82" s="52" t="str">
        <f>HYPERLINK("https://www.biocoop.fr/magasin-biocoop_champollion/melange-epices-du-chili-35g-ck2014-000.html","100.0")</f>
        <v>100.0</v>
      </c>
      <c r="E82" t="s">
        <v>15</v>
      </c>
      <c r="F82" s="52" t="str">
        <f>HYPERLINK("https://www.biocoop.fr/magasin-biocoop_fontaine/melange-epices-du-chili-35g-ck2014-000.html","888888")</f>
        <v>888888</v>
      </c>
      <c r="G82" t="s">
        <v>99</v>
      </c>
      <c r="H82" s="52" t="str">
        <f>HYPERLINK("https://satoriz-comboire.bio/products/cochilc?_pos=1&amp;_sid=6e691e7ce&amp;_ss=r","88.57")</f>
        <v>88.57</v>
      </c>
      <c r="I82" t="s">
        <v>15</v>
      </c>
      <c r="J82" s="52" t="str">
        <f>HYPERLINK("https://www.greenweez.com/produit/melange-bio-chili-35g/1COOK0075","91.43")</f>
        <v>91.43</v>
      </c>
      <c r="K82" t="s">
        <v>15</v>
      </c>
    </row>
    <row r="83" spans="1:11" x14ac:dyDescent="0.3">
      <c r="A83" t="s">
        <v>168</v>
      </c>
      <c r="B83" s="50" t="str">
        <f>HYPERLINK("https://lafourche.fr/products/garam-masala","84.57")</f>
        <v>84.57</v>
      </c>
      <c r="C83" t="s">
        <v>15</v>
      </c>
      <c r="D83" s="52" t="str">
        <f>HYPERLINK("https://www.biocoop.fr/magasin-biocoop_champollion/garam-masala-35g-ck2059-000.html","110.0")</f>
        <v>110.0</v>
      </c>
      <c r="E83" t="s">
        <v>15</v>
      </c>
      <c r="F83" s="52" t="str">
        <f>HYPERLINK("https://www.biocoop.fr/magasin-biocoop_fontaine/garam-masala-35g-ck2059-000.html","110.0")</f>
        <v>110.0</v>
      </c>
      <c r="G83" t="s">
        <v>15</v>
      </c>
      <c r="H83" s="52" t="str">
        <f>HYPERLINK("https://satoriz-comboire.bio/products/map2garp?_pos=1&amp;_sid=a1f143f38&amp;_ss=r","94.29")</f>
        <v>94.29</v>
      </c>
      <c r="I83" t="s">
        <v>15</v>
      </c>
      <c r="J83" s="52" t="str">
        <f>HYPERLINK("https://www.greenweez.com/produit/melange-garam-masala-bio-35g/1COOK0071","110.86")</f>
        <v>110.86</v>
      </c>
      <c r="K83" t="s">
        <v>15</v>
      </c>
    </row>
    <row r="84" spans="1:11" x14ac:dyDescent="0.3">
      <c r="A84" t="s">
        <v>170</v>
      </c>
      <c r="B84" s="50" t="str">
        <f>HYPERLINK("https://lafourche.fr/products/la-fourche-origan-bio-0-15kg","84.67")</f>
        <v>84.67</v>
      </c>
      <c r="C84" t="s">
        <v>15</v>
      </c>
      <c r="D84" s="52" t="str">
        <f>HYPERLINK("https://www.biocoop.fr/magasin-biocoop_champollion/feuille-coupees-d-origan-13g-ck1216-000.html","160.0")</f>
        <v>160.0</v>
      </c>
      <c r="E84" t="s">
        <v>15</v>
      </c>
      <c r="F84" s="52" t="str">
        <f>HYPERLINK("https://www.biocoop.fr/magasin-biocoop_fontaine/feuille-coupees-d-origan-13g-ck1216-000.html","170.0")</f>
        <v>170.0</v>
      </c>
      <c r="G84" t="s">
        <v>15</v>
      </c>
      <c r="H84" s="52" t="str">
        <f>HYPERLINK("https://satoriz-comboire.bio/collections/epicerie-salee/products/coorigfeer","119.23")</f>
        <v>119.23</v>
      </c>
      <c r="I84" t="s">
        <v>15</v>
      </c>
      <c r="J84" s="52" t="str">
        <f>HYPERLINK("https://www.greenweez.com/produit/origan-12g/2BIOD0050","115.0")</f>
        <v>115.0</v>
      </c>
      <c r="K84" t="s">
        <v>15</v>
      </c>
    </row>
    <row r="85" spans="1:11" x14ac:dyDescent="0.3">
      <c r="A85" t="s">
        <v>173</v>
      </c>
      <c r="B85" s="52" t="str">
        <f>HYPERLINK("https://lafourche.fr/products/thym-en-feuilles","138.67")</f>
        <v>138.67</v>
      </c>
      <c r="C85" s="53" t="s">
        <v>983</v>
      </c>
      <c r="D85" s="52" t="str">
        <f>HYPERLINK("https://www.biocoop.fr/magasin-biocoop_champollion/feuilles-de-thym-15g-ck1239-000.html","180.0")</f>
        <v>180.0</v>
      </c>
      <c r="E85" t="s">
        <v>15</v>
      </c>
      <c r="F85" s="52" t="str">
        <f>HYPERLINK("https://www.biocoop.fr/magasin-biocoop_fontaine/feuilles-de-thym-15g-ck1239-000.html","183.33")</f>
        <v>183.33</v>
      </c>
      <c r="G85" t="s">
        <v>15</v>
      </c>
      <c r="H85" s="50" t="str">
        <f>HYPERLINK("https://satoriz-comboire.bio/products/cothym?_pos=1&amp;_psq=thym%20feuille&amp;_ss=e&amp;_v=1.0","68.0")</f>
        <v>68.0</v>
      </c>
      <c r="I85" t="s">
        <v>15</v>
      </c>
      <c r="J85" s="52" t="str">
        <f>HYPERLINK("https://www.greenweez.com/produit/thym-feuilles-bio-45-g/1COOK0085","101.5")</f>
        <v>101.5</v>
      </c>
      <c r="K85" s="51" t="s">
        <v>688</v>
      </c>
    </row>
    <row r="86" spans="1:11" x14ac:dyDescent="0.3">
      <c r="A86" t="s">
        <v>177</v>
      </c>
      <c r="B86" s="52" t="str">
        <f>HYPERLINK("https://lafourche.fr/products/cook-moutarde-jaune-graines-60g","34.17")</f>
        <v>34.17</v>
      </c>
      <c r="C86" s="51" t="s">
        <v>810</v>
      </c>
      <c r="D86" s="50" t="str">
        <f>HYPERLINK("https://www.biocoop.fr/magasin-biocoop_champollion/epicerie-salee/condiments-sauces-aides-culinaires/epices-poivres.html?product_list_order=price_ref_asc","16.74")</f>
        <v>16.74</v>
      </c>
      <c r="E86" s="51" t="s">
        <v>967</v>
      </c>
      <c r="F86" s="52" t="str">
        <f>HYPERLINK("https://www.biocoop.fr/magasin-biocoop_fontaine/moutarde-jaune-graines-60g-ck0928-000.html","42.5")</f>
        <v>42.5</v>
      </c>
      <c r="G86" s="53" t="s">
        <v>704</v>
      </c>
      <c r="H86" s="52" t="str">
        <f>HYPERLINK("https://satoriz-comboire.bio/products/comoutc?_pos=1&amp;_psq=moutarde%20jaune&amp;_ss=e&amp;_v=1.0","38.33")</f>
        <v>38.33</v>
      </c>
      <c r="I86" t="s">
        <v>15</v>
      </c>
      <c r="J86" s="52" t="str">
        <f>HYPERLINK("https://www.greenweez.com/produit/moutarde-jaune-graine-bio-55g/1LACA0026","888888")</f>
        <v>888888</v>
      </c>
      <c r="K86" t="s">
        <v>99</v>
      </c>
    </row>
    <row r="87" spans="1:11" x14ac:dyDescent="0.3">
      <c r="A87" t="s">
        <v>179</v>
      </c>
      <c r="B87" s="50" t="str">
        <f>HYPERLINK("https://lafourche.fr/products/cook-nigelle-graines-50g","59")</f>
        <v>59</v>
      </c>
      <c r="C87" s="51" t="s">
        <v>106</v>
      </c>
      <c r="D87" s="52" t="str">
        <f>HYPERLINK("https://www.biocoop.fr/magasin-biocoop_champollion/nigelle-graines-50g-ck2033-000.html","73.0")</f>
        <v>73.0</v>
      </c>
      <c r="E87" t="s">
        <v>15</v>
      </c>
      <c r="F87" s="52" t="str">
        <f>HYPERLINK("https://www.biocoop.fr/magasin-biocoop_fontaine/nigelle-graines-50g-ck2033-000.html","74.0")</f>
        <v>74.0</v>
      </c>
      <c r="G87" t="s">
        <v>15</v>
      </c>
      <c r="H87" s="52" t="str">
        <f>HYPERLINK("https://satoriz-comboire.bio/products/conig?_pos=2&amp;_sid=d9ea7a39f&amp;_ss=r","68.0")</f>
        <v>68.0</v>
      </c>
      <c r="I87" t="s">
        <v>15</v>
      </c>
      <c r="J87" s="52" t="str">
        <f>HYPERLINK("https://www.greenweez.com/produit/nigelle-graines-bio-50g/1COOK0120","75.8")</f>
        <v>75.8</v>
      </c>
      <c r="K87" t="s">
        <v>15</v>
      </c>
    </row>
    <row r="88" spans="1:11" x14ac:dyDescent="0.3">
      <c r="A88" t="s">
        <v>183</v>
      </c>
      <c r="B88" s="50" t="str">
        <f>HYPERLINK("https://lafourche.fr/products/cook-curry-madras-35g","71.43")</f>
        <v>71.43</v>
      </c>
      <c r="C88" t="s">
        <v>15</v>
      </c>
      <c r="D88" s="52" t="str">
        <f>HYPERLINK("https://www.biocoop.fr/magasin-biocoop_champollion/curry-madras-35g-ck2053-000.html","90.0")</f>
        <v>90.0</v>
      </c>
      <c r="E88" t="s">
        <v>15</v>
      </c>
      <c r="F88" s="52" t="str">
        <f>HYPERLINK("https://www.biocoop.fr/magasin-biocoop_fontaine/curry-madras-35g-ck2053-000.html","888888")</f>
        <v>888888</v>
      </c>
      <c r="G88" t="s">
        <v>99</v>
      </c>
      <c r="H88" s="52" t="str">
        <f>HYPERLINK("https://satoriz-comboire.bio/products/cocumac?_pos=2&amp;_sid=f282e7faa&amp;_ss=r","78.57")</f>
        <v>78.57</v>
      </c>
      <c r="I88" t="s">
        <v>15</v>
      </c>
      <c r="J88" s="52" t="str">
        <f>HYPERLINK("https://www.greenweez.com/produit/curry-de-madras-poudre-bio-35g/1COOK0128","81.14")</f>
        <v>81.14</v>
      </c>
      <c r="K88" t="s">
        <v>15</v>
      </c>
    </row>
    <row r="89" spans="1:11" x14ac:dyDescent="0.3">
      <c r="A89" t="s">
        <v>188</v>
      </c>
      <c r="B89" s="50" t="str">
        <f>HYPERLINK("https://lafourche.fr/products/cook-melange-4-epices-bio-35g","87.14")</f>
        <v>87.14</v>
      </c>
      <c r="C89" t="s">
        <v>15</v>
      </c>
      <c r="D89" s="52" t="str">
        <f>HYPERLINK("https://www.biocoop.fr/magasin-biocoop_champollion/melange-4-epices-35g-ck1237-000.html","100.0")</f>
        <v>100.0</v>
      </c>
      <c r="E89" t="s">
        <v>15</v>
      </c>
      <c r="F89" s="52" t="str">
        <f>HYPERLINK("https://www.biocoop.fr/magasin-biocoop_fontaine/melange-4-epices-35g-ck1237-000.html","100.0")</f>
        <v>100.0</v>
      </c>
      <c r="G89" t="s">
        <v>15</v>
      </c>
      <c r="H89" s="52" t="str">
        <f>HYPERLINK("https://satoriz-comboire.bio/products/co4epi","888888")</f>
        <v>888888</v>
      </c>
      <c r="I89" t="s">
        <v>99</v>
      </c>
      <c r="J89" s="52" t="str">
        <f>HYPERLINK("https://www.greenweez.com/produit/quatre-epices-bio-50g/1LACA0043","888888")</f>
        <v>888888</v>
      </c>
      <c r="K89" t="s">
        <v>99</v>
      </c>
    </row>
    <row r="90" spans="1:11" x14ac:dyDescent="0.3">
      <c r="A90" t="s">
        <v>189</v>
      </c>
      <c r="B90" s="50" t="str">
        <f>HYPERLINK("https://lafourche.fr/products/cook-piment-cayenne-poudre-40g","111.25")</f>
        <v>111.25</v>
      </c>
      <c r="C90" t="s">
        <v>15</v>
      </c>
      <c r="D90" s="52" t="str">
        <f>HYPERLINK("https://www.biocoop.fr/magasin-biocoop_champollion/piment-de-cayenne-poudre-40g-ck0910-000.html","128.75")</f>
        <v>128.75</v>
      </c>
      <c r="E90" t="s">
        <v>15</v>
      </c>
      <c r="F90" s="52" t="str">
        <f>HYPERLINK("https://www.biocoop.fr/magasin-biocoop_fontaine/piment-de-cayenne-poudre-40g-ck0910-000.html","130.0")</f>
        <v>130.0</v>
      </c>
      <c r="G90" t="s">
        <v>15</v>
      </c>
      <c r="H90" s="52" t="str">
        <f>HYPERLINK("https://satoriz-comboire.bio/products/copimpc?_pos=1&amp;_psq=cook%20piment&amp;_ss=e&amp;_v=1.0","116.25")</f>
        <v>116.25</v>
      </c>
      <c r="I90" t="s">
        <v>15</v>
      </c>
      <c r="J90" s="52" t="str">
        <f>HYPERLINK("https://www.greenweez.com/produit/piment-de-cayenne-poudre-bio-40g/1COOK0040","119.0")</f>
        <v>119.0</v>
      </c>
      <c r="K90" s="51" t="s">
        <v>984</v>
      </c>
    </row>
    <row r="91" spans="1:11" x14ac:dyDescent="0.3">
      <c r="A91" t="s">
        <v>193</v>
      </c>
      <c r="B91" s="52" t="str">
        <f>HYPERLINK("https://lafourche.fr/products/cook-cardamome-moulue-35g","155.71")</f>
        <v>155.71</v>
      </c>
      <c r="C91" s="51" t="s">
        <v>812</v>
      </c>
      <c r="D91" s="52" t="str">
        <f>HYPERLINK("https://www.biocoop.fr/magasin-biocoop_champollion/cardamome-moulue-35g-ck0900-000.html","161.43")</f>
        <v>161.43</v>
      </c>
      <c r="E91" t="s">
        <v>15</v>
      </c>
      <c r="F91" s="52" t="str">
        <f>HYPERLINK("https://www.biocoop.fr/magasin-biocoop_fontaine/cardamome-moulue-35g-ck0900-000.html","160.0")</f>
        <v>160.0</v>
      </c>
      <c r="G91" t="s">
        <v>15</v>
      </c>
      <c r="H91" s="50" t="str">
        <f>HYPERLINK("https://satoriz-comboire.bio/products/cocard?_pos=4&amp;_sid=d84ba935d&amp;_ss=r","154.29")</f>
        <v>154.29</v>
      </c>
      <c r="I91" t="s">
        <v>15</v>
      </c>
      <c r="J91" s="52" t="str">
        <f>HYPERLINK("https://www.greenweez.com/produit/cardamome-poudre-bio-35g/1COOK0010","169.71")</f>
        <v>169.71</v>
      </c>
      <c r="K91" t="s">
        <v>15</v>
      </c>
    </row>
    <row r="92" spans="1:11" x14ac:dyDescent="0.3">
      <c r="A92" t="s">
        <v>196</v>
      </c>
      <c r="B92" s="52" t="str">
        <f>HYPERLINK("https://lafourche.fr/products/cook-safran-poudre-1g","10990")</f>
        <v>10990</v>
      </c>
      <c r="C92" s="53" t="s">
        <v>775</v>
      </c>
      <c r="D92" s="52" t="str">
        <f>HYPERLINK("https://www.biocoop.fr/magasin-biocoop_champollion/safran-stigmates-entiers-1g-ck0945-000.html","11350.0")</f>
        <v>11350.0</v>
      </c>
      <c r="E92" t="s">
        <v>15</v>
      </c>
      <c r="F92" s="52" t="str">
        <f>HYPERLINK("https://www.biocoop.fr/magasin-biocoop_fontaine/safran-stigmates-entiers-1g-ck0945-000.html","11850.0")</f>
        <v>11850.0</v>
      </c>
      <c r="G92" t="s">
        <v>15</v>
      </c>
      <c r="H92" s="50" t="str">
        <f>HYPERLINK("https://satoriz-comboire.bio/products/cosaf","10600.0")</f>
        <v>10600.0</v>
      </c>
      <c r="I92" s="53" t="s">
        <v>813</v>
      </c>
      <c r="J92" s="52" t="str">
        <f>HYPERLINK("https://www.greenweez.com/produit/safran-stigmates-bio-1g/1COOK0052","10780.0")</f>
        <v>10780.0</v>
      </c>
      <c r="K92" s="51" t="s">
        <v>985</v>
      </c>
    </row>
    <row r="93" spans="1:11" x14ac:dyDescent="0.3">
      <c r="A93" t="s">
        <v>201</v>
      </c>
      <c r="B93" s="52" t="str">
        <f>HYPERLINK("https://lafourche.fr/products/cook-ail-des-ours-coupe-16g","118.75")</f>
        <v>118.75</v>
      </c>
      <c r="C93" s="51" t="s">
        <v>814</v>
      </c>
      <c r="D93" s="52" t="str">
        <f>HYPERLINK("https://www.biocoop.fr/magasin-biocoop_champollion/ail-des-ours-feuille-coupes-16g-ck2032-000.html","168.75")</f>
        <v>168.75</v>
      </c>
      <c r="E93" t="s">
        <v>15</v>
      </c>
      <c r="F93" s="50" t="str">
        <f>HYPERLINK("https://www.biocoop.fr/magasin-biocoop_fontaine/ail-des-ours-en-poudre-ec2115-000.html","98.0")</f>
        <v>98.0</v>
      </c>
      <c r="G93" t="s">
        <v>15</v>
      </c>
      <c r="H93" s="52" t="str">
        <f>HYPERLINK("https://satoriz-comboire.bio/products/map4ao1f","205.0")</f>
        <v>205.0</v>
      </c>
      <c r="I93" s="53" t="s">
        <v>986</v>
      </c>
      <c r="J93" s="52" t="str">
        <f>HYPERLINK("https://www.greenweez.com/produit/ail-des-ours-feuille-coupes-bio-16g/1COOK0110","152.5")</f>
        <v>152.5</v>
      </c>
      <c r="K93" t="s">
        <v>15</v>
      </c>
    </row>
    <row r="94" spans="1:11" x14ac:dyDescent="0.3">
      <c r="A94" t="s">
        <v>205</v>
      </c>
      <c r="B94" s="52" t="str">
        <f>HYPERLINK("https://lafourche.fr/products/philia-levure-maltee-en-flocons-bio-0-15kg","35.67")</f>
        <v>35.67</v>
      </c>
      <c r="C94" t="s">
        <v>15</v>
      </c>
      <c r="D94" s="52" t="str">
        <f>HYPERLINK("https://www.biocoop.fr/magasin-biocoop_champollion/flocons-de-levure-maltee-biologique-bio-ag2000-000.html","888888")</f>
        <v>888888</v>
      </c>
      <c r="E94" t="s">
        <v>99</v>
      </c>
      <c r="F94" s="50" t="str">
        <f>HYPERLINK("https://www.biocoop.fr/magasin-biocoop_fontaine/flocons-de-levure-maltee-biologique-bio-ag2000-000.html","23.8")</f>
        <v>23.8</v>
      </c>
      <c r="G94" s="51" t="s">
        <v>987</v>
      </c>
      <c r="H94" s="52" t="str">
        <f>HYPERLINK("https://satoriz-comboire.bio/products/re42572?_pos=1&amp;_sid=c597614d8&amp;_ss=r","30.0")</f>
        <v>30.0</v>
      </c>
      <c r="I94" t="s">
        <v>15</v>
      </c>
      <c r="J94" s="52" t="str">
        <f>HYPERLINK("https://www.greenweez.com/produit/flocons-de-levure-maltee-150g/1RAPU0059","46.73")</f>
        <v>46.73</v>
      </c>
      <c r="K94" s="53" t="s">
        <v>988</v>
      </c>
    </row>
    <row r="95" spans="1:11" x14ac:dyDescent="0.3">
      <c r="A95" t="s">
        <v>206</v>
      </c>
      <c r="B95" s="52" t="str">
        <f>HYPERLINK("https://lafourche.fr/products/celiane-fecule-de-pomme-de-terre-sans-gluten-500g","888888")</f>
        <v>888888</v>
      </c>
      <c r="C95" s="56" t="s">
        <v>989</v>
      </c>
      <c r="D95" s="52" t="str">
        <f>HYPERLINK("https://www.biocoop.fr/magasin-biocoop_champollion/fecule-de-pomme-de-terre-500g-al3026-000.html","8.84")</f>
        <v>8.84</v>
      </c>
      <c r="E95" t="s">
        <v>15</v>
      </c>
      <c r="F95" s="52" t="str">
        <f>HYPERLINK("https://www.biocoop.fr/magasin-biocoop_fontaine/fecule-de-pomme-de-terre-500g-al3026-000.html","8.8")</f>
        <v>8.8</v>
      </c>
      <c r="G95" t="s">
        <v>15</v>
      </c>
      <c r="H95" s="50" t="str">
        <f>HYPERLINK("https://satoriz-comboire.bio/products/ma5005?_pos=1&amp;_sid=7918f591f&amp;_ss=r","6.3")</f>
        <v>6.3</v>
      </c>
      <c r="I95" t="s">
        <v>15</v>
      </c>
      <c r="J95" s="52" t="str">
        <f>HYPERLINK("https://www.greenweez.com/produit/fecule-de-pomme-de-terre-500g-1/1MKAL0230","6.38")</f>
        <v>6.38</v>
      </c>
      <c r="K95" s="53" t="s">
        <v>990</v>
      </c>
    </row>
    <row r="96" spans="1:11" x14ac:dyDescent="0.3">
      <c r="A96" t="s">
        <v>207</v>
      </c>
      <c r="B96" s="52" t="str">
        <f>HYPERLINK("https://lafourche.fr/products/celnat-tapioca-250g","11.96")</f>
        <v>11.96</v>
      </c>
      <c r="C96" s="53" t="s">
        <v>991</v>
      </c>
      <c r="D96">
        <v>888888</v>
      </c>
      <c r="F96">
        <v>888888</v>
      </c>
      <c r="H96" s="50" t="str">
        <f>HYPERLINK("https://satoriz-comboire.bio/products/eu7671?_pos=3&amp;_sid=7918f591f&amp;_ss=r","9.4")</f>
        <v>9.4</v>
      </c>
      <c r="I96" t="s">
        <v>15</v>
      </c>
      <c r="J96" s="52" t="str">
        <f>HYPERLINK("https://www.greenweez.com/produit/fecule-de-tapioca-500g/1MAVI0037","9.8")</f>
        <v>9.8</v>
      </c>
      <c r="K96" t="s">
        <v>15</v>
      </c>
    </row>
    <row r="97" spans="1:13" x14ac:dyDescent="0.3">
      <c r="A97" t="s">
        <v>209</v>
      </c>
      <c r="B97" s="52" t="str">
        <f>HYPERLINK("https://lafourche.fr/products/joannusmolen-maizena-250g","11.96")</f>
        <v>11.96</v>
      </c>
      <c r="C97" t="s">
        <v>15</v>
      </c>
      <c r="D97" s="52" t="str">
        <f>HYPERLINK("https://www.biocoop.fr/magasin-biocoop_champollion/amidon-de-mais-250g-jm1111-000.html","888888")</f>
        <v>888888</v>
      </c>
      <c r="E97" t="s">
        <v>99</v>
      </c>
      <c r="F97" s="52" t="str">
        <f>HYPERLINK("https://www.biocoop.fr/magasin-biocoop_fontaine/amidon-de-mais-250g-jm1111-000.html","14.8")</f>
        <v>14.8</v>
      </c>
      <c r="G97" t="s">
        <v>15</v>
      </c>
      <c r="H97" s="52" t="str">
        <f>HYPERLINK("https://satoriz-comboire.bio/products/eu2350?_pos=2&amp;_sid=7918f591f&amp;_ss=r","13.4")</f>
        <v>13.4</v>
      </c>
      <c r="I97" t="s">
        <v>15</v>
      </c>
      <c r="J97" s="50" t="str">
        <f>HYPERLINK("https://www.greenweez.com/produit/amidon-de-mais-sans-gluten-bio-500g/2WEEZ0207","8.96")</f>
        <v>8.96</v>
      </c>
      <c r="K97" s="53" t="s">
        <v>992</v>
      </c>
    </row>
    <row r="98" spans="1:13" x14ac:dyDescent="0.3">
      <c r="A98" t="s">
        <v>213</v>
      </c>
      <c r="B98" s="50" t="str">
        <f>HYPERLINK("https://lafourche.fr/products/la-fourche-tomates-sechees-a-lhuile-bio-0-28kg","13.18")</f>
        <v>13.18</v>
      </c>
      <c r="C98" s="53" t="s">
        <v>815</v>
      </c>
      <c r="D98" s="52" t="str">
        <f>HYPERLINK("https://www.biocoop.fr/magasin-biocoop_champollion/tomates-sechees-a-l-huile-190g-oi5058-000.html","888888")</f>
        <v>888888</v>
      </c>
      <c r="E98" t="s">
        <v>99</v>
      </c>
      <c r="F98" s="52" t="str">
        <f>HYPERLINK("https://www.biocoop.fr/magasin-biocoop_fontaine/tomates-sechees-a-l-huile-190g-oi5058-000.html","21.0")</f>
        <v>21.0</v>
      </c>
      <c r="G98" t="s">
        <v>15</v>
      </c>
      <c r="H98" s="52" t="str">
        <f>HYPERLINK("https://satoriz-comboire.bio/products/igpose06?_pos=3&amp;_sid=2863f3a20&amp;_ss=r","15.53")</f>
        <v>15.53</v>
      </c>
      <c r="I98" t="s">
        <v>15</v>
      </c>
      <c r="J98" s="52" t="str">
        <f>HYPERLINK("https://www.greenweez.com/produit/tomates-sechees-a-lhuile-190g-3/1BIOO0004","25.79")</f>
        <v>25.79</v>
      </c>
      <c r="K98" t="s">
        <v>15</v>
      </c>
    </row>
    <row r="99" spans="1:13" x14ac:dyDescent="0.3">
      <c r="A99" t="s">
        <v>214</v>
      </c>
      <c r="B99" s="52" t="str">
        <f>HYPERLINK("https://lafourche.fr/products/la-fourche-poivrons-grilles-a-lhuile-bio-0-19kg","15.74")</f>
        <v>15.74</v>
      </c>
      <c r="C99" s="53" t="s">
        <v>816</v>
      </c>
      <c r="D99" s="52" t="str">
        <f>HYPERLINK("https://www.biocoop.fr/magasin-biocoop_champollion/poivrons-grilles-a-l-huile-190g-oi5057-000.html","888888")</f>
        <v>888888</v>
      </c>
      <c r="E99" t="s">
        <v>99</v>
      </c>
      <c r="F99" s="52" t="str">
        <f>HYPERLINK("https://www.biocoop.fr/magasin-biocoop_fontaine/poivrons-grilles-a-l-huile-190g-oi5057-000.html","16.58")</f>
        <v>16.58</v>
      </c>
      <c r="G99" s="51" t="s">
        <v>817</v>
      </c>
      <c r="H99" s="52" t="str">
        <f>HYPERLINK("https://satoriz-comboire.bio/products/ig23?_pos=1&amp;_sid=bd3227372&amp;_ss=r","14.21")</f>
        <v>14.21</v>
      </c>
      <c r="I99" t="s">
        <v>15</v>
      </c>
      <c r="J99" s="50" t="str">
        <f>HYPERLINK("https://www.greenweez.com/produit/poivrons-rouges-grilles-en-saumure-310g/1RAPU0184","9.65")</f>
        <v>9.65</v>
      </c>
      <c r="K99" t="s">
        <v>15</v>
      </c>
    </row>
    <row r="100" spans="1:13" x14ac:dyDescent="0.3">
      <c r="A100" t="s">
        <v>215</v>
      </c>
      <c r="B100" s="50" t="str">
        <f>HYPERLINK("https://lafourche.fr/products/la-fourche-artichauts-grilles-a-lhuile-bio-0-19kg","15.74")</f>
        <v>15.74</v>
      </c>
      <c r="C100" t="s">
        <v>15</v>
      </c>
      <c r="D100" s="52" t="str">
        <f>HYPERLINK("https://www.biocoop.fr/magasin-biocoop_champollion/artichaut-grille-a-l-huile-190g-oi5055-000.html","888888")</f>
        <v>888888</v>
      </c>
      <c r="E100" t="s">
        <v>99</v>
      </c>
      <c r="F100" s="52" t="str">
        <f>HYPERLINK("https://www.biocoop.fr/magasin-biocoop_fontaine/artichaut-grille-a-l-huile-190g-oi5055-000.html","23.42")</f>
        <v>23.42</v>
      </c>
      <c r="G100" t="s">
        <v>15</v>
      </c>
      <c r="H100" s="52" t="str">
        <f>HYPERLINK("https://satoriz-comboire.bio/products/iggrca03?_pos=1&amp;_sid=a6f336c8a&amp;_ss=r","18.95")</f>
        <v>18.95</v>
      </c>
      <c r="I100" t="s">
        <v>15</v>
      </c>
      <c r="J100" s="52" t="str">
        <f>HYPERLINK("https://www.greenweez.com/produit/artichauts-grilles-a-lhuile-190g/1BIOO0006","27.84")</f>
        <v>27.84</v>
      </c>
      <c r="K100" t="s">
        <v>15</v>
      </c>
    </row>
    <row r="101" spans="1:13" x14ac:dyDescent="0.3">
      <c r="A101" t="s">
        <v>216</v>
      </c>
      <c r="B101" s="50" t="str">
        <f>HYPERLINK("https://lafourche.fr/products/belle-nature-olives-vertes-natures-bio-500g","9.96")</f>
        <v>9.96</v>
      </c>
      <c r="C101" s="51" t="s">
        <v>993</v>
      </c>
      <c r="D101" s="52" t="str">
        <f>HYPERLINK("https://www.biocoop.fr/magasin-biocoop_champollion/olive-verte-nature-500g-net-egoutte-pm0931-000.html","888888")</f>
        <v>888888</v>
      </c>
      <c r="E101" t="s">
        <v>99</v>
      </c>
      <c r="F101" s="52" t="str">
        <f>HYPERLINK("https://www.biocoop.fr/magasin-biocoop_fontaine/olive-verte-nature-500g-net-egoutte-pm0931-000.html","888888")</f>
        <v>888888</v>
      </c>
      <c r="G101" s="56" t="s">
        <v>994</v>
      </c>
      <c r="H101" s="52" t="str">
        <f>HYPERLINK("https://satoriz-comboire.bio/products/igbc709002","10.86")</f>
        <v>10.86</v>
      </c>
      <c r="I101" s="51" t="s">
        <v>995</v>
      </c>
      <c r="J101" s="52" t="str">
        <f>HYPERLINK("https://www.greenweez.com/produit/olives-vertes-550g/1BIOO0015","888888")</f>
        <v>888888</v>
      </c>
      <c r="K101" s="56" t="s">
        <v>996</v>
      </c>
    </row>
    <row r="102" spans="1:13" x14ac:dyDescent="0.3">
      <c r="A102" t="s">
        <v>217</v>
      </c>
      <c r="B102" s="50" t="str">
        <f>HYPERLINK("https://lafourche.fr/products/belle-nature-olives-noires-nature-500g","9.98")</f>
        <v>9.98</v>
      </c>
      <c r="C102" s="51" t="s">
        <v>997</v>
      </c>
      <c r="D102" s="52" t="str">
        <f>HYPERLINK("https://www.biocoop.fr/magasin-biocoop_champollion/olive-noire-nature-410g-net-egoutte-oi5062-000.html","11.95")</f>
        <v>11.95</v>
      </c>
      <c r="E102" t="s">
        <v>15</v>
      </c>
      <c r="F102" s="52" t="str">
        <f>HYPERLINK("https://www.biocoop.fr/magasin-biocoop_fontaine/olive-noire-nature-410g-net-egoutte-oi5062-000.html","12.07")</f>
        <v>12.07</v>
      </c>
      <c r="G102" s="53" t="s">
        <v>708</v>
      </c>
      <c r="H102" s="52" t="str">
        <f>HYPERLINK("https://satoriz-comboire.bio/products/re44555?_pos=1&amp;_sid=add1402fc&amp;_ss=r","10.7")</f>
        <v>10.7</v>
      </c>
      <c r="I102" t="s">
        <v>15</v>
      </c>
      <c r="J102" s="52" t="str">
        <f>HYPERLINK("https://www.greenweez.com/produit/olives-noires-au-naturel-500g/2EMIL0096","16.96")</f>
        <v>16.96</v>
      </c>
      <c r="K102" s="53" t="s">
        <v>998</v>
      </c>
    </row>
    <row r="103" spans="1:13" x14ac:dyDescent="0.3">
      <c r="A103" t="s">
        <v>218</v>
      </c>
      <c r="B103" s="52" t="str">
        <f>HYPERLINK("https://lafourche.fr/products/nefeli-olives-vertes-denoyautees-bio-0-98kg","15.63")</f>
        <v>15.63</v>
      </c>
      <c r="C103" s="53" t="s">
        <v>999</v>
      </c>
      <c r="D103" s="52" t="str">
        <f>HYPERLINK("https://www.biocoop.fr/magasin-biocoop_champollion/olive-noire-denoyautee-370g-net-egoutte-oi5060-000.html","888888")</f>
        <v>888888</v>
      </c>
      <c r="E103" t="s">
        <v>99</v>
      </c>
      <c r="F103" s="52" t="str">
        <f>HYPERLINK("https://www.biocoop.fr/magasin-biocoop_fontaine/olive-noire-denoyautee-370g-net-egoutte-oi5060-000.html","16.49")</f>
        <v>16.49</v>
      </c>
      <c r="G103" s="53" t="s">
        <v>192</v>
      </c>
      <c r="H103" s="52" t="str">
        <f>HYPERLINK("https://satoriz-comboire.bio/products/igovsd01?_pos=1&amp;_sid=06b61fa87&amp;_ss=r","16.67")</f>
        <v>16.67</v>
      </c>
      <c r="I103" t="s">
        <v>15</v>
      </c>
      <c r="J103" s="50" t="str">
        <f>HYPERLINK("https://www.greenweez.com/produit/olives-vertes-denoyautees-au-naturel-bio-de-grece-160g/2WEEZ0541","8.93")</f>
        <v>8.93</v>
      </c>
      <c r="K103" s="53" t="s">
        <v>1000</v>
      </c>
    </row>
    <row r="104" spans="1:13" x14ac:dyDescent="0.3">
      <c r="A104" t="s">
        <v>219</v>
      </c>
      <c r="B104" s="52" t="str">
        <f>HYPERLINK("https://lafourche.fr/products/nefeli-olives-kalamata-denoyautes-bio-0-97kg","17.22")</f>
        <v>17.22</v>
      </c>
      <c r="C104" t="s">
        <v>15</v>
      </c>
      <c r="D104" s="52" t="str">
        <f>HYPERLINK("https://www.biocoop.fr/magasin-biocoop_champollion/olive-verte-denoyautee-370g-net-egoutte-oi5066-000.html","888888")</f>
        <v>888888</v>
      </c>
      <c r="E104" t="s">
        <v>99</v>
      </c>
      <c r="F104" s="52" t="str">
        <f>HYPERLINK("https://www.biocoop.fr/magasin-biocoop_fontaine/olive-verte-denoyautee-370g-net-egoutte-oi5066-000.html","18.11")</f>
        <v>18.11</v>
      </c>
      <c r="G104" t="s">
        <v>15</v>
      </c>
      <c r="H104" s="52" t="str">
        <f>HYPERLINK("https://satoriz-comboire.bio/products/igondevo02?_pos=14&amp;_sid=add1402fc&amp;_ss=r","15.0")</f>
        <v>15.0</v>
      </c>
      <c r="I104" t="s">
        <v>15</v>
      </c>
      <c r="J104" s="50" t="str">
        <f>HYPERLINK("https://www.greenweez.com/produit/olives-noires-kalamata-denoyautees-bio-de-grece-160g/2WEEZ0540","9.19")</f>
        <v>9.19</v>
      </c>
      <c r="K104" s="53" t="s">
        <v>992</v>
      </c>
    </row>
    <row r="105" spans="1:13" x14ac:dyDescent="0.3">
      <c r="A105" t="s">
        <v>220</v>
      </c>
      <c r="B105" s="52" t="str">
        <f>HYPERLINK("https://lafourche.fr/products/la-fourche-cornichons-aigre-doux-bio-0-36kg","11.08")</f>
        <v>11.08</v>
      </c>
      <c r="C105" t="s">
        <v>15</v>
      </c>
      <c r="D105" s="52" t="str">
        <f>HYPERLINK("https://www.biocoop.fr/magasin-biocoop_champollion/cornichons-mi-fins-180g-net-egoutte-bs4006-000.html","19.17")</f>
        <v>19.17</v>
      </c>
      <c r="E105" s="53" t="s">
        <v>820</v>
      </c>
      <c r="F105" s="52" t="str">
        <f>HYPERLINK("https://www.biocoop.fr/magasin-biocoop_fontaine/cornichon-aigre-doux-aneth-360g-net-egoutte-ch0048-000.html","18.19")</f>
        <v>18.19</v>
      </c>
      <c r="G105" t="s">
        <v>15</v>
      </c>
      <c r="H105" s="52" t="str">
        <f>HYPERLINK("https://satoriz-comboire.bio/products/re22746?_pos=5&amp;_sid=847aca358&amp;_ss=r","13.75")</f>
        <v>13.75</v>
      </c>
      <c r="I105" t="s">
        <v>15</v>
      </c>
      <c r="J105" s="50" t="str">
        <f>HYPERLINK("https://www.greenweez.com/produit/cornichons-aigres-doux-bio-entiers-72cl/2WEEZ0494","6.65")</f>
        <v>6.65</v>
      </c>
      <c r="K105" s="53" t="s">
        <v>1001</v>
      </c>
    </row>
    <row r="106" spans="1:13" x14ac:dyDescent="0.3">
      <c r="A106" t="s">
        <v>223</v>
      </c>
      <c r="B106" s="52" t="str">
        <f>HYPERLINK("https://lafourche.fr/products/philia-capres-bio-au-vinaigre-90g","20.8")</f>
        <v>20.8</v>
      </c>
      <c r="C106" s="51" t="s">
        <v>1002</v>
      </c>
      <c r="D106" s="52" t="str">
        <f>HYPERLINK("https://www.biocoop.fr/magasin-biocoop_champollion/capres-huile-d-olive-oi5030-000.html","29.44")</f>
        <v>29.44</v>
      </c>
      <c r="E106" t="s">
        <v>15</v>
      </c>
      <c r="F106" s="52" t="str">
        <f>HYPERLINK("https://www.biocoop.fr/magasin-biocoop_fontaine/capres-au-vinaigre-90g-net-egoutte-oi5002-000.html","32.22")</f>
        <v>32.22</v>
      </c>
      <c r="G106" t="s">
        <v>15</v>
      </c>
      <c r="H106" s="52" t="str">
        <f>HYPERLINK("https://satoriz-comboire.bio/products/igcaac06?_pos=1&amp;_sid=f306db1db&amp;_ss=r","21.67")</f>
        <v>21.67</v>
      </c>
      <c r="I106" t="s">
        <v>15</v>
      </c>
      <c r="J106" s="50" t="str">
        <f>HYPERLINK("https://www.greenweez.com/produit/capres-surfines-a-lestragon-22-8cl/1BRAV0002","15.53")</f>
        <v>15.53</v>
      </c>
      <c r="K106" t="s">
        <v>15</v>
      </c>
    </row>
    <row r="107" spans="1:13" x14ac:dyDescent="0.3">
      <c r="A107" t="s">
        <v>225</v>
      </c>
      <c r="B107" s="50" t="str">
        <f>HYPERLINK("https://lafourche.fr/products/biodyssee-poivre-noir-moulu-bio-0-5kg","26.2")</f>
        <v>26.2</v>
      </c>
      <c r="C107" s="53" t="s">
        <v>1003</v>
      </c>
      <c r="D107" s="52" t="str">
        <f>HYPERLINK("https://www.biocoop.fr/magasin-biocoop_champollion/poivre-noir-moulu-45g-ck1425-000.html","87.78")</f>
        <v>87.78</v>
      </c>
      <c r="E107" t="s">
        <v>15</v>
      </c>
      <c r="F107" s="52" t="str">
        <f>HYPERLINK("https://www.biocoop.fr/magasin-biocoop_fontaine/poivre-noir-poudre-bio-ck2103-000.html","30.9")</f>
        <v>30.9</v>
      </c>
      <c r="G107" s="51" t="s">
        <v>714</v>
      </c>
      <c r="H107" s="52" t="str">
        <f>HYPERLINK("https://satoriz-comboire.bio/products/coponpse","45.0")</f>
        <v>45.0</v>
      </c>
      <c r="I107" s="51" t="s">
        <v>823</v>
      </c>
      <c r="J107" s="52" t="str">
        <f>HYPERLINK("https://www.greenweez.com/produit/poivre-noir-moulu-220g/1COOK0090","45.2")</f>
        <v>45.2</v>
      </c>
      <c r="K107" s="51" t="s">
        <v>1004</v>
      </c>
      <c r="L107">
        <v>0.02</v>
      </c>
    </row>
    <row r="108" spans="1:13" x14ac:dyDescent="0.3">
      <c r="A108" t="s">
        <v>230</v>
      </c>
      <c r="B108" s="50" t="str">
        <f>HYPERLINK("https://lafourche.fr/products/la-fourche-poivre-noir-en-grains-bio-0-5kg","27.98")</f>
        <v>27.98</v>
      </c>
      <c r="C108" t="s">
        <v>15</v>
      </c>
      <c r="D108" s="52" t="str">
        <f>HYPERLINK("https://www.biocoop.fr/magasin-biocoop_champollion/poivre-noir-grains-150g-ck2145-000.html","59.33")</f>
        <v>59.33</v>
      </c>
      <c r="E108" s="51" t="s">
        <v>756</v>
      </c>
      <c r="F108" s="52" t="str">
        <f>HYPERLINK("https://www.biocoop.fr/magasin-biocoop_fontaine/poivre-noir-en-grains-50g-ck0912-000.html","81.0")</f>
        <v>81.0</v>
      </c>
      <c r="G108" s="53" t="s">
        <v>1005</v>
      </c>
      <c r="H108" s="52" t="str">
        <f>HYPERLINK("https://satoriz-comboire.bio/products/copovngrec?_pos=4&amp;_sid=62a891f1e&amp;_ss=r","33.9")</f>
        <v>33.9</v>
      </c>
      <c r="I108" t="s">
        <v>15</v>
      </c>
      <c r="J108" s="52" t="str">
        <f>HYPERLINK("https://www.greenweez.com/produit/poivre-noir-entier-500g/2BIOD0103","888888")</f>
        <v>888888</v>
      </c>
      <c r="K108" s="56" t="s">
        <v>1006</v>
      </c>
      <c r="M108" s="44" t="s">
        <v>1243</v>
      </c>
    </row>
    <row r="109" spans="1:13" x14ac:dyDescent="0.3">
      <c r="A109" t="s">
        <v>233</v>
      </c>
      <c r="B109" s="52" t="str">
        <f>HYPERLINK("https://lafourche.fr/products/cook-poivre-blanc-en-grains-bio-0-05kg","106")</f>
        <v>106</v>
      </c>
      <c r="C109" s="53" t="s">
        <v>391</v>
      </c>
      <c r="D109" s="50" t="str">
        <f>HYPERLINK("https://www.biocoop.fr/magasin-biocoop_champollion/poivre-blanc-moulin-50g-sm0364-000.html","102.4")</f>
        <v>102.4</v>
      </c>
      <c r="E109" s="53" t="s">
        <v>245</v>
      </c>
      <c r="F109" s="52" t="str">
        <f>HYPERLINK("https://www.biocoop.fr/magasin-biocoop_fontaine/poivre-blanc-moulin-50g-sm0364-000.html","888888")</f>
        <v>888888</v>
      </c>
      <c r="G109" t="s">
        <v>99</v>
      </c>
      <c r="H109" s="52" t="str">
        <f>HYPERLINK("https://satoriz-comboire.bio/products/copobgc?_pos=1&amp;_sid=62a891f1e&amp;_ss=r","113.0")</f>
        <v>113.0</v>
      </c>
      <c r="I109" t="s">
        <v>15</v>
      </c>
      <c r="J109" s="52" t="str">
        <f>HYPERLINK("https://www.greenweez.com/produit/poivre-blanc-entier-moulin-rechargeable-50g/2BIOD0036","119.8")</f>
        <v>119.8</v>
      </c>
      <c r="K109" s="53" t="s">
        <v>1007</v>
      </c>
    </row>
    <row r="110" spans="1:13" x14ac:dyDescent="0.3">
      <c r="A110" t="s">
        <v>237</v>
      </c>
      <c r="B110" s="52" t="str">
        <f>HYPERLINK("https://lafourche.fr/products/cook-melange-3-baies-bio-45g","102.22")</f>
        <v>102.22</v>
      </c>
      <c r="C110" s="51" t="s">
        <v>824</v>
      </c>
      <c r="D110" s="52" t="str">
        <f>HYPERLINK("https://www.biocoop.fr/magasin-biocoop_champollion/poivre-melange-3-baies-45g-ck1224-000.html","127.78")</f>
        <v>127.78</v>
      </c>
      <c r="E110" t="s">
        <v>15</v>
      </c>
      <c r="F110" s="52" t="str">
        <f>HYPERLINK("https://www.biocoop.fr/magasin-biocoop_fontaine/poivre-melange-3-baies-45g-ck1224-000.html","127.78")</f>
        <v>127.78</v>
      </c>
      <c r="G110" t="s">
        <v>15</v>
      </c>
      <c r="H110" s="52" t="str">
        <f>HYPERLINK("https://satoriz-comboire.bio/products/co3b?_pos=2&amp;_sid=7800f3f38&amp;_ss=r","106.67")</f>
        <v>106.67</v>
      </c>
      <c r="I110" t="s">
        <v>15</v>
      </c>
      <c r="J110" s="50" t="str">
        <f>HYPERLINK("https://www.greenweez.com/produit/melange-de-poivres-50g/1LEBE0023","73.6")</f>
        <v>73.6</v>
      </c>
      <c r="K110" s="53" t="s">
        <v>1008</v>
      </c>
    </row>
    <row r="111" spans="1:13" x14ac:dyDescent="0.3">
      <c r="A111" t="s">
        <v>240</v>
      </c>
      <c r="B111" s="50" t="str">
        <f>HYPERLINK("https://lafourche.fr/products/cook-baies-de-genievre-bio-0-025kg","93.2")</f>
        <v>93.2</v>
      </c>
      <c r="C111" t="s">
        <v>15</v>
      </c>
      <c r="D111" s="52" t="str">
        <f>HYPERLINK("https://www.biocoop.fr/magasin-biocoop_champollion/baies-de-genievre-25g-ck1210-000.html","104.0")</f>
        <v>104.0</v>
      </c>
      <c r="E111" t="s">
        <v>15</v>
      </c>
      <c r="F111" s="52" t="str">
        <f>HYPERLINK("https://www.biocoop.fr/magasin-biocoop_fontaine/baies-de-genievre-25g-ck1210-000.html","110.0")</f>
        <v>110.0</v>
      </c>
      <c r="G111" t="s">
        <v>15</v>
      </c>
      <c r="H111" s="52" t="str">
        <f>HYPERLINK("https://satoriz-comboire.bio/products/cogen?_pos=1&amp;_sid=7910a3a2a&amp;_ss=r","102.0")</f>
        <v>102.0</v>
      </c>
      <c r="I111" t="s">
        <v>15</v>
      </c>
      <c r="J111" s="52" t="str">
        <f>HYPERLINK("https://www.greenweez.com/produit/genievre-baies-bio-50g/1LACA0017","888888")</f>
        <v>888888</v>
      </c>
      <c r="K111" t="s">
        <v>99</v>
      </c>
    </row>
    <row r="112" spans="1:13" x14ac:dyDescent="0.3">
      <c r="A112" t="s">
        <v>241</v>
      </c>
      <c r="B112" s="50" t="str">
        <f>HYPERLINK("https://lafourche.fr/products/danival-sel-gros-atlantique-1kg","1.49")</f>
        <v>1.49</v>
      </c>
      <c r="C112" t="s">
        <v>15</v>
      </c>
      <c r="D112" s="52" t="str">
        <f>HYPERLINK("https://www.biocoop.fr/magasin-biocoop_champollion/gros-sel-de-guerande-gu0133-000.html","2.7")</f>
        <v>2.7</v>
      </c>
      <c r="E112" t="s">
        <v>15</v>
      </c>
      <c r="F112" s="52" t="str">
        <f>HYPERLINK("https://www.biocoop.fr/magasin-biocoop_fontaine/gros-sel-de-guerande-gu0133-000.html","2.7")</f>
        <v>2.7</v>
      </c>
      <c r="G112" t="s">
        <v>15</v>
      </c>
      <c r="H112" s="52" t="str">
        <f>HYPERLINK("https://satoriz-comboire.bio/collections/epicerie-salee/products/da0052","1.55")</f>
        <v>1.55</v>
      </c>
      <c r="I112" t="s">
        <v>15</v>
      </c>
      <c r="J112" s="52" t="str">
        <f>HYPERLINK("https://www.greenweez.com/produit/sel-gros-de-latlantique-1kg/1DANI0333","1.54")</f>
        <v>1.54</v>
      </c>
      <c r="K112" s="51" t="s">
        <v>1009</v>
      </c>
    </row>
    <row r="113" spans="1:12" x14ac:dyDescent="0.3">
      <c r="A113" t="s">
        <v>243</v>
      </c>
      <c r="B113" s="52" t="str">
        <f>HYPERLINK("https://lafourche.fr/products/danival-sel-fin-atlantique-1kg","1.86")</f>
        <v>1.86</v>
      </c>
      <c r="C113" s="53" t="s">
        <v>622</v>
      </c>
      <c r="D113" s="52" t="str">
        <f>HYPERLINK("https://www.biocoop.fr/magasin-biocoop_champollion/sel-fin-de-guerande-gu0105-000.html","5.0")</f>
        <v>5.0</v>
      </c>
      <c r="E113" t="s">
        <v>15</v>
      </c>
      <c r="F113" s="52" t="str">
        <f>HYPERLINK("https://www.biocoop.fr/magasin-biocoop_fontaine/sel-fin-de-guerande-gu0105-000.html","5.0")</f>
        <v>5.0</v>
      </c>
      <c r="G113" t="s">
        <v>15</v>
      </c>
      <c r="H113" s="50" t="str">
        <f>HYPERLINK("https://satoriz-comboire.bio/collections/epicerie-salee/products/da0021","1.85")</f>
        <v>1.85</v>
      </c>
      <c r="I113" t="s">
        <v>15</v>
      </c>
      <c r="J113" s="52" t="str">
        <f>HYPERLINK("https://www.greenweez.com/produit/sel-fin-de-guerande-500g/1LEGU0004","7.08")</f>
        <v>7.08</v>
      </c>
      <c r="K113" t="s">
        <v>15</v>
      </c>
    </row>
    <row r="114" spans="1:12" x14ac:dyDescent="0.3">
      <c r="A114" s="48" t="s">
        <v>246</v>
      </c>
      <c r="B114" s="49"/>
      <c r="C114" s="49"/>
      <c r="D114" s="49"/>
      <c r="E114" s="49"/>
      <c r="F114" s="49"/>
      <c r="G114" s="49"/>
      <c r="H114" s="49"/>
      <c r="I114" s="49"/>
      <c r="J114" s="49"/>
      <c r="K114" s="49"/>
    </row>
    <row r="115" spans="1:12" x14ac:dyDescent="0.3">
      <c r="A115" t="s">
        <v>247</v>
      </c>
      <c r="B115" s="50" t="str">
        <f>HYPERLINK("https://lafourche.fr/products/prosain-couscous-aux-7-legumes-bio-1kg","5.98")</f>
        <v>5.98</v>
      </c>
      <c r="C115" t="s">
        <v>15</v>
      </c>
      <c r="D115" s="52" t="str">
        <f>HYPERLINK("https://www.biocoop.fr/magasin-biocoop_champollion/couscous-7-legumes-pr5174-000.html","5.99")</f>
        <v>5.99</v>
      </c>
      <c r="E115" t="s">
        <v>15</v>
      </c>
      <c r="F115" s="52" t="str">
        <f>HYPERLINK("https://www.biocoop.fr/magasin-biocoop_fontaine/couscous-7-legumes-pr5174-000.html","5.99")</f>
        <v>5.99</v>
      </c>
      <c r="G115" t="s">
        <v>15</v>
      </c>
      <c r="H115" s="52" t="str">
        <f>HYPERLINK("https://satoriz-comboire.bio/products/fd000623?_pos=2&amp;_sid=7511bf09f&amp;_ss=r","6.95")</f>
        <v>6.95</v>
      </c>
      <c r="I115" s="51" t="s">
        <v>1010</v>
      </c>
      <c r="J115" s="52" t="str">
        <f>HYPERLINK("https://www.greenweez.com/produit/couscous-aux-7-legumes-1kg/1PROS0058","7.99")</f>
        <v>7.99</v>
      </c>
      <c r="K115" s="53" t="s">
        <v>1011</v>
      </c>
    </row>
    <row r="116" spans="1:12" x14ac:dyDescent="0.3">
      <c r="A116" t="s">
        <v>248</v>
      </c>
      <c r="B116" s="50" t="str">
        <f>HYPERLINK("https://lafourche.fr/products/la-fourche-petits-pois-bio-0-265kg","5.47")</f>
        <v>5.47</v>
      </c>
      <c r="C116" s="53" t="s">
        <v>825</v>
      </c>
      <c r="D116" s="52" t="str">
        <f>HYPERLINK("https://www.biocoop.fr/magasin-biocoop_champollion/petits-pois-extra-fins-sans-sel-240g-net-egoutte-pr5177-000.html","15.0")</f>
        <v>15.0</v>
      </c>
      <c r="E116" t="s">
        <v>15</v>
      </c>
      <c r="F116" s="52" t="str">
        <f>HYPERLINK("https://www.biocoop.fr/magasin-biocoop_fontaine/petits-pois-530g-net-egoutte-mg5035-000.html","7.17")</f>
        <v>7.17</v>
      </c>
      <c r="G116" t="s">
        <v>15</v>
      </c>
      <c r="H116" s="52" t="str">
        <f>HYPERLINK("https://satoriz-comboire.bio/products/re44454?_pos=6&amp;_sid=dd8a0af67&amp;_ss=r","5.54")</f>
        <v>5.54</v>
      </c>
      <c r="I116" s="51" t="s">
        <v>1012</v>
      </c>
      <c r="J116" s="52" t="str">
        <f>HYPERLINK("https://www.greenweez.com/produit/petits-pois-a-letuvee-400g/1LUCE0019","6.98")</f>
        <v>6.98</v>
      </c>
      <c r="K116" s="53" t="s">
        <v>1013</v>
      </c>
    </row>
    <row r="117" spans="1:12" x14ac:dyDescent="0.3">
      <c r="A117" t="s">
        <v>249</v>
      </c>
      <c r="B117" s="50" t="str">
        <f>HYPERLINK("https://lafourche.fr/products/la-fourche-mais-bio-0-285kg","4.88")</f>
        <v>4.88</v>
      </c>
      <c r="C117" s="51" t="s">
        <v>117</v>
      </c>
      <c r="D117" s="52" t="str">
        <f>HYPERLINK("https://www.biocoop.fr/magasin-biocoop_champollion/mais-doux-285g-net-egoutte-cf7000-000.html","6.32")</f>
        <v>6.32</v>
      </c>
      <c r="E117" t="s">
        <v>15</v>
      </c>
      <c r="F117" s="52" t="str">
        <f>HYPERLINK("https://www.biocoop.fr/magasin-biocoop_fontaine/mais-doux-285g-net-egoutte-cf7000-000.html","5.79")</f>
        <v>5.79</v>
      </c>
      <c r="G117" s="51" t="s">
        <v>1014</v>
      </c>
      <c r="H117" s="52" t="str">
        <f>HYPERLINK("https://satoriz-comboire.bio/products/re44453?_pos=1&amp;_sid=648b2db9d&amp;_ss=r","5.26")</f>
        <v>5.26</v>
      </c>
      <c r="I117" s="51" t="s">
        <v>1015</v>
      </c>
      <c r="J117" s="52" t="str">
        <f>HYPERLINK("https://www.greenweez.com/produit/lot-de-3-mais-bio-origine-france-300g/1PACK3606","6.23")</f>
        <v>6.23</v>
      </c>
      <c r="K117" s="53" t="s">
        <v>1016</v>
      </c>
    </row>
    <row r="118" spans="1:12" x14ac:dyDescent="0.3">
      <c r="A118" t="s">
        <v>250</v>
      </c>
      <c r="B118" s="52" t="str">
        <f>HYPERLINK("https://lafourche.fr/products/la-fourche-haricots-verts-bio-0-44kg","4.84")</f>
        <v>4.84</v>
      </c>
      <c r="C118" s="51" t="s">
        <v>1017</v>
      </c>
      <c r="D118" s="52" t="str">
        <f>HYPERLINK("https://www.biocoop.fr/magasin-biocoop_champollion/haricots-verts-extra-fins-220g-net-egoutte-cf7001-000.html","10.91")</f>
        <v>10.91</v>
      </c>
      <c r="E118" t="s">
        <v>15</v>
      </c>
      <c r="F118" s="52" t="str">
        <f>HYPERLINK("https://www.biocoop.fr/magasin-biocoop_fontaine/haricots-verts-extra-fins-440g-net-egoutte-mg5033-000.html","8.87")</f>
        <v>8.87</v>
      </c>
      <c r="G118" t="s">
        <v>15</v>
      </c>
      <c r="H118" s="52" t="str">
        <f>HYPERLINK("https://satoriz-comboire.bio/products/re44456?_pos=4&amp;_sid=de1e57aee&amp;_ss=r","5.68")</f>
        <v>5.68</v>
      </c>
      <c r="I118" s="51" t="s">
        <v>1018</v>
      </c>
      <c r="J118" s="50" t="str">
        <f>HYPERLINK("https://www.greenweez.com/produit/lot-de-2-haricots-verts-bio-origine-france-800g/1PACK3593","3.08")</f>
        <v>3.08</v>
      </c>
      <c r="K118" s="53" t="s">
        <v>1019</v>
      </c>
    </row>
    <row r="119" spans="1:12" x14ac:dyDescent="0.3">
      <c r="A119" t="s">
        <v>251</v>
      </c>
      <c r="B119" s="52" t="str">
        <f>HYPERLINK("https://lafourche.fr/products/macedoine","11.09")</f>
        <v>11.09</v>
      </c>
      <c r="C119" t="s">
        <v>15</v>
      </c>
      <c r="D119" s="52" t="str">
        <f>HYPERLINK("https://www.biocoop.fr/magasin-biocoop_champollion/macedoine-de-legumes-445g-rc0863-000.html","8.43")</f>
        <v>8.43</v>
      </c>
      <c r="E119" t="s">
        <v>15</v>
      </c>
      <c r="F119" s="52" t="str">
        <f>HYPERLINK("https://www.biocoop.fr/magasin-biocoop_fontaine/macedoine-de-legumes-240g-net-egoutte-rc0864-000.html","12.46")</f>
        <v>12.46</v>
      </c>
      <c r="G119" t="s">
        <v>15</v>
      </c>
      <c r="H119" s="50" t="str">
        <f>HYPERLINK("https://satoriz-comboire.bio/products/ch720?_pos=1&amp;_psq=mac%C3%A9doine&amp;_ss=e&amp;_v=1.0","7.64")</f>
        <v>7.64</v>
      </c>
      <c r="I119" t="s">
        <v>15</v>
      </c>
      <c r="J119" s="52" t="str">
        <f>HYPERLINK("https://www.greenweez.com/produit/macedoine-de-legumes-370ml/1PRIM0832","13.04")</f>
        <v>13.04</v>
      </c>
      <c r="K119" s="53" t="s">
        <v>1020</v>
      </c>
    </row>
    <row r="120" spans="1:12" x14ac:dyDescent="0.3">
      <c r="A120" s="48" t="s">
        <v>252</v>
      </c>
      <c r="B120" s="49"/>
      <c r="C120" s="49"/>
      <c r="D120" s="49"/>
      <c r="E120" s="49"/>
      <c r="F120" s="49"/>
      <c r="G120" s="49"/>
      <c r="H120" s="49"/>
      <c r="I120" s="49"/>
      <c r="J120" s="49"/>
      <c r="K120" s="49"/>
    </row>
    <row r="121" spans="1:12" x14ac:dyDescent="0.3">
      <c r="A121" t="s">
        <v>253</v>
      </c>
      <c r="B121" s="52" t="str">
        <f>HYPERLINK("https://lafourche.fr/products/la-fourche-huile-dolive-vierge-extra-origine-espagne-bio-3l","12.86")</f>
        <v>12.86</v>
      </c>
      <c r="C121" s="53" t="s">
        <v>828</v>
      </c>
      <c r="D121" s="50" t="str">
        <f>HYPERLINK("https://www.biocoop.fr/magasin-biocoop_champollion/huile-d-olive-1l-co7008-000.html","10.99")</f>
        <v>10.99</v>
      </c>
      <c r="E121" s="53" t="s">
        <v>1021</v>
      </c>
      <c r="F121" s="50" t="str">
        <f>HYPERLINK("https://www.biocoop.fr/magasin-biocoop_fontaine/huile-d-olive-1l-co7008-000.html","10.99")</f>
        <v>10.99</v>
      </c>
      <c r="G121" t="s">
        <v>15</v>
      </c>
      <c r="H121" s="52" t="str">
        <f>HYPERLINK("https://satoriz-comboire.bio/collections/epicerie-salee/products/vo1","14.95")</f>
        <v>14.95</v>
      </c>
      <c r="I121" s="51" t="s">
        <v>1022</v>
      </c>
      <c r="J121" s="52" t="str">
        <f>HYPERLINK("https://www.greenweez.com/produit/huile-dolive-vierge-extra-1l-1/1LUCE0020","17.93")</f>
        <v>17.93</v>
      </c>
      <c r="K121" s="53" t="s">
        <v>1023</v>
      </c>
      <c r="L121">
        <v>0.5</v>
      </c>
    </row>
    <row r="122" spans="1:12" x14ac:dyDescent="0.3">
      <c r="A122" t="s">
        <v>257</v>
      </c>
      <c r="B122" s="50" t="str">
        <f>HYPERLINK("https://lafourche.fr/products/la-fourche-huile-de-tournesol-vierge-origine-france-bio-3l","3.6")</f>
        <v>3.6</v>
      </c>
      <c r="C122" s="53" t="s">
        <v>829</v>
      </c>
      <c r="D122" s="52" t="str">
        <f>HYPERLINK("https://www.biocoop.fr/magasin-biocoop_champollion/huile-de-tournesol-france-1l-mg1154-000.html","5.25")</f>
        <v>5.25</v>
      </c>
      <c r="E122" s="53" t="s">
        <v>715</v>
      </c>
      <c r="F122" s="52" t="str">
        <f>HYPERLINK("https://www.biocoop.fr/magasin-biocoop_fontaine/huile-de-tournesol-france-1l-mg1154-000.html","5.25")</f>
        <v>5.25</v>
      </c>
      <c r="G122" s="53" t="s">
        <v>716</v>
      </c>
      <c r="H122" s="52" t="str">
        <f>HYPERLINK("https://satoriz-comboire.bio/collections/epicerie-salee/products/re38671","3.9")</f>
        <v>3.9</v>
      </c>
      <c r="I122" s="53" t="s">
        <v>890</v>
      </c>
      <c r="J122" s="52" t="str">
        <f>HYPERLINK("https://www.greenweez.com/produit/huile-de-tournesol-vierge-3l/1OILI0003","5.68")</f>
        <v>5.68</v>
      </c>
      <c r="K122" s="53" t="s">
        <v>847</v>
      </c>
      <c r="L122">
        <v>0.5</v>
      </c>
    </row>
    <row r="123" spans="1:12" x14ac:dyDescent="0.3">
      <c r="A123" t="s">
        <v>262</v>
      </c>
      <c r="B123" s="50" t="str">
        <f>HYPERLINK("https://lafourche.fr/products/la-fourche-huile-de-colza-vierge-origine-france-bio-3l","3.86")</f>
        <v>3.86</v>
      </c>
      <c r="C123" s="51" t="s">
        <v>1024</v>
      </c>
      <c r="D123" s="52" t="str">
        <f>HYPERLINK("https://www.biocoop.fr/magasin-biocoop_champollion/huile-colza-1l-co7002-000.html","4.99")</f>
        <v>4.99</v>
      </c>
      <c r="E123" s="51" t="s">
        <v>1025</v>
      </c>
      <c r="F123" s="52" t="str">
        <f>HYPERLINK("https://www.biocoop.fr/magasin-biocoop_fontaine/huile-colza-1l-co7002-000.html","4.99")</f>
        <v>4.99</v>
      </c>
      <c r="G123" s="51" t="s">
        <v>830</v>
      </c>
      <c r="H123" s="52" t="str">
        <f>HYPERLINK("https://satoriz-comboire.bio/collections/epicerie-salee/products/re42186","3.95")</f>
        <v>3.95</v>
      </c>
      <c r="I123" s="51" t="s">
        <v>1026</v>
      </c>
      <c r="J123" s="52" t="str">
        <f>HYPERLINK("https://www.greenweez.com/produit/huile-de-colza-vierge-bio-1l/2WEEZ0242","5.18")</f>
        <v>5.18</v>
      </c>
      <c r="K123" s="51" t="s">
        <v>1027</v>
      </c>
    </row>
    <row r="124" spans="1:12" x14ac:dyDescent="0.3">
      <c r="A124" t="s">
        <v>265</v>
      </c>
      <c r="B124" s="50" t="str">
        <f>HYPERLINK("https://lafourche.fr/products/la-fourche-huile-de-coco-desodorisee-bio-et-equitable-1l","8.99")</f>
        <v>8.99</v>
      </c>
      <c r="C124" t="s">
        <v>15</v>
      </c>
      <c r="D124" s="52" t="str">
        <f>HYPERLINK("https://www.biocoop.fr/magasin-biocoop_champollion/huile-de-coco-desodorisee-950ml-mg1141-000.html","14.89")</f>
        <v>14.89</v>
      </c>
      <c r="E124" t="s">
        <v>15</v>
      </c>
      <c r="F124" s="52" t="str">
        <f>HYPERLINK("https://www.biocoop.fr/magasin-biocoop_fontaine/huile-de-coco-desodorisee-950ml-mg1141-000.html","12.89")</f>
        <v>12.89</v>
      </c>
      <c r="G124" t="s">
        <v>15</v>
      </c>
      <c r="H124" s="52" t="str">
        <f>HYPERLINK("https://satoriz-comboire.bio/collections/epicerie-salee/products/pr1424","11.7")</f>
        <v>11.7</v>
      </c>
      <c r="I124" t="s">
        <v>15</v>
      </c>
      <c r="J124" s="52" t="str">
        <f>HYPERLINK("https://www.greenweez.com/produit/huile-de-coco-du-sri-lanka-1l/1BASE0016","9.87")</f>
        <v>9.87</v>
      </c>
      <c r="K124" s="53" t="s">
        <v>719</v>
      </c>
    </row>
    <row r="125" spans="1:12" x14ac:dyDescent="0.3">
      <c r="A125" t="s">
        <v>268</v>
      </c>
      <c r="B125">
        <v>888888</v>
      </c>
      <c r="D125" s="52" t="str">
        <f>HYPERLINK("https://www.biocoop.fr/magasin-biocoop_champollion/vinaigrette-curcuma-gingembre-citron-36cl-bq0007-000.html","19.31")</f>
        <v>19.31</v>
      </c>
      <c r="E125" t="s">
        <v>15</v>
      </c>
      <c r="F125" s="52" t="str">
        <f>HYPERLINK("https://www.biocoop.fr/magasin-biocoop_fontaine/vinaigrette-curcuma-gingembre-citron-36cl-bq0007-000.html","19.31")</f>
        <v>19.31</v>
      </c>
      <c r="G125" t="s">
        <v>15</v>
      </c>
      <c r="H125" s="52" t="str">
        <f>HYPERLINK("https://satoriz-comboire.bio/products/re21497?_pos=1&amp;_sid=00ea134f4&amp;_ss=r","18.61")</f>
        <v>18.61</v>
      </c>
      <c r="I125" t="s">
        <v>15</v>
      </c>
      <c r="J125" s="50" t="str">
        <f>HYPERLINK("https://www.greenweez.com/produit/vinaigrette-assaisonnette-la-tonique-36cl/3QUIN0011","18.47")</f>
        <v>18.47</v>
      </c>
      <c r="K125" t="s">
        <v>15</v>
      </c>
    </row>
    <row r="126" spans="1:12" x14ac:dyDescent="0.3">
      <c r="A126" t="s">
        <v>269</v>
      </c>
      <c r="B126" s="50" t="str">
        <f>HYPERLINK("https://lafourche.fr/products/la-fourche-vinaigre-de-cidre-bio-1l","2.79")</f>
        <v>2.79</v>
      </c>
      <c r="C126" s="53" t="s">
        <v>242</v>
      </c>
      <c r="D126" s="52" t="str">
        <f>HYPERLINK("https://www.biocoop.fr/magasin-biocoop_champollion/vinaigre-de-cidre-75cl-cn0222-000.html","3.99")</f>
        <v>3.99</v>
      </c>
      <c r="E126" s="51" t="s">
        <v>1028</v>
      </c>
      <c r="F126" s="52" t="str">
        <f>HYPERLINK("https://www.biocoop.fr/magasin-biocoop_fontaine/vinaigre-de-cidre-75cl-cn0222-000.html","3.99")</f>
        <v>3.99</v>
      </c>
      <c r="G126" s="51" t="s">
        <v>1028</v>
      </c>
      <c r="H126" s="52" t="str">
        <f>HYPERLINK("https://satoriz-comboire.bio/collections/epicerie-salee/products/re38988","3.4")</f>
        <v>3.4</v>
      </c>
      <c r="I126" t="s">
        <v>15</v>
      </c>
      <c r="J126" s="52" t="str">
        <f>HYPERLINK("https://www.greenweez.com/produit/vinaigre-de-cidre-bio-75cl/2WEEZ0409","3.84")</f>
        <v>3.84</v>
      </c>
      <c r="K126" s="53" t="s">
        <v>1029</v>
      </c>
      <c r="L126">
        <v>0.2</v>
      </c>
    </row>
    <row r="127" spans="1:12" x14ac:dyDescent="0.3">
      <c r="A127" t="s">
        <v>271</v>
      </c>
      <c r="B127" s="50" t="str">
        <f>HYPERLINK("https://lafourche.fr/products/la-fourche-vinaigre-balsamique-de-modene-bio-1l","6.39")</f>
        <v>6.39</v>
      </c>
      <c r="C127" s="53" t="s">
        <v>720</v>
      </c>
      <c r="D127" s="52" t="str">
        <f>HYPERLINK("https://www.biocoop.fr/magasin-biocoop_champollion/vinaigre-balsamique-de-modene-50cl-po2022-000.html","888888")</f>
        <v>888888</v>
      </c>
      <c r="E127" t="s">
        <v>99</v>
      </c>
      <c r="F127" s="52" t="str">
        <f>HYPERLINK("https://www.biocoop.fr/magasin-biocoop_fontaine/vinaigre-balsamique-de-modene-50cl-po2022-000.html","7.98")</f>
        <v>7.98</v>
      </c>
      <c r="G127" s="51" t="s">
        <v>1030</v>
      </c>
      <c r="H127" s="52" t="str">
        <f>HYPERLINK("https://satoriz-comboire.bio/collections/epicerie-salee/products/re38990","7.27")</f>
        <v>7.27</v>
      </c>
      <c r="I127" t="s">
        <v>15</v>
      </c>
      <c r="J127" s="52" t="str">
        <f>HYPERLINK("https://www.greenweez.com/produit/vinaigre-balsamique-de-modene-bio-50cl/2WEEZ0408","7.76")</f>
        <v>7.76</v>
      </c>
      <c r="K127" s="53" t="s">
        <v>1031</v>
      </c>
    </row>
    <row r="128" spans="1:12" x14ac:dyDescent="0.3">
      <c r="A128" t="s">
        <v>273</v>
      </c>
      <c r="B128" s="52" t="str">
        <f>HYPERLINK("https://lafourche.fr/products/laselva-vinaigre-balsamique-blanc-500ml-bio","9.98")</f>
        <v>9.98</v>
      </c>
      <c r="C128" s="53" t="s">
        <v>722</v>
      </c>
      <c r="D128">
        <v>888888</v>
      </c>
      <c r="F128">
        <v>888888</v>
      </c>
      <c r="H128" s="50" t="str">
        <f>HYPERLINK("https://satoriz-comboire.bio/collections/epicerie-salee/products/sd09327118331","6.6")</f>
        <v>6.6</v>
      </c>
      <c r="I128" t="s">
        <v>15</v>
      </c>
      <c r="J128" s="52" t="str">
        <f>HYPERLINK("https://www.greenweez.com/produit/vinaigre-balsamique-blanc-500ml/1SELV0040","12.6")</f>
        <v>12.6</v>
      </c>
      <c r="K128" s="53" t="s">
        <v>833</v>
      </c>
    </row>
    <row r="129" spans="1:12" x14ac:dyDescent="0.3">
      <c r="A129" s="48" t="s">
        <v>275</v>
      </c>
      <c r="B129" s="49"/>
      <c r="C129" s="49"/>
      <c r="D129" s="49"/>
      <c r="E129" s="49"/>
      <c r="F129" s="49"/>
      <c r="G129" s="49"/>
      <c r="H129" s="49"/>
      <c r="I129" s="49"/>
      <c r="J129" s="49"/>
      <c r="K129" s="49"/>
    </row>
    <row r="130" spans="1:12" x14ac:dyDescent="0.3">
      <c r="A130" t="s">
        <v>276</v>
      </c>
      <c r="B130" s="50" t="str">
        <f>HYPERLINK("https://lafourche.fr/products/la-fourche-petit-epeautre-bio-en-vrac-1kg","4.29")</f>
        <v>4.29</v>
      </c>
      <c r="C130" t="s">
        <v>15</v>
      </c>
      <c r="D130" s="52" t="str">
        <f>HYPERLINK("https://www.biocoop.fr/magasin-biocoop_champollion/petit-epeautre-decortique-500g-br0273-000.html","6.9")</f>
        <v>6.9</v>
      </c>
      <c r="E130" t="s">
        <v>15</v>
      </c>
      <c r="F130" s="52" t="str">
        <f>HYPERLINK("https://www.biocoop.fr/magasin-biocoop_fontaine/petit-epeautre-decortique-500g-br0273-000.html","888888")</f>
        <v>888888</v>
      </c>
      <c r="G130" t="s">
        <v>99</v>
      </c>
      <c r="H130" s="52" t="str">
        <f>HYPERLINK("https://satoriz-comboire.bio/collections/vrac/products/re42050","4.55")</f>
        <v>4.55</v>
      </c>
      <c r="I130" t="s">
        <v>15</v>
      </c>
      <c r="J130" s="52" t="str">
        <f>HYPERLINK("https://www.greenweez.com/produit/petit-epeautre-500g/1MKAL0113","6.38")</f>
        <v>6.38</v>
      </c>
      <c r="K130" s="53" t="s">
        <v>1032</v>
      </c>
      <c r="L130">
        <v>0.5</v>
      </c>
    </row>
    <row r="131" spans="1:12" x14ac:dyDescent="0.3">
      <c r="A131" t="s">
        <v>280</v>
      </c>
      <c r="B131" s="50" t="str">
        <f>HYPERLINK("https://lafourche.fr/products/la-fourche-graines-tournesol-bio-en-vrac-1kg","4.3")</f>
        <v>4.3</v>
      </c>
      <c r="C131" t="s">
        <v>15</v>
      </c>
      <c r="D131" s="52" t="str">
        <f>HYPERLINK("https://www.biocoop.fr/magasin-biocoop_champollion/sarrasin-decortique-bio-ra6027-000.html","5.09")</f>
        <v>5.09</v>
      </c>
      <c r="E131" s="51" t="s">
        <v>967</v>
      </c>
      <c r="F131" s="52" t="str">
        <f>HYPERLINK("https://www.biocoop.fr/magasin-biocoop_fontaine/sarrasin-decortique-bio-ra6027-000.html","6.99")</f>
        <v>6.99</v>
      </c>
      <c r="G131" t="s">
        <v>15</v>
      </c>
      <c r="H131" s="52" t="str">
        <f>HYPERLINK("https://satoriz-comboire.bio/collections/vrac/products/eco759","7.05")</f>
        <v>7.05</v>
      </c>
      <c r="I131" t="s">
        <v>15</v>
      </c>
      <c r="J131" s="52" t="str">
        <f>HYPERLINK("https://www.greenweez.com/produit/sarrasin-decortique-3kg/5GREE0100","5.33")</f>
        <v>5.33</v>
      </c>
      <c r="K131" t="s">
        <v>15</v>
      </c>
      <c r="L131">
        <v>0.5</v>
      </c>
    </row>
    <row r="132" spans="1:12" x14ac:dyDescent="0.3">
      <c r="A132" t="s">
        <v>282</v>
      </c>
      <c r="B132" s="52" t="str">
        <f>HYPERLINK("https://lafourche.fr/products/solid-food-1kg-de-quinoa-blanc-en-vrac-bio","8.3")</f>
        <v>8.3</v>
      </c>
      <c r="C132" s="53" t="s">
        <v>1033</v>
      </c>
      <c r="D132" s="50" t="str">
        <f>HYPERLINK("https://www.biocoop.fr/magasin-biocoop_champollion/quinoa-france-bio-br0263-000.html","7.14")</f>
        <v>7.14</v>
      </c>
      <c r="E132" s="51" t="s">
        <v>842</v>
      </c>
      <c r="F132" s="50" t="str">
        <f>HYPERLINK("https://www.biocoop.fr/magasin-biocoop_fontaine/quinoa-france-bio-br0263-000.html","7.14")</f>
        <v>7.14</v>
      </c>
      <c r="G132" s="51" t="s">
        <v>842</v>
      </c>
      <c r="H132" s="52" t="str">
        <f>HYPERLINK("https://satoriz-comboire.bio/collections/vrac/products/bg1","8.8")</f>
        <v>8.8</v>
      </c>
      <c r="I132" t="s">
        <v>15</v>
      </c>
      <c r="J132" s="52" t="str">
        <f>HYPERLINK("https://www.greenweez.com/produit/quinoa-real-blanc-1kg/1MKAL0120","9.48")</f>
        <v>9.48</v>
      </c>
      <c r="K132" s="53" t="s">
        <v>1034</v>
      </c>
      <c r="L132">
        <v>0.5</v>
      </c>
    </row>
    <row r="133" spans="1:12" x14ac:dyDescent="0.3">
      <c r="A133" t="s">
        <v>285</v>
      </c>
      <c r="B133" s="52" t="str">
        <f>HYPERLINK("https://lafourche.fr/products/la-fourche-quinoa-tricolore-bio-en-vrac-1kg","8.7")</f>
        <v>8.7</v>
      </c>
      <c r="C133" s="53" t="s">
        <v>107</v>
      </c>
      <c r="D133" s="52" t="str">
        <f>HYPERLINK("https://www.biocoop.fr/magasin-biocoop_champollion/quinoa-real-bolivie-3-couleurs-bio-sm0366-000.html","8.9")</f>
        <v>8.9</v>
      </c>
      <c r="E133" t="s">
        <v>15</v>
      </c>
      <c r="F133" s="52" t="str">
        <f>HYPERLINK("https://www.biocoop.fr/magasin-biocoop_fontaine/quinoa-real-bolivie-3-couleurs-bio-sm0366-000.html","8.6")</f>
        <v>8.6</v>
      </c>
      <c r="G133" t="s">
        <v>15</v>
      </c>
      <c r="H133" s="50" t="str">
        <f>HYPERLINK("https://satoriz-comboire.bio/products/eu7921?_pos=2&amp;_sid=f28a0cca6&amp;_ss=r","7.2")</f>
        <v>7.2</v>
      </c>
      <c r="I133" t="s">
        <v>15</v>
      </c>
      <c r="J133" s="52" t="str">
        <f>HYPERLINK("https://www.greenweez.com/produit/quinoa-tricolore-bio-500g/2WEEZ0157","9.9")</f>
        <v>9.9</v>
      </c>
      <c r="K133" t="s">
        <v>15</v>
      </c>
    </row>
    <row r="134" spans="1:12" x14ac:dyDescent="0.3">
      <c r="A134" t="s">
        <v>288</v>
      </c>
      <c r="B134" s="50" t="str">
        <f>HYPERLINK("https://lafourche.fr/products/la-fourche-1kg-de-boulgour-gros-bio-en-vrac","3.15")</f>
        <v>3.15</v>
      </c>
      <c r="C134" s="53" t="s">
        <v>292</v>
      </c>
      <c r="D134" s="52" t="str">
        <f>HYPERLINK("https://www.biocoop.fr/magasin-biocoop_champollion/boulgour-ble-gros-france-1kg-ma8005-000.html","3.99")</f>
        <v>3.99</v>
      </c>
      <c r="E134" t="s">
        <v>15</v>
      </c>
      <c r="F134" s="52" t="str">
        <f>HYPERLINK("https://www.biocoop.fr/magasin-biocoop_fontaine/boulgour-ble-gros-france-1kg-ma8005-000.html","3.6")</f>
        <v>3.6</v>
      </c>
      <c r="G134" t="s">
        <v>15</v>
      </c>
      <c r="H134" s="52" t="str">
        <f>HYPERLINK("https://satoriz-comboire.bio/collections/vrac/products/ma11050","3.5")</f>
        <v>3.5</v>
      </c>
      <c r="I134" t="s">
        <v>15</v>
      </c>
      <c r="J134" s="52" t="str">
        <f>HYPERLINK("https://www.greenweez.com/produit/boulgour-traditionnel-bio-2-5kg/2WEEZ0215","3.79")</f>
        <v>3.79</v>
      </c>
      <c r="K134" s="53" t="s">
        <v>932</v>
      </c>
      <c r="L134">
        <v>0.2</v>
      </c>
    </row>
    <row r="135" spans="1:12" x14ac:dyDescent="0.3">
      <c r="A135" t="s">
        <v>291</v>
      </c>
      <c r="B135" s="50" t="str">
        <f>HYPERLINK("https://lafourche.fr/products/la-fourche-1kg-de-graines-de-millet-bio-en-vrac","3.5")</f>
        <v>3.5</v>
      </c>
      <c r="C135" t="s">
        <v>15</v>
      </c>
      <c r="D135" s="52" t="str">
        <f>HYPERLINK("https://www.biocoop.fr/magasin-biocoop_champollion/millet-decortique-bio-md1001-000.html","3.65")</f>
        <v>3.65</v>
      </c>
      <c r="E135" s="51" t="s">
        <v>1035</v>
      </c>
      <c r="F135" s="52" t="str">
        <f>HYPERLINK("https://www.biocoop.fr/magasin-biocoop_fontaine/millet-decortique-france-500g-al8046-000.html","5.8")</f>
        <v>5.8</v>
      </c>
      <c r="G135" t="s">
        <v>15</v>
      </c>
      <c r="H135" s="50" t="str">
        <f>HYPERLINK("https://satoriz-comboire.bio/collections/vrac/products/re39809","3.5")</f>
        <v>3.5</v>
      </c>
      <c r="I135" t="s">
        <v>15</v>
      </c>
      <c r="J135" s="52" t="str">
        <f>HYPERLINK("https://www.greenweez.com/produit/millet-bio-2-5kg/2WEEZ0528","3.6")</f>
        <v>3.6</v>
      </c>
      <c r="K135" s="53" t="s">
        <v>1036</v>
      </c>
    </row>
    <row r="136" spans="1:12" x14ac:dyDescent="0.3">
      <c r="A136" t="s">
        <v>295</v>
      </c>
      <c r="B136" s="50" t="str">
        <f>HYPERLINK("https://lafourche.fr/products/la-fourche-1kg-de-couscous-complet-bio-en-vrac","2.3")</f>
        <v>2.3</v>
      </c>
      <c r="C136" t="s">
        <v>15</v>
      </c>
      <c r="D136" s="52" t="str">
        <f>HYPERLINK("https://www.biocoop.fr/magasin-biocoop_champollion/couscous-ble-dur-complet-bio-bi9030-000.html","2.67")</f>
        <v>2.67</v>
      </c>
      <c r="E136" s="51" t="s">
        <v>1037</v>
      </c>
      <c r="F136" s="52" t="str">
        <f>HYPERLINK("https://www.biocoop.fr/magasin-biocoop_fontaine/couscous-ble-dur-complet-500g-bi9019-000.html","4.3")</f>
        <v>4.3</v>
      </c>
      <c r="G136" s="51" t="s">
        <v>726</v>
      </c>
      <c r="H136" s="52" t="str">
        <f>HYPERLINK("https://satoriz-comboire.bio/collections/vrac/products/re40833","2.55")</f>
        <v>2.55</v>
      </c>
      <c r="I136" t="s">
        <v>15</v>
      </c>
      <c r="J136" s="52" t="str">
        <f>HYPERLINK("https://www.greenweez.com/produit/couscous-complet-bio-2-5kg/2WEEZ0216","3.98")</f>
        <v>3.98</v>
      </c>
      <c r="K136" s="53" t="s">
        <v>741</v>
      </c>
    </row>
    <row r="137" spans="1:12" x14ac:dyDescent="0.3">
      <c r="A137" t="s">
        <v>298</v>
      </c>
      <c r="B137" s="50" t="str">
        <f>HYPERLINK("https://lafourche.fr/products/la-fourche-ble-tendre-complet-bio-en-vrac-1kg","1.64")</f>
        <v>1.64</v>
      </c>
      <c r="C137" s="53" t="s">
        <v>835</v>
      </c>
      <c r="D137">
        <v>888888</v>
      </c>
      <c r="F137">
        <v>888888</v>
      </c>
      <c r="H137" s="52" t="str">
        <f>HYPERLINK("https://satoriz-comboire.bio/products/eco608?_pos=3&amp;_sid=c145f4454&amp;_ss=r","1.65")</f>
        <v>1.65</v>
      </c>
      <c r="I137" t="s">
        <v>15</v>
      </c>
      <c r="J137" s="52" t="str">
        <f>HYPERLINK("https://www.greenweez.com/produit/ble-tendre-complet-500g/1MKAL0007","2.98")</f>
        <v>2.98</v>
      </c>
      <c r="K137" s="53" t="s">
        <v>1038</v>
      </c>
    </row>
    <row r="138" spans="1:12" x14ac:dyDescent="0.3">
      <c r="A138" t="s">
        <v>301</v>
      </c>
      <c r="B138" s="52" t="str">
        <f>HYPERLINK("https://lafourche.fr/products/la-fourche-polenta-bio-en-vrac-1kg","3.55")</f>
        <v>3.55</v>
      </c>
      <c r="C138" t="s">
        <v>15</v>
      </c>
      <c r="D138" s="52" t="str">
        <f>HYPERLINK("https://www.biocoop.fr/magasin-biocoop_champollion/semoule-de-mais-instantanee-polenta-bio-ma8079-000.html","3.1")</f>
        <v>3.1</v>
      </c>
      <c r="E138" s="51" t="s">
        <v>838</v>
      </c>
      <c r="F138" s="50" t="str">
        <f>HYPERLINK("https://www.biocoop.fr/magasin-biocoop_fontaine/semoule-de-mais-instantanee-polenta-bio-ma8079-000.html","3.06")</f>
        <v>3.06</v>
      </c>
      <c r="G138" s="51" t="s">
        <v>842</v>
      </c>
      <c r="H138" s="52" t="str">
        <f>HYPERLINK("https://satoriz-comboire.bio/products/ma71051?_pos=5&amp;_sid=36154f2e5&amp;_ss=r","3.6")</f>
        <v>3.6</v>
      </c>
      <c r="I138" t="s">
        <v>15</v>
      </c>
      <c r="J138" s="52" t="str">
        <f>HYPERLINK("https://www.greenweez.com/produit/semoule-mais-fine-1kg/1MKAL0272","888888")</f>
        <v>888888</v>
      </c>
      <c r="K138" s="56" t="s">
        <v>1039</v>
      </c>
    </row>
    <row r="139" spans="1:12" x14ac:dyDescent="0.3">
      <c r="A139" t="s">
        <v>305</v>
      </c>
      <c r="B139" s="50" t="str">
        <f>HYPERLINK("https://lafourche.fr/products/la-fourche-500g-de-graines-de-tournesol-en-vrac-bio","3.98")</f>
        <v>3.98</v>
      </c>
      <c r="C139" s="53" t="s">
        <v>837</v>
      </c>
      <c r="D139" s="52" t="str">
        <f>HYPERLINK("https://www.biocoop.fr/magasin-biocoop_champollion/tournesol-decortique-bio-al8034-000.html","8.79")</f>
        <v>8.79</v>
      </c>
      <c r="E139" s="51" t="s">
        <v>737</v>
      </c>
      <c r="F139" s="52" t="str">
        <f>HYPERLINK("https://www.biocoop.fr/magasin-biocoop_fontaine/tournesol-decortique-250g-al8033-000.html","11.96")</f>
        <v>11.96</v>
      </c>
      <c r="G139" t="s">
        <v>15</v>
      </c>
      <c r="H139" s="52" t="str">
        <f>HYPERLINK("https://satoriz-comboire.bio/products/senfgtv","6.2")</f>
        <v>6.2</v>
      </c>
      <c r="I139" s="51" t="s">
        <v>838</v>
      </c>
      <c r="J139" s="52" t="str">
        <f>HYPERLINK("https://www.greenweez.com/produit/graines-de-tournesol-decortiquees-bio-500g/2WEEZ0020","5.48")</f>
        <v>5.48</v>
      </c>
      <c r="K139" s="53" t="s">
        <v>1040</v>
      </c>
      <c r="L139">
        <v>0.1</v>
      </c>
    </row>
    <row r="140" spans="1:12" x14ac:dyDescent="0.3">
      <c r="A140" t="s">
        <v>307</v>
      </c>
      <c r="B140" s="52" t="str">
        <f>HYPERLINK("https://lafourche.fr/products/la-fourche-500g-de-graines-de-lin-bio-en-vrac","4.78")</f>
        <v>4.78</v>
      </c>
      <c r="C140" s="53" t="s">
        <v>839</v>
      </c>
      <c r="D140" s="52" t="str">
        <f>HYPERLINK("https://www.biocoop.fr/magasin-biocoop_champollion/graine-de-lin-brun-bio-br0236-000.html","5.22")</f>
        <v>5.22</v>
      </c>
      <c r="E140" s="51" t="s">
        <v>1041</v>
      </c>
      <c r="F140" s="52" t="str">
        <f>HYPERLINK("https://www.biocoop.fr/magasin-biocoop_fontaine/graine-de-lin-brun-bio-br0236-000.html","4.93")</f>
        <v>4.93</v>
      </c>
      <c r="G140" s="51" t="s">
        <v>842</v>
      </c>
      <c r="H140" s="50" t="str">
        <f>HYPERLINK("https://satoriz-comboire.bio/products/re39808?_pos=9&amp;_sid=2d728524c&amp;_ss=r","4.75")</f>
        <v>4.75</v>
      </c>
      <c r="I140" t="s">
        <v>15</v>
      </c>
      <c r="J140" s="52" t="str">
        <f>HYPERLINK("https://www.greenweez.com/produit/graines-de-lin-brun-bio-500g/2WEEZ0019","4.98")</f>
        <v>4.98</v>
      </c>
      <c r="K140" s="53" t="s">
        <v>1042</v>
      </c>
    </row>
    <row r="141" spans="1:12" x14ac:dyDescent="0.3">
      <c r="A141" t="s">
        <v>311</v>
      </c>
      <c r="B141" s="50" t="str">
        <f>HYPERLINK("https://lafourche.fr/products/la-fourche-500g-de-graines-de-sesames-bio-en-vrac","5.94")</f>
        <v>5.94</v>
      </c>
      <c r="C141" s="53" t="s">
        <v>728</v>
      </c>
      <c r="D141">
        <v>888888</v>
      </c>
      <c r="F141">
        <v>888888</v>
      </c>
      <c r="H141" s="52" t="str">
        <f>HYPERLINK("https://satoriz-comboire.bio/products/eu203?_pos=5&amp;_sid=2bd1fd04d&amp;_ss=r","5.95")</f>
        <v>5.95</v>
      </c>
      <c r="I141" t="s">
        <v>15</v>
      </c>
      <c r="J141" s="52" t="str">
        <f>HYPERLINK("https://www.greenweez.com/produit/sesame-complet-bio-500g/2WEEZ0028","8.38")</f>
        <v>8.38</v>
      </c>
      <c r="K141" s="53" t="s">
        <v>1013</v>
      </c>
    </row>
    <row r="142" spans="1:12" x14ac:dyDescent="0.3">
      <c r="A142" t="s">
        <v>314</v>
      </c>
      <c r="B142" s="50" t="str">
        <f>HYPERLINK("https://lafourche.fr/products/la-fourche-500g-de-graines-de-chia-bio-en-vrac","6.8")</f>
        <v>6.8</v>
      </c>
      <c r="C142" t="s">
        <v>15</v>
      </c>
      <c r="D142" s="52" t="str">
        <f>HYPERLINK("https://www.biocoop.fr/magasin-biocoop_champollion/graines-de-chia-qu1026-000.html","888888")</f>
        <v>888888</v>
      </c>
      <c r="E142" t="s">
        <v>99</v>
      </c>
      <c r="F142" s="52" t="str">
        <f>HYPERLINK("https://www.biocoop.fr/magasin-biocoop_fontaine/graines-de-chia-qu1026-000.html","888888")</f>
        <v>888888</v>
      </c>
      <c r="G142" t="s">
        <v>99</v>
      </c>
      <c r="H142" s="50" t="str">
        <f>HYPERLINK("https://satoriz-comboire.bio/products/bofchia?_pos=6&amp;_sid=c84fead2c&amp;_ss=r","6.8")</f>
        <v>6.8</v>
      </c>
      <c r="I142" t="s">
        <v>15</v>
      </c>
      <c r="J142" s="52" t="str">
        <f>HYPERLINK("https://www.greenweez.com/produit/graines-de-chia-bio-500g/2WEEZ0337","9.96")</f>
        <v>9.96</v>
      </c>
      <c r="K142" t="s">
        <v>15</v>
      </c>
    </row>
    <row r="143" spans="1:12" x14ac:dyDescent="0.3">
      <c r="A143" t="s">
        <v>316</v>
      </c>
      <c r="B143" s="52" t="str">
        <f>HYPERLINK("https://lafourche.fr/products/la-fourche-500g-de-graines-de-courge-en-vrac-bio","12.7")</f>
        <v>12.7</v>
      </c>
      <c r="C143" s="53" t="s">
        <v>841</v>
      </c>
      <c r="D143" s="52" t="str">
        <f>HYPERLINK("https://www.biocoop.fr/magasin-biocoop_champollion/graine-de-courge-france-250g-al8045-000.html","22.76")</f>
        <v>22.76</v>
      </c>
      <c r="F143" s="52" t="str">
        <f>HYPERLINK("https://www.biocoop.fr/magasin-biocoop_fontaine/graine-de-courge-france-250g-al8045-000.html","20.8")</f>
        <v>20.8</v>
      </c>
      <c r="G143" t="s">
        <v>15</v>
      </c>
      <c r="H143" s="52" t="str">
        <f>HYPERLINK("https://satoriz-comboire.bio/products/ec008?_pos=3&amp;_sid=8f28a5498&amp;_ss=r","14.95")</f>
        <v>14.95</v>
      </c>
      <c r="I143" t="s">
        <v>15</v>
      </c>
      <c r="J143" s="50" t="str">
        <f>HYPERLINK("https://www.greenweez.com/produit/graines-de-courge-bio-500g/2WEEZ0530","11.88")</f>
        <v>11.88</v>
      </c>
      <c r="K143" t="s">
        <v>15</v>
      </c>
    </row>
    <row r="144" spans="1:12" x14ac:dyDescent="0.3">
      <c r="A144" t="s">
        <v>318</v>
      </c>
      <c r="B144" s="52" t="str">
        <f>HYPERLINK("https://lafourche.fr/products/la-fourche-250g-de-pignons-de-cedre-en-vrac-bio","43.6")</f>
        <v>43.6</v>
      </c>
      <c r="C144" t="s">
        <v>15</v>
      </c>
      <c r="D144">
        <v>888888</v>
      </c>
      <c r="F144">
        <v>888888</v>
      </c>
      <c r="H144" s="50" t="str">
        <f>HYPERLINK("https://satoriz-comboire.bio/products/bof3007?_pos=1&amp;_sid=3170df032&amp;_ss=r","41.4")</f>
        <v>41.4</v>
      </c>
      <c r="I144" t="s">
        <v>15</v>
      </c>
      <c r="J144" s="52" t="str">
        <f>HYPERLINK("https://www.greenweez.com/produit/pignons-de-cedre-500g/2WEEZ0403","48.98")</f>
        <v>48.98</v>
      </c>
      <c r="K144" s="53" t="s">
        <v>1043</v>
      </c>
    </row>
    <row r="145" spans="1:12" x14ac:dyDescent="0.3">
      <c r="A145" t="s">
        <v>321</v>
      </c>
      <c r="B145" s="50" t="str">
        <f>HYPERLINK("https://lafourche.fr/products/la-fourche-pignons-de-pin-bio-0-25kg","57.92")</f>
        <v>57.92</v>
      </c>
      <c r="C145" t="s">
        <v>15</v>
      </c>
      <c r="D145">
        <v>888888</v>
      </c>
      <c r="F145">
        <v>888888</v>
      </c>
      <c r="H145" s="52" t="str">
        <f>HYPERLINK("https://satoriz-comboire.bio/products/ag639?_pos=2&amp;_sid=265828df9&amp;_ss=r","94.8")</f>
        <v>94.8</v>
      </c>
      <c r="I145" t="s">
        <v>15</v>
      </c>
      <c r="J145" s="52" t="str">
        <f>HYPERLINK("https://www.greenweez.com/produit/pignons-de-pin-bio-125g/1DPFS0044","102.0")</f>
        <v>102.0</v>
      </c>
      <c r="K145" t="s">
        <v>15</v>
      </c>
    </row>
    <row r="146" spans="1:12" x14ac:dyDescent="0.3">
      <c r="A146" t="s">
        <v>325</v>
      </c>
      <c r="B146" s="50" t="str">
        <f>HYPERLINK("https://lafourche.fr/products/la-fourche-1kg-de-pois-chiches-en-vrac-bio","3.61")</f>
        <v>3.61</v>
      </c>
      <c r="C146" t="s">
        <v>15</v>
      </c>
      <c r="D146" s="52" t="str">
        <f>HYPERLINK("https://www.biocoop.fr/magasin-biocoop_champollion/pois-chiches-bio-al8031-000.html","4.2")</f>
        <v>4.2</v>
      </c>
      <c r="E146" s="51" t="s">
        <v>1044</v>
      </c>
      <c r="F146" s="52" t="str">
        <f>HYPERLINK("https://www.biocoop.fr/magasin-biocoop_fontaine/pois-chiches-bio-al8031-000.html","3.83")</f>
        <v>3.83</v>
      </c>
      <c r="G146" s="51" t="s">
        <v>1002</v>
      </c>
      <c r="H146" s="52" t="str">
        <f>HYPERLINK("https://satoriz-comboire.bio/collections/vrac/products/re40037","3.7")</f>
        <v>3.7</v>
      </c>
      <c r="I146" t="s">
        <v>15</v>
      </c>
      <c r="J146" s="52" t="str">
        <f>HYPERLINK("https://www.greenweez.com/produit/pois-chiches-origine-france-3kg/5GREE0125","4.65")</f>
        <v>4.65</v>
      </c>
      <c r="K146" t="s">
        <v>15</v>
      </c>
      <c r="L146">
        <v>0.2</v>
      </c>
    </row>
    <row r="147" spans="1:12" x14ac:dyDescent="0.3">
      <c r="A147" t="s">
        <v>328</v>
      </c>
      <c r="B147" s="50" t="str">
        <f>HYPERLINK("https://lafourche.fr/products/la-fourche-1kg-de-lentilles-corail-bio-en-vrac","3.3")</f>
        <v>3.3</v>
      </c>
      <c r="C147" t="s">
        <v>15</v>
      </c>
      <c r="D147" s="52" t="str">
        <f>HYPERLINK("https://www.biocoop.fr/magasin-biocoop_champollion/lentilles-corail-500g-al8038-000.html","8.7")</f>
        <v>8.7</v>
      </c>
      <c r="E147" t="s">
        <v>15</v>
      </c>
      <c r="F147" s="52" t="str">
        <f>HYPERLINK("https://www.biocoop.fr/magasin-biocoop_fontaine/lentilles-corail-500g-al8038-000.html","8.4")</f>
        <v>8.4</v>
      </c>
      <c r="G147" t="s">
        <v>15</v>
      </c>
      <c r="H147" s="52" t="str">
        <f>HYPERLINK("https://satoriz-comboire.bio/collections/vrac/products/eu1380","3.4")</f>
        <v>3.4</v>
      </c>
      <c r="I147" s="53" t="s">
        <v>908</v>
      </c>
      <c r="J147" s="52" t="str">
        <f>HYPERLINK("https://www.greenweez.com/produit/lentilles-corail-3kg/5GREE0154","3.54")</f>
        <v>3.54</v>
      </c>
      <c r="K147" s="51" t="s">
        <v>1045</v>
      </c>
      <c r="L147">
        <v>0.5</v>
      </c>
    </row>
    <row r="148" spans="1:12" x14ac:dyDescent="0.3">
      <c r="A148" t="s">
        <v>332</v>
      </c>
      <c r="B148" s="50" t="str">
        <f>HYPERLINK("https://lafourche.fr/products/la-fourche-1kg-de-pois-casses-bio-en-vrac","3.99")</f>
        <v>3.99</v>
      </c>
      <c r="C148" t="s">
        <v>15</v>
      </c>
      <c r="D148" s="52" t="str">
        <f>HYPERLINK("https://www.biocoop.fr/magasin-biocoop_champollion/pois-casses-france-cuisson-rapide-250g-sa1122-000.html","8.32")</f>
        <v>8.32</v>
      </c>
      <c r="E148" t="s">
        <v>15</v>
      </c>
      <c r="F148" s="52" t="str">
        <f>HYPERLINK("https://www.biocoop.fr/magasin-biocoop_fontaine/pois-casses-france-500g-al8048-000.html","4.94")</f>
        <v>4.94</v>
      </c>
      <c r="G148" t="s">
        <v>15</v>
      </c>
      <c r="H148" s="52" t="str">
        <f>HYPERLINK("https://satoriz-comboire.bio/collections/vrac/products/eu1363","4.2")</f>
        <v>4.2</v>
      </c>
      <c r="I148" t="s">
        <v>15</v>
      </c>
      <c r="J148" s="52" t="str">
        <f>HYPERLINK("https://www.greenweez.com/produit/pois-casses-verts-3kg/5GREE0169","888888")</f>
        <v>888888</v>
      </c>
      <c r="K148" s="56" t="s">
        <v>1046</v>
      </c>
    </row>
    <row r="149" spans="1:12" x14ac:dyDescent="0.3">
      <c r="A149" t="s">
        <v>335</v>
      </c>
      <c r="B149" s="52" t="str">
        <f>HYPERLINK("https://lafourche.fr/products/la-fourche-1kg-de-lentilles-vertes-bio-en-vrac","4.59")</f>
        <v>4.59</v>
      </c>
      <c r="C149" s="53" t="s">
        <v>843</v>
      </c>
      <c r="D149" s="50" t="str">
        <f>HYPERLINK("https://www.biocoop.fr/magasin-biocoop_champollion/lentilles-vertes-bio-br0278-000.html","4.46")</f>
        <v>4.46</v>
      </c>
      <c r="E149" s="51" t="s">
        <v>1047</v>
      </c>
      <c r="F149" s="52" t="str">
        <f>HYPERLINK("https://www.biocoop.fr/magasin-biocoop_fontaine/lentilles-vertes-bio-br0278-000.html","4.51")</f>
        <v>4.51</v>
      </c>
      <c r="G149" s="51" t="s">
        <v>1048</v>
      </c>
      <c r="H149" s="52" t="str">
        <f>HYPERLINK("https://satoriz-comboire.bio/collections/vrac/products/re39341","4.9")</f>
        <v>4.9</v>
      </c>
      <c r="I149" s="53" t="s">
        <v>1049</v>
      </c>
      <c r="J149" s="52" t="str">
        <f>HYPERLINK("https://www.greenweez.com/produit/lentilles-vertes-bio-france-2-5kg/2WEEZ0296","5.8")</f>
        <v>5.8</v>
      </c>
      <c r="K149" s="53" t="s">
        <v>1050</v>
      </c>
      <c r="L149">
        <v>0.5</v>
      </c>
    </row>
    <row r="150" spans="1:12" x14ac:dyDescent="0.3">
      <c r="A150" t="s">
        <v>338</v>
      </c>
      <c r="B150" s="52" t="str">
        <f>HYPERLINK("https://lafourche.fr/products/celnat-haricots-blancs-lingots-de-vendee-500g","6.52")</f>
        <v>6.52</v>
      </c>
      <c r="C150" t="s">
        <v>15</v>
      </c>
      <c r="D150" s="52" t="str">
        <f>HYPERLINK("https://www.biocoop.fr/magasin-biocoop_champollion/haricots-blancs-lingots-500g-fc1002-000.html","8.4")</f>
        <v>8.4</v>
      </c>
      <c r="E150" t="s">
        <v>15</v>
      </c>
      <c r="F150" s="50" t="str">
        <f>HYPERLINK("https://www.biocoop.fr/magasin-biocoop_fontaine/haricots-blancs-lingots-bio-al8036-000.html","5.87")</f>
        <v>5.87</v>
      </c>
      <c r="G150" s="51" t="s">
        <v>864</v>
      </c>
      <c r="H150" s="52" t="str">
        <f>HYPERLINK("https://satoriz-comboire.bio/products/ra1?_pos=1&amp;_sid=ae7e90580&amp;_ss=r","6.95")</f>
        <v>6.95</v>
      </c>
      <c r="I150" t="s">
        <v>15</v>
      </c>
      <c r="J150">
        <v>888888</v>
      </c>
    </row>
    <row r="151" spans="1:12" x14ac:dyDescent="0.3">
      <c r="A151" t="s">
        <v>339</v>
      </c>
      <c r="B151" s="50" t="str">
        <f>HYPERLINK("https://lafourche.fr/products/la-fourche-penne-complete-bio-en-vrac-1kg","2.2")</f>
        <v>2.2</v>
      </c>
      <c r="C151" t="s">
        <v>15</v>
      </c>
      <c r="D151" s="52" t="str">
        <f>HYPERLINK("https://www.biocoop.fr/magasin-biocoop_champollion/pennes-complet-bio-al0143-000.html","2.59")</f>
        <v>2.59</v>
      </c>
      <c r="E151" s="51" t="s">
        <v>834</v>
      </c>
      <c r="F151" s="52" t="str">
        <f>HYPERLINK("https://www.biocoop.fr/magasin-biocoop_fontaine/penne-completes-500g-al0137-000.html","3.0")</f>
        <v>3.0</v>
      </c>
      <c r="G151" t="s">
        <v>15</v>
      </c>
      <c r="H151" s="52" t="str">
        <f>HYPERLINK("https://satoriz-comboire.bio/collections/epicerie-salee/products/re39046","2.3")</f>
        <v>2.3</v>
      </c>
      <c r="I151" s="51" t="s">
        <v>1051</v>
      </c>
      <c r="J151" s="52" t="str">
        <f>HYPERLINK("https://www.greenweez.com/produit/penne-bio-semi-complete-500g/2WEEZ0490","2.98")</f>
        <v>2.98</v>
      </c>
      <c r="K151" t="s">
        <v>15</v>
      </c>
      <c r="L151">
        <v>0.5</v>
      </c>
    </row>
    <row r="152" spans="1:12" x14ac:dyDescent="0.3">
      <c r="A152" t="s">
        <v>341</v>
      </c>
      <c r="B152" s="52" t="str">
        <f>HYPERLINK("https://lafourche.fr/products/la-fourche-coquillettes-completes-bio-en-vrac-1kg","1.99")</f>
        <v>1.99</v>
      </c>
      <c r="C152" t="s">
        <v>15</v>
      </c>
      <c r="D152" s="50" t="str">
        <f>HYPERLINK("https://www.biocoop.fr/magasin-biocoop_champollion/coquillettes-1-2-completes-bio-al0060-000.html","1.87")</f>
        <v>1.87</v>
      </c>
      <c r="E152" s="51" t="s">
        <v>842</v>
      </c>
      <c r="F152" s="52" t="str">
        <f>HYPERLINK("https://www.biocoop.fr/magasin-biocoop_fontaine/coquillettes-completes-500g-al0028-000.html","3.2")</f>
        <v>3.2</v>
      </c>
      <c r="G152" t="s">
        <v>15</v>
      </c>
      <c r="H152" s="52" t="str">
        <f>HYPERLINK("https://satoriz-comboire.bio/collections/epicerie-salee/products/eco1190","3.4")</f>
        <v>3.4</v>
      </c>
      <c r="I152" s="53" t="s">
        <v>877</v>
      </c>
      <c r="J152" s="52" t="str">
        <f>HYPERLINK("https://www.greenweez.com/produit/coquillettes-demi-completes-1kg/1PRIM0788","2.71")</f>
        <v>2.71</v>
      </c>
      <c r="K152" s="51" t="s">
        <v>1052</v>
      </c>
      <c r="L152">
        <v>0.5</v>
      </c>
    </row>
    <row r="153" spans="1:12" x14ac:dyDescent="0.3">
      <c r="A153" t="s">
        <v>345</v>
      </c>
      <c r="B153" s="52" t="str">
        <f>HYPERLINK("https://lafourche.fr/products/bio-pour-tous-spaghetti-complets-bio-500g","2.3")</f>
        <v>2.3</v>
      </c>
      <c r="C153" s="51" t="s">
        <v>845</v>
      </c>
      <c r="D153" s="52" t="str">
        <f>HYPERLINK("https://www.biocoop.fr/magasin-biocoop_champollion/spaghettis-complets-500g-al0001-000.html","3.14")</f>
        <v>3.14</v>
      </c>
      <c r="E153" t="s">
        <v>15</v>
      </c>
      <c r="F153" s="52" t="str">
        <f>HYPERLINK("https://www.biocoop.fr/magasin-biocoop_fontaine/spaghettis-complets-500g-al0001-000.html","2.9")</f>
        <v>2.9</v>
      </c>
      <c r="G153" t="s">
        <v>15</v>
      </c>
      <c r="H153" s="50" t="str">
        <f>HYPERLINK("https://satoriz-comboire.bio/products/re44650?_pos=5&amp;_sid=376ef8b42&amp;_ss=r","1.99")</f>
        <v>1.99</v>
      </c>
      <c r="I153" s="51" t="s">
        <v>1053</v>
      </c>
      <c r="J153" s="52" t="str">
        <f>HYPERLINK("https://www.greenweez.com/produit/spaghettis-complets-bio-italie-500g/2WEEZ0029","3.38")</f>
        <v>3.38</v>
      </c>
      <c r="K153" t="s">
        <v>15</v>
      </c>
    </row>
    <row r="154" spans="1:12" x14ac:dyDescent="0.3">
      <c r="A154" t="s">
        <v>346</v>
      </c>
      <c r="B154" s="52" t="str">
        <f>HYPERLINK("https://lafourche.fr/products/bio-pour-tous-fusilli-integrales-bio-500g","2.52")</f>
        <v>2.52</v>
      </c>
      <c r="C154" t="s">
        <v>15</v>
      </c>
      <c r="D154" s="52" t="str">
        <f>HYPERLINK("https://www.biocoop.fr/magasin-biocoop_champollion/spirales-completes-500g-al0025-000.html","3.24")</f>
        <v>3.24</v>
      </c>
      <c r="E154" t="s">
        <v>15</v>
      </c>
      <c r="F154" s="52" t="str">
        <f>HYPERLINK("https://www.biocoop.fr/magasin-biocoop_fontaine/spirales-completes-500g-al0025-000.html","3.2")</f>
        <v>3.2</v>
      </c>
      <c r="G154" t="s">
        <v>15</v>
      </c>
      <c r="H154" s="50" t="str">
        <f>HYPERLINK("https://satoriz-comboire.bio/products/re39052?_pos=1&amp;_sid=2d3ebab7a&amp;_ss=r","2.3")</f>
        <v>2.3</v>
      </c>
      <c r="I154" t="s">
        <v>15</v>
      </c>
      <c r="J154" s="52" t="str">
        <f>HYPERLINK("https://www.greenweez.com/produit/torsades-completes-bio-italie-500g/2WEEZ0024","888888")</f>
        <v>888888</v>
      </c>
      <c r="K154" s="56" t="s">
        <v>1054</v>
      </c>
    </row>
    <row r="155" spans="1:12" x14ac:dyDescent="0.3">
      <c r="A155" t="s">
        <v>347</v>
      </c>
      <c r="B155" s="50" t="str">
        <f>HYPERLINK("https://lafourche.fr/products/la-fourche-1kg-de-riz-basmati-complet-en-vrac-bio","3.5")</f>
        <v>3.5</v>
      </c>
      <c r="C155" t="s">
        <v>15</v>
      </c>
      <c r="D155" s="52" t="str">
        <f>HYPERLINK("https://www.biocoop.fr/magasin-biocoop_champollion/riz-basmati-complet-bio-mf0081-000.html","3.74")</f>
        <v>3.74</v>
      </c>
      <c r="E155" s="51" t="s">
        <v>842</v>
      </c>
      <c r="F155" s="52" t="str">
        <f>HYPERLINK("https://www.biocoop.fr/magasin-biocoop_fontaine/riz-basmati-complet-mf0014-000.html","6.2")</f>
        <v>6.2</v>
      </c>
      <c r="G155" t="s">
        <v>15</v>
      </c>
      <c r="H155" s="52" t="str">
        <f>HYPERLINK("https://satoriz-comboire.bio/collections/vrac/products/eu2292","3.7")</f>
        <v>3.7</v>
      </c>
      <c r="I155" t="s">
        <v>15</v>
      </c>
      <c r="J155" s="52" t="str">
        <f>HYPERLINK("https://www.greenweez.com/produit/riz-basmati-complet-bio-2-5kg/2WEEZ0124","4.6")</f>
        <v>4.6</v>
      </c>
      <c r="K155" s="53" t="s">
        <v>952</v>
      </c>
    </row>
    <row r="156" spans="1:12" x14ac:dyDescent="0.3">
      <c r="A156" t="s">
        <v>351</v>
      </c>
      <c r="B156" s="52" t="str">
        <f>HYPERLINK("https://lafourche.fr/products/celnat-riz-long-complet-1kg","3.5")</f>
        <v>3.5</v>
      </c>
      <c r="C156" s="51" t="s">
        <v>1055</v>
      </c>
      <c r="D156" s="52" t="str">
        <f>HYPERLINK("https://www.biocoop.fr/magasin-biocoop_champollion/riz-long-complet-camargue-1kg-bo0100-000.html","4.61")</f>
        <v>4.61</v>
      </c>
      <c r="E156" t="s">
        <v>15</v>
      </c>
      <c r="F156" s="52" t="str">
        <f>HYPERLINK("https://www.biocoop.fr/magasin-biocoop_fontaine/riz-long-complet-camargue-1kg-bo0100-000.html","4.8")</f>
        <v>4.8</v>
      </c>
      <c r="G156" t="s">
        <v>15</v>
      </c>
      <c r="H156" s="50" t="str">
        <f>HYPERLINK("https://satoriz-comboire.bio/collections/vrac/products/eu629","3.1")</f>
        <v>3.1</v>
      </c>
      <c r="I156" t="s">
        <v>15</v>
      </c>
      <c r="J156" s="52" t="str">
        <f>HYPERLINK("https://www.greenweez.com/produit/riz-long-brun-bio-2-5kg/2WEEZ0472","3.98")</f>
        <v>3.98</v>
      </c>
      <c r="K156" s="53" t="s">
        <v>1056</v>
      </c>
      <c r="L156">
        <v>0.5</v>
      </c>
    </row>
    <row r="157" spans="1:12" x14ac:dyDescent="0.3">
      <c r="A157" t="s">
        <v>353</v>
      </c>
      <c r="B157" s="52" t="str">
        <f>HYPERLINK("https://lafourche.fr/products/markal-riz-de-camargue-rond-complet-bio-1kg","3.84")</f>
        <v>3.84</v>
      </c>
      <c r="C157" s="51" t="s">
        <v>1057</v>
      </c>
      <c r="D157" s="52" t="str">
        <f>HYPERLINK("https://www.biocoop.fr/magasin-biocoop_champollion/riz-de-camargue-rond-1-2-complet-1kg-bo0106-000.html","5.25")</f>
        <v>5.25</v>
      </c>
      <c r="E157" t="s">
        <v>15</v>
      </c>
      <c r="F157" s="52" t="str">
        <f>HYPERLINK("https://www.biocoop.fr/magasin-biocoop_fontaine/riz-de-camargue-rond-1-2-complet-1kg-bo0106-000.html","4.95")</f>
        <v>4.95</v>
      </c>
      <c r="G157" t="s">
        <v>15</v>
      </c>
      <c r="H157" s="50" t="str">
        <f>HYPERLINK("https://satoriz-comboire.bio/collections/vrac/products/eu624","3.3")</f>
        <v>3.3</v>
      </c>
      <c r="I157" t="s">
        <v>15</v>
      </c>
      <c r="J157" s="52" t="str">
        <f>HYPERLINK("https://www.greenweez.com/produit/riz-rond-complet-bio-2-5kg/2WEEZ0126","4.38")</f>
        <v>4.38</v>
      </c>
      <c r="K157" t="s">
        <v>15</v>
      </c>
    </row>
    <row r="158" spans="1:12" x14ac:dyDescent="0.3">
      <c r="A158" s="48" t="s">
        <v>356</v>
      </c>
      <c r="B158" s="49"/>
      <c r="C158" s="49"/>
      <c r="D158" s="49"/>
      <c r="E158" s="49"/>
      <c r="F158" s="49"/>
      <c r="G158" s="49"/>
      <c r="H158" s="49"/>
      <c r="I158" s="49"/>
      <c r="J158" s="49"/>
      <c r="K158" s="49"/>
    </row>
    <row r="159" spans="1:12" x14ac:dyDescent="0.3">
      <c r="A159" t="s">
        <v>357</v>
      </c>
      <c r="B159" s="50" t="str">
        <f>HYPERLINK("https://lafourche.fr/products/la-fourche-creme-entiere-liquide-bio-3x20cl-0-6l","6.25")</f>
        <v>6.25</v>
      </c>
      <c r="C159" t="s">
        <v>15</v>
      </c>
      <c r="D159" s="52" t="str">
        <f>HYPERLINK("https://www.biocoop.fr/magasin-biocoop_champollion/creme-entiere-fluide-30-mg-ls3001-000.html","7.25")</f>
        <v>7.25</v>
      </c>
      <c r="E159" t="s">
        <v>15</v>
      </c>
      <c r="F159" s="52" t="str">
        <f>HYPERLINK("https://www.biocoop.fr/magasin-biocoop_fontaine/creme-entiere-fluide-30-mg-ls3001-000.html","7.25")</f>
        <v>7.25</v>
      </c>
      <c r="G159" t="s">
        <v>15</v>
      </c>
      <c r="H159" s="50" t="str">
        <f>HYPERLINK("https://satoriz-comboire.bio/products/re16270?_pos=1&amp;_sid=9d4552554&amp;_ss=r","6.25")</f>
        <v>6.25</v>
      </c>
      <c r="I159" t="s">
        <v>15</v>
      </c>
      <c r="J159" s="52" t="str">
        <f>HYPERLINK("https://www.greenweez.com/produit/creme-liquide-entiere-uht-30-mg-pf-3x20cl/1LAIP0002","8.25")</f>
        <v>8.25</v>
      </c>
      <c r="K159" t="s">
        <v>15</v>
      </c>
    </row>
    <row r="160" spans="1:12" x14ac:dyDescent="0.3">
      <c r="A160" t="s">
        <v>358</v>
      </c>
      <c r="B160" s="52" t="str">
        <f>HYPERLINK("https://lafourche.fr/products/la-fourche-lait-de-coco-bio-0-4l","4.25")</f>
        <v>4.25</v>
      </c>
      <c r="C160" t="s">
        <v>15</v>
      </c>
      <c r="D160" s="52" t="str">
        <f>HYPERLINK("https://www.biocoop.fr/magasin-biocoop_champollion/lait-coco-a-cuisiner-17-mg-tetra-1l-bc9029-000.html","5.14")</f>
        <v>5.14</v>
      </c>
      <c r="E160" t="s">
        <v>15</v>
      </c>
      <c r="F160" s="52" t="str">
        <f>HYPERLINK("https://www.biocoop.fr/magasin-biocoop_fontaine/lait-coco-40cl-mc0002-000.html","5.25")</f>
        <v>5.25</v>
      </c>
      <c r="G160" t="s">
        <v>15</v>
      </c>
      <c r="H160" s="50" t="str">
        <f>HYPERLINK("https://satoriz-comboire.bio/products/re41359","3.75")</f>
        <v>3.75</v>
      </c>
      <c r="I160" t="s">
        <v>15</v>
      </c>
      <c r="J160" s="52" t="str">
        <f>HYPERLINK("https://www.greenweez.com/produit/lait-de-coco-17-mg-400ml-equitable/2WEEZ0407","888888")</f>
        <v>888888</v>
      </c>
      <c r="K160" s="56" t="s">
        <v>1058</v>
      </c>
      <c r="L160">
        <v>0.3</v>
      </c>
    </row>
    <row r="161" spans="1:12" x14ac:dyDescent="0.3">
      <c r="A161" t="s">
        <v>359</v>
      </c>
      <c r="B161" s="52" t="str">
        <f>HYPERLINK("https://lafourche.fr/products/la-fourche-creme-de-coco-22-de-mg-bio-et-equitable-0-4l","4.72")</f>
        <v>4.72</v>
      </c>
      <c r="C161" s="53" t="s">
        <v>846</v>
      </c>
      <c r="D161" s="52" t="str">
        <f>HYPERLINK("https://www.biocoop.fr/magasin-biocoop_champollion/creme-coco-a-fouetter-400ml-bc9028-000.html","8.25")</f>
        <v>8.25</v>
      </c>
      <c r="E161" t="s">
        <v>15</v>
      </c>
      <c r="F161" s="52" t="str">
        <f>HYPERLINK("https://www.biocoop.fr/magasin-biocoop_fontaine/creme-de-coco-a-cuisiner-mc0003-000.html","6.13")</f>
        <v>6.13</v>
      </c>
      <c r="G161" s="53" t="s">
        <v>1059</v>
      </c>
      <c r="H161" s="50" t="str">
        <f>HYPERLINK("https://satoriz-comboire.bio/collections/produits-frais/products/re41360","4.13")</f>
        <v>4.13</v>
      </c>
      <c r="I161" t="s">
        <v>15</v>
      </c>
      <c r="J161" s="52" t="str">
        <f>HYPERLINK("https://www.greenweez.com/produit/creme-de-coco-22-mg-40cl/1BASE0009","888888")</f>
        <v>888888</v>
      </c>
      <c r="K161" s="56" t="s">
        <v>1060</v>
      </c>
    </row>
    <row r="162" spans="1:12" x14ac:dyDescent="0.3">
      <c r="A162" t="s">
        <v>362</v>
      </c>
      <c r="B162" s="50" t="str">
        <f>HYPERLINK("https://lafourche.fr/products/la-fourche-soja-cuisine-bio-3x20cl-0-6l","3.8")</f>
        <v>3.8</v>
      </c>
      <c r="C162" t="s">
        <v>15</v>
      </c>
      <c r="D162" s="52" t="str">
        <f>HYPERLINK("https://www.biocoop.fr/magasin-biocoop_champollion/cuisine-soja-20cl-sy1605-000.html","5.75")</f>
        <v>5.75</v>
      </c>
      <c r="E162" s="51" t="s">
        <v>1061</v>
      </c>
      <c r="F162" s="52" t="str">
        <f>HYPERLINK("https://www.biocoop.fr/magasin-biocoop_fontaine/cuisine-soja-20cl-so-soja-cuisine-ti3018-000.html","4.95")</f>
        <v>4.95</v>
      </c>
      <c r="G162" s="51" t="s">
        <v>821</v>
      </c>
      <c r="H162" s="52" t="str">
        <f>HYPERLINK("https://satoriz-comboire.bio/collections/produits-frais/products/aa197367","4.8")</f>
        <v>4.8</v>
      </c>
      <c r="I162" t="s">
        <v>15</v>
      </c>
      <c r="J162" s="52" t="str">
        <f>HYPERLINK("https://www.greenweez.com/produit/lot-de-3-x-creme-soja-du-chef-25cl/1PACK3768","6.13")</f>
        <v>6.13</v>
      </c>
      <c r="K162" t="s">
        <v>15</v>
      </c>
      <c r="L162">
        <v>0.2</v>
      </c>
    </row>
    <row r="163" spans="1:12" x14ac:dyDescent="0.3">
      <c r="A163" t="s">
        <v>364</v>
      </c>
      <c r="B163" s="50" t="str">
        <f>HYPERLINK("https://lafourche.fr/products/lima-creme-cuisine-a-base-de-riz-bio-0-2kg","4.75")</f>
        <v>4.75</v>
      </c>
      <c r="C163" s="53" t="s">
        <v>772</v>
      </c>
      <c r="D163" s="52" t="str">
        <f>HYPERLINK("https://www.biocoop.fr/magasin-biocoop_champollion/cuisine-riz-liquide-20cl-ab5020-000.html","4.95")</f>
        <v>4.95</v>
      </c>
      <c r="E163" t="s">
        <v>15</v>
      </c>
      <c r="F163" s="52" t="str">
        <f>HYPERLINK("https://www.biocoop.fr/magasin-biocoop_fontaine/cuisine-riz-liquide-20cl-ab5020-000.html","4.95")</f>
        <v>4.95</v>
      </c>
      <c r="G163" t="s">
        <v>15</v>
      </c>
      <c r="H163" s="52" t="str">
        <f>HYPERLINK("https://satoriz-comboire.bio/collections/produits-frais/products/aa212388","4.9")</f>
        <v>4.9</v>
      </c>
      <c r="I163" t="s">
        <v>15</v>
      </c>
      <c r="J163" s="52" t="str">
        <f>HYPERLINK("https://www.greenweez.com/produit/preparation-de-riz-cuisine-200ml/1BRID0019","888888")</f>
        <v>888888</v>
      </c>
      <c r="K163" s="56" t="s">
        <v>1062</v>
      </c>
      <c r="L163">
        <v>0.2</v>
      </c>
    </row>
    <row r="164" spans="1:12" x14ac:dyDescent="0.3">
      <c r="A164" t="s">
        <v>366</v>
      </c>
      <c r="B164" s="52" t="str">
        <f>HYPERLINK("https://lafourche.fr/products/lima-oat-avoine-cuisine-20cl","4.75")</f>
        <v>4.75</v>
      </c>
      <c r="C164" s="53" t="s">
        <v>772</v>
      </c>
      <c r="D164" s="50" t="str">
        <f>HYPERLINK("https://www.biocoop.fr/magasin-biocoop_champollion/avoine-cuisine-20cl-tb0030-000.html","4.5")</f>
        <v>4.5</v>
      </c>
      <c r="E164" t="s">
        <v>15</v>
      </c>
      <c r="F164" s="50" t="str">
        <f>HYPERLINK("https://www.biocoop.fr/magasin-biocoop_fontaine/avoine-cuisine-20cl-tb0030-000.html","4.5")</f>
        <v>4.5</v>
      </c>
      <c r="G164" t="s">
        <v>15</v>
      </c>
      <c r="H164" s="52" t="str">
        <f>HYPERLINK("https://satoriz-comboire.bio/collections/produits-frais/products/tb6","5.75")</f>
        <v>5.75</v>
      </c>
      <c r="I164" t="s">
        <v>15</v>
      </c>
      <c r="J164" s="52" t="str">
        <f>HYPERLINK("https://www.greenweez.com/produit/puree-davoine-cuisine-200ml/1LIMA0106","6.35")</f>
        <v>6.35</v>
      </c>
      <c r="K164" s="53" t="s">
        <v>1063</v>
      </c>
      <c r="L164">
        <v>0.2</v>
      </c>
    </row>
    <row r="165" spans="1:12" x14ac:dyDescent="0.3">
      <c r="A165" t="s">
        <v>369</v>
      </c>
      <c r="B165" s="50" t="str">
        <f>HYPERLINK("https://lafourche.fr/products/lima-creme-cuisine-amande-bio-0-2l","5.15")</f>
        <v>5.15</v>
      </c>
      <c r="C165" s="53" t="s">
        <v>1064</v>
      </c>
      <c r="D165" s="52" t="str">
        <f>HYPERLINK("https://www.biocoop.fr/magasin-biocoop_champollion/cuisine-amande-20cl-hm1061-000.html","9.0")</f>
        <v>9.0</v>
      </c>
      <c r="E165" t="s">
        <v>15</v>
      </c>
      <c r="F165" s="52" t="str">
        <f>HYPERLINK("https://www.biocoop.fr/magasin-biocoop_fontaine/amande-cuisine-25cl-ma0021-000.html","8.8")</f>
        <v>8.8</v>
      </c>
      <c r="G165" t="s">
        <v>15</v>
      </c>
      <c r="H165" s="52" t="str">
        <f>HYPERLINK("https://satoriz-comboire.bio/collections/produits-frais/products/pera6902a","9.5")</f>
        <v>9.5</v>
      </c>
      <c r="I165" t="s">
        <v>15</v>
      </c>
      <c r="J165" s="52" t="str">
        <f>HYPERLINK("https://www.greenweez.com/produit/amande-cuisine-20cl-1/1PERL0118","10.9")</f>
        <v>10.9</v>
      </c>
      <c r="K165" s="53" t="s">
        <v>720</v>
      </c>
    </row>
    <row r="166" spans="1:12" x14ac:dyDescent="0.3">
      <c r="A166" t="s">
        <v>372</v>
      </c>
      <c r="B166" s="50" t="str">
        <f>HYPERLINK("https://lafourche.fr/products/autour-du-riz-shoyu-sauce-soja-traditionnelle-bio-600ml","9.42")</f>
        <v>9.42</v>
      </c>
      <c r="C166" s="53" t="s">
        <v>847</v>
      </c>
      <c r="D166" s="52" t="str">
        <f>HYPERLINK("https://www.biocoop.fr/magasin-biocoop_champollion/shoyu-traditionnel-sauce-soja-mf1139-000.html","9.92")</f>
        <v>9.92</v>
      </c>
      <c r="E166" t="s">
        <v>15</v>
      </c>
      <c r="F166" s="52" t="str">
        <f>HYPERLINK("https://www.biocoop.fr/magasin-biocoop_fontaine/shoyu-traditionnel-sauce-soja-mf1139-000.html","9.92")</f>
        <v>9.92</v>
      </c>
      <c r="G166" t="s">
        <v>15</v>
      </c>
      <c r="H166" s="52" t="str">
        <f>HYPERLINK("https://satoriz-comboire.bio/collections/epicerie-salee/products/re2583","11.3")</f>
        <v>11.3</v>
      </c>
      <c r="I166" t="s">
        <v>15</v>
      </c>
      <c r="J166" s="52" t="str">
        <f>HYPERLINK("https://www.greenweez.com/produit/sauce-soja-shoyu-traditionnel-60cl/1FITN0063","12.15")</f>
        <v>12.15</v>
      </c>
      <c r="K166" s="53" t="s">
        <v>1065</v>
      </c>
    </row>
    <row r="167" spans="1:12" x14ac:dyDescent="0.3">
      <c r="A167" t="s">
        <v>376</v>
      </c>
      <c r="B167" s="50" t="str">
        <f>HYPERLINK("https://lafourche.fr/products/autour-du-riz-veritable-sauce-tamari-bio-600ml","10.17")</f>
        <v>10.17</v>
      </c>
      <c r="C167" s="53" t="s">
        <v>194</v>
      </c>
      <c r="D167" s="52" t="str">
        <f>HYPERLINK("https://www.biocoop.fr/magasin-biocoop_champollion/veritable-tamari-sauce-soja-mf1140-000.html","11.58")</f>
        <v>11.58</v>
      </c>
      <c r="E167" t="s">
        <v>15</v>
      </c>
      <c r="F167" s="52" t="str">
        <f>HYPERLINK("https://www.biocoop.fr/magasin-biocoop_fontaine/veritable-tamari-sauce-soja-mf1140-000.html","11.58")</f>
        <v>11.58</v>
      </c>
      <c r="G167" t="s">
        <v>15</v>
      </c>
      <c r="H167" s="52" t="str">
        <f>HYPERLINK("https://satoriz-comboire.bio/products/da2810?_pos=1&amp;_sid=897b7d14d&amp;_ss=r","14.4")</f>
        <v>14.4</v>
      </c>
      <c r="I167" t="s">
        <v>15</v>
      </c>
      <c r="J167" s="52" t="str">
        <f>HYPERLINK("https://www.greenweez.com/produit/tamari-sauce-soja-60cl/1FITN0065","13.23")</f>
        <v>13.23</v>
      </c>
      <c r="K167" s="51" t="s">
        <v>1066</v>
      </c>
    </row>
    <row r="168" spans="1:12" x14ac:dyDescent="0.3">
      <c r="A168" t="s">
        <v>379</v>
      </c>
      <c r="B168" s="52" t="str">
        <f>HYPERLINK("https://lafourche.fr/products/autour-du-riz-marinade-teriyaki-bio-200ml","17.45")</f>
        <v>17.45</v>
      </c>
      <c r="C168" t="s">
        <v>15</v>
      </c>
      <c r="D168" s="52" t="str">
        <f>HYPERLINK("https://www.biocoop.fr/magasin-biocoop_champollion/marinade-teriyaki-sauce-soja-douce-200ml-mf1135-000.html","18.65")</f>
        <v>18.65</v>
      </c>
      <c r="E168" t="s">
        <v>15</v>
      </c>
      <c r="F168" s="52" t="str">
        <f>HYPERLINK("https://www.biocoop.fr/magasin-biocoop_fontaine/marinade-teriyaki-sauce-soja-douce-200ml-mf1135-000.html","888888")</f>
        <v>888888</v>
      </c>
      <c r="G168" t="s">
        <v>99</v>
      </c>
      <c r="H168" s="50" t="str">
        <f>HYPERLINK("https://satoriz-comboire.bio/products/re31762?_pos=2&amp;_sid=a4310e210&amp;_ss=r","17.0")</f>
        <v>17.0</v>
      </c>
      <c r="I168" t="s">
        <v>15</v>
      </c>
      <c r="J168" s="52" t="str">
        <f>HYPERLINK("https://www.greenweez.com/produit/marinade-teriyaki-20cl/1FITN0068","20.4")</f>
        <v>20.4</v>
      </c>
      <c r="K168" s="53" t="s">
        <v>933</v>
      </c>
    </row>
    <row r="169" spans="1:12" x14ac:dyDescent="0.3">
      <c r="A169" t="s">
        <v>383</v>
      </c>
      <c r="B169" s="52" t="str">
        <f>HYPERLINK("https://lafourche.fr/products/prosain-coulis-de-tomates-du-sud-ouest-bio-425ml","3.63")</f>
        <v>3.63</v>
      </c>
      <c r="C169" s="53" t="s">
        <v>1067</v>
      </c>
      <c r="D169" s="52" t="str">
        <f>HYPERLINK("https://www.biocoop.fr/magasin-biocoop_champollion/coulis-de-tomates-pr5266-000.html","4.27")</f>
        <v>4.27</v>
      </c>
      <c r="E169" t="s">
        <v>15</v>
      </c>
      <c r="F169" s="52" t="str">
        <f>HYPERLINK("https://www.biocoop.fr/magasin-biocoop_fontaine/coulis-de-tomates-pr5266-000.html","3.9")</f>
        <v>3.9</v>
      </c>
      <c r="G169" s="51" t="s">
        <v>1068</v>
      </c>
      <c r="H169" s="52" t="str">
        <f>HYPERLINK("https://satoriz-comboire.bio/products/tdsppr5?_pos=4&amp;_sid=41218c552&amp;_ss=r","4.22")</f>
        <v>4.22</v>
      </c>
      <c r="I169" s="53" t="s">
        <v>1069</v>
      </c>
      <c r="J169" s="50" t="str">
        <f>HYPERLINK("https://www.greenweez.com/produit/coulis-de-tomates-bio-500g/2WEEZ0415","2.0")</f>
        <v>2.0</v>
      </c>
      <c r="K169" s="51" t="s">
        <v>1070</v>
      </c>
      <c r="L169">
        <v>0.5</v>
      </c>
    </row>
    <row r="170" spans="1:12" x14ac:dyDescent="0.3">
      <c r="A170" t="s">
        <v>385</v>
      </c>
      <c r="B170" s="50" t="str">
        <f>HYPERLINK("https://lafourche.fr/products/la-fourche-passata-bio-0-68kg","2.28")</f>
        <v>2.28</v>
      </c>
      <c r="C170" s="51" t="s">
        <v>848</v>
      </c>
      <c r="D170" s="52" t="str">
        <f>HYPERLINK("https://www.biocoop.fr/magasin-biocoop_champollion/sauce-tomate-passata-rustique-510g-ts5102-000.html","5.86")</f>
        <v>5.86</v>
      </c>
      <c r="E170" t="s">
        <v>15</v>
      </c>
      <c r="F170" s="52" t="str">
        <f>HYPERLINK("https://www.biocoop.fr/magasin-biocoop_fontaine/sauce-tomate-passata-rustique-510g-ts5102-000.html","5.49")</f>
        <v>5.49</v>
      </c>
      <c r="G170" t="s">
        <v>15</v>
      </c>
      <c r="H170" s="50" t="str">
        <f>HYPERLINK("https://satoriz-comboire.bio/products/re43264?_pos=1&amp;_sid=c9497427a&amp;_ss=r","2.28")</f>
        <v>2.28</v>
      </c>
      <c r="I170" t="s">
        <v>15</v>
      </c>
      <c r="J170" s="52" t="str">
        <f>HYPERLINK("https://www.greenweez.com/produit/sauce-tomate-passata-nature-690g-1/1LUCE0026","3.1")</f>
        <v>3.1</v>
      </c>
      <c r="K170" s="53" t="s">
        <v>1071</v>
      </c>
    </row>
    <row r="171" spans="1:12" x14ac:dyDescent="0.3">
      <c r="A171" t="s">
        <v>389</v>
      </c>
      <c r="B171" s="50" t="str">
        <f>HYPERLINK("https://lafourche.fr/products/bio-pour-tous-passata-basilic-bio-0-68kg","2.35")</f>
        <v>2.35</v>
      </c>
      <c r="C171" s="51" t="s">
        <v>850</v>
      </c>
      <c r="D171" s="52" t="str">
        <f>HYPERLINK("https://www.biocoop.fr/magasin-biocoop_champollion/sauce-tomate-basilic-300g-ts5100-000.html","5.83")</f>
        <v>5.83</v>
      </c>
      <c r="E171" s="51" t="s">
        <v>1072</v>
      </c>
      <c r="F171" s="52" t="str">
        <f>HYPERLINK("https://www.biocoop.fr/magasin-biocoop_fontaine/passata-au-basilic-350g-ts5128-000.html","6.0")</f>
        <v>6.0</v>
      </c>
      <c r="G171" t="s">
        <v>15</v>
      </c>
      <c r="H171" s="50" t="str">
        <f>HYPERLINK("https://satoriz-comboire.bio/collections/epicerie-salee/products/re43265","2.35")</f>
        <v>2.35</v>
      </c>
      <c r="I171" t="s">
        <v>15</v>
      </c>
      <c r="J171" s="52" t="str">
        <f>HYPERLINK("https://www.greenweez.com/produit/passata-basilic-680g/1LUCE0028","3.66")</f>
        <v>3.66</v>
      </c>
      <c r="K171" s="53" t="s">
        <v>1073</v>
      </c>
    </row>
    <row r="172" spans="1:12" x14ac:dyDescent="0.3">
      <c r="A172" t="s">
        <v>393</v>
      </c>
      <c r="B172" s="50" t="str">
        <f>HYPERLINK("https://lafourche.fr/products/la-fourche-tomates-pelees-bio-800g-0-8kg","2.37")</f>
        <v>2.37</v>
      </c>
      <c r="C172" t="s">
        <v>15</v>
      </c>
      <c r="D172" s="52" t="str">
        <f>HYPERLINK("https://www.biocoop.fr/magasin-biocoop_champollion/tomates-entieres-pelees-240g-net-egoutte-ca0004-000.html","8.17")</f>
        <v>8.17</v>
      </c>
      <c r="E172" t="s">
        <v>15</v>
      </c>
      <c r="F172" s="52" t="str">
        <f>HYPERLINK("https://www.biocoop.fr/magasin-biocoop_fontaine/tomates-entieres-pelees-480g-net-egoutte-ca0014-000.html","5.52")</f>
        <v>5.52</v>
      </c>
      <c r="G172" t="s">
        <v>15</v>
      </c>
      <c r="H172" s="52" t="str">
        <f>HYPERLINK("https://satoriz-comboire.bio/products/re43269?_pos=1&amp;_sid=31eef6622&amp;_ss=r","4.06")</f>
        <v>4.06</v>
      </c>
      <c r="I172" s="51" t="s">
        <v>1074</v>
      </c>
      <c r="J172" s="52" t="str">
        <f>HYPERLINK("https://www.greenweez.com/produit/tomates-pelees-format-familial-800g/1LUCE0032","3.06")</f>
        <v>3.06</v>
      </c>
      <c r="K172" s="51" t="s">
        <v>1075</v>
      </c>
    </row>
    <row r="173" spans="1:12" x14ac:dyDescent="0.3">
      <c r="A173" t="s">
        <v>396</v>
      </c>
      <c r="B173" s="50" t="str">
        <f>HYPERLINK("https://lafourche.fr/products/la-fourche-tomates-concassees-bio-800g-0-8kg","2.44")</f>
        <v>2.44</v>
      </c>
      <c r="C173" t="s">
        <v>15</v>
      </c>
      <c r="D173" s="52" t="str">
        <f>HYPERLINK("https://www.biocoop.fr/magasin-biocoop_champollion/tomates-concassees-400g-ca0006-000.html","4.45")</f>
        <v>4.45</v>
      </c>
      <c r="E173" t="s">
        <v>15</v>
      </c>
      <c r="F173" s="52" t="str">
        <f>HYPERLINK("https://www.biocoop.fr/magasin-biocoop_fontaine/tomates-concassees-400g-ca0006-000.html","3.5")</f>
        <v>3.5</v>
      </c>
      <c r="G173" t="s">
        <v>15</v>
      </c>
      <c r="H173" s="52" t="str">
        <f>HYPERLINK("https://satoriz-comboire.bio/products/re43267?_pos=1&amp;_psq=Tomates%20concass%C3%A9e&amp;_ss=e&amp;_v=1.0","4.38")</f>
        <v>4.38</v>
      </c>
      <c r="I173" t="s">
        <v>15</v>
      </c>
      <c r="J173" s="52" t="str">
        <f>HYPERLINK("https://www.greenweez.com/produit/tomates-concassees-400g-1/1LUCE0025","4.35")</f>
        <v>4.35</v>
      </c>
      <c r="K173" s="53" t="s">
        <v>1076</v>
      </c>
    </row>
    <row r="175" spans="1:12" ht="18" customHeight="1" x14ac:dyDescent="0.35">
      <c r="A175" s="46" t="s">
        <v>398</v>
      </c>
      <c r="B175" s="47"/>
      <c r="C175" s="47"/>
      <c r="D175" s="47"/>
      <c r="E175" s="47"/>
      <c r="F175" s="47"/>
      <c r="G175" s="47"/>
      <c r="H175" s="47"/>
      <c r="I175" s="47"/>
      <c r="J175" s="47"/>
      <c r="K175" s="47"/>
    </row>
    <row r="176" spans="1:12" x14ac:dyDescent="0.3">
      <c r="A176" s="48" t="s">
        <v>399</v>
      </c>
      <c r="B176" s="49"/>
      <c r="C176" s="49"/>
      <c r="D176" s="49"/>
      <c r="E176" s="49"/>
      <c r="F176" s="49"/>
      <c r="G176" s="49"/>
      <c r="H176" s="49"/>
      <c r="I176" s="49"/>
      <c r="J176" s="49"/>
      <c r="K176" s="49"/>
    </row>
    <row r="177" spans="1:12" x14ac:dyDescent="0.3">
      <c r="A177" t="s">
        <v>400</v>
      </c>
      <c r="B177" s="50" t="str">
        <f>HYPERLINK("https://lafourche.fr/products/la-pateliere-arome-naturel-fleur-d-oranger-bio-1l","7.39")</f>
        <v>7.39</v>
      </c>
      <c r="C177" t="s">
        <v>15</v>
      </c>
      <c r="D177" s="52" t="str">
        <f>HYPERLINK("https://www.biocoop.fr/magasin-biocoop_champollion/eau-de-fleur-d-oranger-50ml-ck2004-000.html","72.0")</f>
        <v>72.0</v>
      </c>
      <c r="E177" t="s">
        <v>15</v>
      </c>
      <c r="F177" s="52" t="str">
        <f>HYPERLINK("https://www.biocoop.fr/magasin-biocoop_fontaine/eau-de-fleur-d-oranger-50ml-ck2004-000.html","73.0")</f>
        <v>73.0</v>
      </c>
      <c r="G177" t="s">
        <v>15</v>
      </c>
      <c r="H177" s="52" t="str">
        <f>HYPERLINK("https://satoriz-comboire.bio/collections/epicerie-sucree/products/sero20201","10.45")</f>
        <v>10.45</v>
      </c>
      <c r="I177" t="s">
        <v>15</v>
      </c>
      <c r="J177" s="52" t="str">
        <f>HYPERLINK("https://www.greenweez.com/produit/eau-florale-de-fleur-doranger-200ml/1LADR0102","37.05")</f>
        <v>37.05</v>
      </c>
      <c r="K177" s="53" t="s">
        <v>1077</v>
      </c>
    </row>
    <row r="178" spans="1:12" x14ac:dyDescent="0.3">
      <c r="A178" t="s">
        <v>401</v>
      </c>
      <c r="B178" s="50" t="str">
        <f>HYPERLINK("https://lafourche.fr/products/culinat-arome-naturel-damande-amere-bio-0-06l","57.17")</f>
        <v>57.17</v>
      </c>
      <c r="C178" t="s">
        <v>15</v>
      </c>
      <c r="D178" s="52" t="str">
        <f>HYPERLINK("https://www.biocoop.fr/magasin-biocoop_champollion/arome-amande-amere-60ml-bp5140-000.html","888888")</f>
        <v>888888</v>
      </c>
      <c r="E178" t="s">
        <v>99</v>
      </c>
      <c r="F178" s="52" t="str">
        <f>HYPERLINK("https://www.biocoop.fr/magasin-biocoop_fontaine/arome-amande-amere-60ml-bp5140-000.html","62.5")</f>
        <v>62.5</v>
      </c>
      <c r="G178" t="s">
        <v>15</v>
      </c>
      <c r="H178">
        <v>888888</v>
      </c>
      <c r="J178" s="52" t="str">
        <f>HYPERLINK("https://www.greenweez.com/produit/arome-naturel-damande-amere-60ml/1CULI0015","66.5")</f>
        <v>66.5</v>
      </c>
      <c r="K178" t="s">
        <v>15</v>
      </c>
    </row>
    <row r="179" spans="1:12" x14ac:dyDescent="0.3">
      <c r="A179" t="s">
        <v>402</v>
      </c>
      <c r="B179" s="52" t="str">
        <f>HYPERLINK("https://lafourche.fr/products/cook-extrait-de-vanille-40ml","267.25")</f>
        <v>267.25</v>
      </c>
      <c r="C179" s="51" t="s">
        <v>1078</v>
      </c>
      <c r="D179" s="52" t="str">
        <f>HYPERLINK("https://www.biocoop.fr/magasin-biocoop_champollion/extrait-naturel-de-vanille-bourbon-40ml-da9015-000.html","287.5")</f>
        <v>287.5</v>
      </c>
      <c r="E179" t="s">
        <v>15</v>
      </c>
      <c r="F179" s="52" t="str">
        <f>HYPERLINK("https://www.biocoop.fr/magasin-biocoop_fontaine/extrait-naturel-de-vanille-bourbon-40ml-da9015-000.html","888888")</f>
        <v>888888</v>
      </c>
      <c r="G179" t="s">
        <v>99</v>
      </c>
      <c r="H179" s="50" t="str">
        <f>HYPERLINK("https://satoriz-comboire.bio/collections/epicerie-sucree/products/cova","263.75")</f>
        <v>263.75</v>
      </c>
      <c r="I179" t="s">
        <v>15</v>
      </c>
      <c r="J179" s="52" t="str">
        <f>HYPERLINK("https://www.greenweez.com/produit/extrait-de-vanille-30ml/6NATU0064","888888")</f>
        <v>888888</v>
      </c>
      <c r="K179" s="56" t="s">
        <v>1079</v>
      </c>
    </row>
    <row r="180" spans="1:12" x14ac:dyDescent="0.3">
      <c r="A180" t="s">
        <v>403</v>
      </c>
      <c r="B180" s="52" t="str">
        <f>HYPERLINK("https://lafourche.fr/products/cook-vanille-gousse-poudre-10g","1079")</f>
        <v>1079</v>
      </c>
      <c r="C180" s="51" t="s">
        <v>790</v>
      </c>
      <c r="D180">
        <v>888888</v>
      </c>
      <c r="F180">
        <v>888888</v>
      </c>
      <c r="H180" s="50" t="str">
        <f>HYPERLINK("https://satoriz-comboire.bio/collections/epicerie-sucree/products/covanil1","1040.0")</f>
        <v>1040.0</v>
      </c>
      <c r="I180" t="s">
        <v>15</v>
      </c>
      <c r="J180" s="52" t="str">
        <f>HYPERLINK("https://www.greenweez.com/produit/vanille-poudre-bio-10g/1COOK0108","1194.0")</f>
        <v>1194.0</v>
      </c>
      <c r="K180" t="s">
        <v>15</v>
      </c>
    </row>
    <row r="181" spans="1:12" x14ac:dyDescent="0.3">
      <c r="A181" t="s">
        <v>404</v>
      </c>
      <c r="B181" s="50" t="str">
        <f>HYPERLINK("https://lafourche.fr/products/culinat-poudre-a-lever-sans-phosphate-bio-8x10g","15.13")</f>
        <v>15.13</v>
      </c>
      <c r="C181" t="s">
        <v>15</v>
      </c>
      <c r="D181" s="52" t="str">
        <f>HYPERLINK("https://www.biocoop.fr/magasin-biocoop_champollion/poudre-a-lever-sans-gluten-8x10g-bp5153-000.html","888888")</f>
        <v>888888</v>
      </c>
      <c r="E181" t="s">
        <v>99</v>
      </c>
      <c r="F181" s="52" t="str">
        <f>HYPERLINK("https://www.biocoop.fr/magasin-biocoop_fontaine/poudre-a-lever-sans-gluten-8x10g-bp5153-000.html","19.75")</f>
        <v>19.75</v>
      </c>
      <c r="G181" t="s">
        <v>15</v>
      </c>
      <c r="H181" s="52" t="str">
        <f>HYPERLINK("https://satoriz-comboire.bio/products/pu7980?_pos=2&amp;_sid=ac4ce57b8&amp;_ss=r","16.67")</f>
        <v>16.67</v>
      </c>
      <c r="I181" t="s">
        <v>15</v>
      </c>
      <c r="J181" s="52" t="str">
        <f>HYPERLINK("https://www.greenweez.com/produit/poudre-a-lever-sans-phosphate-sans-gluten-8x10g/1CULI0011","17.75")</f>
        <v>17.75</v>
      </c>
      <c r="K181" t="s">
        <v>15</v>
      </c>
    </row>
    <row r="182" spans="1:12" x14ac:dyDescent="0.3">
      <c r="A182" t="s">
        <v>405</v>
      </c>
      <c r="B182" s="50" t="str">
        <f>HYPERLINK("https://lafourche.fr/products/natali-levure-boulangere-seche-54g","79.44")</f>
        <v>79.44</v>
      </c>
      <c r="C182" t="s">
        <v>15</v>
      </c>
      <c r="D182" s="52" t="str">
        <f>HYPERLINK("https://www.biocoop.fr/magasin-biocoop_champollion/levure-boulangere-active-9g-ag2001-000.html","105.56")</f>
        <v>105.56</v>
      </c>
      <c r="E182" t="s">
        <v>15</v>
      </c>
      <c r="F182" s="52" t="str">
        <f>HYPERLINK("https://www.biocoop.fr/magasin-biocoop_fontaine/levure-boulangere-active-9g-ag2001-000.html","105.56")</f>
        <v>105.56</v>
      </c>
      <c r="G182" t="s">
        <v>15</v>
      </c>
      <c r="H182" s="52" t="str">
        <f>HYPERLINK("https://satoriz-comboire.bio/products/ralesa?_pos=3&amp;_sid=177cf0bd8&amp;_ss=r","88.89")</f>
        <v>88.89</v>
      </c>
      <c r="I182" t="s">
        <v>15</v>
      </c>
      <c r="J182" s="52" t="str">
        <f>HYPERLINK("https://www.greenweez.com/produit/levure-boulangere-deshydratee-9-g/1RAPU0061","105.56")</f>
        <v>105.56</v>
      </c>
      <c r="K182" t="s">
        <v>15</v>
      </c>
    </row>
    <row r="183" spans="1:12" x14ac:dyDescent="0.3">
      <c r="A183" t="s">
        <v>406</v>
      </c>
      <c r="B183" s="50" t="str">
        <f>HYPERLINK("https://lafourche.fr/products/natali-agar-agar-bio-en-poudre-50g","119.8")</f>
        <v>119.8</v>
      </c>
      <c r="C183" s="53" t="s">
        <v>1080</v>
      </c>
      <c r="D183" s="52" t="str">
        <f>HYPERLINK("https://www.biocoop.fr/magasin-biocoop_champollion/agar-agar-5x4g-na5186-000.html","175.0")</f>
        <v>175.0</v>
      </c>
      <c r="E183" t="s">
        <v>15</v>
      </c>
      <c r="F183" s="52" t="str">
        <f>HYPERLINK("https://www.biocoop.fr/magasin-biocoop_fontaine/agar-agar-5x4g-na5186-000.html","175.0")</f>
        <v>175.0</v>
      </c>
      <c r="G183" t="s">
        <v>15</v>
      </c>
      <c r="H183" s="52" t="str">
        <f>HYPERLINK("https://satoriz-comboire.bio/collections/epicerie-sucree/products/na510120","123.0")</f>
        <v>123.0</v>
      </c>
      <c r="I183" t="s">
        <v>15</v>
      </c>
      <c r="J183" s="52" t="str">
        <f>HYPERLINK("https://www.greenweez.com/produit/agar-agar-5-sachets-de-4g/6NATU0140","149.5")</f>
        <v>149.5</v>
      </c>
      <c r="K183" s="51" t="s">
        <v>1081</v>
      </c>
    </row>
    <row r="184" spans="1:12" x14ac:dyDescent="0.3">
      <c r="A184" t="s">
        <v>407</v>
      </c>
      <c r="B184" s="52" t="str">
        <f>HYPERLINK("https://lafourche.fr/products/la-fourche-noix-de-coco-rapee-bio-en-vrac-0-5kg","7")</f>
        <v>7</v>
      </c>
      <c r="C184" t="s">
        <v>15</v>
      </c>
      <c r="D184" s="52" t="str">
        <f>HYPERLINK("https://www.biocoop.fr/magasin-biocoop_champollion/noix-de-coco-rapee-philippines-bio-by0922-000.html","9.09")</f>
        <v>9.09</v>
      </c>
      <c r="E184" s="51" t="s">
        <v>1047</v>
      </c>
      <c r="F184" s="52" t="str">
        <f>HYPERLINK("https://www.biocoop.fr/magasin-biocoop_fontaine/noix-de-coco-rapee-philippines-bio-by0922-000.html","7.57")</f>
        <v>7.57</v>
      </c>
      <c r="G184" s="51" t="s">
        <v>1082</v>
      </c>
      <c r="H184" s="50" t="str">
        <f>HYPERLINK("https://satoriz-comboire.bio/products/ag0103?_pos=1&amp;_sid=044dfd52e&amp;_ss=r","5.95")</f>
        <v>5.95</v>
      </c>
      <c r="I184" t="s">
        <v>15</v>
      </c>
      <c r="J184" s="52" t="str">
        <f>HYPERLINK("https://www.greenweez.com/produit/noix-de-coco-rapee-250g/1MKAL0101","9.96")</f>
        <v>9.96</v>
      </c>
      <c r="K184" s="53" t="s">
        <v>1083</v>
      </c>
    </row>
    <row r="185" spans="1:12" x14ac:dyDescent="0.3">
      <c r="A185" s="48" t="s">
        <v>408</v>
      </c>
      <c r="B185" s="49"/>
      <c r="C185" s="49"/>
      <c r="D185" s="49"/>
      <c r="E185" s="49"/>
      <c r="F185" s="49"/>
      <c r="G185" s="49"/>
      <c r="H185" s="49"/>
      <c r="I185" s="49"/>
      <c r="J185" s="49"/>
      <c r="K185" s="49"/>
    </row>
    <row r="186" spans="1:12" x14ac:dyDescent="0.3">
      <c r="A186" t="s">
        <v>409</v>
      </c>
      <c r="B186" s="52" t="str">
        <f>HYPERLINK("https://lafourche.fr/products/la-fourche-cookies-gout-tout-choco-bio-0-175kg","13.09")</f>
        <v>13.09</v>
      </c>
      <c r="C186" s="53" t="s">
        <v>1084</v>
      </c>
      <c r="D186" s="50" t="str">
        <f>HYPERLINK("https://www.biocoop.fr/magasin-biocoop_champollion/cookie-cacao-et-pepites-de-chocolat-12-200g-ba7001-000.html","12.25")</f>
        <v>12.25</v>
      </c>
      <c r="E186" t="s">
        <v>15</v>
      </c>
      <c r="F186" s="50" t="str">
        <f>HYPERLINK("https://www.biocoop.fr/magasin-biocoop_fontaine/cookie-cacao-et-pepites-de-chocolat-12-200g-ba7001-000.html","12.25")</f>
        <v>12.25</v>
      </c>
      <c r="G186" t="s">
        <v>15</v>
      </c>
      <c r="H186" s="52" t="str">
        <f>HYPERLINK("https://satoriz-comboire.bio/products/mpi1vr002?_pos=2&amp;_psq=cookies&amp;_ss=e&amp;_v=1.0","16.55")</f>
        <v>16.55</v>
      </c>
      <c r="I186" s="53" t="s">
        <v>1085</v>
      </c>
      <c r="J186" s="52" t="str">
        <f>HYPERLINK("https://www.greenweez.com/produit/cookies-tout-chocolat-1-5kg/2BELL0421","24.54")</f>
        <v>24.54</v>
      </c>
      <c r="K186" t="s">
        <v>15</v>
      </c>
      <c r="L186">
        <v>0.2</v>
      </c>
    </row>
    <row r="187" spans="1:12" x14ac:dyDescent="0.3">
      <c r="A187" t="s">
        <v>410</v>
      </c>
      <c r="B187" s="50" t="str">
        <f>HYPERLINK("https://lafourche.fr/products/la-fourche-petits-beurres-bio-0-15kg","8.8")</f>
        <v>8.8</v>
      </c>
      <c r="C187" t="s">
        <v>15</v>
      </c>
      <c r="D187" s="52" t="str">
        <f>HYPERLINK("https://www.biocoop.fr/magasin-biocoop_champollion/biscuit-petit-beurre-ble-complet-15-140g-ba7000-000.html","11.43")</f>
        <v>11.43</v>
      </c>
      <c r="E187" t="s">
        <v>15</v>
      </c>
      <c r="F187" s="52" t="str">
        <f>HYPERLINK("https://www.biocoop.fr/magasin-biocoop_fontaine/biscuit-petit-beurre-ble-complet-15-140g-ba7000-000.html","11.43")</f>
        <v>11.43</v>
      </c>
      <c r="G187" t="s">
        <v>15</v>
      </c>
      <c r="H187" s="52" t="str">
        <f>HYPERLINK("https://satoriz-comboire.bio/products/eu279?_pos=1&amp;_sid=e4bdc4aa2&amp;_ss=r","15.33")</f>
        <v>15.33</v>
      </c>
      <c r="I187" t="s">
        <v>15</v>
      </c>
      <c r="J187" s="52" t="str">
        <f>HYPERLINK("https://www.greenweez.com/produit/biscuits-ptit-beurre-155g/2MOUL0011","16.84")</f>
        <v>16.84</v>
      </c>
      <c r="K187" s="53" t="s">
        <v>1086</v>
      </c>
    </row>
    <row r="188" spans="1:12" x14ac:dyDescent="0.3">
      <c r="A188" t="s">
        <v>411</v>
      </c>
      <c r="B188" s="50" t="str">
        <f>HYPERLINK("https://lafourche.fr/products/bio-pour-tous-petits-beurres-chocolat-noir-bio-0-15kg","19.93")</f>
        <v>19.93</v>
      </c>
      <c r="C188" s="53" t="s">
        <v>1087</v>
      </c>
      <c r="D188" s="50" t="str">
        <f>HYPERLINK("https://www.biocoop.fr/magasin-biocoop_champollion/biscuit-petit-beurre-chocolat-noir-150g-bv5002-000.html","19.93")</f>
        <v>19.93</v>
      </c>
      <c r="E188" s="53" t="s">
        <v>735</v>
      </c>
      <c r="F188" s="50" t="str">
        <f>HYPERLINK("https://www.biocoop.fr/magasin-biocoop_fontaine/biscuit-petit-beurre-chocolat-noir-150g-bv5002-000.html","19.93")</f>
        <v>19.93</v>
      </c>
      <c r="G188" s="53" t="s">
        <v>735</v>
      </c>
      <c r="H188" s="52" t="str">
        <f>HYPERLINK("https://satoriz-comboire.bio/products/re41657?_pos=7&amp;_sid=e4bdc4aa2&amp;_ss=r","21.33")</f>
        <v>21.33</v>
      </c>
      <c r="I188" s="53" t="s">
        <v>1088</v>
      </c>
      <c r="J188" s="52" t="str">
        <f>HYPERLINK("https://www.greenweez.com/produit/ptits-beurre-chocolat-noir-150g/1BTER0166","36.6")</f>
        <v>36.6</v>
      </c>
      <c r="K188" s="53" t="s">
        <v>1089</v>
      </c>
      <c r="L188">
        <v>0.2</v>
      </c>
    </row>
    <row r="189" spans="1:12" x14ac:dyDescent="0.3">
      <c r="A189" t="s">
        <v>412</v>
      </c>
      <c r="B189" s="50" t="str">
        <f>HYPERLINK("https://lafourche.fr/products/bonneterre-genoises-chocolat-coeur-orange-bio-0-15kg","19")</f>
        <v>19</v>
      </c>
      <c r="C189" t="s">
        <v>15</v>
      </c>
      <c r="D189" s="52" t="str">
        <f>HYPERLINK("https://www.biocoop.fr/magasin-biocoop_champollion/biscuit-nappe-orange-noir-tentation-130g-ca1141-000.html","28.46")</f>
        <v>28.46</v>
      </c>
      <c r="E189" t="s">
        <v>15</v>
      </c>
      <c r="F189" s="52" t="str">
        <f>HYPERLINK("https://www.biocoop.fr/magasin-biocoop_fontaine/biscuit-nappe-orange-noir-tentation-130g-ca1141-000.html","888888")</f>
        <v>888888</v>
      </c>
      <c r="G189" t="s">
        <v>99</v>
      </c>
      <c r="H189" s="52" t="str">
        <f>HYPERLINK("https://satoriz-comboire.bio/collections/epicerie-sucree/products/mpie006","28.08")</f>
        <v>28.08</v>
      </c>
      <c r="I189" s="53" t="s">
        <v>1090</v>
      </c>
      <c r="J189" s="52" t="str">
        <f>HYPERLINK("https://www.greenweez.com/produit/biscuits-tentation-orange-130g/2MOUL0007","888888")</f>
        <v>888888</v>
      </c>
      <c r="K189" t="s">
        <v>99</v>
      </c>
    </row>
    <row r="190" spans="1:12" x14ac:dyDescent="0.3">
      <c r="A190" t="s">
        <v>413</v>
      </c>
      <c r="B190" s="52" t="str">
        <f>HYPERLINK("https://lafourche.fr/products/bio-pour-tous-gouters-fourres-ronds-chocolat-noir-bio-0-185kg","15.19")</f>
        <v>15.19</v>
      </c>
      <c r="C190" s="53" t="s">
        <v>520</v>
      </c>
      <c r="D190" s="50" t="str">
        <f>HYPERLINK("https://www.biocoop.fr/magasin-biocoop_champollion/biscuit-fourre-epeautre-cacao-15-pm1899-000.html","9.97")</f>
        <v>9.97</v>
      </c>
      <c r="E190" t="s">
        <v>15</v>
      </c>
      <c r="F190" s="50" t="str">
        <f>HYPERLINK("https://www.biocoop.fr/magasin-biocoop_fontaine/biscuit-fourre-epeautre-cacao-15-pm1899-000.html","9.97")</f>
        <v>9.97</v>
      </c>
      <c r="G190" t="s">
        <v>15</v>
      </c>
      <c r="H190" s="52" t="str">
        <f>HYPERLINK("https://satoriz-comboire.bio/collections/epicerie-sucree/products/re41660","14.05")</f>
        <v>14.05</v>
      </c>
      <c r="I190" s="53" t="s">
        <v>1091</v>
      </c>
      <c r="J190" s="52" t="str">
        <f>HYPERLINK("https://www.greenweez.com/produit/gouter-chocolat-noir-225g/3EVER0030","16.04")</f>
        <v>16.04</v>
      </c>
      <c r="K190" s="51" t="s">
        <v>229</v>
      </c>
      <c r="L190">
        <v>0.2</v>
      </c>
    </row>
    <row r="191" spans="1:12" x14ac:dyDescent="0.3">
      <c r="A191" t="s">
        <v>414</v>
      </c>
      <c r="B191" s="50" t="str">
        <f>HYPERLINK("https://lafourche.fr/products/moulin-des-moines-boudoirs-princesse-bio-200g","9.95")</f>
        <v>9.95</v>
      </c>
      <c r="C191" t="s">
        <v>15</v>
      </c>
      <c r="D191" s="52" t="str">
        <f>HYPERLINK("https://www.biocoop.fr/magasin-biocoop_champollion/boudoirs-aux-oeufs-frais-30-175g-bv6000-000.html","14.0")</f>
        <v>14.0</v>
      </c>
      <c r="E191" t="s">
        <v>15</v>
      </c>
      <c r="F191" s="52" t="str">
        <f>HYPERLINK("https://www.biocoop.fr/magasin-biocoop_fontaine/boudoirs-aux-oeufs-frais-30-175g-bv6000-000.html","14.0")</f>
        <v>14.0</v>
      </c>
      <c r="G191" t="s">
        <v>15</v>
      </c>
      <c r="H191" s="52" t="str">
        <f>HYPERLINK("https://satoriz-comboire.bio/products/re41663?_pos=2&amp;_sid=8a641806d&amp;_ss=r","12.57")</f>
        <v>12.57</v>
      </c>
      <c r="I191" t="s">
        <v>15</v>
      </c>
      <c r="J191" s="52" t="str">
        <f>HYPERLINK("https://www.greenweez.com/produit/boudoirs-200g/1MOUL0009","11.45")</f>
        <v>11.45</v>
      </c>
      <c r="K191" s="53" t="s">
        <v>222</v>
      </c>
    </row>
    <row r="192" spans="1:12" x14ac:dyDescent="0.3">
      <c r="A192" t="s">
        <v>415</v>
      </c>
      <c r="B192" s="50" t="str">
        <f>HYPERLINK("https://lafourche.fr/products/la-fourche-biscuits-petit-dejeuner-choco-noisette-bio-0-2kg","13.45")</f>
        <v>13.45</v>
      </c>
      <c r="C192" s="53" t="s">
        <v>871</v>
      </c>
      <c r="D192">
        <v>888888</v>
      </c>
      <c r="F192">
        <v>888888</v>
      </c>
      <c r="H192" s="52" t="str">
        <f>HYPERLINK("https://satoriz-comboire.bio/collections/epicerie-sucree/products/mpi0534","17.63")</f>
        <v>17.63</v>
      </c>
      <c r="I192" s="53" t="s">
        <v>1092</v>
      </c>
      <c r="J192" s="52" t="str">
        <f>HYPERLINK("https://www.greenweez.com/produit/ptit-dej-bio-cereales-chocolat-190g/2MOUL0024","18.63")</f>
        <v>18.63</v>
      </c>
      <c r="K192" s="53" t="s">
        <v>1093</v>
      </c>
    </row>
    <row r="193" spans="1:12" x14ac:dyDescent="0.3">
      <c r="A193" t="s">
        <v>416</v>
      </c>
      <c r="B193" s="50" t="str">
        <f>HYPERLINK("https://lafourche.fr/products/biscuits-ptit-dej-cereales-miel-et-chocolat","15.37")</f>
        <v>15.37</v>
      </c>
      <c r="C193" s="53" t="s">
        <v>1094</v>
      </c>
      <c r="D193" s="52" t="str">
        <f>HYPERLINK("https://www.biocoop.fr/magasin-biocoop_champollion/biscuit-cereales-miel-chocolat-190g-ca1149-000.html","18.95")</f>
        <v>18.95</v>
      </c>
      <c r="E193" s="53" t="s">
        <v>1095</v>
      </c>
      <c r="F193" s="52" t="str">
        <f>HYPERLINK("https://www.biocoop.fr/magasin-biocoop_fontaine/biscuit-cereales-miel-chocolat-190g-ca1149-000.html","16.32")</f>
        <v>16.32</v>
      </c>
      <c r="G193" s="51" t="s">
        <v>1096</v>
      </c>
      <c r="H193" s="52" t="str">
        <f>HYPERLINK("https://satoriz-comboire.bio/collections/epicerie-sucree/products/mpi0534","17.63")</f>
        <v>17.63</v>
      </c>
      <c r="I193" s="53" t="s">
        <v>1092</v>
      </c>
      <c r="J193" s="52" t="str">
        <f>HYPERLINK("https://www.greenweez.com/produit/ptit-dej-bio-chocolat-miel-190g/2MOUL0025","18.47")</f>
        <v>18.47</v>
      </c>
      <c r="K193" s="53" t="s">
        <v>1097</v>
      </c>
      <c r="L193">
        <v>0.2</v>
      </c>
    </row>
    <row r="194" spans="1:12" x14ac:dyDescent="0.3">
      <c r="A194" s="48" t="s">
        <v>417</v>
      </c>
      <c r="B194" s="49"/>
      <c r="C194" s="49"/>
      <c r="D194" s="49"/>
      <c r="E194" s="49"/>
      <c r="F194" s="49"/>
      <c r="G194" s="49"/>
      <c r="H194" s="49"/>
      <c r="I194" s="49"/>
      <c r="J194" s="49"/>
      <c r="K194" s="49"/>
    </row>
    <row r="195" spans="1:12" x14ac:dyDescent="0.3">
      <c r="A195" t="s">
        <v>418</v>
      </c>
      <c r="B195" s="50" t="str">
        <f>HYPERLINK("https://lafourche.fr/products/la-fourche-palets-de-chocolat-noir-57-bio-en-vrac-0-5kg","11.78")</f>
        <v>11.78</v>
      </c>
      <c r="C195" s="53" t="s">
        <v>1098</v>
      </c>
      <c r="D195" s="52" t="str">
        <f>HYPERLINK("https://www.biocoop.fr/magasin-biocoop_champollion/chocolat-noir-dessert-palets-58-bio-po0450-000.html","16.23")</f>
        <v>16.23</v>
      </c>
      <c r="E195" s="53" t="s">
        <v>1099</v>
      </c>
      <c r="F195" s="52" t="str">
        <f>HYPERLINK("https://www.biocoop.fr/magasin-biocoop_fontaine/chocolat-noir-palet-54-bio-da9010-000.html","15.21")</f>
        <v>15.21</v>
      </c>
      <c r="G195" s="53" t="s">
        <v>1100</v>
      </c>
      <c r="H195" s="52" t="str">
        <f>HYPERLINK("https://satoriz-comboire.bio/collections/vrac/products/ma8069","21.3")</f>
        <v>21.3</v>
      </c>
      <c r="I195" s="53" t="s">
        <v>1101</v>
      </c>
      <c r="J195" s="52" t="str">
        <f>HYPERLINK("https://www.greenweez.com/produit/palets-de-chocolat-noir-58-1kg/1KAOK0016","27.78")</f>
        <v>27.78</v>
      </c>
      <c r="K195" s="53" t="s">
        <v>1102</v>
      </c>
    </row>
    <row r="196" spans="1:12" x14ac:dyDescent="0.3">
      <c r="A196" t="s">
        <v>422</v>
      </c>
      <c r="B196" s="52" t="str">
        <f>HYPERLINK("https://lafourche.fr/products/la-fourche-pepites-de-chocolat-noir-60-bio-equitable-2-5kg","15.41")</f>
        <v>15.41</v>
      </c>
      <c r="C196" t="s">
        <v>15</v>
      </c>
      <c r="D196" s="52" t="str">
        <f>HYPERLINK("https://www.biocoop.fr/magasin-biocoop_champollion/chocolat-noir-pepites-60-by0943-000.html","26.0")</f>
        <v>26.0</v>
      </c>
      <c r="E196" s="53" t="s">
        <v>738</v>
      </c>
      <c r="F196" s="50" t="str">
        <f>HYPERLINK("https://www.biocoop.fr/magasin-biocoop_fontaine/chocolat-noir-pepites-60-bio-po0448-000.html","12.95")</f>
        <v>12.95</v>
      </c>
      <c r="G196" t="s">
        <v>15</v>
      </c>
      <c r="H196" s="52" t="str">
        <f>HYPERLINK("https://satoriz-comboire.bio/collections/vrac/products/ma73001","21.5")</f>
        <v>21.5</v>
      </c>
      <c r="I196" s="53" t="s">
        <v>1103</v>
      </c>
      <c r="J196" s="52" t="str">
        <f>HYPERLINK("https://www.greenweez.com/produit/pepites-de-chocolat-noir-60-de-cacao-5kg/1SENF0062","21.7")</f>
        <v>21.7</v>
      </c>
      <c r="K196" s="53" t="s">
        <v>1104</v>
      </c>
      <c r="L196">
        <v>0.2</v>
      </c>
    </row>
    <row r="197" spans="1:12" x14ac:dyDescent="0.3">
      <c r="A197" t="s">
        <v>425</v>
      </c>
      <c r="B197" s="52" t="str">
        <f>HYPERLINK("https://lafourche.fr/products/la-fourche-pepites-de-chocolat-lait-36-bio-en-vrac-0-5kg","14.98")</f>
        <v>14.98</v>
      </c>
      <c r="C197" s="51" t="s">
        <v>1105</v>
      </c>
      <c r="D197" s="52" t="str">
        <f>HYPERLINK("https://www.biocoop.fr/magasin-biocoop_champollion/chocolat-lait-pepites-38-bio-da9007-000.html","888888")</f>
        <v>888888</v>
      </c>
      <c r="E197" t="s">
        <v>99</v>
      </c>
      <c r="F197" s="50" t="str">
        <f>HYPERLINK("https://www.biocoop.fr/magasin-biocoop_fontaine/chocolat-lait-pepites-38-bio-da9007-000.html","13.52")</f>
        <v>13.52</v>
      </c>
      <c r="G197" s="51" t="s">
        <v>748</v>
      </c>
      <c r="H197" s="52" t="str">
        <f>HYPERLINK("https://satoriz-comboire.bio/collections/vrac/products/ma00074","30.5")</f>
        <v>30.5</v>
      </c>
      <c r="I197" s="53" t="s">
        <v>1106</v>
      </c>
      <c r="J197" s="52" t="str">
        <f>HYPERLINK("https://www.greenweez.com/produit/pepites-de-chocolat-au-lait-36-bio-et-equitables-500g/2WEEZ0400","25.88")</f>
        <v>25.88</v>
      </c>
      <c r="K197" s="53" t="s">
        <v>84</v>
      </c>
    </row>
    <row r="198" spans="1:12" x14ac:dyDescent="0.3">
      <c r="A198" t="s">
        <v>427</v>
      </c>
      <c r="B198" s="52" t="str">
        <f>HYPERLINK("https://lafourche.fr/products/chocolat-patissier-56-bio","20.5")</f>
        <v>20.5</v>
      </c>
      <c r="C198" s="53" t="s">
        <v>1107</v>
      </c>
      <c r="D198" s="52" t="str">
        <f>HYPERLINK("https://www.biocoop.fr/magasin-biocoop_champollion/chocolat-noir-dessert-56-200g-bc4128-000.html","19.75")</f>
        <v>19.75</v>
      </c>
      <c r="E198" s="53" t="s">
        <v>1108</v>
      </c>
      <c r="F198" s="52" t="str">
        <f>HYPERLINK("https://www.biocoop.fr/magasin-biocoop_fontaine/chocolat-noir-dessert-58-200g-aa0106-000.html","24.0")</f>
        <v>24.0</v>
      </c>
      <c r="G198" s="53" t="s">
        <v>1109</v>
      </c>
      <c r="H198" s="50" t="str">
        <f>HYPERLINK("https://satoriz-comboire.bio/collections/epicerie-sucree/products/bt2411","18.25")</f>
        <v>18.25</v>
      </c>
      <c r="I198" s="53" t="s">
        <v>1110</v>
      </c>
      <c r="J198" s="52" t="str">
        <f>HYPERLINK("https://www.greenweez.com/produit/lot-de-3-chocolats-noirs-dessert-bio-56-200g/1PACK3608","24.5")</f>
        <v>24.5</v>
      </c>
      <c r="K198" s="53" t="s">
        <v>1111</v>
      </c>
    </row>
    <row r="199" spans="1:12" x14ac:dyDescent="0.3">
      <c r="A199" t="s">
        <v>431</v>
      </c>
      <c r="B199" s="50" t="str">
        <f>HYPERLINK("https://lafourche.fr/products/chocolat-noir-a-la-fleur-de-sel-la-fourche-bio","28")</f>
        <v>28</v>
      </c>
      <c r="C199" s="53" t="s">
        <v>153</v>
      </c>
      <c r="D199" s="50" t="str">
        <f>HYPERLINK("https://www.biocoop.fr/magasin-biocoop_champollion/chocolat-noir-fleur-de-sel-70-100g-bc4129-000.html","28.0")</f>
        <v>28.0</v>
      </c>
      <c r="E199" s="53" t="s">
        <v>1112</v>
      </c>
      <c r="F199" s="52" t="str">
        <f>HYPERLINK("https://www.biocoop.fr/magasin-biocoop_fontaine/chocolat-noir-fleur-de-sel-70-100g-po0456-000.html","39.9")</f>
        <v>39.9</v>
      </c>
      <c r="G199" s="53" t="s">
        <v>1113</v>
      </c>
      <c r="H199" s="52" t="str">
        <f>HYPERLINK("https://satoriz-comboire.bio/collections/epicerie-sucree/products/ma7079","37.0")</f>
        <v>37.0</v>
      </c>
      <c r="I199" s="53" t="s">
        <v>1114</v>
      </c>
      <c r="J199" s="52" t="str">
        <f>HYPERLINK("https://www.greenweez.com/produit/lot-de-3-chocolats-noirs-bio-70-fleur-de-sel-100g/1PACK3610","29.2")</f>
        <v>29.2</v>
      </c>
      <c r="K199" s="53" t="s">
        <v>1115</v>
      </c>
    </row>
    <row r="200" spans="1:12" x14ac:dyDescent="0.3">
      <c r="A200" t="s">
        <v>435</v>
      </c>
      <c r="B200" s="52" t="str">
        <f>HYPERLINK("https://lafourche.fr/products/chocolat-noir-55p-a-lorange","33")</f>
        <v>33</v>
      </c>
      <c r="C200" s="53" t="s">
        <v>1116</v>
      </c>
      <c r="D200" s="52" t="str">
        <f>HYPERLINK("https://www.biocoop.fr/magasin-biocoop_champollion/chocolat-noir-orange-58-100g-po0424-000.html","888888")</f>
        <v>888888</v>
      </c>
      <c r="E200" t="s">
        <v>99</v>
      </c>
      <c r="F200" s="50" t="str">
        <f>HYPERLINK("https://www.biocoop.fr/magasin-biocoop_fontaine/chocolat-noir-orange-58-100g-po0424-000.html","29.9")</f>
        <v>29.9</v>
      </c>
      <c r="G200" s="53" t="s">
        <v>63</v>
      </c>
      <c r="H200" s="52" t="str">
        <f>HYPERLINK("https://satoriz-comboire.bio/collections/epicerie-sucree/products/ma1213","37.0")</f>
        <v>37.0</v>
      </c>
      <c r="I200" s="53" t="s">
        <v>1114</v>
      </c>
      <c r="J200" s="52" t="str">
        <f>HYPERLINK("https://www.greenweez.com/produit/tablette-chocolat-noir-orange-100g/1EURO0003","41.8")</f>
        <v>41.8</v>
      </c>
      <c r="K200" s="53" t="s">
        <v>1117</v>
      </c>
    </row>
    <row r="201" spans="1:12" x14ac:dyDescent="0.3">
      <c r="A201" s="48" t="s">
        <v>438</v>
      </c>
      <c r="B201" s="49"/>
      <c r="C201" s="49"/>
      <c r="D201" s="49"/>
      <c r="E201" s="49"/>
      <c r="F201" s="49"/>
      <c r="G201" s="49"/>
      <c r="H201" s="49"/>
      <c r="I201" s="49"/>
      <c r="J201" s="49"/>
      <c r="K201" s="49"/>
    </row>
    <row r="202" spans="1:12" x14ac:dyDescent="0.3">
      <c r="A202" t="s">
        <v>439</v>
      </c>
      <c r="B202" s="50" t="str">
        <f>HYPERLINK("https://lafourche.fr/products/sojade-so-soja-dessert-vanille-uht-bio-0-53kg","4.15")</f>
        <v>4.15</v>
      </c>
      <c r="C202" s="51" t="s">
        <v>1118</v>
      </c>
      <c r="D202" s="52" t="str">
        <f>HYPERLINK("https://www.biocoop.fr/magasin-biocoop_champollion/so-soja-vanille-ti3031-000.html","4.72")</f>
        <v>4.72</v>
      </c>
      <c r="E202" t="s">
        <v>15</v>
      </c>
      <c r="F202" s="52" t="str">
        <f>HYPERLINK("https://www.biocoop.fr/magasin-biocoop_fontaine/so-soja-vanille-ti3031-000.html","4.72")</f>
        <v>4.72</v>
      </c>
      <c r="G202" t="s">
        <v>15</v>
      </c>
      <c r="H202" s="52" t="str">
        <f>HYPERLINK("https://satoriz-comboire.bio/collections/epicerie-sucree/products/fr18736","4.62")</f>
        <v>4.62</v>
      </c>
      <c r="I202" t="s">
        <v>15</v>
      </c>
      <c r="J202" s="52" t="str">
        <f>HYPERLINK("https://www.greenweez.com/","888888")</f>
        <v>888888</v>
      </c>
      <c r="K202" t="s">
        <v>99</v>
      </c>
    </row>
    <row r="203" spans="1:12" x14ac:dyDescent="0.3">
      <c r="A203" s="48" t="s">
        <v>246</v>
      </c>
      <c r="B203" s="49"/>
      <c r="C203" s="49"/>
      <c r="D203" s="49"/>
      <c r="E203" s="49"/>
      <c r="F203" s="49"/>
      <c r="G203" s="49"/>
      <c r="H203" s="49"/>
      <c r="I203" s="49"/>
      <c r="J203" s="49"/>
      <c r="K203" s="49"/>
    </row>
    <row r="204" spans="1:12" x14ac:dyDescent="0.3">
      <c r="A204" t="s">
        <v>441</v>
      </c>
      <c r="B204" s="50" t="str">
        <f>HYPERLINK("https://lafourche.fr/products/la-fourche-puree-pommes-bio-0-915kg","3.88")</f>
        <v>3.88</v>
      </c>
      <c r="C204" s="51" t="s">
        <v>855</v>
      </c>
      <c r="D204" s="52" t="str">
        <f>HYPERLINK("https://www.biocoop.fr/magasin-biocoop_champollion/puree-pomme-pr5264-000.html","4.51")</f>
        <v>4.51</v>
      </c>
      <c r="E204" t="s">
        <v>15</v>
      </c>
      <c r="F204" s="52" t="str">
        <f>HYPERLINK("https://www.biocoop.fr/magasin-biocoop_fontaine/puree-pomme-pr5264-000.html","4.51")</f>
        <v>4.51</v>
      </c>
      <c r="G204" t="s">
        <v>15</v>
      </c>
      <c r="H204" s="52" t="str">
        <f>HYPERLINK("https://satoriz-comboire.bio/collections/epicerie-sucree/products/cn0849","4.74")</f>
        <v>4.74</v>
      </c>
      <c r="I204" t="s">
        <v>15</v>
      </c>
      <c r="J204" s="52" t="str">
        <f>HYPERLINK("https://www.greenweez.com/produit/puree-de-pommes-bio-700g/2WEEZ0536","4.97")</f>
        <v>4.97</v>
      </c>
      <c r="K204" s="53" t="s">
        <v>1119</v>
      </c>
    </row>
    <row r="205" spans="1:12" x14ac:dyDescent="0.3">
      <c r="A205" t="s">
        <v>443</v>
      </c>
      <c r="B205" s="50" t="str">
        <f>HYPERLINK("https://lafourche.fr/products/la-fourche-puree-pommes-poires-bio-0-915kg","4.54")</f>
        <v>4.54</v>
      </c>
      <c r="C205" t="s">
        <v>15</v>
      </c>
      <c r="D205" s="52" t="str">
        <f>HYPERLINK("https://www.biocoop.fr/magasin-biocoop_champollion/puree-pomme-poire-he2002-000.html","6.12")</f>
        <v>6.12</v>
      </c>
      <c r="E205" t="s">
        <v>15</v>
      </c>
      <c r="F205" s="52" t="str">
        <f>HYPERLINK("https://www.biocoop.fr/magasin-biocoop_fontaine/puree-pomme-poire-1-05kg-dn1113-000.html","6.48")</f>
        <v>6.48</v>
      </c>
      <c r="G205" t="s">
        <v>15</v>
      </c>
      <c r="H205" s="52" t="str">
        <f>HYPERLINK("https://satoriz-comboire.bio/products/ar00021?_pos=2&amp;_psq=pomme%20poire&amp;_ss=e&amp;_v=1.0","888888")</f>
        <v>888888</v>
      </c>
      <c r="I205" s="56" t="s">
        <v>1120</v>
      </c>
      <c r="J205" s="52" t="str">
        <f>HYPERLINK("https://www.greenweez.com/produit/puree-pomme-poire-bio-700g/2WEEZ0538","5.64")</f>
        <v>5.64</v>
      </c>
      <c r="K205" s="53" t="s">
        <v>1121</v>
      </c>
    </row>
    <row r="206" spans="1:12" x14ac:dyDescent="0.3">
      <c r="A206" t="s">
        <v>445</v>
      </c>
      <c r="B206" s="50" t="str">
        <f>HYPERLINK("https://lafourche.fr/products/compote-danival-dani-pom-pomme-banane-1-05kg-bio","5.15")</f>
        <v>5.15</v>
      </c>
      <c r="C206" s="53" t="s">
        <v>116</v>
      </c>
      <c r="D206" s="52" t="str">
        <f>HYPERLINK("https://www.biocoop.fr/magasin-biocoop_champollion/puree-de-pommes-et-bananes-cn0219-000.html","6.2")</f>
        <v>6.2</v>
      </c>
      <c r="E206" t="s">
        <v>15</v>
      </c>
      <c r="F206" s="52" t="str">
        <f>HYPERLINK("https://www.biocoop.fr/magasin-biocoop_fontaine/puree-de-pommes-et-bananes-cn0219-000.html","6.2")</f>
        <v>6.2</v>
      </c>
      <c r="G206" t="s">
        <v>15</v>
      </c>
      <c r="H206" s="52" t="str">
        <f>HYPERLINK("https://satoriz-comboire.bio/products/da01440?_pos=2&amp;_psq=pomme%20banane&amp;_ss=e&amp;_v=1.0","5.62")</f>
        <v>5.62</v>
      </c>
      <c r="I206" t="s">
        <v>15</v>
      </c>
      <c r="J206" s="52" t="str">
        <f>HYPERLINK("https://www.greenweez.com/produit/dessert-pomme-banane-1-05kg/1DANI0190","5.62")</f>
        <v>5.62</v>
      </c>
      <c r="K206" s="51" t="s">
        <v>1122</v>
      </c>
    </row>
    <row r="207" spans="1:12" x14ac:dyDescent="0.3">
      <c r="A207" t="s">
        <v>448</v>
      </c>
      <c r="B207" s="50" t="str">
        <f>HYPERLINK("https://lafourche.fr/products/sojade-so-soja-dessert-chocolat-uht-bio-0-53kg","4.25")</f>
        <v>4.25</v>
      </c>
      <c r="C207" s="51" t="s">
        <v>1123</v>
      </c>
      <c r="D207" s="52" t="str">
        <f>HYPERLINK("https://www.biocoop.fr/magasin-biocoop_champollion/so-soja-chocolat-ti3030-000.html","5.94")</f>
        <v>5.94</v>
      </c>
      <c r="E207" t="s">
        <v>15</v>
      </c>
      <c r="F207" s="52" t="str">
        <f>HYPERLINK("https://www.biocoop.fr/magasin-biocoop_fontaine/so-soja-chocolat-ti3030-000.html","5.0")</f>
        <v>5.0</v>
      </c>
      <c r="G207" t="s">
        <v>15</v>
      </c>
      <c r="H207" s="52" t="str">
        <f>HYPERLINK("https://satoriz-comboire.bio/collections/epicerie-sucree/products/fr18734","4.62")</f>
        <v>4.62</v>
      </c>
      <c r="I207" t="s">
        <v>15</v>
      </c>
      <c r="J207" s="52" t="str">
        <f>HYPERLINK("https://www.greenweez.com/","888888")</f>
        <v>888888</v>
      </c>
      <c r="K207" t="s">
        <v>99</v>
      </c>
    </row>
    <row r="208" spans="1:12" x14ac:dyDescent="0.3">
      <c r="A208" s="48" t="s">
        <v>449</v>
      </c>
      <c r="B208" s="49"/>
      <c r="C208" s="49"/>
      <c r="D208" s="49"/>
      <c r="E208" s="49"/>
      <c r="F208" s="49"/>
      <c r="G208" s="49"/>
      <c r="H208" s="49"/>
      <c r="I208" s="49"/>
      <c r="J208" s="49"/>
      <c r="K208" s="49"/>
    </row>
    <row r="209" spans="1:12" x14ac:dyDescent="0.3">
      <c r="A209" t="s">
        <v>450</v>
      </c>
      <c r="B209" s="52" t="str">
        <f>HYPERLINK("https://lafourche.fr/products/elibio-cereales-fourrees-tout-chocolat-bio-375g","10.13")</f>
        <v>10.13</v>
      </c>
      <c r="C209" s="53" t="s">
        <v>1124</v>
      </c>
      <c r="D209" s="52" t="str">
        <f>HYPERLINK("https://www.biocoop.fr/magasin-biocoop_champollion/ka-re-fourres-chocolat-noisettes-bio-lg2005-000.html","9.26")</f>
        <v>9.26</v>
      </c>
      <c r="E209" s="51" t="s">
        <v>1047</v>
      </c>
      <c r="F209" s="50" t="str">
        <f>HYPERLINK("https://www.biocoop.fr/magasin-biocoop_fontaine/ka-re-fourres-chocolat-noisettes-bio-lg2005-000.html","8.46")</f>
        <v>8.46</v>
      </c>
      <c r="G209" s="51" t="s">
        <v>1125</v>
      </c>
      <c r="H209" s="52" t="str">
        <f>HYPERLINK("https://satoriz-comboire.bio/collections/vrac/products/gr554","10.7")</f>
        <v>10.7</v>
      </c>
      <c r="I209" t="s">
        <v>15</v>
      </c>
      <c r="J209" s="52" t="str">
        <f>HYPERLINK("https://www.greenweez.com/produit/cereales-kare-fourrees-chocolat-noisettes-500g/1GRIL0036","13.16")</f>
        <v>13.16</v>
      </c>
      <c r="K209" s="53" t="s">
        <v>1126</v>
      </c>
    </row>
    <row r="210" spans="1:12" x14ac:dyDescent="0.3">
      <c r="A210" t="s">
        <v>455</v>
      </c>
      <c r="B210" s="52" t="str">
        <f>HYPERLINK("https://lafourche.fr/products/grillon-dor-chocolune-bio-0-375kg","9.31")</f>
        <v>9.31</v>
      </c>
      <c r="C210" s="51" t="s">
        <v>1127</v>
      </c>
      <c r="D210" s="50" t="str">
        <f>HYPERLINK("https://www.biocoop.fr/magasin-biocoop_champollion/crosti-griffs-choco-10kg-bio-pr5170-000.html","7.64")</f>
        <v>7.64</v>
      </c>
      <c r="E210" s="51" t="s">
        <v>970</v>
      </c>
      <c r="F210" s="50" t="str">
        <f>HYPERLINK("https://www.biocoop.fr/magasin-biocoop_fontaine/crosti-griffs-choco-10kg-bio-pr5170-000.html","7.64")</f>
        <v>7.64</v>
      </c>
      <c r="G210" s="51" t="s">
        <v>970</v>
      </c>
      <c r="H210" s="52" t="str">
        <f>HYPERLINK("https://satoriz-comboire.bio/collections/vrac/products/grexch","8.1")</f>
        <v>8.1</v>
      </c>
      <c r="I210" t="s">
        <v>15</v>
      </c>
      <c r="J210" s="52" t="str">
        <f>HYPERLINK("https://www.greenweez.com/produit/cereales-chocolune-375g/1GRIL0051","10.19")</f>
        <v>10.19</v>
      </c>
      <c r="K210" s="51" t="s">
        <v>832</v>
      </c>
    </row>
    <row r="211" spans="1:12" x14ac:dyDescent="0.3">
      <c r="A211" t="s">
        <v>458</v>
      </c>
      <c r="B211" s="50" t="str">
        <f>HYPERLINK("https://lafourche.fr/products/cereales-mops-au-miel","9.33")</f>
        <v>9.33</v>
      </c>
      <c r="C211" s="51" t="s">
        <v>1128</v>
      </c>
      <c r="D211" s="52" t="str">
        <f>HYPERLINK("https://www.biocoop.fr/magasin-biocoop_champollion/mops-miel-lg2066-000.html","11.0")</f>
        <v>11.0</v>
      </c>
      <c r="E211" t="s">
        <v>15</v>
      </c>
      <c r="F211" s="52" t="str">
        <f>HYPERLINK("https://www.biocoop.fr/magasin-biocoop_fontaine/mops-miel-lg2066-000.html","11.0")</f>
        <v>11.0</v>
      </c>
      <c r="G211" t="s">
        <v>15</v>
      </c>
      <c r="H211" s="52" t="str">
        <f>HYPERLINK("https://satoriz-comboire.bio/products/gr375m?_pos=1&amp;_sid=0bc07d989&amp;_ss=r","10.67")</f>
        <v>10.67</v>
      </c>
      <c r="I211" s="53" t="s">
        <v>858</v>
      </c>
      <c r="J211" s="52" t="str">
        <f>HYPERLINK("https://www.greenweez.com/produit/cereales-mops-miel-300g/1GRIL0172","10.5")</f>
        <v>10.5</v>
      </c>
      <c r="K211" t="s">
        <v>15</v>
      </c>
    </row>
    <row r="212" spans="1:12" x14ac:dyDescent="0.3">
      <c r="A212" t="s">
        <v>460</v>
      </c>
      <c r="B212" s="52" t="str">
        <f>HYPERLINK("https://lafourche.fr/products/la-fourche-1kg-de-petits-flocons-d-avoine-en-vrac-france-bio","2.53")</f>
        <v>2.53</v>
      </c>
      <c r="C212" s="53" t="s">
        <v>859</v>
      </c>
      <c r="D212" s="50" t="str">
        <f>HYPERLINK("https://www.biocoop.fr/magasin-biocoop_champollion/flocons-d-avoine-petits-non-toastes-bio-pr5344-000.html","2.42")</f>
        <v>2.42</v>
      </c>
      <c r="E212" s="51" t="s">
        <v>1129</v>
      </c>
      <c r="F212" s="50" t="str">
        <f>HYPERLINK("https://www.biocoop.fr/magasin-biocoop_fontaine/flocons-d-avoine-petits-non-toastes-bio-pr5344-000.html","2.42")</f>
        <v>2.42</v>
      </c>
      <c r="G212" s="51" t="s">
        <v>1129</v>
      </c>
      <c r="H212" s="52" t="str">
        <f>HYPERLINK("https://satoriz-comboire.bio/products/cefap25?_pos=5&amp;_sid=da63f8fb6&amp;_ss=r","2.85")</f>
        <v>2.85</v>
      </c>
      <c r="I212" s="51" t="s">
        <v>1130</v>
      </c>
      <c r="J212" s="52" t="str">
        <f>HYPERLINK("https://www.greenweez.com/produit/flocons-davoine-petit-bio-1-5kg/2WEEZ0129","2.99")</f>
        <v>2.99</v>
      </c>
      <c r="K212" s="53" t="s">
        <v>180</v>
      </c>
      <c r="L212">
        <v>0.1</v>
      </c>
    </row>
    <row r="213" spans="1:12" x14ac:dyDescent="0.3">
      <c r="A213" t="s">
        <v>463</v>
      </c>
      <c r="B213" s="50" t="str">
        <f>HYPERLINK("https://lafourche.fr/products/la-fourche-1kg-de-gros-flocons-davoine-bio-en-vrac","2.53")</f>
        <v>2.53</v>
      </c>
      <c r="C213" s="53" t="s">
        <v>859</v>
      </c>
      <c r="D213" s="52" t="str">
        <f>HYPERLINK("https://www.biocoop.fr/magasin-biocoop_champollion/flocons-d-avoine-gros-bio-lg2061-000.html","3.35")</f>
        <v>3.35</v>
      </c>
      <c r="E213" s="51" t="s">
        <v>854</v>
      </c>
      <c r="F213" s="52" t="str">
        <f>HYPERLINK("https://www.biocoop.fr/magasin-biocoop_fontaine/flocons-d-avoine-gros-bio-lg2061-000.html","3.31")</f>
        <v>3.31</v>
      </c>
      <c r="G213" s="51" t="s">
        <v>853</v>
      </c>
      <c r="H213" s="52" t="str">
        <f>HYPERLINK("https://satoriz-comboire.bio/products/cefag-10?_pos=14&amp;_sid=da63f8fb6&amp;_ss=r","3.05")</f>
        <v>3.05</v>
      </c>
      <c r="I213" t="s">
        <v>15</v>
      </c>
      <c r="J213" s="52" t="str">
        <f>HYPERLINK("https://www.greenweez.com/produit/flocons-davoine-gros-bio-1-5kg/2WEEZ0531","2.99")</f>
        <v>2.99</v>
      </c>
      <c r="K213" s="53" t="s">
        <v>272</v>
      </c>
    </row>
    <row r="214" spans="1:12" x14ac:dyDescent="0.3">
      <c r="A214" t="s">
        <v>465</v>
      </c>
      <c r="B214" s="50" t="str">
        <f>HYPERLINK("https://lafourche.fr/products/la-fourche-1kg-de-muesli-5-cereales-en-vrac-bio","4.5")</f>
        <v>4.5</v>
      </c>
      <c r="C214" t="s">
        <v>15</v>
      </c>
      <c r="D214" s="52" t="str">
        <f>HYPERLINK("https://www.biocoop.fr/magasin-biocoop_champollion/muesli-graines-et-fruits-secs-1kg-lg1713-000.html","7.37")</f>
        <v>7.37</v>
      </c>
      <c r="E214" t="s">
        <v>15</v>
      </c>
      <c r="F214" s="52" t="str">
        <f>HYPERLINK("https://www.biocoop.fr/magasin-biocoop_fontaine/muesli-graines-et-fruits-secs-1kg-lg1713-000.html","7.35")</f>
        <v>7.35</v>
      </c>
      <c r="G214" t="s">
        <v>15</v>
      </c>
      <c r="H214" s="52" t="str">
        <f>HYPERLINK("https://satoriz-comboire.bio/products/ce25b?_pos=1&amp;_sid=67fc15be8&amp;_ss=r","5.8")</f>
        <v>5.8</v>
      </c>
      <c r="I214" t="s">
        <v>15</v>
      </c>
      <c r="J214" s="52" t="str">
        <f>HYPERLINK("https://www.greenweez.com/produit/muesli-5-cereales-500g/1CELN0029","6.92")</f>
        <v>6.92</v>
      </c>
      <c r="K214" t="s">
        <v>15</v>
      </c>
    </row>
    <row r="215" spans="1:12" x14ac:dyDescent="0.3">
      <c r="A215" t="s">
        <v>466</v>
      </c>
      <c r="B215" s="52" t="str">
        <f>HYPERLINK("https://lafourche.fr/products/grillon-mueslifruits-1kg","5.46")</f>
        <v>5.46</v>
      </c>
      <c r="C215" t="s">
        <v>15</v>
      </c>
      <c r="D215" s="50" t="str">
        <f>HYPERLINK("https://www.biocoop.fr/magasin-biocoop_champollion/muesli-aux-fruits-bio-pr5343-000.html","4.54")</f>
        <v>4.54</v>
      </c>
      <c r="E215" s="51" t="s">
        <v>734</v>
      </c>
      <c r="F215" s="52" t="str">
        <f>HYPERLINK("https://www.biocoop.fr/magasin-biocoop_fontaine/muesli-aux-fruits-bio-pr5343-000.html","4.7")</f>
        <v>4.7</v>
      </c>
      <c r="G215" t="s">
        <v>15</v>
      </c>
      <c r="H215" s="52" t="str">
        <f>HYPERLINK("https://satoriz-comboire.bio/products/ce0990?_pos=1&amp;_sid=93dc83ac9&amp;_ss=r","4.95")</f>
        <v>4.95</v>
      </c>
      <c r="I215" t="s">
        <v>15</v>
      </c>
      <c r="J215" s="52" t="str">
        <f>HYPERLINK("https://www.greenweez.com/produit/muesli-fruits-1kg/1GRIL0001","6.39")</f>
        <v>6.39</v>
      </c>
      <c r="K215" s="53" t="s">
        <v>1049</v>
      </c>
    </row>
    <row r="216" spans="1:12" x14ac:dyDescent="0.3">
      <c r="A216" t="s">
        <v>467</v>
      </c>
      <c r="B216" s="50" t="str">
        <f>HYPERLINK("https://lafourche.fr/products/la-fourche-muesli-croustillant-nature-bio-1kg","4.79")</f>
        <v>4.79</v>
      </c>
      <c r="C216" t="s">
        <v>15</v>
      </c>
      <c r="D216" s="52" t="str">
        <f>HYPERLINK("https://www.biocoop.fr/magasin-biocoop_champollion/muesli-croustillant-essentiel-1kg-aa0122-000.html","6.95")</f>
        <v>6.95</v>
      </c>
      <c r="E216" t="s">
        <v>15</v>
      </c>
      <c r="F216" s="52" t="str">
        <f>HYPERLINK("https://www.biocoop.fr/magasin-biocoop_fontaine/krounchy-nature-lg2007-000.html","7.0")</f>
        <v>7.0</v>
      </c>
      <c r="G216" t="s">
        <v>15</v>
      </c>
      <c r="H216" s="52" t="str">
        <f>HYPERLINK("https://satoriz-comboire.bio/products/gr2953?_pos=2&amp;_sid=b5ee3b45c&amp;_ss=r","5.15")</f>
        <v>5.15</v>
      </c>
      <c r="I216" t="s">
        <v>15</v>
      </c>
      <c r="J216" s="52" t="str">
        <f>HYPERLINK("https://www.greenweez.com/produit/krounchy-nature-1kg/1GRIL0018","5.94")</f>
        <v>5.94</v>
      </c>
      <c r="K216" s="53" t="s">
        <v>1131</v>
      </c>
    </row>
    <row r="217" spans="1:12" x14ac:dyDescent="0.3">
      <c r="A217" t="s">
        <v>468</v>
      </c>
      <c r="B217" s="50" t="str">
        <f>HYPERLINK("https://lafourche.fr/products/la-fourche-muesli-croustillant-duo-choco-bio-1kg","5.95")</f>
        <v>5.95</v>
      </c>
      <c r="C217" t="s">
        <v>15</v>
      </c>
      <c r="D217" s="52" t="str">
        <f>HYPERLINK("https://www.biocoop.fr/magasin-biocoop_champollion/krounchy-epeautre-chocolat-noir-lg1932-000.html","8.7")</f>
        <v>8.7</v>
      </c>
      <c r="E217" t="s">
        <v>15</v>
      </c>
      <c r="F217" s="52" t="str">
        <f>HYPERLINK("https://www.biocoop.fr/magasin-biocoop_fontaine/krounchy-epeautre-chocolat-noir-lg1932-000.html","7.4")</f>
        <v>7.4</v>
      </c>
      <c r="G217" s="51" t="s">
        <v>1082</v>
      </c>
      <c r="H217" s="52" t="str">
        <f>HYPERLINK("https://satoriz-comboire.bio/products/grceee?_pos=1&amp;_sid=b5ee3b45c&amp;_ss=r","6.85")</f>
        <v>6.85</v>
      </c>
      <c r="I217" t="s">
        <v>15</v>
      </c>
      <c r="J217" s="52" t="str">
        <f>HYPERLINK("https://www.greenweez.com/produit/krounchy-chocolat-1kg/1GRIL0020","6.98")</f>
        <v>6.98</v>
      </c>
      <c r="K217" s="53" t="s">
        <v>1132</v>
      </c>
    </row>
    <row r="218" spans="1:12" x14ac:dyDescent="0.3">
      <c r="A218" t="s">
        <v>469</v>
      </c>
      <c r="B218" s="52" t="str">
        <f>HYPERLINK("https://lafourche.fr/products/grillon-krounchy-fruits-rouges-500g","11.9")</f>
        <v>11.9</v>
      </c>
      <c r="C218" s="51" t="s">
        <v>780</v>
      </c>
      <c r="D218" s="52" t="str">
        <f>HYPERLINK("https://www.biocoop.fr/magasin-biocoop_champollion/krounchy-fruits-rouges-lg0966-000.html","14.9")</f>
        <v>14.9</v>
      </c>
      <c r="E218" t="s">
        <v>15</v>
      </c>
      <c r="F218" s="52" t="str">
        <f>HYPERLINK("https://www.biocoop.fr/magasin-biocoop_fontaine/krounchy-fruits-rouges-lg0966-000.html","14.9")</f>
        <v>14.9</v>
      </c>
      <c r="G218" t="s">
        <v>15</v>
      </c>
      <c r="H218" s="52" t="str">
        <f>HYPERLINK("https://satoriz-comboire.bio/products/grcrufr?_pos=13&amp;_sid=b5ee3b45c&amp;_ss=r","14.4")</f>
        <v>14.4</v>
      </c>
      <c r="I218" t="s">
        <v>15</v>
      </c>
      <c r="J218" s="50" t="str">
        <f>HYPERLINK("https://www.greenweez.com/produit/crunchy-fruits-rouges-bio-500g/5GREE0216","9.9")</f>
        <v>9.9</v>
      </c>
      <c r="K218" t="s">
        <v>15</v>
      </c>
    </row>
    <row r="219" spans="1:12" x14ac:dyDescent="0.3">
      <c r="A219" s="48" t="s">
        <v>470</v>
      </c>
      <c r="B219" s="49"/>
      <c r="C219" s="49"/>
      <c r="D219" s="49"/>
      <c r="E219" s="49"/>
      <c r="F219" s="49"/>
      <c r="G219" s="49"/>
      <c r="H219" s="49"/>
      <c r="I219" s="49"/>
      <c r="J219" s="49"/>
      <c r="K219" s="49"/>
    </row>
    <row r="220" spans="1:12" x14ac:dyDescent="0.3">
      <c r="A220" t="s">
        <v>471</v>
      </c>
      <c r="B220" s="52" t="str">
        <f>HYPERLINK("https://lafourche.fr/products/la-fourche-500g-amandes-decortiquees-en-vrac-bio","13.04")</f>
        <v>13.04</v>
      </c>
      <c r="C220" s="51" t="s">
        <v>860</v>
      </c>
      <c r="D220" s="52" t="str">
        <f>HYPERLINK("https://www.biocoop.fr/magasin-biocoop_champollion/amandes-completes-bio-ag3005-000.html","15.9")</f>
        <v>15.9</v>
      </c>
      <c r="E220" t="s">
        <v>15</v>
      </c>
      <c r="F220" s="50" t="str">
        <f>HYPERLINK("https://www.biocoop.fr/magasin-biocoop_fontaine/amande-complete-italie-bio-bc5507-000.html","12.71")</f>
        <v>12.71</v>
      </c>
      <c r="G220" s="51" t="s">
        <v>729</v>
      </c>
      <c r="H220" s="52" t="str">
        <f>HYPERLINK("https://satoriz-comboire.bio/collections/vrac/products/ag0417","13.05")</f>
        <v>13.05</v>
      </c>
      <c r="I220" t="s">
        <v>15</v>
      </c>
      <c r="J220" s="52" t="str">
        <f>HYPERLINK("https://www.greenweez.com/produit/amandes-decortiquees-1kg/2WEEZ0354","15.49")</f>
        <v>15.49</v>
      </c>
      <c r="K220" s="53" t="s">
        <v>1133</v>
      </c>
    </row>
    <row r="221" spans="1:12" x14ac:dyDescent="0.3">
      <c r="A221" t="s">
        <v>476</v>
      </c>
      <c r="B221" s="50" t="str">
        <f>HYPERLINK("https://lafourche.fr/products/la-fourche-noisettes-bio-2-5kg","14.98")</f>
        <v>14.98</v>
      </c>
      <c r="C221" t="s">
        <v>15</v>
      </c>
      <c r="D221" s="52" t="str">
        <f>HYPERLINK("https://www.biocoop.fr/magasin-biocoop_champollion/noisettes-bio-bc5500-000.html","21.5")</f>
        <v>21.5</v>
      </c>
      <c r="E221" s="53" t="s">
        <v>740</v>
      </c>
      <c r="F221" s="52" t="str">
        <f>HYPERLINK("https://www.biocoop.fr/magasin-biocoop_fontaine/noisettes-bio-bc5500-000.html","16.91")</f>
        <v>16.91</v>
      </c>
      <c r="G221" s="51" t="s">
        <v>1134</v>
      </c>
      <c r="H221" s="52" t="str">
        <f>HYPERLINK("https://satoriz-comboire.bio/collections/vrac/products/ag0394","16.65")</f>
        <v>16.65</v>
      </c>
      <c r="I221" t="s">
        <v>15</v>
      </c>
      <c r="J221" s="52" t="str">
        <f>HYPERLINK("https://www.greenweez.com/produit/noisettes-decortiquees-2-5kg/2WEEZ0386","17.58")</f>
        <v>17.58</v>
      </c>
      <c r="K221" s="53" t="s">
        <v>1097</v>
      </c>
    </row>
    <row r="222" spans="1:12" x14ac:dyDescent="0.3">
      <c r="A222" t="s">
        <v>480</v>
      </c>
      <c r="B222" s="52" t="str">
        <f>HYPERLINK("https://lafourche.fr/products/la-fourche-500g-de-noix-de-cajou-bio-en-vrac","16.7")</f>
        <v>16.7</v>
      </c>
      <c r="C222" t="s">
        <v>15</v>
      </c>
      <c r="D222" s="52" t="str">
        <f>HYPERLINK("https://www.biocoop.fr/magasin-biocoop_champollion/noix-de-cajou-bio-ag3057-000.html","19.9")</f>
        <v>19.9</v>
      </c>
      <c r="E222" s="51" t="s">
        <v>742</v>
      </c>
      <c r="F222" s="52" t="str">
        <f>HYPERLINK("https://www.biocoop.fr/magasin-biocoop_fontaine/noix-de-cajou-bio-ag3057-000.html","16.92")</f>
        <v>16.92</v>
      </c>
      <c r="G222" s="51" t="s">
        <v>748</v>
      </c>
      <c r="H222" s="52" t="str">
        <f>HYPERLINK("https://satoriz-comboire.bio/collections/vrac/products/ag0585","16.7")</f>
        <v>16.7</v>
      </c>
      <c r="I222" t="s">
        <v>15</v>
      </c>
      <c r="J222" s="50" t="str">
        <f>HYPERLINK("https://www.greenweez.com/produit/noix-de-cajou-crues-2-5kg/2WEEZ0391","13.98")</f>
        <v>13.98</v>
      </c>
      <c r="K222" s="51" t="s">
        <v>1135</v>
      </c>
    </row>
    <row r="223" spans="1:12" x14ac:dyDescent="0.3">
      <c r="A223" t="s">
        <v>483</v>
      </c>
      <c r="B223" s="52" t="str">
        <f>HYPERLINK("https://lafourche.fr/products/la-fourche-raisins-secs-sultanine-bio-2-5kg","7.2")</f>
        <v>7.2</v>
      </c>
      <c r="C223" t="s">
        <v>15</v>
      </c>
      <c r="D223" s="50" t="str">
        <f>HYPERLINK("https://www.biocoop.fr/magasin-biocoop_champollion/raisins-sultanine-n-9-bio-ag3030-000.html","6.75")</f>
        <v>6.75</v>
      </c>
      <c r="E223" s="51" t="s">
        <v>1129</v>
      </c>
      <c r="F223" s="52" t="str">
        <f>HYPERLINK("https://www.biocoop.fr/magasin-biocoop_fontaine/raisins-sultanine-n-9-bio-ag3030-000.html","6.76")</f>
        <v>6.76</v>
      </c>
      <c r="G223" s="51" t="s">
        <v>748</v>
      </c>
      <c r="H223" s="52" t="str">
        <f>HYPERLINK("https://satoriz-comboire.bio/collections/vrac/products/ag0387","7.2")</f>
        <v>7.2</v>
      </c>
      <c r="I223" t="s">
        <v>15</v>
      </c>
      <c r="J223" s="52" t="str">
        <f>HYPERLINK("https://www.greenweez.com/produit/lot-de-2-raisins-sultanines-bio-500g/1PACK3586","9.8")</f>
        <v>9.8</v>
      </c>
      <c r="K223" t="s">
        <v>15</v>
      </c>
    </row>
    <row r="224" spans="1:12" x14ac:dyDescent="0.3">
      <c r="A224" t="s">
        <v>487</v>
      </c>
      <c r="B224" s="52" t="str">
        <f>HYPERLINK("https://lafourche.fr/products/la-fourche-250g-de-cranberries-en-vrac-bio","14.36")</f>
        <v>14.36</v>
      </c>
      <c r="C224" t="s">
        <v>15</v>
      </c>
      <c r="D224" s="50" t="str">
        <f>HYPERLINK("https://www.biocoop.fr/magasin-biocoop_champollion/cranberry-sechee-canada-bio-ag3039-000.html","13.17")</f>
        <v>13.17</v>
      </c>
      <c r="E224" s="51" t="s">
        <v>967</v>
      </c>
      <c r="F224" s="50" t="str">
        <f>HYPERLINK("https://www.biocoop.fr/magasin-biocoop_fontaine/cranberry-sechee-canada-bio-ag3039-000.html","13.17")</f>
        <v>13.17</v>
      </c>
      <c r="G224" s="51" t="s">
        <v>967</v>
      </c>
      <c r="H224" s="52" t="str">
        <f>HYPERLINK("https://satoriz-comboire.bio/collections/vrac/products/ag0479","15.2")</f>
        <v>15.2</v>
      </c>
      <c r="I224" t="s">
        <v>15</v>
      </c>
      <c r="J224" s="52" t="str">
        <f>HYPERLINK("https://www.greenweez.com/produit/cranberries-demies-bio-500g/2WEEZ0368","15.88")</f>
        <v>15.88</v>
      </c>
      <c r="K224" t="s">
        <v>99</v>
      </c>
    </row>
    <row r="225" spans="1:12" x14ac:dyDescent="0.3">
      <c r="A225" s="48" t="s">
        <v>491</v>
      </c>
      <c r="B225" s="49"/>
      <c r="C225" s="49"/>
      <c r="D225" s="49"/>
      <c r="E225" s="49"/>
      <c r="F225" s="49"/>
      <c r="G225" s="49"/>
      <c r="H225" s="49"/>
      <c r="I225" s="49"/>
      <c r="J225" s="49"/>
      <c r="K225" s="49"/>
    </row>
    <row r="226" spans="1:12" x14ac:dyDescent="0.3">
      <c r="A226" t="s">
        <v>492</v>
      </c>
      <c r="B226" s="50" t="str">
        <f>HYPERLINK("https://lafourche.fr/products/la-fourche-sirop-d-agave-bio-0-5l","6.88")</f>
        <v>6.88</v>
      </c>
      <c r="C226" s="51" t="s">
        <v>862</v>
      </c>
      <c r="D226" s="52" t="str">
        <f>HYPERLINK("https://www.biocoop.fr/magasin-biocoop_champollion/sirop-agave-690g-na6021-000.html","10.13")</f>
        <v>10.13</v>
      </c>
      <c r="E226" t="s">
        <v>15</v>
      </c>
      <c r="F226" s="52" t="str">
        <f>HYPERLINK("https://www.biocoop.fr/magasin-biocoop_fontaine/sirop-agave-690g-na6021-000.html","10.13")</f>
        <v>10.13</v>
      </c>
      <c r="G226" t="s">
        <v>15</v>
      </c>
      <c r="H226" s="52" t="str">
        <f>HYPERLINK("https://satoriz-comboire.bio/collections/epicerie-sucree/products/re39977","8.48")</f>
        <v>8.48</v>
      </c>
      <c r="I226" t="s">
        <v>15</v>
      </c>
      <c r="J226" s="52" t="str">
        <f>HYPERLINK("https://www.greenweez.com/produit/sirop-dagave-330g-1/1MKAL0163","10.33")</f>
        <v>10.33</v>
      </c>
      <c r="K226" s="51" t="s">
        <v>231</v>
      </c>
    </row>
    <row r="227" spans="1:12" x14ac:dyDescent="0.3">
      <c r="A227" s="48" t="s">
        <v>495</v>
      </c>
      <c r="B227" s="49"/>
      <c r="C227" s="49"/>
      <c r="D227" s="49"/>
      <c r="E227" s="49"/>
      <c r="F227" s="49"/>
      <c r="G227" s="49"/>
      <c r="H227" s="49"/>
      <c r="I227" s="49"/>
      <c r="J227" s="49"/>
      <c r="K227" s="49"/>
    </row>
    <row r="228" spans="1:12" x14ac:dyDescent="0.3">
      <c r="A228" t="s">
        <v>496</v>
      </c>
      <c r="B228" s="50" t="str">
        <f>HYPERLINK("https://lafourche.fr/products/la-fourche-farine-de-ble-bio-t65-2-5kg","1.32")</f>
        <v>1.32</v>
      </c>
      <c r="C228" s="53" t="s">
        <v>863</v>
      </c>
      <c r="D228" s="52" t="str">
        <f>HYPERLINK("https://www.biocoop.fr/magasin-biocoop_champollion/farine-de-ble-t65-bio-dm3003-000.html","1.48")</f>
        <v>1.48</v>
      </c>
      <c r="E228" s="51" t="s">
        <v>1136</v>
      </c>
      <c r="F228" s="52" t="str">
        <f>HYPERLINK("https://www.biocoop.fr/magasin-biocoop_fontaine/farine-de-ble-t65-2-5kg-dm3002-000.html","1.58")</f>
        <v>1.58</v>
      </c>
      <c r="G228" t="s">
        <v>15</v>
      </c>
      <c r="H228" s="52" t="str">
        <f>HYPERLINK("https://satoriz-comboire.bio/collections/epicerie-salee/products/pi65","1.65")</f>
        <v>1.65</v>
      </c>
      <c r="I228" s="51" t="s">
        <v>1137</v>
      </c>
      <c r="J228" s="52" t="str">
        <f>HYPERLINK("https://www.greenweez.com/produit/farine-de-ble-t65-meule-france-bio-2-5kg/2WEEZ0239","1.89")</f>
        <v>1.89</v>
      </c>
      <c r="K228" t="s">
        <v>15</v>
      </c>
      <c r="L228">
        <v>1</v>
      </c>
    </row>
    <row r="229" spans="1:12" x14ac:dyDescent="0.3">
      <c r="A229" t="s">
        <v>498</v>
      </c>
      <c r="B229" s="50" t="str">
        <f>HYPERLINK("https://lafourche.fr/products/la-fourche-farine-de-ble-t110-bio-2-5kg","1.6")</f>
        <v>1.6</v>
      </c>
      <c r="C229" s="53" t="s">
        <v>14</v>
      </c>
      <c r="D229" s="52" t="str">
        <f>HYPERLINK("https://www.biocoop.fr/magasin-biocoop_champollion/farine-de-ble-t110-1kg-br0212-000.html","2.8")</f>
        <v>2.8</v>
      </c>
      <c r="E229" t="s">
        <v>15</v>
      </c>
      <c r="F229" s="52" t="str">
        <f>HYPERLINK("https://www.biocoop.fr/magasin-biocoop_fontaine/farine-de-ble-t110-1kg-br0212-000.html","2.79")</f>
        <v>2.79</v>
      </c>
      <c r="G229" t="s">
        <v>15</v>
      </c>
      <c r="H229" s="52" t="str">
        <f>HYPERLINK("https://satoriz-comboire.bio/collections/epicerie-salee/products/pi110","1.65")</f>
        <v>1.65</v>
      </c>
      <c r="I229" s="51" t="s">
        <v>1138</v>
      </c>
      <c r="J229" s="52" t="str">
        <f>HYPERLINK("https://www.greenweez.com/produit/farine-de-ble-demi-complete-t110-2-5kg/1MOUL0318","2.2")</f>
        <v>2.2</v>
      </c>
      <c r="K229" s="53" t="s">
        <v>1139</v>
      </c>
    </row>
    <row r="230" spans="1:12" x14ac:dyDescent="0.3">
      <c r="A230" t="s">
        <v>500</v>
      </c>
      <c r="B230" s="50" t="str">
        <f>HYPERLINK("https://lafourche.fr/products/la-fourche-farine-de-seigle-bio-1kg","1.74")</f>
        <v>1.74</v>
      </c>
      <c r="C230" s="51" t="s">
        <v>1140</v>
      </c>
      <c r="D230" s="52" t="str">
        <f>HYPERLINK("https://www.biocoop.fr/magasin-biocoop_champollion/farine-de-seigle-t130-1kg-br0213-000.html","2.83")</f>
        <v>2.83</v>
      </c>
      <c r="E230" t="s">
        <v>15</v>
      </c>
      <c r="F230" s="52" t="str">
        <f>HYPERLINK("https://www.biocoop.fr/magasin-biocoop_fontaine/farine-de-seigle-t130-1kg-br0213-000.html","2.85")</f>
        <v>2.85</v>
      </c>
      <c r="G230" t="s">
        <v>15</v>
      </c>
      <c r="H230" s="52" t="str">
        <f>HYPERLINK("https://satoriz-comboire.bio/collections/epicerie-salee/products/seix1","2.05")</f>
        <v>2.05</v>
      </c>
      <c r="I230" t="s">
        <v>15</v>
      </c>
      <c r="J230" s="52" t="str">
        <f>HYPERLINK("https://www.greenweez.com/produit/farine-de-seigle-t130-bio-france-2-5kg/2WEEZ0238","1.94")</f>
        <v>1.94</v>
      </c>
      <c r="K230" t="s">
        <v>15</v>
      </c>
    </row>
    <row r="231" spans="1:12" x14ac:dyDescent="0.3">
      <c r="A231" t="s">
        <v>502</v>
      </c>
      <c r="B231" s="50" t="str">
        <f>HYPERLINK("https://lafourche.fr/products/celnat-farine-5-cereales-1kg","2.89")</f>
        <v>2.89</v>
      </c>
      <c r="C231" s="51" t="s">
        <v>1141</v>
      </c>
      <c r="D231" s="52" t="str">
        <f>HYPERLINK("https://www.biocoop.fr/magasin-biocoop_champollion/farine-de-5-cereales-t130-1kg-br0219-000.html","3.2")</f>
        <v>3.2</v>
      </c>
      <c r="E231" t="s">
        <v>15</v>
      </c>
      <c r="F231" s="52" t="str">
        <f>HYPERLINK("https://www.biocoop.fr/magasin-biocoop_fontaine/farine-de-5-cereales-t130-1kg-br0219-000.html","3.2")</f>
        <v>3.2</v>
      </c>
      <c r="G231" t="s">
        <v>15</v>
      </c>
      <c r="H231" s="52" t="str">
        <f>HYPERLINK("https://satoriz-comboire.bio/collections/epicerie-salee/products/cei03003","3.35")</f>
        <v>3.35</v>
      </c>
      <c r="I231" s="51" t="s">
        <v>1142</v>
      </c>
      <c r="J231" s="52" t="str">
        <f>HYPERLINK("https://www.greenweez.com/produit/farine-complete-5-cereales-bio-3kg/5GREE0146","3.09")</f>
        <v>3.09</v>
      </c>
      <c r="K231" s="53" t="s">
        <v>795</v>
      </c>
    </row>
    <row r="232" spans="1:12" x14ac:dyDescent="0.3">
      <c r="A232" t="s">
        <v>505</v>
      </c>
      <c r="B232" s="52" t="str">
        <f>HYPERLINK("https://lafourche.fr/products/la-fourche-1kg-de-sucre-blond-bio-en-vrac","2.7")</f>
        <v>2.7</v>
      </c>
      <c r="C232" t="s">
        <v>15</v>
      </c>
      <c r="D232" s="52" t="str">
        <f>HYPERLINK("https://www.biocoop.fr/magasin-biocoop_champollion/sucre-de-canne-roux-morceaux-irregulier-bio-ne0106-000.html","4.37")</f>
        <v>4.37</v>
      </c>
      <c r="E232" s="51" t="s">
        <v>1044</v>
      </c>
      <c r="F232" s="52" t="str">
        <f>HYPERLINK("https://www.biocoop.fr/magasin-biocoop_fontaine/sucre-canne-blond-bio-ne0107-000.html","2.93")</f>
        <v>2.93</v>
      </c>
      <c r="G232" s="51" t="s">
        <v>737</v>
      </c>
      <c r="H232" s="50" t="str">
        <f>HYPERLINK("https://satoriz-comboire.bio/collections/vrac/products/eu3133","1.95")</f>
        <v>1.95</v>
      </c>
      <c r="I232" t="s">
        <v>15</v>
      </c>
      <c r="J232" s="52" t="str">
        <f>HYPERLINK("https://www.greenweez.com/produit/sucre-brun-de-canne-5kg/1MKAL0177","3.99")</f>
        <v>3.99</v>
      </c>
      <c r="K232" s="53" t="s">
        <v>1143</v>
      </c>
      <c r="L232">
        <v>0.5</v>
      </c>
    </row>
    <row r="233" spans="1:12" x14ac:dyDescent="0.3">
      <c r="A233" t="s">
        <v>509</v>
      </c>
      <c r="B233" s="52" t="str">
        <f>HYPERLINK("https://lafourche.fr/products/la-fourche-1kg-de-sucre-de-canne-complet-dulcita-bio-en-vrac","3.99")</f>
        <v>3.99</v>
      </c>
      <c r="C233" t="s">
        <v>15</v>
      </c>
      <c r="D233" s="52" t="str">
        <f>HYPERLINK("https://www.biocoop.fr/magasin-biocoop_champollion/epicerie-sucree/farines-sucres-aides-a-la-patisserie/sucres.html","4.37")</f>
        <v>4.37</v>
      </c>
      <c r="E233" s="51" t="s">
        <v>1144</v>
      </c>
      <c r="F233" s="52" t="str">
        <f>HYPERLINK("https://www.biocoop.fr/magasin-biocoop_fontaine/sucre-canne-complet-dulcita-1kg-sm0393-000.html","6.1")</f>
        <v>6.1</v>
      </c>
      <c r="G233" t="s">
        <v>15</v>
      </c>
      <c r="H233" s="50" t="str">
        <f>HYPERLINK("https://satoriz-comboire.bio/collections/vrac/products/eu10092","2.95")</f>
        <v>2.95</v>
      </c>
      <c r="I233" s="53" t="s">
        <v>873</v>
      </c>
      <c r="J233" s="52" t="str">
        <f>HYPERLINK("https://www.greenweez.com/produit/sucre-de-canne-complet-bio-500g/2WEEZ0261","5.58")</f>
        <v>5.58</v>
      </c>
      <c r="K233" s="53" t="s">
        <v>1145</v>
      </c>
    </row>
    <row r="234" spans="1:12" x14ac:dyDescent="0.3">
      <c r="A234" s="48" t="s">
        <v>512</v>
      </c>
      <c r="B234" s="49"/>
      <c r="C234" s="49"/>
      <c r="D234" s="49"/>
      <c r="E234" s="49"/>
      <c r="F234" s="49"/>
      <c r="G234" s="49"/>
      <c r="H234" s="49"/>
      <c r="I234" s="49"/>
      <c r="J234" s="49"/>
      <c r="K234" s="49"/>
    </row>
    <row r="235" spans="1:12" x14ac:dyDescent="0.3">
      <c r="A235" t="s">
        <v>513</v>
      </c>
      <c r="B235" s="52" t="str">
        <f>HYPERLINK("https://lafourche.fr/products/la-fourche-pate-a-tartiner-chocolat-noisettes-bio-700g","9.64")</f>
        <v>9.64</v>
      </c>
      <c r="C235" t="s">
        <v>15</v>
      </c>
      <c r="D235" s="52" t="str">
        <f>HYPERLINK("https://www.biocoop.fr/magasin-biocoop_champollion/pate-a-tartiner-noisette-cacao-600g-lg3150-000.html","9.75")</f>
        <v>9.75</v>
      </c>
      <c r="E235" s="51" t="s">
        <v>1146</v>
      </c>
      <c r="F235" s="52" t="str">
        <f>HYPERLINK("https://www.biocoop.fr/magasin-biocoop_fontaine/pate-a-tartiner-noisette-cacao-600g-lg3150-000.html","10.83")</f>
        <v>10.83</v>
      </c>
      <c r="G235" t="s">
        <v>15</v>
      </c>
      <c r="H235" s="52" t="str">
        <f>HYPERLINK("https://satoriz-comboire.bio/collections/epicerie-sucree/products/re40699","11.6")</f>
        <v>11.6</v>
      </c>
      <c r="I235" t="s">
        <v>15</v>
      </c>
      <c r="J235" s="50" t="str">
        <f>HYPERLINK("https://www.greenweez.com/produit/pate-a-tartiner-noisettes-et-cacao-bio-600g/2WEEZ0443","8.42")</f>
        <v>8.42</v>
      </c>
      <c r="K235" s="51" t="s">
        <v>1041</v>
      </c>
      <c r="L235">
        <v>0.5</v>
      </c>
    </row>
    <row r="236" spans="1:12" x14ac:dyDescent="0.3">
      <c r="A236" t="s">
        <v>514</v>
      </c>
      <c r="B236" s="50" t="str">
        <f>HYPERLINK("https://lafourche.fr/products/la-fourche-pate-a-tartiner-chocolat-noisette-bio-0-7kg","9.93")</f>
        <v>9.93</v>
      </c>
      <c r="C236" t="s">
        <v>15</v>
      </c>
      <c r="D236" s="52" t="str">
        <f>HYPERLINK("https://www.biocoop.fr/magasin-biocoop_champollion/pate-a-tartiner-chokenut-700g-np0036-000.html","23.79")</f>
        <v>23.79</v>
      </c>
      <c r="E236" t="s">
        <v>15</v>
      </c>
      <c r="F236" s="52" t="str">
        <f>HYPERLINK("https://www.biocoop.fr/magasin-biocoop_fontaine/pate-a-tartiner-chocolade-sans-lait-350g-he0779-000.html","29.14")</f>
        <v>29.14</v>
      </c>
      <c r="G236" t="s">
        <v>15</v>
      </c>
      <c r="H236" s="52" t="str">
        <f>HYPERLINK("https://satoriz-comboire.bio/collections/epicerie-sucree/products/re43701","12.69")</f>
        <v>12.69</v>
      </c>
      <c r="I236" t="s">
        <v>15</v>
      </c>
      <c r="J236" s="52" t="str">
        <f>HYPERLINK("https://www.greenweez.com/produit/pate-a-tartiner-nocciolata-sans-lait-650g/1NOCC0005","12.22")</f>
        <v>12.22</v>
      </c>
      <c r="K236" s="53" t="s">
        <v>211</v>
      </c>
    </row>
    <row r="237" spans="1:12" x14ac:dyDescent="0.3">
      <c r="A237" t="s">
        <v>517</v>
      </c>
      <c r="B237" s="50" t="str">
        <f>HYPERLINK("https://lafourche.fr/products/natur-avenir-creme-de-marrons-d-ardeche-aop-bio-0-325kg","11.29")</f>
        <v>11.29</v>
      </c>
      <c r="C237" t="s">
        <v>15</v>
      </c>
      <c r="D237" s="52" t="str">
        <f>HYPERLINK("https://www.biocoop.fr/magasin-biocoop_champollion/creme-de-chataigne-360g-dm0709-000.html","13.86")</f>
        <v>13.86</v>
      </c>
      <c r="E237" t="s">
        <v>15</v>
      </c>
      <c r="F237" s="52" t="str">
        <f>HYPERLINK("https://www.biocoop.fr/magasin-biocoop_fontaine/creme-de-chataigne-360g-dm0709-000.html","15.56")</f>
        <v>15.56</v>
      </c>
      <c r="G237" t="s">
        <v>15</v>
      </c>
      <c r="H237" s="52" t="str">
        <f>HYPERLINK("https://satoriz-comboire.bio/products/re42052?_pos=2&amp;_sid=75640a58e&amp;_ss=r","12.62")</f>
        <v>12.62</v>
      </c>
      <c r="I237" t="s">
        <v>15</v>
      </c>
      <c r="J237" s="52" t="str">
        <f>HYPERLINK("https://www.greenweez.com/produit/creme-de-marrons-bio-55-320g/2WEEZ0462","14.0")</f>
        <v>14.0</v>
      </c>
      <c r="K237" s="53" t="s">
        <v>1147</v>
      </c>
    </row>
    <row r="238" spans="1:12" x14ac:dyDescent="0.3">
      <c r="A238" t="s">
        <v>522</v>
      </c>
      <c r="B238" s="50" t="str">
        <f>HYPERLINK("https://lafourche.fr/products/la-fourche-miel-bio-toutes-fleurs-origine-bulgarie-1kg","10.6")</f>
        <v>10.6</v>
      </c>
      <c r="C238" t="s">
        <v>15</v>
      </c>
      <c r="D238" s="52" t="str">
        <f>HYPERLINK("https://www.biocoop.fr/magasin-biocoop_champollion/miel-toutes-fleurs-1kg-mz2000-000.html","15.2")</f>
        <v>15.2</v>
      </c>
      <c r="E238" t="s">
        <v>15</v>
      </c>
      <c r="F238" s="52" t="str">
        <f>HYPERLINK("https://www.biocoop.fr/magasin-biocoop_fontaine/miel-toutes-fleurs-1kg-mz2000-000.html","16.55")</f>
        <v>16.55</v>
      </c>
      <c r="G238" t="s">
        <v>15</v>
      </c>
      <c r="H238" s="52" t="str">
        <f>HYPERLINK("https://satoriz-comboire.bio/collections/epicerie-sucree/products/rc1","18.5")</f>
        <v>18.5</v>
      </c>
      <c r="I238" t="s">
        <v>15</v>
      </c>
      <c r="J238" s="52" t="str">
        <f>HYPERLINK("https://www.greenweez.com/produit/miel-toutes-fleurs-liquide-origine-ue-1kg/4TERR0044","17.95")</f>
        <v>17.95</v>
      </c>
      <c r="K238" t="s">
        <v>15</v>
      </c>
    </row>
    <row r="239" spans="1:12" x14ac:dyDescent="0.3">
      <c r="A239" t="s">
        <v>525</v>
      </c>
      <c r="B239" s="52" t="str">
        <f>HYPERLINK("https://lafourche.fr/products/la-fourche-miel-de-montagne-bio-0-25kg","22")</f>
        <v>22</v>
      </c>
      <c r="C239" t="s">
        <v>15</v>
      </c>
      <c r="D239">
        <v>888888</v>
      </c>
      <c r="F239">
        <v>888888</v>
      </c>
      <c r="H239" s="52" t="str">
        <f>HYPERLINK("https://satoriz-comboire.bio/collections/epicerie-sucree/products/ver052","22.4")</f>
        <v>22.4</v>
      </c>
      <c r="I239" t="s">
        <v>15</v>
      </c>
      <c r="J239" s="50" t="str">
        <f>HYPERLINK("https://www.greenweez.com/produit/miel-de-montagne-bio-espagne-500g/2WEEZ0036","17.9")</f>
        <v>17.9</v>
      </c>
      <c r="K239" t="s">
        <v>15</v>
      </c>
    </row>
    <row r="240" spans="1:12" x14ac:dyDescent="0.3">
      <c r="A240" t="s">
        <v>528</v>
      </c>
      <c r="B240" s="50" t="str">
        <f>HYPERLINK("https://lafourche.fr/products/la-fourche-puree-100-cacahuetes-bio-0-5kg","9.98")</f>
        <v>9.98</v>
      </c>
      <c r="C240" t="s">
        <v>15</v>
      </c>
      <c r="D240" s="52" t="str">
        <f>HYPERLINK("https://www.biocoop.fr/magasin-biocoop_champollion/beurre-de-cacahuetes-500g-ra0617-000.html","11.9")</f>
        <v>11.9</v>
      </c>
      <c r="E240" s="51" t="s">
        <v>1148</v>
      </c>
      <c r="F240" s="52" t="str">
        <f>HYPERLINK("https://www.biocoop.fr/magasin-biocoop_fontaine/beurre-de-cacahuetes-500g-ra0617-000.html","11.9")</f>
        <v>11.9</v>
      </c>
      <c r="G240" s="51" t="s">
        <v>1148</v>
      </c>
      <c r="H240" s="52" t="str">
        <f>HYPERLINK("https://satoriz-comboire.bio/collections/epicerie-sucree/products/ag001216","10.46")</f>
        <v>10.46</v>
      </c>
      <c r="I240" t="s">
        <v>15</v>
      </c>
      <c r="J240" s="52" t="str">
        <f>HYPERLINK("https://www.greenweez.com/produit/beurre-de-cacahuetes-280g/1PERL0131","888888")</f>
        <v>888888</v>
      </c>
      <c r="K240" t="s">
        <v>99</v>
      </c>
    </row>
    <row r="241" spans="1:11" x14ac:dyDescent="0.3">
      <c r="A241" t="s">
        <v>530</v>
      </c>
      <c r="B241" s="52" t="str">
        <f>HYPERLINK("https://lafourche.fr/products/la-fourche-tahin-100-sesame-demi-complet-bio-0-5kg","12.78")</f>
        <v>12.78</v>
      </c>
      <c r="C241" s="53" t="s">
        <v>865</v>
      </c>
      <c r="D241" s="52" t="str">
        <f>HYPERLINK("https://www.biocoop.fr/magasin-biocoop_champollion/puree-de-sesame-1-2-complet-350g-he0860-000.html","20.43")</f>
        <v>20.43</v>
      </c>
      <c r="E241" t="s">
        <v>15</v>
      </c>
      <c r="F241" s="52" t="str">
        <f>HYPERLINK("https://www.biocoop.fr/magasin-biocoop_fontaine/epicerie-sucree/petit-dejeuner/purees-d-oleagineux.html?product_list_order=price_ref_asc","11.64")</f>
        <v>11.64</v>
      </c>
      <c r="G241" t="s">
        <v>15</v>
      </c>
      <c r="H241" s="52" t="str">
        <f>HYPERLINK("https://satoriz-comboire.bio/collections/epicerie-sucree/products/per1240","18.93")</f>
        <v>18.93</v>
      </c>
      <c r="I241" t="s">
        <v>15</v>
      </c>
      <c r="J241" s="50" t="str">
        <f>HYPERLINK("https://www.greenweez.com/produit/puree-de-sesame-complet-bio-700g/2WEEZ0504","11.41")</f>
        <v>11.41</v>
      </c>
      <c r="K241" s="53" t="s">
        <v>198</v>
      </c>
    </row>
    <row r="242" spans="1:11" x14ac:dyDescent="0.3">
      <c r="A242" t="s">
        <v>534</v>
      </c>
      <c r="B242" s="50" t="str">
        <f>HYPERLINK("https://lafourche.fr/products/la-fourche-puree-100-amandes-completes-bio-0-5kg","21.18")</f>
        <v>21.18</v>
      </c>
      <c r="C242" s="53" t="s">
        <v>868</v>
      </c>
      <c r="D242" s="52" t="str">
        <f>HYPERLINK("https://www.biocoop.fr/magasin-biocoop_champollion/puree-d-amande-complete-non-toastee-275g-da8051-000.html","32.69")</f>
        <v>32.69</v>
      </c>
      <c r="E242" t="s">
        <v>15</v>
      </c>
      <c r="F242" s="52" t="str">
        <f>HYPERLINK("https://www.biocoop.fr/magasin-biocoop_fontaine/puree-d-amande-complete-grillee-750g-da8074-000.html","28.6")</f>
        <v>28.6</v>
      </c>
      <c r="G242" t="s">
        <v>15</v>
      </c>
      <c r="H242" s="52" t="str">
        <f>HYPERLINK("https://satoriz-comboire.bio/collections/epicerie-sucree/products/ag001043","21.77")</f>
        <v>21.77</v>
      </c>
      <c r="I242" t="s">
        <v>15</v>
      </c>
      <c r="J242" s="52" t="str">
        <f>HYPERLINK("https://www.greenweez.com/produit/puree-damandes-completes-bio-700g/2WEEZ0283","22.83")</f>
        <v>22.83</v>
      </c>
      <c r="K242" s="53" t="s">
        <v>121</v>
      </c>
    </row>
    <row r="243" spans="1:11" x14ac:dyDescent="0.3">
      <c r="A243" t="s">
        <v>538</v>
      </c>
      <c r="B243" s="50" t="str">
        <f>HYPERLINK("https://lafourche.fr/products/la-fourche-puree-100-noix-de-cajou-bio-0-5kg","21.98")</f>
        <v>21.98</v>
      </c>
      <c r="C243" t="s">
        <v>15</v>
      </c>
      <c r="D243" s="52" t="str">
        <f>HYPERLINK("https://www.biocoop.fr/magasin-biocoop_champollion/puree-de-noix-de-cajou-crue-300g-pd0107-000.html","32.4")</f>
        <v>32.4</v>
      </c>
      <c r="E243" t="s">
        <v>15</v>
      </c>
      <c r="F243" s="52" t="str">
        <f>HYPERLINK("https://www.biocoop.fr/magasin-biocoop_fontaine/puree-de-noix-de-cajou-350g-he0751-000.html","29.14")</f>
        <v>29.14</v>
      </c>
      <c r="G243" s="51" t="s">
        <v>745</v>
      </c>
      <c r="H243" s="52" t="str">
        <f>HYPERLINK("https://satoriz-comboire.bio/collections/epicerie-sucree/products/per1435","26.5")</f>
        <v>26.5</v>
      </c>
      <c r="I243" t="s">
        <v>15</v>
      </c>
      <c r="J243" s="52" t="str">
        <f>HYPERLINK("https://www.greenweez.com/produit/puree-de-noix-de-cajou-bio-350g/2WEEZ0285","24.54")</f>
        <v>24.54</v>
      </c>
      <c r="K243" s="53" t="s">
        <v>1149</v>
      </c>
    </row>
    <row r="244" spans="1:11" x14ac:dyDescent="0.3">
      <c r="A244" t="s">
        <v>540</v>
      </c>
      <c r="B244" s="50" t="str">
        <f>HYPERLINK("https://lafourche.fr/products/la-fourche-puree-100-noisettes-bio-0-5kg","22.36")</f>
        <v>22.36</v>
      </c>
      <c r="C244" s="51" t="s">
        <v>869</v>
      </c>
      <c r="D244" s="52" t="str">
        <f>HYPERLINK("https://www.biocoop.fr/magasin-biocoop_champollion/puree-de-noisette-700g-he0702-000.html","33.14")</f>
        <v>33.14</v>
      </c>
      <c r="E244" t="s">
        <v>15</v>
      </c>
      <c r="F244" s="52" t="str">
        <f>HYPERLINK("https://www.biocoop.fr/magasin-biocoop_fontaine/puree-de-noisette-700g-he0702-000.html","32.14")</f>
        <v>32.14</v>
      </c>
      <c r="G244" t="s">
        <v>15</v>
      </c>
      <c r="H244" s="52" t="str">
        <f>HYPERLINK("https://satoriz-comboire.bio/collections/epicerie-sucree/products/ag001044","26.0")</f>
        <v>26.0</v>
      </c>
      <c r="I244" t="s">
        <v>15</v>
      </c>
      <c r="J244" s="52" t="str">
        <f>HYPERLINK("https://www.greenweez.com/produit/puree-de-noisettes-bio-700g/2WEEZ0289","22.41")</f>
        <v>22.41</v>
      </c>
      <c r="K244" s="53" t="s">
        <v>1150</v>
      </c>
    </row>
    <row r="245" spans="1:11" x14ac:dyDescent="0.3">
      <c r="A245" s="48" t="s">
        <v>545</v>
      </c>
      <c r="B245" s="49"/>
      <c r="C245" s="49"/>
      <c r="D245" s="49"/>
      <c r="E245" s="49"/>
      <c r="F245" s="49"/>
      <c r="G245" s="49"/>
      <c r="H245" s="49"/>
      <c r="I245" s="49"/>
      <c r="J245" s="49"/>
      <c r="K245" s="49"/>
    </row>
    <row r="246" spans="1:11" x14ac:dyDescent="0.3">
      <c r="A246" t="s">
        <v>546</v>
      </c>
      <c r="B246" s="50" t="str">
        <f>HYPERLINK("https://lafourche.fr/products/borsa-biscottes-completes-bio-0-3kg","8.83")</f>
        <v>8.83</v>
      </c>
      <c r="C246" t="s">
        <v>15</v>
      </c>
      <c r="D246" s="50" t="str">
        <f>HYPERLINK("https://www.biocoop.fr/magasin-biocoop_champollion/biscottes-a-la-farine-complete-300g-bo1013-000.html","8.83")</f>
        <v>8.83</v>
      </c>
      <c r="E246" t="s">
        <v>15</v>
      </c>
      <c r="F246" s="50" t="str">
        <f>HYPERLINK("https://www.biocoop.fr/magasin-biocoop_fontaine/biscottes-a-la-farine-complete-300g-bo1013-000.html","8.83")</f>
        <v>8.83</v>
      </c>
      <c r="G246" t="s">
        <v>15</v>
      </c>
      <c r="H246" s="52" t="str">
        <f>HYPERLINK("https://satoriz-comboire.bio/collections/boulangerie/products/ma3424","9.17")</f>
        <v>9.17</v>
      </c>
      <c r="I246" t="s">
        <v>15</v>
      </c>
      <c r="J246" s="52" t="str">
        <f>HYPERLINK("https://www.greenweez.com/produit/biscottes-a-la-farine-complete-300g/1BORS0001","12.27")</f>
        <v>12.27</v>
      </c>
      <c r="K246" s="53" t="s">
        <v>1151</v>
      </c>
    </row>
    <row r="247" spans="1:11" x14ac:dyDescent="0.3">
      <c r="A247" t="s">
        <v>549</v>
      </c>
      <c r="B247" s="52" t="str">
        <f>HYPERLINK("https://lafourche.fr/products/lima-galettes-de-riz-100g","9.4")</f>
        <v>9.4</v>
      </c>
      <c r="C247" s="53" t="s">
        <v>1152</v>
      </c>
      <c r="D247" s="52" t="str">
        <f>HYPERLINK("https://www.biocoop.fr/magasin-biocoop_champollion/galettes-de-riz-de-camargue-complet-130g-bo0159-000.html","9.23")</f>
        <v>9.23</v>
      </c>
      <c r="E247" t="s">
        <v>15</v>
      </c>
      <c r="F247" s="52" t="str">
        <f>HYPERLINK("https://www.biocoop.fr/magasin-biocoop_fontaine/galettes-de-riz-de-camargue-complet-130g-bo0159-000.html","9.23")</f>
        <v>9.23</v>
      </c>
      <c r="G247" t="s">
        <v>15</v>
      </c>
      <c r="H247" s="52" t="str">
        <f>HYPERLINK("https://satoriz-comboire.bio/collections/boulangerie/products/pu7840009","11.5")</f>
        <v>11.5</v>
      </c>
      <c r="I247" s="53" t="s">
        <v>1153</v>
      </c>
      <c r="J247" s="50" t="str">
        <f>HYPERLINK("https://www.greenweez.com/produit/galettes-riz-de-camargue-sans-sel-100-france-130g/1PRIM0474","6.91")</f>
        <v>6.91</v>
      </c>
      <c r="K247" t="s">
        <v>15</v>
      </c>
    </row>
    <row r="248" spans="1:11" x14ac:dyDescent="0.3">
      <c r="A248" t="s">
        <v>554</v>
      </c>
      <c r="B248" s="50" t="str">
        <f>HYPERLINK("https://lafourche.fr/products/lima-galettes-de-riz-au-chocolat-noir-bio-0-1kg","25.8")</f>
        <v>25.8</v>
      </c>
      <c r="C248" s="53" t="s">
        <v>1154</v>
      </c>
      <c r="D248" s="52" t="str">
        <f>HYPERLINK("https://www.biocoop.fr/magasin-biocoop_champollion/galette-riz-complet-choco-noir-8-100g-cf5007-000.html","31.5")</f>
        <v>31.5</v>
      </c>
      <c r="E248" s="53" t="s">
        <v>1155</v>
      </c>
      <c r="F248" s="52" t="str">
        <f>HYPERLINK("https://www.biocoop.fr/magasin-biocoop_fontaine/galette-riz-complet-choco-noir-8-100g-cf5007-000.html","31.5")</f>
        <v>31.5</v>
      </c>
      <c r="G248" s="53" t="s">
        <v>1155</v>
      </c>
      <c r="H248" s="52" t="str">
        <f>HYPERLINK("https://satoriz-comboire.bio/collections/boulangerie/products/pu7840085","33.0")</f>
        <v>33.0</v>
      </c>
      <c r="I248" s="53" t="s">
        <v>1156</v>
      </c>
      <c r="J248" s="52" t="str">
        <f>HYPERLINK("https://www.greenweez.com/produit/galettes-de-riz-au-chocolat-noir-100g/1MKAL0059","888888")</f>
        <v>888888</v>
      </c>
      <c r="K248" t="s">
        <v>99</v>
      </c>
    </row>
    <row r="249" spans="1:11" x14ac:dyDescent="0.3">
      <c r="A249" t="s">
        <v>556</v>
      </c>
      <c r="B249" s="52" t="str">
        <f>HYPERLINK("https://lafourche.fr/products/pivert-pain-grille-250g","11.04")</f>
        <v>11.04</v>
      </c>
      <c r="C249" s="53" t="s">
        <v>1157</v>
      </c>
      <c r="D249" s="50" t="str">
        <f>HYPERLINK("https://www.biocoop.fr/magasin-biocoop_champollion/epicerie-sucree/pains-galettes-biscottes/biscottes-pains-grilles.html?product_list_order=price_ref_asc","8.67")</f>
        <v>8.67</v>
      </c>
      <c r="E249" t="s">
        <v>15</v>
      </c>
      <c r="F249">
        <v>888888</v>
      </c>
      <c r="H249" s="52" t="str">
        <f>HYPERLINK("https://satoriz-comboire.bio/collections/boulangerie/products/ma1521","10.2")</f>
        <v>10.2</v>
      </c>
      <c r="I249" t="s">
        <v>15</v>
      </c>
      <c r="J249" s="52" t="str">
        <f>HYPERLINK("https://www.greenweez.com/produit/pain-grille-a-la-farine-complete-250g/1BORS0008","13.92")</f>
        <v>13.92</v>
      </c>
      <c r="K249" s="53" t="s">
        <v>1158</v>
      </c>
    </row>
    <row r="250" spans="1:11" x14ac:dyDescent="0.3">
      <c r="A250" t="s">
        <v>558</v>
      </c>
      <c r="B250" s="52" t="str">
        <f>HYPERLINK("https://lafourche.fr/products/pivert-petits-pains-grilles-graines-et-cereales-225g","12.67")</f>
        <v>12.67</v>
      </c>
      <c r="C250" s="51" t="s">
        <v>1159</v>
      </c>
      <c r="D250" s="52" t="str">
        <f>HYPERLINK("https://www.biocoop.fr/magasin-biocoop_champollion/petit-grille-aux-graines-170g-al3052-000.html","27.65")</f>
        <v>27.65</v>
      </c>
      <c r="E250" s="53" t="s">
        <v>747</v>
      </c>
      <c r="F250" s="50" t="str">
        <f>HYPERLINK("https://www.biocoop.fr/magasin-biocoop_fontaine/petit-pain-grille-cereales-graines-225g-bo1016-000.html","10.89")</f>
        <v>10.89</v>
      </c>
      <c r="G250" t="s">
        <v>15</v>
      </c>
      <c r="H250" s="52" t="str">
        <f>HYPERLINK("https://satoriz-comboire.bio/collections/boulangerie/products/mpi120268","13.11")</f>
        <v>13.11</v>
      </c>
      <c r="I250" t="s">
        <v>15</v>
      </c>
      <c r="J250" s="52" t="str">
        <f>HYPERLINK("https://www.greenweez.com/produit/petits-pains-grilles-cereales-et-graines-225g/1BORS0005","13.96")</f>
        <v>13.96</v>
      </c>
      <c r="K250" t="s">
        <v>15</v>
      </c>
    </row>
    <row r="252" spans="1:11" ht="18" customHeight="1" x14ac:dyDescent="0.35">
      <c r="A252" s="46" t="s">
        <v>561</v>
      </c>
      <c r="B252" s="47"/>
      <c r="C252" s="47"/>
      <c r="D252" s="47"/>
      <c r="E252" s="47"/>
      <c r="F252" s="47"/>
      <c r="G252" s="47"/>
      <c r="H252" s="47"/>
      <c r="I252" s="47"/>
      <c r="J252" s="47"/>
      <c r="K252" s="47"/>
    </row>
    <row r="253" spans="1:11" x14ac:dyDescent="0.3">
      <c r="A253" s="48" t="s">
        <v>562</v>
      </c>
      <c r="B253" s="49"/>
      <c r="C253" s="49"/>
      <c r="D253" s="49"/>
      <c r="E253" s="49"/>
      <c r="F253" s="49"/>
      <c r="G253" s="49"/>
      <c r="H253" s="49"/>
      <c r="I253" s="49"/>
      <c r="J253" s="49"/>
      <c r="K253" s="49"/>
    </row>
    <row r="254" spans="1:11" x14ac:dyDescent="0.3">
      <c r="A254" t="s">
        <v>563</v>
      </c>
      <c r="B254" s="52" t="str">
        <f>HYPERLINK("https://lafourche.fr/products/la-fourche-pommes-candine-bio-origine-france-1-kg","888888")</f>
        <v>888888</v>
      </c>
      <c r="C254" s="56" t="s">
        <v>1160</v>
      </c>
      <c r="D254">
        <v>888888</v>
      </c>
      <c r="F254" s="52" t="str">
        <f>HYPERLINK("https://www.biocoop.fr/magasin-biocoop_fontaine/pomme-bicolore-fel4194-000-france.html","3.75")</f>
        <v>3.75</v>
      </c>
      <c r="G254" s="53" t="s">
        <v>1161</v>
      </c>
      <c r="H254" s="50" t="str">
        <f>HYPERLINK("https://satoriz-comboire.bio/collections/fruits-et-legumes/products/fru716","3.5")</f>
        <v>3.5</v>
      </c>
      <c r="I254" s="53" t="s">
        <v>1162</v>
      </c>
      <c r="J254" s="52" t="str">
        <f>HYPERLINK("https://www.greenweez.com/produit/pomme-regal-you-candine/1VRAC0415","888888")</f>
        <v>888888</v>
      </c>
      <c r="K254" s="56" t="s">
        <v>1163</v>
      </c>
    </row>
    <row r="255" spans="1:11" x14ac:dyDescent="0.3">
      <c r="A255" t="s">
        <v>564</v>
      </c>
      <c r="B255">
        <v>888888</v>
      </c>
      <c r="D255" s="50" t="str">
        <f>HYPERLINK("https://www.biocoop.fr/magasin-biocoop_champollion/banane-cavendish-fel4011-000-dominicaine-republique-.html","2.09")</f>
        <v>2.09</v>
      </c>
      <c r="E255" t="s">
        <v>15</v>
      </c>
      <c r="F255">
        <v>888888</v>
      </c>
      <c r="H255" s="52" t="str">
        <f>HYPERLINK("https://satoriz-comboire.bio/collections/fruits-et-legumes/products/fru140","2.1")</f>
        <v>2.1</v>
      </c>
      <c r="I255" t="s">
        <v>15</v>
      </c>
      <c r="J255" s="50" t="str">
        <f>HYPERLINK("https://www.greenweez.com/produit/bananes-jaunes/1VRAC0018","2.09")</f>
        <v>2.09</v>
      </c>
      <c r="K255" s="51" t="s">
        <v>1164</v>
      </c>
    </row>
    <row r="256" spans="1:11" x14ac:dyDescent="0.3">
      <c r="A256" t="s">
        <v>565</v>
      </c>
      <c r="B256" s="50" t="str">
        <f>HYPERLINK("https://lafourche.fr/products/la-fourche-clementines-bio-origine-espagne-1kg","888888")</f>
        <v>888888</v>
      </c>
      <c r="C256" s="56" t="s">
        <v>1165</v>
      </c>
      <c r="D256" s="57">
        <v>888888</v>
      </c>
      <c r="F256" s="57">
        <v>888888</v>
      </c>
      <c r="H256" s="50" t="str">
        <f>HYPERLINK("https://satoriz-comboire.bio/collections/fruits-et-legumes/products/fru210","888888")</f>
        <v>888888</v>
      </c>
      <c r="I256" t="s">
        <v>99</v>
      </c>
      <c r="J256" s="50" t="str">
        <f>HYPERLINK("https://www.greenweez.com/produit/clementines-espagne-1/1VRAC0019","888888")</f>
        <v>888888</v>
      </c>
      <c r="K256" t="s">
        <v>99</v>
      </c>
    </row>
    <row r="257" spans="1:11" x14ac:dyDescent="0.3">
      <c r="A257" t="s">
        <v>566</v>
      </c>
      <c r="B257" s="52" t="str">
        <f>HYPERLINK("https://lafourche.fr/products/la-fourche-kiwis-bio-origine-france-0-5kg","888888")</f>
        <v>888888</v>
      </c>
      <c r="C257" s="56" t="s">
        <v>1166</v>
      </c>
      <c r="D257">
        <v>888888</v>
      </c>
      <c r="F257" s="50" t="str">
        <f>HYPERLINK("https://www.biocoop.fr/magasin-biocoop_fontaine/kiwi-vert-fel4030-000-italie.html","6.5")</f>
        <v>6.5</v>
      </c>
      <c r="G257" s="53" t="s">
        <v>1091</v>
      </c>
      <c r="H257" s="52" t="str">
        <f>HYPERLINK("https://satoriz-comboire.bio/collections/fruits-et-legumes/products/fru300","888888")</f>
        <v>888888</v>
      </c>
      <c r="I257" s="56" t="s">
        <v>1167</v>
      </c>
      <c r="J257" s="52" t="str">
        <f>HYPERLINK("https://www.greenweez.com/produit/kiwi-hayward-italie-1/1VRAC0014","888888")</f>
        <v>888888</v>
      </c>
      <c r="K257" t="s">
        <v>99</v>
      </c>
    </row>
    <row r="258" spans="1:11" x14ac:dyDescent="0.3">
      <c r="A258" t="s">
        <v>567</v>
      </c>
      <c r="B258" s="50" t="str">
        <f>HYPERLINK("https://lafourche.fr/products/la-fourche-poires-conference-bio-origine-france-0-5kg","888888")</f>
        <v>888888</v>
      </c>
      <c r="C258" t="s">
        <v>99</v>
      </c>
      <c r="D258" s="57">
        <v>888888</v>
      </c>
      <c r="F258" s="57">
        <v>888888</v>
      </c>
      <c r="H258" s="50" t="str">
        <f>HYPERLINK("https://satoriz-comboire.bio/collections/fruits-et-legumes/products/fru604","888888")</f>
        <v>888888</v>
      </c>
      <c r="I258" t="s">
        <v>99</v>
      </c>
      <c r="J258" s="50" t="str">
        <f>HYPERLINK("https://www.greenweez.com/produit/poire-conference-france-1/1VRAC0015","888888")</f>
        <v>888888</v>
      </c>
      <c r="K258" t="s">
        <v>99</v>
      </c>
    </row>
    <row r="259" spans="1:11" x14ac:dyDescent="0.3">
      <c r="A259" t="s">
        <v>568</v>
      </c>
      <c r="B259" s="52" t="str">
        <f>HYPERLINK("https://lafourche.fr/products/la-fourche-oranges-bio-origine-espagne-kg-1","4.3")</f>
        <v>4.3</v>
      </c>
      <c r="C259" t="s">
        <v>80</v>
      </c>
      <c r="D259">
        <v>888888</v>
      </c>
      <c r="F259" s="50" t="str">
        <f>HYPERLINK("https://www.biocoop.fr/magasin-biocoop_fontaine/orange-blonde-navel.html","2.4")</f>
        <v>2.4</v>
      </c>
      <c r="G259" s="53" t="s">
        <v>874</v>
      </c>
      <c r="H259" s="52" t="str">
        <f>HYPERLINK("https://satoriz-comboire.bio/collections/fruits-et-legumes/products/fru450","888888")</f>
        <v>888888</v>
      </c>
      <c r="I259" s="56" t="s">
        <v>1168</v>
      </c>
      <c r="J259" s="52" t="str">
        <f>HYPERLINK("https://www.greenweez.com/produit/orange-de-table-espagne-1/1VRAC0009","888888")</f>
        <v>888888</v>
      </c>
      <c r="K259" s="56" t="s">
        <v>1169</v>
      </c>
    </row>
    <row r="260" spans="1:11" x14ac:dyDescent="0.3">
      <c r="A260" t="s">
        <v>569</v>
      </c>
      <c r="B260" s="52" t="str">
        <f>HYPERLINK("https://lafourche.fr/products/la-fourche-citron-bio-origine-italie-kg-0-5-2","888888")</f>
        <v>888888</v>
      </c>
      <c r="C260" s="56" t="s">
        <v>1168</v>
      </c>
      <c r="D260" s="50" t="str">
        <f>HYPERLINK("https://www.biocoop.fr/magasin-biocoop_champollion/citron-jaune.html","2.5")</f>
        <v>2.5</v>
      </c>
      <c r="E260" s="51" t="s">
        <v>348</v>
      </c>
      <c r="F260" s="52" t="str">
        <f>HYPERLINK("https://www.biocoop.fr/magasin-biocoop_fontaine/citron-jaune.html","3.5")</f>
        <v>3.5</v>
      </c>
      <c r="G260" s="53" t="s">
        <v>767</v>
      </c>
      <c r="H260" s="52" t="str">
        <f>HYPERLINK("https://satoriz-comboire.bio/collections/fruits-et-legumes/products/fru202","3.1")</f>
        <v>3.1</v>
      </c>
      <c r="I260" s="51" t="s">
        <v>1170</v>
      </c>
      <c r="J260" s="52" t="str">
        <f>HYPERLINK("https://www.greenweez.com/produit/citron-jaune-espagne-1/1VRAC0011","4.36")</f>
        <v>4.36</v>
      </c>
      <c r="K260" s="53" t="s">
        <v>1171</v>
      </c>
    </row>
    <row r="261" spans="1:11" x14ac:dyDescent="0.3">
      <c r="A261" s="48" t="s">
        <v>570</v>
      </c>
      <c r="B261" s="49"/>
      <c r="C261" s="49"/>
      <c r="D261" s="49"/>
      <c r="E261" s="49"/>
      <c r="F261" s="49"/>
      <c r="G261" s="49"/>
      <c r="H261" s="49"/>
      <c r="I261" s="49"/>
      <c r="J261" s="49"/>
      <c r="K261" s="49"/>
    </row>
    <row r="262" spans="1:11" x14ac:dyDescent="0.3">
      <c r="A262" t="s">
        <v>571</v>
      </c>
      <c r="B262" s="52" t="str">
        <f>HYPERLINK("https://lafourche.fr/products/la-fourche-ail-bio-origine-france-0-3kg","888888")</f>
        <v>888888</v>
      </c>
      <c r="C262" s="56" t="s">
        <v>1172</v>
      </c>
      <c r="D262">
        <v>888888</v>
      </c>
      <c r="F262" s="52" t="str">
        <f>HYPERLINK("https://www.biocoop.fr/magasin-biocoop_fontaine/ail-sec-blanc.html","15.0")</f>
        <v>15.0</v>
      </c>
      <c r="G262" t="s">
        <v>15</v>
      </c>
      <c r="H262" s="50" t="str">
        <f>HYPERLINK("https://satoriz-comboire.bio/collections/fruits-et-legumes/products/lgu105","11.5")</f>
        <v>11.5</v>
      </c>
      <c r="I262" s="51" t="s">
        <v>1173</v>
      </c>
      <c r="J262" s="52" t="str">
        <f>HYPERLINK("https://www.greenweez.com/produit/ail-blanc-violet-sec-espagne-1/1VRAC0299","888888")</f>
        <v>888888</v>
      </c>
      <c r="K262" s="56" t="s">
        <v>1174</v>
      </c>
    </row>
    <row r="263" spans="1:11" x14ac:dyDescent="0.3">
      <c r="A263" t="s">
        <v>572</v>
      </c>
      <c r="B263" s="50" t="str">
        <f>HYPERLINK("https://lafourche.fr/products/la-fourche-oignons-jaunes-bio-origine-france-1kg","3")</f>
        <v>3</v>
      </c>
      <c r="C263" s="53" t="s">
        <v>1175</v>
      </c>
      <c r="D263">
        <v>888888</v>
      </c>
      <c r="F263" s="52" t="str">
        <f>HYPERLINK("https://www.biocoop.fr/magasin-biocoop_fontaine/oignon-vrac-jaune.html","3.35")</f>
        <v>3.35</v>
      </c>
      <c r="G263" s="53" t="s">
        <v>1176</v>
      </c>
      <c r="H263" s="52" t="str">
        <f>HYPERLINK("https://satoriz-comboire.bio/collections/fruits-et-legumes/products/lgu608","3.5")</f>
        <v>3.5</v>
      </c>
      <c r="I263" s="53" t="s">
        <v>1177</v>
      </c>
      <c r="J263" s="52" t="str">
        <f>HYPERLINK("https://www.greenweez.com/produit/oignon-jaune-cal-40-80-france/1VRAC0533","888888")</f>
        <v>888888</v>
      </c>
      <c r="K263" s="56" t="s">
        <v>1169</v>
      </c>
    </row>
    <row r="264" spans="1:11" x14ac:dyDescent="0.3">
      <c r="A264" t="s">
        <v>573</v>
      </c>
      <c r="B264" s="52" t="str">
        <f>HYPERLINK("https://lafourche.fr/products/la-fourche-oignons-rouges-bio-origine-france-1kg","888888")</f>
        <v>888888</v>
      </c>
      <c r="C264" s="56" t="s">
        <v>1178</v>
      </c>
      <c r="D264" s="52" t="str">
        <f>HYPERLINK("https://www.biocoop.fr/magasin-biocoop_champollion/oignon-vrac-rouge.html","5.5")</f>
        <v>5.5</v>
      </c>
      <c r="E264" s="53" t="s">
        <v>1179</v>
      </c>
      <c r="F264" s="52" t="str">
        <f>HYPERLINK("https://www.biocoop.fr/magasin-biocoop_fontaine/oignon-vrac-rouge.html","3.75")</f>
        <v>3.75</v>
      </c>
      <c r="G264" s="53" t="s">
        <v>1180</v>
      </c>
      <c r="H264" s="50" t="str">
        <f>HYPERLINK("https://satoriz-comboire.bio/collections/fruits-et-legumes/products/oignon-rouge","3.52")</f>
        <v>3.52</v>
      </c>
      <c r="I264" s="53" t="s">
        <v>1181</v>
      </c>
      <c r="J264">
        <v>888888</v>
      </c>
    </row>
    <row r="265" spans="1:11" x14ac:dyDescent="0.3">
      <c r="A265" t="s">
        <v>574</v>
      </c>
      <c r="B265">
        <v>888888</v>
      </c>
      <c r="D265">
        <v>888888</v>
      </c>
      <c r="F265" s="50" t="str">
        <f>HYPERLINK("https://www.biocoop.fr/magasin-biocoop_fontaine/betterave-rouge.html","2.95")</f>
        <v>2.95</v>
      </c>
      <c r="G265" t="s">
        <v>15</v>
      </c>
      <c r="H265" s="52" t="str">
        <f>HYPERLINK("https://satoriz-comboire.bio/collections/fruits-et-legumes/products/lgu210-1","3.4")</f>
        <v>3.4</v>
      </c>
      <c r="I265" s="53" t="s">
        <v>1182</v>
      </c>
      <c r="J265" s="52" t="str">
        <f>HYPERLINK("https://www.greenweez.com/produit/betterave-rouge-france-2/1VRAC0023","3.97")</f>
        <v>3.97</v>
      </c>
      <c r="K265" s="53" t="s">
        <v>1183</v>
      </c>
    </row>
    <row r="266" spans="1:11" x14ac:dyDescent="0.3">
      <c r="A266" t="s">
        <v>575</v>
      </c>
      <c r="B266">
        <v>888888</v>
      </c>
      <c r="D266" s="50" t="str">
        <f>HYPERLINK("https://www.biocoop.fr/magasin-biocoop_champollion/blette-pied.html","3.35")</f>
        <v>3.35</v>
      </c>
      <c r="E266" s="51" t="s">
        <v>854</v>
      </c>
      <c r="F266">
        <v>888888</v>
      </c>
      <c r="H266" s="52" t="str">
        <f>HYPERLINK("https://satoriz-comboire.bio/collections/fruits-et-legumes/products/lgu222","888888")</f>
        <v>888888</v>
      </c>
      <c r="I266" s="56" t="s">
        <v>1184</v>
      </c>
      <c r="J266">
        <v>888888</v>
      </c>
    </row>
    <row r="267" spans="1:11" x14ac:dyDescent="0.3">
      <c r="A267" t="s">
        <v>576</v>
      </c>
      <c r="B267">
        <v>888888</v>
      </c>
      <c r="D267">
        <v>888888</v>
      </c>
      <c r="F267" s="50" t="str">
        <f>HYPERLINK("https://www.biocoop.fr/magasin-biocoop_fontaine/chou-brocoli.html","4.9")</f>
        <v>4.9</v>
      </c>
      <c r="G267" t="s">
        <v>15</v>
      </c>
      <c r="H267" s="52" t="str">
        <f>HYPERLINK("https://satoriz-comboire.bio/collections/fruits-et-legumes/products/lgu230","5.7")</f>
        <v>5.7</v>
      </c>
      <c r="I267" s="53" t="s">
        <v>1185</v>
      </c>
      <c r="J267" s="52" t="str">
        <f>HYPERLINK("https://www.greenweez.com/produit/brocoli-france/1VRAC0033","6.26")</f>
        <v>6.26</v>
      </c>
      <c r="K267" s="53" t="s">
        <v>1186</v>
      </c>
    </row>
    <row r="268" spans="1:11" x14ac:dyDescent="0.3">
      <c r="A268" t="s">
        <v>577</v>
      </c>
      <c r="B268" s="50" t="str">
        <f>HYPERLINK("https://lafourche.fr/products/la-fourche-carottes-bio-origine-france-2-kg-2","1.95")</f>
        <v>1.95</v>
      </c>
      <c r="C268" s="51" t="s">
        <v>1187</v>
      </c>
      <c r="D268" s="52" t="str">
        <f>HYPERLINK("https://www.biocoop.fr/magasin-biocoop_champollion/carotte-lavee.html","2.5")</f>
        <v>2.5</v>
      </c>
      <c r="E268" t="s">
        <v>15</v>
      </c>
      <c r="F268" s="52" t="str">
        <f>HYPERLINK("https://www.biocoop.fr/magasin-biocoop_fontaine/carotte-lavee.html","2.95")</f>
        <v>2.95</v>
      </c>
      <c r="G268" s="53" t="s">
        <v>1188</v>
      </c>
      <c r="H268" s="52" t="str">
        <f>HYPERLINK("https://satoriz-comboire.bio/collections/fruits-et-legumes/products/lgu250","3.1")</f>
        <v>3.1</v>
      </c>
      <c r="I268" s="53" t="s">
        <v>1189</v>
      </c>
      <c r="J268" s="52" t="str">
        <f>HYPERLINK("https://www.greenweez.com/produit/carottes-lavees-france-2/1VRAC0034","3.03")</f>
        <v>3.03</v>
      </c>
      <c r="K268" s="53" t="s">
        <v>529</v>
      </c>
    </row>
    <row r="269" spans="1:11" x14ac:dyDescent="0.3">
      <c r="A269" t="s">
        <v>578</v>
      </c>
      <c r="B269">
        <v>888888</v>
      </c>
      <c r="D269">
        <v>888888</v>
      </c>
      <c r="F269">
        <v>888888</v>
      </c>
      <c r="H269" s="50" t="str">
        <f>HYPERLINK("https://satoriz-comboire.bio/collections/fruits-et-legumes/products/lgu300","3.4")</f>
        <v>3.4</v>
      </c>
      <c r="I269" s="53" t="s">
        <v>1190</v>
      </c>
      <c r="J269" s="52" t="str">
        <f>HYPERLINK("https://www.greenweez.com/produit/celeri-rave/1VRAC0422","4.48")</f>
        <v>4.48</v>
      </c>
      <c r="K269" t="s">
        <v>99</v>
      </c>
    </row>
    <row r="270" spans="1:11" x14ac:dyDescent="0.3">
      <c r="A270" t="s">
        <v>579</v>
      </c>
      <c r="B270" s="52" t="str">
        <f>HYPERLINK("https://lafourche.fr/products/la-fourche-celeri-branche-bio-0-5kg","888888")</f>
        <v>888888</v>
      </c>
      <c r="C270" s="56" t="s">
        <v>1191</v>
      </c>
      <c r="D270" s="52" t="str">
        <f>HYPERLINK("https://www.biocoop.fr/magasin-biocoop_champollion/celeri-branche.html","4.75")</f>
        <v>4.75</v>
      </c>
      <c r="E270" s="53" t="s">
        <v>1192</v>
      </c>
      <c r="F270" s="50" t="str">
        <f>HYPERLINK("https://www.biocoop.fr/magasin-biocoop_fontaine/celeri-branche.html","4.5")</f>
        <v>4.5</v>
      </c>
      <c r="G270" s="53" t="s">
        <v>1193</v>
      </c>
      <c r="H270" s="52" t="str">
        <f>HYPERLINK("https://satoriz-comboire.bio/collections/fruits-et-legumes/products/lgu301","888888")</f>
        <v>888888</v>
      </c>
      <c r="I270" s="56" t="s">
        <v>1194</v>
      </c>
      <c r="J270" s="52" t="str">
        <f>HYPERLINK("https://www.greenweez.com/produit/celeri-branche/1VRAC0040","888888")</f>
        <v>888888</v>
      </c>
      <c r="K270" s="56" t="s">
        <v>1184</v>
      </c>
    </row>
    <row r="271" spans="1:11" x14ac:dyDescent="0.3">
      <c r="A271" t="s">
        <v>580</v>
      </c>
      <c r="B271" s="52" t="str">
        <f>HYPERLINK("https://lafourche.fr/products/la-fourche-champignons-de-paris-bio-origine-france-0-5-kg-2","10.8")</f>
        <v>10.8</v>
      </c>
      <c r="C271" s="53" t="s">
        <v>1195</v>
      </c>
      <c r="D271">
        <v>888888</v>
      </c>
      <c r="F271" s="50" t="str">
        <f>HYPERLINK("https://www.biocoop.fr/magasin-biocoop_fontaine/champignon-blond.html","9.9")</f>
        <v>9.9</v>
      </c>
      <c r="G271" t="s">
        <v>15</v>
      </c>
      <c r="H271" s="52" t="str">
        <f>HYPERLINK("https://satoriz-comboire.bio/collections/fruits-et-legumes/products/lgu321","12.95")</f>
        <v>12.95</v>
      </c>
      <c r="I271" s="53" t="s">
        <v>1196</v>
      </c>
      <c r="J271" s="52" t="str">
        <f>HYPERLINK("https://www.greenweez.com/produit/champignons-blancs/1VRAC0150","13.68")</f>
        <v>13.68</v>
      </c>
      <c r="K271" t="s">
        <v>99</v>
      </c>
    </row>
    <row r="272" spans="1:11" x14ac:dyDescent="0.3">
      <c r="A272" t="s">
        <v>581</v>
      </c>
      <c r="B272" s="52" t="str">
        <f>HYPERLINK("https://lafourche.fr/products/la-fourche-champignons-pleurotes-bio-origine-france-0-25-kg","16.8")</f>
        <v>16.8</v>
      </c>
      <c r="C272" t="s">
        <v>80</v>
      </c>
      <c r="D272">
        <v>888888</v>
      </c>
      <c r="F272">
        <v>888888</v>
      </c>
      <c r="H272" s="50" t="str">
        <f>HYPERLINK("https://satoriz-comboire.bio/collections/fruits-et-legumes/products/lgu325","15.0")</f>
        <v>15.0</v>
      </c>
      <c r="I272" s="53" t="s">
        <v>1197</v>
      </c>
      <c r="J272" s="52" t="str">
        <f>HYPERLINK("https://www.greenweez.com/produit/champignon-pleurote-ile-de-france-1/1VRAC0311","888888")</f>
        <v>888888</v>
      </c>
      <c r="K272" t="s">
        <v>99</v>
      </c>
    </row>
    <row r="273" spans="1:11" x14ac:dyDescent="0.3">
      <c r="A273" t="s">
        <v>582</v>
      </c>
      <c r="B273" s="50" t="str">
        <f>HYPERLINK("https://lafourche.fr/products/la-fourche-choux-de-bruxelles-origine-france-0-25kg","888888")</f>
        <v>888888</v>
      </c>
      <c r="C273" s="56" t="s">
        <v>1198</v>
      </c>
      <c r="D273" s="57">
        <v>888888</v>
      </c>
      <c r="F273" s="57">
        <v>888888</v>
      </c>
      <c r="H273" s="50" t="str">
        <f>HYPERLINK("https://satoriz-comboire.bio/collections/fruits-et-legumes/products/lgu338","888888")</f>
        <v>888888</v>
      </c>
      <c r="I273" s="56" t="s">
        <v>1199</v>
      </c>
      <c r="J273" s="57">
        <v>888888</v>
      </c>
    </row>
    <row r="274" spans="1:11" x14ac:dyDescent="0.3">
      <c r="A274" t="s">
        <v>583</v>
      </c>
      <c r="B274">
        <v>888888</v>
      </c>
      <c r="D274" s="50" t="str">
        <f>HYPERLINK("https://www.biocoop.fr/magasin-biocoop_champollion/chou-rouge-fel1980-000-france.html","3.5")</f>
        <v>3.5</v>
      </c>
      <c r="E274" s="53" t="s">
        <v>883</v>
      </c>
      <c r="F274">
        <v>888888</v>
      </c>
      <c r="H274" s="52" t="str">
        <f>HYPERLINK("https://satoriz-comboire.bio/collections/fruits-et-legumes/products/lgu343","888888")</f>
        <v>888888</v>
      </c>
      <c r="I274" s="56" t="s">
        <v>1200</v>
      </c>
      <c r="J274">
        <v>888888</v>
      </c>
    </row>
    <row r="275" spans="1:11" x14ac:dyDescent="0.3">
      <c r="A275" t="s">
        <v>584</v>
      </c>
      <c r="B275">
        <v>888888</v>
      </c>
      <c r="D275" s="52" t="str">
        <f>HYPERLINK("https://www.biocoop.fr/magasin-biocoop_champollion/courge-butternut-fel4759-000-france.html","3.75")</f>
        <v>3.75</v>
      </c>
      <c r="E275" s="53" t="s">
        <v>1161</v>
      </c>
      <c r="F275" s="50" t="str">
        <f>HYPERLINK("https://www.biocoop.fr/magasin-biocoop_fontaine/courge-butternut-fel4759-000-france.html","2.9")</f>
        <v>2.9</v>
      </c>
      <c r="G275" s="51" t="s">
        <v>429</v>
      </c>
      <c r="H275" s="52" t="str">
        <f>HYPERLINK("https://satoriz-comboire.bio/collections/fruits-et-legumes/products/lgu401","3.4")</f>
        <v>3.4</v>
      </c>
      <c r="I275" s="53" t="s">
        <v>1201</v>
      </c>
      <c r="J275" s="52" t="str">
        <f>HYPERLINK("https://www.greenweez.com/produit/courge-butternut-france-2-5kg/1VRAC0036","888888")</f>
        <v>888888</v>
      </c>
      <c r="K275" s="56" t="s">
        <v>1202</v>
      </c>
    </row>
    <row r="276" spans="1:11" x14ac:dyDescent="0.3">
      <c r="A276" t="s">
        <v>585</v>
      </c>
      <c r="B276" s="52" t="str">
        <f>HYPERLINK("https://lafourche.fr/products/la-fourche-echalotes-bio-origine-france-0-5kg","4.84")</f>
        <v>4.84</v>
      </c>
      <c r="C276" s="53" t="s">
        <v>1203</v>
      </c>
      <c r="D276" s="50" t="str">
        <f>HYPERLINK("https://www.biocoop.fr/magasin-biocoop_champollion/echalote-vrac.html","4.5")</f>
        <v>4.5</v>
      </c>
      <c r="E276" s="53" t="s">
        <v>155</v>
      </c>
      <c r="F276" s="52" t="str">
        <f>HYPERLINK("https://www.biocoop.fr/magasin-biocoop_fontaine/echalote-vrac.html","5.5")</f>
        <v>5.5</v>
      </c>
      <c r="G276" s="53" t="s">
        <v>1204</v>
      </c>
      <c r="H276" s="52" t="str">
        <f>HYPERLINK("https://satoriz-comboire.bio/collections/fruits-et-legumes/products/lgu420","4.8")</f>
        <v>4.8</v>
      </c>
      <c r="I276" s="53" t="s">
        <v>155</v>
      </c>
      <c r="J276" s="52" t="str">
        <f>HYPERLINK("https://www.greenweez.com/produit/echalote-nouvelle/1VRAC0053","4.9")</f>
        <v>4.9</v>
      </c>
      <c r="K276" s="53" t="s">
        <v>1205</v>
      </c>
    </row>
    <row r="277" spans="1:11" x14ac:dyDescent="0.3">
      <c r="A277" t="s">
        <v>586</v>
      </c>
      <c r="B277" s="50" t="str">
        <f>HYPERLINK("https://lafourche.fr/products/la-fourche-endives-bio-origine-france-0-5kg","888888")</f>
        <v>888888</v>
      </c>
      <c r="C277" s="56" t="s">
        <v>1206</v>
      </c>
      <c r="D277" s="57">
        <v>888888</v>
      </c>
      <c r="F277" s="57">
        <v>888888</v>
      </c>
      <c r="H277" s="50" t="str">
        <f>HYPERLINK("https://satoriz-comboire.bio/collections/fruits-et-legumes/products/lgu422","888888")</f>
        <v>888888</v>
      </c>
      <c r="I277" s="56" t="s">
        <v>1207</v>
      </c>
      <c r="J277" s="50" t="str">
        <f>HYPERLINK("https://www.greenweez.com/produit/endive-france-4/1VRAC0047","888888")</f>
        <v>888888</v>
      </c>
      <c r="K277" s="56" t="s">
        <v>1208</v>
      </c>
    </row>
    <row r="278" spans="1:11" x14ac:dyDescent="0.3">
      <c r="A278" t="s">
        <v>587</v>
      </c>
      <c r="B278">
        <v>888888</v>
      </c>
      <c r="D278">
        <v>888888</v>
      </c>
      <c r="F278">
        <v>888888</v>
      </c>
      <c r="H278" s="50" t="str">
        <f>HYPERLINK("https://satoriz-comboire.bio/collections/fruits-et-legumes/products/lgu440","5.52")</f>
        <v>5.52</v>
      </c>
      <c r="I278" s="53" t="s">
        <v>155</v>
      </c>
      <c r="J278" s="52" t="str">
        <f>HYPERLINK("https://www.greenweez.com/produit/epinards/1VRAC0083","888888")</f>
        <v>888888</v>
      </c>
      <c r="K278" t="s">
        <v>99</v>
      </c>
    </row>
    <row r="279" spans="1:11" x14ac:dyDescent="0.3">
      <c r="A279" t="s">
        <v>588</v>
      </c>
      <c r="B279">
        <v>888888</v>
      </c>
      <c r="D279" s="50" t="str">
        <f>HYPERLINK("https://www.biocoop.fr/magasin-biocoop_champollion/fenouil-fel4515-000-france.html","4.75")</f>
        <v>4.75</v>
      </c>
      <c r="E279" s="53" t="s">
        <v>772</v>
      </c>
      <c r="F279" s="52" t="str">
        <f>HYPERLINK("https://www.biocoop.fr/magasin-biocoop_fontaine/fenouil-fel4515-000-france.html","5.5")</f>
        <v>5.5</v>
      </c>
      <c r="G279" s="53" t="s">
        <v>1209</v>
      </c>
      <c r="H279" s="52" t="str">
        <f>HYPERLINK("https://satoriz-comboire.bio/collections/fruits-et-legumes/products/lgu460","5.86")</f>
        <v>5.86</v>
      </c>
      <c r="I279" s="53" t="s">
        <v>1210</v>
      </c>
      <c r="J279">
        <v>888888</v>
      </c>
    </row>
    <row r="280" spans="1:11" x14ac:dyDescent="0.3">
      <c r="A280" t="s">
        <v>589</v>
      </c>
      <c r="B280" s="50" t="str">
        <f>HYPERLINK("https://lafourche.fr/products/la-fourche-panais-bio-origine-france-0-5kg","888888")</f>
        <v>888888</v>
      </c>
      <c r="C280" s="56" t="s">
        <v>1211</v>
      </c>
      <c r="D280" s="57">
        <v>888888</v>
      </c>
      <c r="F280" s="57">
        <v>888888</v>
      </c>
      <c r="H280" s="50" t="str">
        <f>HYPERLINK("https://satoriz-comboire.bio/collections/fruits-et-legumes/products/lgu620","888888")</f>
        <v>888888</v>
      </c>
      <c r="I280" s="56" t="s">
        <v>1212</v>
      </c>
      <c r="J280" s="50" t="str">
        <f>HYPERLINK("https://www.greenweez.com/produit/panais-1/1VRAC0031","888888")</f>
        <v>888888</v>
      </c>
      <c r="K280" s="56" t="s">
        <v>1213</v>
      </c>
    </row>
    <row r="281" spans="1:11" x14ac:dyDescent="0.3">
      <c r="A281" t="s">
        <v>590</v>
      </c>
      <c r="B281">
        <v>888888</v>
      </c>
      <c r="D281" s="50" t="str">
        <f>HYPERLINK("https://www.biocoop.fr/magasin-biocoop_champollion/patate-douce-fel4074-000-france.html","4.5")</f>
        <v>4.5</v>
      </c>
      <c r="E281" s="53" t="s">
        <v>775</v>
      </c>
      <c r="F281" s="52" t="str">
        <f>HYPERLINK("https://www.biocoop.fr/magasin-biocoop_fontaine/patate-douce-fel4074-000-france.html","5.5")</f>
        <v>5.5</v>
      </c>
      <c r="G281" s="53" t="s">
        <v>1204</v>
      </c>
      <c r="H281" s="52" t="str">
        <f>HYPERLINK("https://satoriz-comboire.bio/collections/fruits-et-legumes/products/lgu631","888888")</f>
        <v>888888</v>
      </c>
      <c r="I281" s="56" t="s">
        <v>1200</v>
      </c>
      <c r="J281" s="52" t="str">
        <f>HYPERLINK("https://www.greenweez.com/produit/patate-douce-france-2/1VRAC0048","6.16")</f>
        <v>6.16</v>
      </c>
      <c r="K281" s="53" t="s">
        <v>1214</v>
      </c>
    </row>
    <row r="282" spans="1:11" x14ac:dyDescent="0.3">
      <c r="A282" t="s">
        <v>591</v>
      </c>
      <c r="B282" s="52" t="str">
        <f>HYPERLINK("https://lafourche.fr/products/la-fourche-poireaux-bio-origine-france-0-5kg","888888")</f>
        <v>888888</v>
      </c>
      <c r="C282" s="56" t="s">
        <v>1215</v>
      </c>
      <c r="D282">
        <v>888888</v>
      </c>
      <c r="F282" s="52" t="str">
        <f>HYPERLINK("https://www.biocoop.fr/magasin-biocoop_fontaine/poireau.html","4.5")</f>
        <v>4.5</v>
      </c>
      <c r="G282" s="53" t="s">
        <v>1193</v>
      </c>
      <c r="H282" s="50" t="str">
        <f>HYPERLINK("https://satoriz-comboire.bio/collections/fruits-et-legumes/products/lgu710","4.4")</f>
        <v>4.4</v>
      </c>
      <c r="I282" t="s">
        <v>15</v>
      </c>
      <c r="J282" s="52" t="str">
        <f>HYPERLINK("https://www.greenweez.com/produit/poireau-france-2/1VRAC0024","888888")</f>
        <v>888888</v>
      </c>
      <c r="K282" s="56" t="s">
        <v>1216</v>
      </c>
    </row>
    <row r="283" spans="1:11" x14ac:dyDescent="0.3">
      <c r="A283" t="s">
        <v>592</v>
      </c>
      <c r="B283" s="50" t="str">
        <f>HYPERLINK("https://lafourche.fr/products/la-fourche-pommes-de-terre-allians-bio-origine-france-2-kg","888888")</f>
        <v>888888</v>
      </c>
      <c r="C283" s="56" t="s">
        <v>1217</v>
      </c>
      <c r="D283" s="57">
        <v>888888</v>
      </c>
      <c r="F283" s="57">
        <v>888888</v>
      </c>
      <c r="H283" s="50" t="str">
        <f>HYPERLINK("https://satoriz-comboire.bio/collections/fruits-et-legumes/products/lgu761","888888")</f>
        <v>888888</v>
      </c>
      <c r="I283" s="56" t="s">
        <v>1218</v>
      </c>
      <c r="J283" s="50" t="str">
        <f>HYPERLINK("https://www.greenweez.com/produit/pomme-de-terre-charlotte/1VRAC0032","888888")</f>
        <v>888888</v>
      </c>
      <c r="K283" s="56" t="s">
        <v>1200</v>
      </c>
    </row>
    <row r="285" spans="1:11" ht="18" customHeight="1" x14ac:dyDescent="0.35">
      <c r="A285" s="46" t="s">
        <v>593</v>
      </c>
      <c r="B285" s="47"/>
      <c r="C285" s="47"/>
      <c r="D285" s="47"/>
      <c r="E285" s="47"/>
      <c r="F285" s="47"/>
      <c r="G285" s="47"/>
      <c r="H285" s="47"/>
      <c r="I285" s="47"/>
      <c r="J285" s="47"/>
      <c r="K285" s="47"/>
    </row>
    <row r="286" spans="1:11" x14ac:dyDescent="0.3">
      <c r="A286" s="48" t="s">
        <v>594</v>
      </c>
      <c r="B286" s="49"/>
      <c r="C286" s="49"/>
      <c r="D286" s="49"/>
      <c r="E286" s="49"/>
      <c r="F286" s="49"/>
      <c r="G286" s="49"/>
      <c r="H286" s="49"/>
      <c r="I286" s="49"/>
      <c r="J286" s="49"/>
      <c r="K286" s="49"/>
    </row>
    <row r="287" spans="1:11" x14ac:dyDescent="0.3">
      <c r="A287" t="s">
        <v>595</v>
      </c>
      <c r="B287" s="52" t="str">
        <f>HYPERLINK("https://lafourche.fr/products/cosmo-naturel-shampoing-solide-cuir-chevelu-sensible-amande-douce-bio-0-085kg","73.29")</f>
        <v>73.29</v>
      </c>
      <c r="C287" t="s">
        <v>15</v>
      </c>
      <c r="D287" s="50" t="str">
        <f>HYPERLINK("https://www.biocoop.fr/magasin-biocoop_champollion/shampoing-solide-cheveux-normaux-85g-aa0634-000.html","67.65")</f>
        <v>67.65</v>
      </c>
      <c r="E287" s="51" t="s">
        <v>1219</v>
      </c>
      <c r="F287" s="52" t="str">
        <f>HYPERLINK("https://www.biocoop.fr/magasin-biocoop_fontaine/shampooing-solide-cheveux-secs-jojoba-aloe-vera-85g-lg5129-000.html","74.71")</f>
        <v>74.71</v>
      </c>
      <c r="G287" s="51" t="s">
        <v>1220</v>
      </c>
      <c r="H287" s="52" t="str">
        <f>HYPERLINK("https://satoriz-comboire.bio/collections/soins-beaute/products/lgco6317","90.0")</f>
        <v>90.0</v>
      </c>
      <c r="I287" t="s">
        <v>15</v>
      </c>
      <c r="J287" s="52" t="str">
        <f>HYPERLINK("https://www.greenweez.com/produit/shampoing-solide-cuir-chevelu-sensible-85g/1COSM0217","76.24")</f>
        <v>76.24</v>
      </c>
      <c r="K287" t="s">
        <v>15</v>
      </c>
    </row>
    <row r="288" spans="1:11" x14ac:dyDescent="0.3">
      <c r="A288" s="48" t="s">
        <v>600</v>
      </c>
      <c r="B288" s="49"/>
      <c r="C288" s="49"/>
      <c r="D288" s="49"/>
      <c r="E288" s="49"/>
      <c r="F288" s="49"/>
      <c r="G288" s="49"/>
      <c r="H288" s="49"/>
      <c r="I288" s="49"/>
      <c r="J288" s="49"/>
      <c r="K288" s="49"/>
    </row>
    <row r="289" spans="1:11" x14ac:dyDescent="0.3">
      <c r="A289" t="s">
        <v>601</v>
      </c>
      <c r="B289" s="52" t="str">
        <f>HYPERLINK("https://lafourche.fr/products/najel-savon-d-alep-40prct-huile-de-baies-de-laurier-185g-ecologique","30.54")</f>
        <v>30.54</v>
      </c>
      <c r="C289" t="s">
        <v>15</v>
      </c>
      <c r="D289" s="52" t="str">
        <f>HYPERLINK("https://www.biocoop.fr/magasin-biocoop_champollion/savon-d-alep-40-nj1017-000.html","41.08")</f>
        <v>41.08</v>
      </c>
      <c r="E289" t="s">
        <v>15</v>
      </c>
      <c r="F289" s="52" t="str">
        <f>HYPERLINK("https://www.biocoop.fr/magasin-biocoop_fontaine/savon-d-alep-40-nj1017-000.html","35.14")</f>
        <v>35.14</v>
      </c>
      <c r="G289" s="51" t="s">
        <v>1221</v>
      </c>
      <c r="H289" s="52" t="str">
        <f>HYPERLINK("https://satoriz-comboire.bio/collections/soins-beaute/products/l30035","48.67")</f>
        <v>48.67</v>
      </c>
      <c r="I289" t="s">
        <v>15</v>
      </c>
      <c r="J289" s="50" t="str">
        <f>HYPERLINK("https://www.greenweez.com/produit/savon-dalep-traditionnel-40-200g/1LAUR0009","24.0")</f>
        <v>24.0</v>
      </c>
      <c r="K289" s="53" t="s">
        <v>33</v>
      </c>
    </row>
    <row r="290" spans="1:11" x14ac:dyDescent="0.3">
      <c r="A290" t="s">
        <v>605</v>
      </c>
      <c r="B290" s="50" t="str">
        <f>HYPERLINK("https://lafourche.fr/products/la-fourche-cube-de-marseille-600g","7.17")</f>
        <v>7.17</v>
      </c>
      <c r="C290" t="s">
        <v>15</v>
      </c>
      <c r="D290">
        <v>888888</v>
      </c>
      <c r="F290">
        <v>888888</v>
      </c>
      <c r="H290" s="52" t="str">
        <f>HYPERLINK("https://satoriz-comboire.bio/products/lc20?_pos=6&amp;_sid=8deb37f9d&amp;_ss=r","12.4")</f>
        <v>12.4</v>
      </c>
      <c r="I290" t="s">
        <v>15</v>
      </c>
      <c r="J290" s="52" t="str">
        <f>HYPERLINK("https://www.greenweez.com/produit/savon-de-marseille-cube-vegetal-600g/1FERA0006","13.42")</f>
        <v>13.42</v>
      </c>
      <c r="K290" s="53" t="s">
        <v>1222</v>
      </c>
    </row>
    <row r="291" spans="1:11" x14ac:dyDescent="0.3">
      <c r="A291" s="48" t="s">
        <v>606</v>
      </c>
      <c r="B291" s="49"/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1:11" x14ac:dyDescent="0.3">
      <c r="A292" t="s">
        <v>607</v>
      </c>
      <c r="B292" s="50" t="str">
        <f>HYPERLINK("https://lafourche.fr/products/tadam-serviettes-dermo-sensitives-maxi-normal-18unite","0.14")</f>
        <v>0.14</v>
      </c>
      <c r="C292" t="s">
        <v>15</v>
      </c>
      <c r="D292" s="52" t="str">
        <f>HYPERLINK("https://www.biocoop.fr/magasin-biocoop_champollion/serviettes-ultra-regular-14-bo2111-000.html","0.23")</f>
        <v>0.23</v>
      </c>
      <c r="E292" t="s">
        <v>15</v>
      </c>
      <c r="F292" s="52" t="str">
        <f>HYPERLINK("https://www.biocoop.fr/magasin-biocoop_fontaine/serviettes-ultra-regular-14-bo2111-000.html","0.23")</f>
        <v>0.23</v>
      </c>
      <c r="G292" t="s">
        <v>15</v>
      </c>
      <c r="H292" s="52" t="str">
        <f>HYPERLINK("https://satoriz-comboire.bio/collections/soins-beaute/products/pu627","0.24")</f>
        <v>0.24</v>
      </c>
      <c r="I292" t="s">
        <v>15</v>
      </c>
      <c r="J292" s="52" t="str">
        <f>HYPERLINK("https://www.greenweez.com/produit/14-serviettes-normales-hypoallergeniques-0-ultra-avec-ailette/2LOVE0028","0.21")</f>
        <v>0.21</v>
      </c>
      <c r="K292" t="s">
        <v>15</v>
      </c>
    </row>
    <row r="293" spans="1:11" x14ac:dyDescent="0.3">
      <c r="A293" t="s">
        <v>608</v>
      </c>
      <c r="B293" s="50" t="str">
        <f>HYPERLINK("https://lafourche.fr/products/tadam-serviettes-dermo-sensitives-ultra-nuit-plus-10unite","0.25")</f>
        <v>0.25</v>
      </c>
      <c r="C293" t="s">
        <v>15</v>
      </c>
      <c r="D293">
        <v>888888</v>
      </c>
      <c r="F293">
        <v>888888</v>
      </c>
      <c r="H293" s="52" t="str">
        <f>HYPERLINK("https://satoriz-comboire.bio/collections/soins-beaute/products/pu6210","0.43")</f>
        <v>0.43</v>
      </c>
      <c r="I293" t="s">
        <v>15</v>
      </c>
      <c r="J293" s="50" t="str">
        <f>HYPERLINK("https://www.greenweez.com/produit/serviettes-maxi-nuit-hypoallergeniques-pliees-x12/2LOVE0059","0.25")</f>
        <v>0.25</v>
      </c>
      <c r="K293" t="s">
        <v>15</v>
      </c>
    </row>
    <row r="294" spans="1:11" x14ac:dyDescent="0.3">
      <c r="A294" t="s">
        <v>609</v>
      </c>
      <c r="B294" s="50" t="str">
        <f>HYPERLINK("https://lafourche.fr/products/tadam-protege-lingerie-dermo-sensitif-normal-24unite","0.1")</f>
        <v>0.1</v>
      </c>
      <c r="C294" t="s">
        <v>15</v>
      </c>
      <c r="D294">
        <v>888888</v>
      </c>
      <c r="F294">
        <v>888888</v>
      </c>
      <c r="H294" s="52" t="str">
        <f>HYPERLINK("https://satoriz-comboire.bio/collections/soins-beaute/products/eu5844","0.16")</f>
        <v>0.16</v>
      </c>
      <c r="I294" t="s">
        <v>15</v>
      </c>
      <c r="J294" s="50" t="str">
        <f>HYPERLINK("https://www.greenweez.com/produit/30-protege-slips-hypoallergeniques-0/2LOVE0027","0.1")</f>
        <v>0.1</v>
      </c>
      <c r="K294" t="s">
        <v>15</v>
      </c>
    </row>
    <row r="295" spans="1:11" x14ac:dyDescent="0.3">
      <c r="A295" t="s">
        <v>610</v>
      </c>
      <c r="B295" s="50" t="str">
        <f>HYPERLINK("https://lafourche.fr/products/tadam-serviettes-dermo-sensitives-ultra-super-plus-12unite","0.21")</f>
        <v>0.21</v>
      </c>
      <c r="C295" t="s">
        <v>15</v>
      </c>
      <c r="D295" s="52" t="str">
        <f>HYPERLINK("https://www.biocoop.fr/magasin-biocoop_champollion/serviettes-ultra-super-12-bo2116-000.html","0.29")</f>
        <v>0.29</v>
      </c>
      <c r="E295" t="s">
        <v>15</v>
      </c>
      <c r="F295" s="52" t="str">
        <f>HYPERLINK("https://www.biocoop.fr/magasin-biocoop_fontaine/serviettes-ultra-super-12-bo2116-000.html","0.3")</f>
        <v>0.3</v>
      </c>
      <c r="G295" t="s">
        <v>15</v>
      </c>
      <c r="H295" s="52" t="str">
        <f>HYPERLINK("https://satoriz-comboire.bio/collections/soins-beaute/products/pu628","0.28")</f>
        <v>0.28</v>
      </c>
      <c r="I295" t="s">
        <v>15</v>
      </c>
      <c r="J295" s="52" t="str">
        <f>HYPERLINK("https://www.greenweez.com/produit/serviettes-hypoallergeniques-maxi-super-x14-sans-ailettes/2LOVE0070","0.23")</f>
        <v>0.23</v>
      </c>
      <c r="K295" t="s">
        <v>15</v>
      </c>
    </row>
    <row r="296" spans="1:11" x14ac:dyDescent="0.3">
      <c r="A296" t="s">
        <v>611</v>
      </c>
      <c r="B296" s="50" t="str">
        <f>HYPERLINK("https://lafourche.fr/products/tampon-normal-avec-applicateur-x16","0.25")</f>
        <v>0.25</v>
      </c>
      <c r="C296" t="s">
        <v>15</v>
      </c>
      <c r="D296" s="52" t="str">
        <f>HYPERLINK("https://www.biocoop.fr/magasin-biocoop_champollion/tampons-regular-avec-applicateur-16-bo2103-000.html","0.3")</f>
        <v>0.3</v>
      </c>
      <c r="E296" t="s">
        <v>15</v>
      </c>
      <c r="F296" s="52" t="str">
        <f>HYPERLINK("https://www.biocoop.fr/magasin-biocoop_fontaine/tampons-regular-avec-applicateur-16-bo2103-000.html","0.33")</f>
        <v>0.33</v>
      </c>
      <c r="G296" s="53" t="s">
        <v>1223</v>
      </c>
      <c r="H296" s="52" t="str">
        <f>HYPERLINK("https://satoriz-comboire.bio/collections/soins-beaute/products/pu624","0.31")</f>
        <v>0.31</v>
      </c>
      <c r="I296" t="s">
        <v>15</v>
      </c>
      <c r="J296" s="52" t="str">
        <f>HYPERLINK("https://www.greenweez.com/produit/tampons-normal-avec-applicateur-x16/1NATR0018","0.28")</f>
        <v>0.28</v>
      </c>
      <c r="K296" s="53" t="s">
        <v>1224</v>
      </c>
    </row>
    <row r="297" spans="1:11" x14ac:dyDescent="0.3">
      <c r="A297" t="s">
        <v>612</v>
      </c>
      <c r="B297" s="50" t="str">
        <f>HYPERLINK("https://lafourche.fr/products/natracare-tampon-normal-en-coton-bio-sans-applicateur-x20","0.17")</f>
        <v>0.17</v>
      </c>
      <c r="C297" t="s">
        <v>15</v>
      </c>
      <c r="D297" s="52" t="str">
        <f>HYPERLINK("https://www.biocoop.fr/magasin-biocoop_champollion/tampons-regular-sans-applicateur-20-bo2100-000.html","0.19")</f>
        <v>0.19</v>
      </c>
      <c r="E297" t="s">
        <v>15</v>
      </c>
      <c r="F297" s="52" t="str">
        <f>HYPERLINK("https://www.biocoop.fr/magasin-biocoop_fontaine/tampons-regular-sans-applicateur-20-bo2100-000.html","0.19")</f>
        <v>0.19</v>
      </c>
      <c r="G297" t="s">
        <v>15</v>
      </c>
      <c r="H297" s="52" t="str">
        <f>HYPERLINK("https://satoriz-comboire.bio/collections/soins-beaute/products/pu6213","0.2")</f>
        <v>0.2</v>
      </c>
      <c r="I297" t="s">
        <v>15</v>
      </c>
      <c r="J297" s="52" t="str">
        <f>HYPERLINK("https://www.greenweez.com/produit/tampons-normal-sans-applicateur-x20/1NATR0016","0.18")</f>
        <v>0.18</v>
      </c>
      <c r="K297" t="s">
        <v>15</v>
      </c>
    </row>
    <row r="298" spans="1:11" x14ac:dyDescent="0.3">
      <c r="A298" t="s">
        <v>613</v>
      </c>
      <c r="B298" s="50" t="str">
        <f>HYPERLINK("https://lafourche.fr/products/tampon-super-avec-applicateur-x16","0.27")</f>
        <v>0.27</v>
      </c>
      <c r="C298" t="s">
        <v>15</v>
      </c>
      <c r="D298">
        <v>888888</v>
      </c>
      <c r="F298">
        <v>888888</v>
      </c>
      <c r="H298" s="52" t="str">
        <f>HYPERLINK("https://satoriz-comboire.bio/collections/soins-beaute/products/eu5847","0.41")</f>
        <v>0.41</v>
      </c>
      <c r="I298" t="s">
        <v>15</v>
      </c>
      <c r="J298" s="50" t="str">
        <f>HYPERLINK("https://www.greenweez.com/produit/tampons-super-avec-applicateur-x16/1NATR0020","0.27")</f>
        <v>0.27</v>
      </c>
      <c r="K298" s="51" t="s">
        <v>1225</v>
      </c>
    </row>
    <row r="299" spans="1:11" x14ac:dyDescent="0.3">
      <c r="A299" t="s">
        <v>614</v>
      </c>
      <c r="B299" s="50" t="str">
        <f>HYPERLINK("https://lafourche.fr/products/natracare-tampon-super-en-coton-bio-sans-applicateur-x20","0.18")</f>
        <v>0.18</v>
      </c>
      <c r="C299" t="s">
        <v>15</v>
      </c>
      <c r="D299" s="52" t="str">
        <f>HYPERLINK("https://www.biocoop.fr/magasin-biocoop_champollion/tampon-super-20-bo2101-000.html","888888")</f>
        <v>888888</v>
      </c>
      <c r="E299" t="s">
        <v>99</v>
      </c>
      <c r="F299" s="52" t="str">
        <f>HYPERLINK("https://www.biocoop.fr/magasin-biocoop_fontaine/tampon-super-20-bo2101-000.html","0.24")</f>
        <v>0.24</v>
      </c>
      <c r="G299" t="s">
        <v>15</v>
      </c>
      <c r="H299" s="52" t="str">
        <f>HYPERLINK("https://satoriz-comboire.bio/collections/soins-beaute/products/eu5850","0.28")</f>
        <v>0.28</v>
      </c>
      <c r="I299" t="s">
        <v>15</v>
      </c>
      <c r="J299" s="52" t="str">
        <f>HYPERLINK("https://www.greenweez.com/produit/tampons-super-sans-applicateur-x20/1NATR0019","0.2")</f>
        <v>0.2</v>
      </c>
      <c r="K299" s="53" t="s">
        <v>1226</v>
      </c>
    </row>
    <row r="301" spans="1:11" ht="18" customHeight="1" x14ac:dyDescent="0.35">
      <c r="A301" s="46" t="s">
        <v>615</v>
      </c>
      <c r="B301" s="47"/>
      <c r="C301" s="47"/>
      <c r="D301" s="47"/>
      <c r="E301" s="47"/>
      <c r="F301" s="47"/>
      <c r="G301" s="47"/>
      <c r="H301" s="47"/>
      <c r="I301" s="47"/>
      <c r="J301" s="47"/>
      <c r="K301" s="47"/>
    </row>
    <row r="302" spans="1:11" x14ac:dyDescent="0.3">
      <c r="A302" s="48" t="s">
        <v>616</v>
      </c>
      <c r="B302" s="49"/>
      <c r="C302" s="49"/>
      <c r="D302" s="49"/>
      <c r="E302" s="49"/>
      <c r="F302" s="49"/>
      <c r="G302" s="49"/>
      <c r="H302" s="49"/>
      <c r="I302" s="49"/>
      <c r="J302" s="49"/>
      <c r="K302" s="49"/>
    </row>
    <row r="303" spans="1:11" x14ac:dyDescent="0.3">
      <c r="A303" t="s">
        <v>617</v>
      </c>
      <c r="B303" s="52" t="str">
        <f>HYPERLINK("https://lafourche.fr/products/la-fourche-vinaigre-blanc-12-5l","1.8")</f>
        <v>1.8</v>
      </c>
      <c r="C303" t="s">
        <v>15</v>
      </c>
      <c r="D303" s="52" t="str">
        <f>HYPERLINK("https://www.biocoop.fr/magasin-biocoop_champollion/vinaigre-d-alcool-8-1l-se4010-000.html","2.15")</f>
        <v>2.15</v>
      </c>
      <c r="E303" t="s">
        <v>15</v>
      </c>
      <c r="F303" s="52" t="str">
        <f>HYPERLINK("https://www.biocoop.fr/magasin-biocoop_fontaine/vinaigre-d-alcool-8-1l-se4010-000.html","1.82")</f>
        <v>1.82</v>
      </c>
      <c r="G303" s="51" t="s">
        <v>1227</v>
      </c>
      <c r="H303" s="50" t="str">
        <f>HYPERLINK("https://satoriz-comboire.bio/collections/maison/products/cb4405","1.59")</f>
        <v>1.59</v>
      </c>
      <c r="I303" t="s">
        <v>15</v>
      </c>
      <c r="J303" s="52" t="str">
        <f>HYPERLINK("https://www.greenweez.com/produit/vinaigre-blanc-9-5deg-5l/2WEEZ0344","1.92")</f>
        <v>1.92</v>
      </c>
      <c r="K303" s="53" t="s">
        <v>1228</v>
      </c>
    </row>
    <row r="304" spans="1:11" x14ac:dyDescent="0.3">
      <c r="A304" t="s">
        <v>619</v>
      </c>
      <c r="B304" s="52" t="str">
        <f>HYPERLINK("https://lafourche.fr/products/bicarbonate-la-fourche-2kg","3.38")</f>
        <v>3.38</v>
      </c>
      <c r="C304" s="51" t="s">
        <v>897</v>
      </c>
      <c r="D304" s="52" t="str">
        <f>HYPERLINK("https://www.biocoop.fr/magasin-biocoop_champollion/bicarbonate-de-soude-se4001-000.html","4.9")</f>
        <v>4.9</v>
      </c>
      <c r="E304" t="s">
        <v>15</v>
      </c>
      <c r="F304" s="50" t="str">
        <f>HYPERLINK("https://www.biocoop.fr/magasin-biocoop_fontaine/bicarbonate-soude-se4066-000.html","2.63")</f>
        <v>2.63</v>
      </c>
      <c r="G304" s="51" t="s">
        <v>1229</v>
      </c>
      <c r="H304" s="52" t="str">
        <f>HYPERLINK("https://satoriz-comboire.bio/collections/maison/products/ls2","888888")</f>
        <v>888888</v>
      </c>
      <c r="I304" s="56" t="s">
        <v>1230</v>
      </c>
      <c r="J304" s="52" t="str">
        <f>HYPERLINK("https://www.greenweez.com/produit/bicarbonate-de-soude-technique-2-5kg/2ECOD0552","3.78")</f>
        <v>3.78</v>
      </c>
      <c r="K304" s="53" t="s">
        <v>779</v>
      </c>
    </row>
    <row r="305" spans="1:11" x14ac:dyDescent="0.3">
      <c r="A305" t="s">
        <v>623</v>
      </c>
      <c r="B305" s="52" t="str">
        <f>HYPERLINK("https://lafourche.fr/products/cristaux-de-soude-la-fourche-1kg","3.99")</f>
        <v>3.99</v>
      </c>
      <c r="C305" s="51" t="s">
        <v>898</v>
      </c>
      <c r="D305" s="52" t="str">
        <f>HYPERLINK("https://www.biocoop.fr/magasin-biocoop_champollion/soude-en-cristaux-concentree-500g-se4005-000.html","5.8")</f>
        <v>5.8</v>
      </c>
      <c r="E305" t="s">
        <v>15</v>
      </c>
      <c r="F305" s="52" t="str">
        <f>HYPERLINK("https://www.biocoop.fr/magasin-biocoop_fontaine/soude-en-cristaux-concentree-500g-se4005-000.html","5.26")</f>
        <v>5.26</v>
      </c>
      <c r="G305" s="51" t="s">
        <v>1229</v>
      </c>
      <c r="H305" s="52" t="str">
        <f>HYPERLINK("https://satoriz-comboire.bio/collections/maison/products/eu7667","6.3")</f>
        <v>6.3</v>
      </c>
      <c r="I305" t="s">
        <v>15</v>
      </c>
      <c r="J305" s="50" t="str">
        <f>HYPERLINK("https://www.greenweez.com/produit/lot-de-2-soude-en-cristaux-1kg/1PACK1039","3.81")</f>
        <v>3.81</v>
      </c>
      <c r="K305" t="s">
        <v>15</v>
      </c>
    </row>
    <row r="306" spans="1:11" x14ac:dyDescent="0.3">
      <c r="A306" t="s">
        <v>626</v>
      </c>
      <c r="B306" s="50" t="str">
        <f>HYPERLINK("https://lafourche.fr/products/percarbonate-2kg-la-fourche","4.64")</f>
        <v>4.64</v>
      </c>
      <c r="C306" t="s">
        <v>15</v>
      </c>
      <c r="D306" s="52" t="str">
        <f>HYPERLINK("https://www.biocoop.fr/magasin-biocoop_champollion/percarbonate-de-soude-1kg-se4004-000.html","6.15")</f>
        <v>6.15</v>
      </c>
      <c r="E306" t="s">
        <v>15</v>
      </c>
      <c r="F306" s="52" t="str">
        <f>HYPERLINK("https://www.biocoop.fr/magasin-biocoop_fontaine/percarbonate-de-soude-1kg-se4004-000.html","5.35")</f>
        <v>5.35</v>
      </c>
      <c r="G306" s="51" t="s">
        <v>1231</v>
      </c>
      <c r="H306" s="52" t="str">
        <f>HYPERLINK("https://satoriz-comboire.bio/collections/maison/products/eco014","5.5")</f>
        <v>5.5</v>
      </c>
      <c r="I306" s="51" t="s">
        <v>781</v>
      </c>
      <c r="J306" s="52" t="str">
        <f>HYPERLINK("https://www.greenweez.com/produit/percarbonate-de-soude-1kg-2/2WEEZ0347","6.38")</f>
        <v>6.38</v>
      </c>
      <c r="K306" s="53" t="s">
        <v>1232</v>
      </c>
    </row>
    <row r="307" spans="1:11" x14ac:dyDescent="0.3">
      <c r="A307" t="s">
        <v>629</v>
      </c>
      <c r="B307" s="50" t="str">
        <f>HYPERLINK("https://lafourche.fr/products/artisan-savonnier-blanc-de-meudon-500g","5.7")</f>
        <v>5.7</v>
      </c>
      <c r="C307" t="s">
        <v>15</v>
      </c>
      <c r="D307" s="52" t="str">
        <f>HYPERLINK("https://www.biocoop.fr/magasin-biocoop_champollion/blanc-de-meudon-500g-se4075-000.html","7.4")</f>
        <v>7.4</v>
      </c>
      <c r="E307" t="s">
        <v>15</v>
      </c>
      <c r="F307" s="52" t="str">
        <f>HYPERLINK("https://www.biocoop.fr/magasin-biocoop_fontaine/blanc-de-meudon-500g-se4075-000.html","6.54")</f>
        <v>6.54</v>
      </c>
      <c r="G307" s="51" t="s">
        <v>1233</v>
      </c>
      <c r="H307" s="52" t="str">
        <f>HYPERLINK("https://satoriz-comboire.bio/collections/maison/products/ecod008","7.3")</f>
        <v>7.3</v>
      </c>
      <c r="I307" t="s">
        <v>15</v>
      </c>
      <c r="J307" s="52" t="str">
        <f>HYPERLINK("https://www.greenweez.com/produit/blanc-de-meudon-diy-500g/1ARTI0062","888888")</f>
        <v>888888</v>
      </c>
      <c r="K307" s="56" t="s">
        <v>1234</v>
      </c>
    </row>
    <row r="308" spans="1:11" x14ac:dyDescent="0.3">
      <c r="A308" t="s">
        <v>634</v>
      </c>
      <c r="B308" s="52" t="str">
        <f>HYPERLINK("https://lafourche.fr/products/etamine-du-lys-savon-noir-5l","5.86")</f>
        <v>5.86</v>
      </c>
      <c r="C308" t="s">
        <v>15</v>
      </c>
      <c r="D308" s="52" t="str">
        <f>HYPERLINK("https://www.biocoop.fr/magasin-biocoop_champollion/savon-noir-concentre-a-l-huile-d-olive-1l-se4041-000.html","9.05")</f>
        <v>9.05</v>
      </c>
      <c r="E308" t="s">
        <v>15</v>
      </c>
      <c r="F308" s="52" t="str">
        <f>HYPERLINK("https://www.biocoop.fr/magasin-biocoop_fontaine/savon-noir-concentre-a-l-huile-d-olive-1l-se4041-000.html","7.48")</f>
        <v>7.48</v>
      </c>
      <c r="G308" s="51" t="s">
        <v>1235</v>
      </c>
      <c r="H308" s="52" t="str">
        <f>HYPERLINK("https://satoriz-comboire.bio/collections/maison/products/eu9721","5.55")</f>
        <v>5.55</v>
      </c>
      <c r="I308" t="s">
        <v>15</v>
      </c>
      <c r="J308" s="50" t="str">
        <f>HYPERLINK("https://www.greenweez.com/produit/savon-noir-maison-5l-1/2WEEZ0042","4.99")</f>
        <v>4.99</v>
      </c>
      <c r="K308" s="53" t="s">
        <v>1236</v>
      </c>
    </row>
    <row r="309" spans="1:11" x14ac:dyDescent="0.3">
      <c r="A309" t="s">
        <v>637</v>
      </c>
      <c r="B309" s="50" t="str">
        <f>HYPERLINK("https://lafourche.fr/products/acide-citrique-la-fourche-1kg","7.45")</f>
        <v>7.45</v>
      </c>
      <c r="C309" t="s">
        <v>15</v>
      </c>
      <c r="D309" s="52" t="str">
        <f>HYPERLINK("https://www.biocoop.fr/magasin-biocoop_champollion/acide-citrique-1kg-se4000-000.html","10.55")</f>
        <v>10.55</v>
      </c>
      <c r="E309" t="s">
        <v>15</v>
      </c>
      <c r="F309" s="52" t="str">
        <f>HYPERLINK("https://www.biocoop.fr/magasin-biocoop_fontaine/acide-citrique-1kg-se4000-000.html","7.64")</f>
        <v>7.64</v>
      </c>
      <c r="G309" s="51" t="s">
        <v>1237</v>
      </c>
      <c r="H309" s="52" t="str">
        <f>HYPERLINK("https://satoriz-comboire.bio/collections/maison/products/eco012","7.5")</f>
        <v>7.5</v>
      </c>
      <c r="I309" s="51" t="s">
        <v>784</v>
      </c>
      <c r="J309" s="52" t="str">
        <f>HYPERLINK("https://www.greenweez.com/produit/lot-de-2-acide-citrique-1kg/1PACK0470","8.4")</f>
        <v>8.4</v>
      </c>
      <c r="K309" s="51" t="s">
        <v>1238</v>
      </c>
    </row>
    <row r="310" spans="1:11" x14ac:dyDescent="0.3">
      <c r="A310" t="s">
        <v>641</v>
      </c>
      <c r="B310" s="50" t="str">
        <f>HYPERLINK("https://lafourche.fr/products/la-fourche-mon-savon-de-marseille-en-copeaux-1kg","9.95")</f>
        <v>9.95</v>
      </c>
      <c r="C310" t="s">
        <v>15</v>
      </c>
      <c r="D310" s="52" t="str">
        <f>HYPERLINK("https://www.biocoop.fr/magasin-biocoop_champollion/paillettes-de-savon-1kg-se4009-000.html","12.25")</f>
        <v>12.25</v>
      </c>
      <c r="E310" t="s">
        <v>15</v>
      </c>
      <c r="F310" s="52" t="str">
        <f>HYPERLINK("https://www.biocoop.fr/magasin-biocoop_fontaine/paillettes-de-savon-1kg-se4009-000.html","10.6")</f>
        <v>10.6</v>
      </c>
      <c r="G310" t="s">
        <v>15</v>
      </c>
      <c r="H310" s="52" t="str">
        <f>HYPERLINK("https://satoriz-comboire.bio/collections/maison/products/sle8163","12.85")</f>
        <v>12.85</v>
      </c>
      <c r="I310" t="s">
        <v>15</v>
      </c>
      <c r="J310" s="52" t="str">
        <f>HYPERLINK("https://www.greenweez.com/produit/lot-de-2-paillettes-de-savon-bio-1kg/1PACK1072","10.65")</f>
        <v>10.65</v>
      </c>
      <c r="K310" s="53" t="s">
        <v>1239</v>
      </c>
    </row>
    <row r="311" spans="1:11" x14ac:dyDescent="0.3">
      <c r="A311" s="48" t="s">
        <v>643</v>
      </c>
      <c r="B311" s="49"/>
      <c r="C311" s="49"/>
      <c r="D311" s="49"/>
      <c r="E311" s="49"/>
      <c r="F311" s="49"/>
      <c r="G311" s="49"/>
      <c r="H311" s="49"/>
      <c r="I311" s="49"/>
      <c r="J311" s="49"/>
      <c r="K311" s="49"/>
    </row>
    <row r="312" spans="1:11" x14ac:dyDescent="0.3">
      <c r="A312" t="s">
        <v>644</v>
      </c>
      <c r="B312" s="50" t="str">
        <f>HYPERLINK("https://lafourche.fr/products/la-fourche-lessive-liquide-5l","2.6")</f>
        <v>2.6</v>
      </c>
      <c r="C312" t="s">
        <v>15</v>
      </c>
      <c r="D312" s="52" t="str">
        <f>HYPERLINK("https://www.biocoop.fr/magasin-biocoop_champollion/lessive-liquide-lavande-lg1104-000.html","3.38")</f>
        <v>3.38</v>
      </c>
      <c r="E312" s="51" t="s">
        <v>1240</v>
      </c>
      <c r="F312" s="52" t="str">
        <f>HYPERLINK("https://www.biocoop.fr/magasin-biocoop_fontaine/lessive-liquide-lavande-lg1103-000.html","4.99")</f>
        <v>4.99</v>
      </c>
      <c r="G312" t="s">
        <v>15</v>
      </c>
      <c r="H312" s="52" t="str">
        <f>HYPERLINK("https://satoriz-comboire.bio/collections/maison/products/lgase3606","3.63")</f>
        <v>3.63</v>
      </c>
      <c r="I312" t="s">
        <v>15</v>
      </c>
      <c r="J312" s="52" t="str">
        <f>HYPERLINK("https://www.greenweez.com/produit/lessive-ecologique-savon-de-marseille-250g/1WRAP0007","2.99")</f>
        <v>2.99</v>
      </c>
      <c r="K312" t="s">
        <v>15</v>
      </c>
    </row>
    <row r="313" spans="1:11" x14ac:dyDescent="0.3">
      <c r="A313" t="s">
        <v>646</v>
      </c>
      <c r="B313" s="50" t="str">
        <f>HYPERLINK("https://lafourche.fr/products/la-fourche-lessive-en-poudre-blanc-et-couleurs-certifiee-ecodetergent-1kg","7.25")</f>
        <v>7.25</v>
      </c>
      <c r="C313" s="51" t="s">
        <v>900</v>
      </c>
      <c r="D313" s="52" t="str">
        <f>HYPERLINK("https://www.biocoop.fr/magasin-biocoop_champollion/lessive-poudre-ultra-concentree-800g-se4057-000.html","12.44")</f>
        <v>12.44</v>
      </c>
      <c r="E313" t="s">
        <v>15</v>
      </c>
      <c r="F313" s="52" t="str">
        <f>HYPERLINK("https://www.biocoop.fr/magasin-biocoop_fontaine/lessive-poudre-ultra-concentree-800g-se4057-000.html","12.69")</f>
        <v>12.69</v>
      </c>
      <c r="G313" t="s">
        <v>15</v>
      </c>
      <c r="H313" s="52" t="str">
        <f>HYPERLINK("https://satoriz-comboire.bio/products/ecdo430?_pos=1&amp;_sid=1e5552213&amp;_ss=r","11.0")</f>
        <v>11.0</v>
      </c>
      <c r="I313" t="s">
        <v>15</v>
      </c>
      <c r="J313" s="52" t="str">
        <f>HYPERLINK("https://www.greenweez.com/produit/4-mois-de-lessive-en-poudre-ecologique-1kg/2WEEZ0229","8.48")</f>
        <v>8.48</v>
      </c>
      <c r="K313" t="s">
        <v>99</v>
      </c>
    </row>
    <row r="314" spans="1:11" x14ac:dyDescent="0.3">
      <c r="A314" t="s">
        <v>647</v>
      </c>
      <c r="B314" s="50" t="str">
        <f>HYPERLINK("https://lafourche.fr/products/la-fourche-adoucissant-a-la-lavande-5l","2.59")</f>
        <v>2.59</v>
      </c>
      <c r="C314" s="51" t="s">
        <v>1241</v>
      </c>
      <c r="D314" s="52" t="str">
        <f>HYPERLINK("https://www.biocoop.fr/magasin-biocoop_champollion/assouplissant-lavande-lg1030-000.html","3.7")</f>
        <v>3.7</v>
      </c>
      <c r="E314" s="51" t="s">
        <v>757</v>
      </c>
      <c r="F314" s="52" t="str">
        <f>HYPERLINK("https://www.biocoop.fr/magasin-biocoop_fontaine/assouplissant-lavande-lg1030-000.html","3.7")</f>
        <v>3.7</v>
      </c>
      <c r="G314" s="51" t="s">
        <v>757</v>
      </c>
      <c r="H314" s="52" t="str">
        <f>HYPERLINK("https://satoriz-comboire.bio/collections/maison/products/lgase3619","3.37")</f>
        <v>3.37</v>
      </c>
      <c r="I314" t="s">
        <v>15</v>
      </c>
      <c r="J314" s="52" t="str">
        <f>HYPERLINK("https://www.greenweez.com/produit/assouplissant-concentre-lavande-1-5l/1LERU0042","3.47")</f>
        <v>3.47</v>
      </c>
      <c r="K314" t="s">
        <v>15</v>
      </c>
    </row>
    <row r="315" spans="1:11" x14ac:dyDescent="0.3">
      <c r="A315" s="48" t="s">
        <v>652</v>
      </c>
      <c r="B315" s="49"/>
      <c r="C315" s="49"/>
      <c r="D315" s="49"/>
      <c r="E315" s="49"/>
      <c r="F315" s="49"/>
      <c r="G315" s="49"/>
      <c r="H315" s="49"/>
      <c r="I315" s="49"/>
      <c r="J315" s="49"/>
      <c r="K315" s="49"/>
    </row>
    <row r="316" spans="1:11" x14ac:dyDescent="0.3">
      <c r="A316" t="s">
        <v>653</v>
      </c>
      <c r="B316" s="50" t="str">
        <f>HYPERLINK("https://lafourche.fr/products/la-fourche-liquide-vaisselle-certifie-ecodetergent-5l","1.98")</f>
        <v>1.98</v>
      </c>
      <c r="C316" t="s">
        <v>15</v>
      </c>
      <c r="D316" s="52" t="str">
        <f>HYPERLINK("https://www.biocoop.fr/magasin-biocoop_champollion/liquide-vaisselle-citron-lg1002-000.html","2.75")</f>
        <v>2.75</v>
      </c>
      <c r="E316" t="s">
        <v>15</v>
      </c>
      <c r="F316" s="52" t="str">
        <f>HYPERLINK("https://www.biocoop.fr/magasin-biocoop_fontaine/vaisselle-liquide-sans-parfum-1l-lg1122-000.html","3.2")</f>
        <v>3.2</v>
      </c>
      <c r="G316" t="s">
        <v>15</v>
      </c>
      <c r="H316" s="52" t="str">
        <f>HYPERLINK("https://satoriz-comboire.bio/collections/maison/products/lgase3608","2.75")</f>
        <v>2.75</v>
      </c>
      <c r="I316" t="s">
        <v>15</v>
      </c>
      <c r="J316" s="52" t="str">
        <f>HYPERLINK("https://www.greenweez.com/produit/liquide-vaisselle-citron-ecologique-5l/2WEEZ0511","2.79")</f>
        <v>2.79</v>
      </c>
      <c r="K316" s="53" t="s">
        <v>164</v>
      </c>
    </row>
    <row r="317" spans="1:11" x14ac:dyDescent="0.3">
      <c r="A317" t="s">
        <v>654</v>
      </c>
      <c r="B317" s="52" t="str">
        <f>HYPERLINK("https://lafourche.fr/products/la-fourche-savon-vaisselle-200g","11.25")</f>
        <v>11.25</v>
      </c>
      <c r="C317" t="s">
        <v>15</v>
      </c>
      <c r="D317" s="52" t="str">
        <f>HYPERLINK("https://www.biocoop.fr/magasin-biocoop_champollion/savon-solide-vaisselle-aloe-vera-200g-cm0103-000.html","3.99")</f>
        <v>3.99</v>
      </c>
      <c r="E317" t="s">
        <v>15</v>
      </c>
      <c r="F317" s="50" t="str">
        <f>HYPERLINK("https://www.biocoop.fr/magasin-biocoop_fontaine/savon-solide-vaisselle-aloe-vera-200g-cm0103-000.html","3.52")</f>
        <v>3.52</v>
      </c>
      <c r="G317" s="51" t="s">
        <v>1242</v>
      </c>
      <c r="H317" s="52" t="str">
        <f>HYPERLINK("https://satoriz-comboire.bio/collections/maison/products/lc6","18.75")</f>
        <v>18.75</v>
      </c>
      <c r="I317" t="s">
        <v>15</v>
      </c>
      <c r="J317" s="52" t="str">
        <f>HYPERLINK("https://www.greenweez.com/produit/savon-vaisselle-ecologique-solide-romarin-200g/1WRAP0009","29.06")</f>
        <v>29.06</v>
      </c>
      <c r="K317" s="53" t="s">
        <v>901</v>
      </c>
    </row>
    <row r="319" spans="1:11" ht="18" customHeight="1" x14ac:dyDescent="0.35">
      <c r="A319" s="46" t="s">
        <v>902</v>
      </c>
      <c r="B319" s="47"/>
      <c r="C319" s="47"/>
      <c r="D319" s="47"/>
      <c r="E319" s="47"/>
      <c r="F319" s="47"/>
      <c r="G319" s="47"/>
      <c r="H319" s="47"/>
      <c r="I319" s="47"/>
      <c r="J319" s="47"/>
      <c r="K319" s="47"/>
    </row>
    <row r="320" spans="1:11" x14ac:dyDescent="0.3">
      <c r="A320" s="48" t="s">
        <v>903</v>
      </c>
      <c r="B320" s="49"/>
      <c r="C320" s="49"/>
      <c r="D320" s="49"/>
      <c r="E320" s="49"/>
      <c r="F320" s="49"/>
      <c r="G320" s="49"/>
      <c r="H320" s="49"/>
      <c r="I320" s="49"/>
      <c r="J320" s="49"/>
      <c r="K320" s="49"/>
    </row>
    <row r="321" spans="1:10" x14ac:dyDescent="0.3">
      <c r="A321" t="s">
        <v>904</v>
      </c>
      <c r="B321" s="50" t="str">
        <f>HYPERLINK("https://lafourche.fr/products/la-fourche-huile-essentielle-de-tea-tree-0-03l","263.33")</f>
        <v>263.33</v>
      </c>
      <c r="D321" s="52" t="str">
        <f>HYPERLINK("https://www.biocoop.fr/magasin-biocoop_champollion/he-tea-tree-50ml-he1055-000.html","399.0")</f>
        <v>399.0</v>
      </c>
      <c r="F321" s="52" t="str">
        <f>HYPERLINK("https://www.biocoop.fr/magasin-biocoop_fontaine/he-tea-tree-50ml-he1055-000.html","419.8")</f>
        <v>419.8</v>
      </c>
      <c r="H321" s="52" t="str">
        <f>HYPERLINK("https://satoriz-comboire.bio/products/c7339635?_pos=1&amp;_sid=8f5684b05&amp;_ss=r","695.0")</f>
        <v>695.0</v>
      </c>
      <c r="J321" s="52" t="str">
        <f>HYPERLINK("https://www.greenweez.com/produit/huile-essentielle-de-tea-tree-bio-30ml/2WEEZ0447","264.67")</f>
        <v>264.67</v>
      </c>
    </row>
    <row r="322" spans="1:10" x14ac:dyDescent="0.3">
      <c r="A322" t="s">
        <v>905</v>
      </c>
      <c r="B322" s="52" t="str">
        <f>HYPERLINK("https://lafourche.fr/products/la-fourche-huile-essentielle-de-citron-0-01l","398")</f>
        <v>398</v>
      </c>
      <c r="D322" s="52" t="str">
        <f>HYPERLINK("https://www.biocoop.fr/magasin-biocoop_champollion/he-citron-zeste-10ml-he1139-000.html","517.0")</f>
        <v>517.0</v>
      </c>
      <c r="F322" s="50" t="str">
        <f>HYPERLINK("https://www.biocoop.fr/magasin-biocoop_fontaine/he-citron-zeste-50ml-he1036-000.html","313.0")</f>
        <v>313.0</v>
      </c>
      <c r="H322" s="52" t="str">
        <f>HYPERLINK("https://satoriz-comboire.bio/collections/bien-etre-sante/products/c7339641","790.0")</f>
        <v>790.0</v>
      </c>
      <c r="J322" s="52" t="str">
        <f>HYPERLINK("https://www.greenweez.com/produit/huile-essentielle-citron-bio-10ml-2/2WEEZ0315","379.0")</f>
        <v>379.0</v>
      </c>
    </row>
    <row r="323" spans="1:10" x14ac:dyDescent="0.3">
      <c r="A323" t="s">
        <v>906</v>
      </c>
      <c r="B323" s="52" t="str">
        <f>HYPERLINK("https://lafourche.fr/products/la-fourche-huile-essentielle-de-lavandin-super-0-01l","296")</f>
        <v>296</v>
      </c>
      <c r="D323" s="50" t="str">
        <f>HYPERLINK("https://www.biocoop.fr/magasin-biocoop_champollion/he-lavandin-super-50ml-he1051-000.html","281.0")</f>
        <v>281.0</v>
      </c>
      <c r="F323" s="52" t="str">
        <f>HYPERLINK("https://www.biocoop.fr/magasin-biocoop_fontaine/he-lavandin-super-50ml-he1051-000.html","302.0")</f>
        <v>302.0</v>
      </c>
      <c r="H323" s="52" t="str">
        <f>HYPERLINK("https://satoriz-comboire.bio/products/c7339718?_pos=2&amp;_sid=a3bdb864e&amp;_ss=r","490.0")</f>
        <v>490.0</v>
      </c>
      <c r="J323" s="52" t="str">
        <f>HYPERLINK("https://www.greenweez.com/produit/huile-essentielle-de-lavandin-diy-10ml/1ADIY0017","888888")</f>
        <v>888888</v>
      </c>
    </row>
    <row r="324" spans="1:10" x14ac:dyDescent="0.3">
      <c r="A324" t="s">
        <v>907</v>
      </c>
      <c r="B324" s="50" t="str">
        <f>HYPERLINK("https://lafourche.fr/products/la-fourche-huile-essentielle-de-menthe-poivree-0-01l","456")</f>
        <v>456</v>
      </c>
      <c r="D324" s="52" t="str">
        <f>HYPERLINK("https://www.biocoop.fr/magasin-biocoop_champollion/he-menthe-poivree-10ml-he1015-000.html","769.0")</f>
        <v>769.0</v>
      </c>
      <c r="F324" s="52" t="str">
        <f>HYPERLINK("https://www.biocoop.fr/magasin-biocoop_fontaine/he-menthe-poivree-10ml-he1015-000.html","805.0")</f>
        <v>805.0</v>
      </c>
      <c r="H324" s="52" t="str">
        <f>HYPERLINK("https://satoriz-comboire.bio/products/c7339724?_pos=2&amp;_psq=he+menthe&amp;_ss=e&amp;_v=1.0","815.0")</f>
        <v>815.0</v>
      </c>
      <c r="J324" s="52" t="str">
        <f>HYPERLINK("https://www.greenweez.com/produit/huile-essentielle-menthe-poivree-france-bio-10ml/2WEEZ0317","549.0")</f>
        <v>549.0</v>
      </c>
    </row>
    <row r="327" spans="1:10" x14ac:dyDescent="0.3">
      <c r="A327" t="s">
        <v>656</v>
      </c>
      <c r="B327" t="e">
        <f>SUMPRODUCT($L5:$L326*B5:B326)</f>
        <v>#VALUE!</v>
      </c>
      <c r="D327" t="e">
        <f>SUMPRODUCT($L5:$L326*D5:D326)</f>
        <v>#VALUE!</v>
      </c>
      <c r="F327" t="e">
        <f>SUMPRODUCT($L5:$L326*F5:F326)</f>
        <v>#VALUE!</v>
      </c>
      <c r="H327" t="e">
        <f>SUMPRODUCT($L5:$L326*H5:H326)</f>
        <v>#VALUE!</v>
      </c>
      <c r="J327" t="e">
        <f>SUMPRODUCT($L5:$L326*J5:J326)</f>
        <v>#VALUE!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Reference 2024</vt:lpstr>
      <vt:lpstr>Fruits&amp;légumes</vt:lpstr>
      <vt:lpstr>February 2024</vt:lpstr>
      <vt:lpstr>March 2024</vt:lpstr>
      <vt:lpstr>April 2024</vt:lpstr>
      <vt:lpstr>September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2023-07-24T20:17:57Z</dcterms:created>
  <dcterms:modified xsi:type="dcterms:W3CDTF">2024-09-09T04:55:20Z</dcterms:modified>
</cp:coreProperties>
</file>