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ayer/FEFU/altqq/ecomometrica/"/>
    </mc:Choice>
  </mc:AlternateContent>
  <xr:revisionPtr revIDLastSave="0" documentId="13_ncr:1_{B1889769-D681-E940-968F-F35A1EB8ACAA}" xr6:coauthVersionLast="47" xr6:coauthVersionMax="47" xr10:uidLastSave="{00000000-0000-0000-0000-000000000000}"/>
  <bookViews>
    <workbookView xWindow="0" yWindow="760" windowWidth="34560" windowHeight="21580" xr2:uid="{949C7A27-9E79-D549-8672-F0FBE1B55433}"/>
  </bookViews>
  <sheets>
    <sheet name="Poccu9I" sheetId="1" r:id="rId1"/>
    <sheet name="中國" sheetId="2" r:id="rId2"/>
    <sheet name="USA" sheetId="3" r:id="rId3"/>
    <sheet name="Страны" sheetId="4" r:id="rId4"/>
    <sheet name="Квартиры" sheetId="5" r:id="rId5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Poccu9I!$K$30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5" l="1"/>
  <c r="D32" i="5"/>
  <c r="E32" i="5"/>
  <c r="F32" i="5"/>
  <c r="G32" i="5"/>
  <c r="H32" i="5"/>
  <c r="I32" i="5"/>
  <c r="J32" i="5"/>
  <c r="B32" i="5"/>
  <c r="I48" i="4"/>
  <c r="I49" i="4"/>
  <c r="I46" i="4"/>
  <c r="I45" i="4"/>
  <c r="J4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2" i="4"/>
  <c r="I4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2" i="4"/>
  <c r="B43" i="4"/>
  <c r="B42" i="4"/>
  <c r="H3" i="4"/>
  <c r="H4" i="4"/>
  <c r="H13" i="4"/>
  <c r="G3" i="4"/>
  <c r="G4" i="4"/>
  <c r="G5" i="4"/>
  <c r="H5" i="4" s="1"/>
  <c r="G6" i="4"/>
  <c r="H6" i="4" s="1"/>
  <c r="G11" i="4"/>
  <c r="H11" i="4" s="1"/>
  <c r="G12" i="4"/>
  <c r="H12" i="4" s="1"/>
  <c r="G13" i="4"/>
  <c r="G14" i="4"/>
  <c r="H14" i="4" s="1"/>
  <c r="G15" i="4"/>
  <c r="H15" i="4" s="1"/>
  <c r="G16" i="4"/>
  <c r="H16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41" i="4"/>
  <c r="H41" i="4" s="1"/>
  <c r="F3" i="4"/>
  <c r="F4" i="4"/>
  <c r="F5" i="4"/>
  <c r="F6" i="4"/>
  <c r="F7" i="4"/>
  <c r="G7" i="4" s="1"/>
  <c r="H7" i="4" s="1"/>
  <c r="F8" i="4"/>
  <c r="G8" i="4" s="1"/>
  <c r="H8" i="4" s="1"/>
  <c r="F9" i="4"/>
  <c r="G9" i="4" s="1"/>
  <c r="H9" i="4" s="1"/>
  <c r="F10" i="4"/>
  <c r="G10" i="4" s="1"/>
  <c r="H10" i="4" s="1"/>
  <c r="F11" i="4"/>
  <c r="F12" i="4"/>
  <c r="F13" i="4"/>
  <c r="F14" i="4"/>
  <c r="F15" i="4"/>
  <c r="F16" i="4"/>
  <c r="F17" i="4"/>
  <c r="G17" i="4" s="1"/>
  <c r="H17" i="4" s="1"/>
  <c r="F18" i="4"/>
  <c r="G18" i="4" s="1"/>
  <c r="H18" i="4" s="1"/>
  <c r="F19" i="4"/>
  <c r="G19" i="4" s="1"/>
  <c r="H19" i="4" s="1"/>
  <c r="F20" i="4"/>
  <c r="G20" i="4" s="1"/>
  <c r="H20" i="4" s="1"/>
  <c r="F21" i="4"/>
  <c r="F22" i="4"/>
  <c r="F23" i="4"/>
  <c r="F24" i="4"/>
  <c r="F25" i="4"/>
  <c r="F26" i="4"/>
  <c r="F27" i="4"/>
  <c r="G27" i="4" s="1"/>
  <c r="H27" i="4" s="1"/>
  <c r="F28" i="4"/>
  <c r="G28" i="4" s="1"/>
  <c r="H28" i="4" s="1"/>
  <c r="F29" i="4"/>
  <c r="G29" i="4" s="1"/>
  <c r="H29" i="4" s="1"/>
  <c r="F30" i="4"/>
  <c r="G30" i="4" s="1"/>
  <c r="H30" i="4" s="1"/>
  <c r="F31" i="4"/>
  <c r="F32" i="4"/>
  <c r="F33" i="4"/>
  <c r="F34" i="4"/>
  <c r="F35" i="4"/>
  <c r="F36" i="4"/>
  <c r="F37" i="4"/>
  <c r="G37" i="4" s="1"/>
  <c r="H37" i="4" s="1"/>
  <c r="F38" i="4"/>
  <c r="G38" i="4" s="1"/>
  <c r="H38" i="4" s="1"/>
  <c r="F39" i="4"/>
  <c r="G39" i="4" s="1"/>
  <c r="H39" i="4" s="1"/>
  <c r="F40" i="4"/>
  <c r="G40" i="4" s="1"/>
  <c r="H40" i="4" s="1"/>
  <c r="F41" i="4"/>
  <c r="F2" i="4"/>
  <c r="G2" i="4" s="1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60" i="1"/>
  <c r="B53" i="3"/>
  <c r="B37" i="3"/>
  <c r="B36" i="3"/>
  <c r="B38" i="3" s="1"/>
  <c r="B39" i="3" s="1"/>
  <c r="B50" i="3" s="1"/>
  <c r="B33" i="3"/>
  <c r="F30" i="3"/>
  <c r="E30" i="3"/>
  <c r="D30" i="3"/>
  <c r="C30" i="3"/>
  <c r="B30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B53" i="2"/>
  <c r="B37" i="2"/>
  <c r="B36" i="2"/>
  <c r="B38" i="2" s="1"/>
  <c r="B39" i="2" s="1"/>
  <c r="B50" i="2" s="1"/>
  <c r="B33" i="2"/>
  <c r="F30" i="2"/>
  <c r="E30" i="2"/>
  <c r="D30" i="2"/>
  <c r="C30" i="2"/>
  <c r="B30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G42" i="4" l="1"/>
  <c r="H2" i="4"/>
  <c r="H42" i="4" s="1"/>
  <c r="F42" i="4"/>
  <c r="G3" i="3"/>
  <c r="G19" i="3"/>
  <c r="G9" i="3"/>
  <c r="B54" i="3"/>
  <c r="G14" i="3"/>
  <c r="B34" i="3"/>
  <c r="G11" i="3"/>
  <c r="G20" i="3"/>
  <c r="G28" i="3"/>
  <c r="G18" i="3"/>
  <c r="B34" i="2"/>
  <c r="G21" i="2" s="1"/>
  <c r="G11" i="2"/>
  <c r="G13" i="2"/>
  <c r="G24" i="3" l="1"/>
  <c r="G25" i="3"/>
  <c r="G16" i="3"/>
  <c r="G26" i="3"/>
  <c r="G7" i="3"/>
  <c r="G15" i="3"/>
  <c r="G6" i="3"/>
  <c r="G27" i="3"/>
  <c r="G5" i="3"/>
  <c r="G17" i="3"/>
  <c r="G22" i="3"/>
  <c r="G4" i="3"/>
  <c r="G10" i="3"/>
  <c r="G21" i="3"/>
  <c r="G12" i="3"/>
  <c r="G23" i="3"/>
  <c r="G13" i="3"/>
  <c r="G8" i="3"/>
  <c r="G10" i="2"/>
  <c r="G24" i="2"/>
  <c r="G15" i="2"/>
  <c r="G16" i="2"/>
  <c r="G14" i="2"/>
  <c r="G5" i="2"/>
  <c r="G7" i="2"/>
  <c r="G4" i="2"/>
  <c r="G25" i="2"/>
  <c r="G6" i="2"/>
  <c r="G26" i="2"/>
  <c r="G17" i="2"/>
  <c r="G27" i="2"/>
  <c r="G3" i="2"/>
  <c r="G28" i="2"/>
  <c r="G23" i="2"/>
  <c r="B54" i="2"/>
  <c r="G12" i="2"/>
  <c r="G9" i="2"/>
  <c r="G22" i="2"/>
  <c r="G20" i="2"/>
  <c r="G18" i="2"/>
  <c r="G19" i="2"/>
  <c r="G8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3" i="2"/>
  <c r="B3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D30" i="1" s="1"/>
  <c r="B36" i="1" s="1"/>
  <c r="C30" i="1"/>
  <c r="B53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4" i="1"/>
  <c r="E5" i="1"/>
  <c r="E6" i="1"/>
  <c r="E7" i="1"/>
  <c r="E8" i="1"/>
  <c r="E3" i="1"/>
  <c r="E30" i="1" l="1"/>
  <c r="B33" i="1" s="1"/>
  <c r="F30" i="1"/>
  <c r="B37" i="1" s="1"/>
  <c r="B38" i="1" s="1"/>
  <c r="B39" i="1" s="1"/>
  <c r="B50" i="1" s="1"/>
  <c r="B34" i="1"/>
  <c r="G12" i="1" s="1"/>
  <c r="H12" i="1" s="1"/>
  <c r="I12" i="1" s="1"/>
  <c r="G3" i="1"/>
  <c r="H3" i="1" s="1"/>
  <c r="I3" i="1" s="1"/>
  <c r="G9" i="1"/>
  <c r="H9" i="1" s="1"/>
  <c r="I9" i="1" s="1"/>
  <c r="G10" i="1"/>
  <c r="H10" i="1" s="1"/>
  <c r="I10" i="1" s="1"/>
  <c r="G11" i="1"/>
  <c r="H11" i="1" s="1"/>
  <c r="I11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17" i="1"/>
  <c r="H17" i="1" s="1"/>
  <c r="I17" i="1" s="1"/>
  <c r="G7" i="1"/>
  <c r="H7" i="1" s="1"/>
  <c r="I7" i="1" s="1"/>
  <c r="G16" i="1"/>
  <c r="H16" i="1" s="1"/>
  <c r="I16" i="1" s="1"/>
  <c r="G24" i="1"/>
  <c r="H24" i="1" s="1"/>
  <c r="I24" i="1" s="1"/>
  <c r="G14" i="1"/>
  <c r="H14" i="1" s="1"/>
  <c r="I14" i="1" s="1"/>
  <c r="G4" i="1"/>
  <c r="H4" i="1" s="1"/>
  <c r="I4" i="1" s="1"/>
  <c r="G26" i="1"/>
  <c r="H26" i="1" s="1"/>
  <c r="I26" i="1" s="1"/>
  <c r="G6" i="1"/>
  <c r="H6" i="1" s="1"/>
  <c r="I6" i="1" s="1"/>
  <c r="G15" i="1"/>
  <c r="H15" i="1" s="1"/>
  <c r="I15" i="1" s="1"/>
  <c r="G5" i="1"/>
  <c r="H5" i="1" s="1"/>
  <c r="I5" i="1" s="1"/>
  <c r="G23" i="1"/>
  <c r="H23" i="1" s="1"/>
  <c r="I23" i="1" s="1"/>
  <c r="G13" i="1"/>
  <c r="H13" i="1" s="1"/>
  <c r="I13" i="1" s="1"/>
  <c r="G8" i="1"/>
  <c r="H8" i="1" s="1"/>
  <c r="I8" i="1" s="1"/>
  <c r="G27" i="1"/>
  <c r="H27" i="1" s="1"/>
  <c r="I27" i="1" s="1"/>
  <c r="G25" i="1"/>
  <c r="H25" i="1" s="1"/>
  <c r="I25" i="1" s="1"/>
  <c r="G22" i="1"/>
  <c r="H22" i="1" s="1"/>
  <c r="I22" i="1" s="1"/>
  <c r="G28" i="1" l="1"/>
  <c r="H28" i="1" s="1"/>
  <c r="I28" i="1" s="1"/>
  <c r="B54" i="1"/>
  <c r="H17" i="3"/>
  <c r="I17" i="3" s="1"/>
  <c r="H8" i="3"/>
  <c r="I8" i="3" s="1"/>
  <c r="H26" i="3"/>
  <c r="I26" i="3" s="1"/>
  <c r="H12" i="3"/>
  <c r="I12" i="3" s="1"/>
  <c r="H3" i="3"/>
  <c r="I3" i="3" s="1"/>
  <c r="H21" i="3"/>
  <c r="I21" i="3" s="1"/>
  <c r="H7" i="3"/>
  <c r="I7" i="3" s="1"/>
  <c r="H25" i="3"/>
  <c r="I25" i="3" s="1"/>
  <c r="H20" i="3"/>
  <c r="I20" i="3" s="1"/>
  <c r="H23" i="3"/>
  <c r="I23" i="3" s="1"/>
  <c r="H5" i="3"/>
  <c r="I5" i="3" s="1"/>
  <c r="H10" i="3"/>
  <c r="I10" i="3" s="1"/>
  <c r="H11" i="3"/>
  <c r="I11" i="3" s="1"/>
  <c r="H19" i="3"/>
  <c r="I19" i="3" s="1"/>
  <c r="H27" i="3"/>
  <c r="I27" i="3" s="1"/>
  <c r="H18" i="3"/>
  <c r="I18" i="3" s="1"/>
  <c r="H9" i="3"/>
  <c r="I9" i="3" s="1"/>
  <c r="H22" i="3"/>
  <c r="I22" i="3" s="1"/>
  <c r="H13" i="3"/>
  <c r="I13" i="3" s="1"/>
  <c r="H4" i="3"/>
  <c r="I4" i="3" s="1"/>
  <c r="H16" i="3"/>
  <c r="I16" i="3" s="1"/>
  <c r="H24" i="3"/>
  <c r="I24" i="3" s="1"/>
  <c r="H15" i="3"/>
  <c r="I15" i="3" s="1"/>
  <c r="H6" i="3"/>
  <c r="I6" i="3" s="1"/>
  <c r="H28" i="3"/>
  <c r="I28" i="3" s="1"/>
  <c r="H14" i="3"/>
  <c r="I14" i="3" s="1"/>
  <c r="I31" i="1"/>
  <c r="B55" i="1" s="1"/>
  <c r="I31" i="3" l="1"/>
  <c r="H17" i="2"/>
  <c r="I17" i="2" s="1"/>
  <c r="H8" i="2"/>
  <c r="I8" i="2" s="1"/>
  <c r="H26" i="2"/>
  <c r="I26" i="2" s="1"/>
  <c r="H12" i="2"/>
  <c r="I12" i="2" s="1"/>
  <c r="H3" i="2"/>
  <c r="I3" i="2" s="1"/>
  <c r="H21" i="2"/>
  <c r="I21" i="2" s="1"/>
  <c r="H7" i="2"/>
  <c r="I7" i="2" s="1"/>
  <c r="H25" i="2"/>
  <c r="I25" i="2" s="1"/>
  <c r="H16" i="2"/>
  <c r="I16" i="2" s="1"/>
  <c r="H11" i="2"/>
  <c r="I11" i="2" s="1"/>
  <c r="H24" i="2"/>
  <c r="I24" i="2" s="1"/>
  <c r="H15" i="2"/>
  <c r="I15" i="2" s="1"/>
  <c r="H28" i="2"/>
  <c r="I28" i="2" s="1"/>
  <c r="H27" i="2"/>
  <c r="I27" i="2" s="1"/>
  <c r="H9" i="2"/>
  <c r="I9" i="2" s="1"/>
  <c r="H20" i="2"/>
  <c r="I20" i="2" s="1"/>
  <c r="H19" i="2"/>
  <c r="I19" i="2" s="1"/>
  <c r="H18" i="2"/>
  <c r="I18" i="2" s="1"/>
  <c r="H6" i="2"/>
  <c r="I6" i="2" s="1"/>
  <c r="H10" i="2"/>
  <c r="I10" i="2" s="1"/>
  <c r="H13" i="2"/>
  <c r="I13" i="2" s="1"/>
  <c r="H23" i="2"/>
  <c r="I23" i="2" s="1"/>
  <c r="H14" i="2"/>
  <c r="I14" i="2" s="1"/>
  <c r="H5" i="2"/>
  <c r="I5" i="2" s="1"/>
  <c r="H22" i="2"/>
  <c r="I22" i="2" s="1"/>
  <c r="H4" i="2"/>
  <c r="I4" i="2" s="1"/>
  <c r="B42" i="1"/>
  <c r="B41" i="1"/>
  <c r="B43" i="1" l="1"/>
  <c r="B47" i="1"/>
  <c r="B44" i="1"/>
  <c r="B48" i="1"/>
  <c r="B55" i="3"/>
  <c r="B41" i="3"/>
  <c r="B42" i="3"/>
  <c r="I31" i="2"/>
  <c r="B47" i="3" l="1"/>
  <c r="B43" i="3"/>
  <c r="B48" i="3"/>
  <c r="B44" i="3"/>
  <c r="B55" i="2"/>
  <c r="B41" i="2"/>
  <c r="B42" i="2"/>
  <c r="B48" i="2" l="1"/>
  <c r="B44" i="2"/>
  <c r="B47" i="2"/>
  <c r="B43" i="2"/>
</calcChain>
</file>

<file path=xl/sharedStrings.xml><?xml version="1.0" encoding="utf-8"?>
<sst xmlns="http://schemas.openxmlformats.org/spreadsheetml/2006/main" count="313" uniqueCount="148">
  <si>
    <t>y</t>
  </si>
  <si>
    <t>x</t>
  </si>
  <si>
    <t>y*x</t>
  </si>
  <si>
    <t>avg</t>
  </si>
  <si>
    <t>a</t>
  </si>
  <si>
    <t>x^2</t>
  </si>
  <si>
    <t>b</t>
  </si>
  <si>
    <t>sigma_x</t>
  </si>
  <si>
    <t>y^2</t>
  </si>
  <si>
    <t>y^~</t>
  </si>
  <si>
    <t>sigma_y</t>
  </si>
  <si>
    <t>r_yx</t>
  </si>
  <si>
    <t>d</t>
  </si>
  <si>
    <t>m_a</t>
  </si>
  <si>
    <t>y-y^~</t>
  </si>
  <si>
    <t>(y-y^~)^2</t>
  </si>
  <si>
    <t>sum</t>
  </si>
  <si>
    <t>m_b</t>
  </si>
  <si>
    <t>t^a_расч</t>
  </si>
  <si>
    <t>t^b_расч</t>
  </si>
  <si>
    <t>delta_a</t>
  </si>
  <si>
    <t>delta_b</t>
  </si>
  <si>
    <t>F_расч</t>
  </si>
  <si>
    <t>F_табл</t>
  </si>
  <si>
    <t>x_new</t>
  </si>
  <si>
    <t>y_new</t>
  </si>
  <si>
    <t>delta</t>
  </si>
  <si>
    <t>t_табл</t>
  </si>
  <si>
    <t>-</t>
  </si>
  <si>
    <t>Column 1</t>
  </si>
  <si>
    <t>Column 2</t>
  </si>
  <si>
    <t>Страна</t>
  </si>
  <si>
    <t>продолж-ть жизни</t>
  </si>
  <si>
    <t>ввп на душу населения, долл.</t>
  </si>
  <si>
    <t>безработность, %</t>
  </si>
  <si>
    <t>смертность, количество на 1000</t>
  </si>
  <si>
    <t>Хорватия</t>
  </si>
  <si>
    <t>Кипр</t>
  </si>
  <si>
    <t>Доминика</t>
  </si>
  <si>
    <t>Египет</t>
  </si>
  <si>
    <t>Андорра</t>
  </si>
  <si>
    <t>Гонконг</t>
  </si>
  <si>
    <t>Либерия</t>
  </si>
  <si>
    <t>Самоа</t>
  </si>
  <si>
    <t>Вьетнам</t>
  </si>
  <si>
    <t>Франция</t>
  </si>
  <si>
    <t>Оман</t>
  </si>
  <si>
    <t>Иран</t>
  </si>
  <si>
    <t>Нидерланды</t>
  </si>
  <si>
    <t>Перу</t>
  </si>
  <si>
    <t>Тунис</t>
  </si>
  <si>
    <t>Индия</t>
  </si>
  <si>
    <t>Германия</t>
  </si>
  <si>
    <t>Латвия</t>
  </si>
  <si>
    <t>Чехия</t>
  </si>
  <si>
    <t>Эстония</t>
  </si>
  <si>
    <t>Бельгия</t>
  </si>
  <si>
    <t>Бермуды</t>
  </si>
  <si>
    <t>Коста-Рика</t>
  </si>
  <si>
    <t>Доминиканская республика</t>
  </si>
  <si>
    <t>Лаос</t>
  </si>
  <si>
    <t>Афганистан</t>
  </si>
  <si>
    <t>Ливия</t>
  </si>
  <si>
    <t>Пакистан</t>
  </si>
  <si>
    <t>Беларусь 🇧🇾</t>
  </si>
  <si>
    <t>Норвегия🇳🇴</t>
  </si>
  <si>
    <t>Россия 🇷🇺</t>
  </si>
  <si>
    <t>Казахстан 🇰🇿</t>
  </si>
  <si>
    <t>Сербия 🇷🇸</t>
  </si>
  <si>
    <t>Канада 🇨🇦</t>
  </si>
  <si>
    <t>Швеция 🇸🇪</t>
  </si>
  <si>
    <t>Нигерия 🇳🇬</t>
  </si>
  <si>
    <t>Австралия</t>
  </si>
  <si>
    <t>Китай</t>
  </si>
  <si>
    <t>Польша</t>
  </si>
  <si>
    <t>Мексика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</si>
  <si>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</si>
  <si>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</si>
  <si>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</si>
  <si>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</si>
  <si>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</si>
  <si>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</si>
  <si>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</si>
  <si>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</si>
  <si>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</si>
  <si>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</si>
  <si>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</si>
  <si>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</si>
  <si>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</si>
  <si>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</si>
  <si>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</si>
  <si>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</si>
  <si>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</si>
  <si>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</si>
  <si>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</si>
  <si>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</si>
  <si>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</si>
  <si>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</si>
  <si>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</si>
  <si>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</si>
  <si>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y~</t>
  </si>
  <si>
    <t>y-y~</t>
  </si>
  <si>
    <t>(y-y~)^2</t>
  </si>
  <si>
    <t>R</t>
  </si>
  <si>
    <t>y-y-</t>
  </si>
  <si>
    <t>(y-y-)^2</t>
  </si>
  <si>
    <t>выводы про R и R^2 можно перенести с выборочной сувокупности на генеральную, так как уравнение значимо</t>
  </si>
  <si>
    <t>t_расч^a_1</t>
  </si>
  <si>
    <t>t_расч^a_2</t>
  </si>
  <si>
    <t>Квартира</t>
  </si>
  <si>
    <t>стоимость квартиры, млн рублей</t>
  </si>
  <si>
    <t>площадь
x1, м^2</t>
  </si>
  <si>
    <t>кол-во комнат
x2, шт</t>
  </si>
  <si>
    <t>район x3
1 - центр,
0 - спальный</t>
  </si>
  <si>
    <t>этаж x4
1 - средний,
0 - посл/перв</t>
  </si>
  <si>
    <t>ремонт x5
1 - есть,
0 - нет</t>
  </si>
  <si>
    <t>стены x6
1 - кирпич,
0 - панелька</t>
  </si>
  <si>
    <t>санузел x7
1 - разд,
0 - совмещ.</t>
  </si>
  <si>
    <t>вид из окон x8
1 - природа,
0 - двор</t>
  </si>
  <si>
    <t>р-н Центр, ул. Арсеньева, 2а (первая)</t>
  </si>
  <si>
    <t>р-н Эгершельд, ул. Бестужева, 36 к38</t>
  </si>
  <si>
    <t>р-н Центр, ул. Инженерный пер, 14а</t>
  </si>
  <si>
    <t>р-н Варяг ул. Коммунаров, 35</t>
  </si>
  <si>
    <t>Чуркин ул. Острогорная, 11</t>
  </si>
  <si>
    <t>р-н Тихая, ул. Добровольского, 11</t>
  </si>
  <si>
    <t>р-н Патрокл, ул. Сочинская, 5</t>
  </si>
  <si>
    <t>р-н Толстого, ул. Толстого, 44</t>
  </si>
  <si>
    <t>р-н Некрасовская, ул. Некрасовская, 96 к2</t>
  </si>
  <si>
    <t>ул. Снеговая</t>
  </si>
  <si>
    <t>р-н Снеговая, ул. Карьерная, 24</t>
  </si>
  <si>
    <t>ул. Карьерная, 26</t>
  </si>
  <si>
    <t>р-н Третья рабочая, ул. Красного знамени проспект, 114</t>
  </si>
  <si>
    <t>р-н Третья рабочая, ул. Аллилуева, 2</t>
  </si>
  <si>
    <t>р-н Третья рабочая, ул. Красного знамени проспект, 114а</t>
  </si>
  <si>
    <t>р-н 64, 71 Микрорайоны, ул. Нейбута, 4а</t>
  </si>
  <si>
    <t>р-н 64, 71 Микрорайоны, ул. Нейбута, 4Б</t>
  </si>
  <si>
    <t>р-н Баляева, ул. Луговая, 77</t>
  </si>
  <si>
    <t>р-н Баляева, ул. Сабанеева, 14в</t>
  </si>
  <si>
    <t>р-н Баляева, ул. Луговая, 50</t>
  </si>
  <si>
    <t>р-н Вторая речка, ул. Русская</t>
  </si>
  <si>
    <t>р-н Вторая речка, ул. Русская, 91</t>
  </si>
  <si>
    <t>р-н Вторая речка, ул. Русская, 61г</t>
  </si>
  <si>
    <t>р-н Снеговая падь, ул. Анны Щетининой, 9б</t>
  </si>
  <si>
    <t>р-н Снеговая падь, ул. Адмирала Горшкова, 55</t>
  </si>
  <si>
    <t>р-н Эгершельд, ул. Перекопский пер, 5</t>
  </si>
  <si>
    <t>р-н Эгершельд, ул. Крыгина, 86В</t>
  </si>
  <si>
    <t>р-н Эгершельд, ул. Станюковича, 48 к5</t>
  </si>
  <si>
    <r>
      <t xml:space="preserve">р-н Снеговая падь, </t>
    </r>
    <r>
      <rPr>
        <u/>
        <sz val="12"/>
        <color theme="1"/>
        <rFont val="Arial"/>
        <family val="2"/>
      </rPr>
      <t>ул. Анны Щетининой, 29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</si>
</sst>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4"/>
      <color rgb="FF333777"/>
      <name val="Arial"/>
      <family val="2"/>
    </font>
    <font>
      <i/>
      <sz val="12"/>
      <color theme="1"/>
      <name val="Calibri"/>
      <family val="2"/>
      <scheme val="minor"/>
    </font>
    <font>
      <b/>
      <sz val="10"/>
      <color rgb="FFFFFFFF"/>
      <name val="Roboto"/>
    </font>
    <font>
      <sz val="12"/>
      <color theme="1"/>
      <name val="Roboto"/>
    </font>
    <font>
      <sz val="12"/>
      <color theme="1"/>
      <name val="Arial"/>
      <family val="2"/>
    </font>
    <font>
      <sz val="12"/>
      <color theme="1"/>
      <name val="GT America Extended"/>
    </font>
    <font>
      <b/>
      <sz val="10"/>
      <color rgb="FFFFFFFF"/>
      <name val="Arial"/>
      <family val="2"/>
    </font>
    <font>
      <sz val="10"/>
      <color theme="0"/>
      <name val="Roboto"/>
    </font>
    <font>
      <sz val="10"/>
      <color theme="1"/>
      <name val="Arial"/>
      <family val="2"/>
    </font>
    <font>
      <sz val="10"/>
      <color rgb="FF333333"/>
      <name val="Roboto"/>
    </font>
    <font>
      <b/>
      <sz val="12"/>
      <color theme="1"/>
      <name val="Roboto"/>
    </font>
    <font>
      <b/>
      <sz val="10"/>
      <color theme="1"/>
      <name val="Roboto"/>
    </font>
    <font>
      <u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8" borderId="0" xfId="0" applyFont="1" applyFill="1"/>
    <xf numFmtId="0" fontId="7" fillId="8" borderId="0" xfId="0" applyFont="1" applyFill="1"/>
    <xf numFmtId="0" fontId="8" fillId="8" borderId="0" xfId="0" applyFont="1" applyFill="1"/>
    <xf numFmtId="2" fontId="4" fillId="0" borderId="0" xfId="0" applyNumberFormat="1" applyFont="1"/>
    <xf numFmtId="2" fontId="5" fillId="0" borderId="0" xfId="0" applyNumberFormat="1" applyFont="1"/>
    <xf numFmtId="0" fontId="2" fillId="0" borderId="3" xfId="0" applyFont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1" fillId="9" borderId="1" xfId="0" applyFont="1" applyFill="1" applyBorder="1"/>
    <xf numFmtId="0" fontId="12" fillId="9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wrapText="1"/>
    </xf>
    <xf numFmtId="0" fontId="4" fillId="9" borderId="1" xfId="0" applyFont="1" applyFill="1" applyBorder="1"/>
    <xf numFmtId="0" fontId="9" fillId="9" borderId="1" xfId="0" applyFont="1" applyFill="1" applyBorder="1"/>
    <xf numFmtId="0" fontId="5" fillId="9" borderId="1" xfId="0" applyFont="1" applyFill="1" applyBorder="1"/>
    <xf numFmtId="0" fontId="10" fillId="9" borderId="1" xfId="0" applyFont="1" applyFill="1" applyBorder="1"/>
    <xf numFmtId="0" fontId="4" fillId="4" borderId="1" xfId="0" applyFon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Poccu9I!$C$2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018843196493131E-2"/>
                  <c:y val="1.31964205942056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RU"/>
                </a:p>
              </c:txPr>
            </c:trendlineLbl>
          </c:trendline>
          <c:xVal>
            <c:numRef>
              <c:f>Poccu9I!$C$3:$C$28</c:f>
              <c:numCache>
                <c:formatCode>General</c:formatCode>
                <c:ptCount val="26"/>
                <c:pt idx="0">
                  <c:v>10.8</c:v>
                </c:pt>
                <c:pt idx="1">
                  <c:v>11.9</c:v>
                </c:pt>
                <c:pt idx="2">
                  <c:v>13</c:v>
                </c:pt>
                <c:pt idx="3">
                  <c:v>10.6</c:v>
                </c:pt>
                <c:pt idx="4">
                  <c:v>8.9</c:v>
                </c:pt>
                <c:pt idx="5">
                  <c:v>8</c:v>
                </c:pt>
                <c:pt idx="6">
                  <c:v>8.1999999999999993</c:v>
                </c:pt>
                <c:pt idx="7">
                  <c:v>7.7</c:v>
                </c:pt>
                <c:pt idx="8">
                  <c:v>7.2</c:v>
                </c:pt>
                <c:pt idx="9">
                  <c:v>7.1</c:v>
                </c:pt>
                <c:pt idx="10">
                  <c:v>6</c:v>
                </c:pt>
                <c:pt idx="11">
                  <c:v>6.2</c:v>
                </c:pt>
                <c:pt idx="12">
                  <c:v>8.1999999999999993</c:v>
                </c:pt>
                <c:pt idx="13">
                  <c:v>7.4</c:v>
                </c:pt>
                <c:pt idx="14">
                  <c:v>6.5</c:v>
                </c:pt>
                <c:pt idx="15">
                  <c:v>5.5</c:v>
                </c:pt>
                <c:pt idx="16">
                  <c:v>5.5</c:v>
                </c:pt>
                <c:pt idx="17">
                  <c:v>5.2</c:v>
                </c:pt>
                <c:pt idx="18">
                  <c:v>5.6</c:v>
                </c:pt>
                <c:pt idx="19">
                  <c:v>5.5</c:v>
                </c:pt>
                <c:pt idx="20">
                  <c:v>5.2</c:v>
                </c:pt>
                <c:pt idx="21">
                  <c:v>4.8</c:v>
                </c:pt>
                <c:pt idx="22">
                  <c:v>4.5999999999999996</c:v>
                </c:pt>
                <c:pt idx="23">
                  <c:v>5.8</c:v>
                </c:pt>
                <c:pt idx="24">
                  <c:v>4.8</c:v>
                </c:pt>
                <c:pt idx="25">
                  <c:v>3.9</c:v>
                </c:pt>
              </c:numCache>
            </c:numRef>
          </c:xVal>
          <c:yVal>
            <c:numRef>
              <c:f>Poccu9I!$B$3:$B$28</c:f>
              <c:numCache>
                <c:formatCode>General</c:formatCode>
                <c:ptCount val="26"/>
                <c:pt idx="0">
                  <c:v>1323.7</c:v>
                </c:pt>
                <c:pt idx="1">
                  <c:v>1267.0999999999999</c:v>
                </c:pt>
                <c:pt idx="2">
                  <c:v>1366.5</c:v>
                </c:pt>
                <c:pt idx="3">
                  <c:v>1537.9</c:v>
                </c:pt>
                <c:pt idx="4">
                  <c:v>1652.6</c:v>
                </c:pt>
                <c:pt idx="5">
                  <c:v>1758</c:v>
                </c:pt>
                <c:pt idx="6">
                  <c:v>1924.4</c:v>
                </c:pt>
                <c:pt idx="7">
                  <c:v>2117.9</c:v>
                </c:pt>
                <c:pt idx="8">
                  <c:v>2323.6</c:v>
                </c:pt>
                <c:pt idx="9">
                  <c:v>2590.6</c:v>
                </c:pt>
                <c:pt idx="10">
                  <c:v>2887.6</c:v>
                </c:pt>
                <c:pt idx="11">
                  <c:v>3097.5</c:v>
                </c:pt>
                <c:pt idx="12">
                  <c:v>2873.5</c:v>
                </c:pt>
                <c:pt idx="13">
                  <c:v>3039</c:v>
                </c:pt>
                <c:pt idx="14">
                  <c:v>3259.3</c:v>
                </c:pt>
                <c:pt idx="15">
                  <c:v>3480.3</c:v>
                </c:pt>
                <c:pt idx="16">
                  <c:v>3741.8</c:v>
                </c:pt>
                <c:pt idx="17">
                  <c:v>3763.5</c:v>
                </c:pt>
                <c:pt idx="18">
                  <c:v>3526.2</c:v>
                </c:pt>
                <c:pt idx="19">
                  <c:v>3538.6</c:v>
                </c:pt>
                <c:pt idx="20">
                  <c:v>3818.8</c:v>
                </c:pt>
                <c:pt idx="21">
                  <c:v>4020.4</c:v>
                </c:pt>
                <c:pt idx="22">
                  <c:v>4182.3999999999996</c:v>
                </c:pt>
                <c:pt idx="23">
                  <c:v>4124.6000000000004</c:v>
                </c:pt>
                <c:pt idx="24">
                  <c:v>4552.3</c:v>
                </c:pt>
                <c:pt idx="25">
                  <c:v>4771.3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E-8744-A934-0AF76CE81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056640"/>
        <c:axId val="1591198752"/>
      </c:scatterChart>
      <c:valAx>
        <c:axId val="13410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591198752"/>
        <c:crosses val="autoZero"/>
        <c:crossBetween val="midCat"/>
      </c:valAx>
      <c:valAx>
        <c:axId val="15911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4105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Poccu9I!$C$2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6634479031759668E-2"/>
                  <c:y val="7.56511778015952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RU"/>
                </a:p>
              </c:txPr>
            </c:trendlineLbl>
          </c:trendline>
          <c:xVal>
            <c:numRef>
              <c:f>Poccu9I!$C$3:$C$28</c:f>
              <c:numCache>
                <c:formatCode>General</c:formatCode>
                <c:ptCount val="26"/>
                <c:pt idx="0">
                  <c:v>10.8</c:v>
                </c:pt>
                <c:pt idx="1">
                  <c:v>11.9</c:v>
                </c:pt>
                <c:pt idx="2">
                  <c:v>13</c:v>
                </c:pt>
                <c:pt idx="3">
                  <c:v>10.6</c:v>
                </c:pt>
                <c:pt idx="4">
                  <c:v>8.9</c:v>
                </c:pt>
                <c:pt idx="5">
                  <c:v>8</c:v>
                </c:pt>
                <c:pt idx="6">
                  <c:v>8.1999999999999993</c:v>
                </c:pt>
                <c:pt idx="7">
                  <c:v>7.7</c:v>
                </c:pt>
                <c:pt idx="8">
                  <c:v>7.2</c:v>
                </c:pt>
                <c:pt idx="9">
                  <c:v>7.1</c:v>
                </c:pt>
                <c:pt idx="10">
                  <c:v>6</c:v>
                </c:pt>
                <c:pt idx="11">
                  <c:v>6.2</c:v>
                </c:pt>
                <c:pt idx="12">
                  <c:v>8.1999999999999993</c:v>
                </c:pt>
                <c:pt idx="13">
                  <c:v>7.4</c:v>
                </c:pt>
                <c:pt idx="14">
                  <c:v>6.5</c:v>
                </c:pt>
                <c:pt idx="15">
                  <c:v>5.5</c:v>
                </c:pt>
                <c:pt idx="16">
                  <c:v>5.5</c:v>
                </c:pt>
                <c:pt idx="17">
                  <c:v>5.2</c:v>
                </c:pt>
                <c:pt idx="18">
                  <c:v>5.6</c:v>
                </c:pt>
                <c:pt idx="19">
                  <c:v>5.5</c:v>
                </c:pt>
                <c:pt idx="20">
                  <c:v>5.2</c:v>
                </c:pt>
                <c:pt idx="21">
                  <c:v>4.8</c:v>
                </c:pt>
                <c:pt idx="22">
                  <c:v>4.5999999999999996</c:v>
                </c:pt>
                <c:pt idx="23">
                  <c:v>5.8</c:v>
                </c:pt>
                <c:pt idx="24">
                  <c:v>4.8</c:v>
                </c:pt>
                <c:pt idx="25">
                  <c:v>3.9</c:v>
                </c:pt>
              </c:numCache>
            </c:numRef>
          </c:xVal>
          <c:yVal>
            <c:numRef>
              <c:f>Poccu9I!$B$3:$B$28</c:f>
              <c:numCache>
                <c:formatCode>General</c:formatCode>
                <c:ptCount val="26"/>
                <c:pt idx="0">
                  <c:v>1323.7</c:v>
                </c:pt>
                <c:pt idx="1">
                  <c:v>1267.0999999999999</c:v>
                </c:pt>
                <c:pt idx="2">
                  <c:v>1366.5</c:v>
                </c:pt>
                <c:pt idx="3">
                  <c:v>1537.9</c:v>
                </c:pt>
                <c:pt idx="4">
                  <c:v>1652.6</c:v>
                </c:pt>
                <c:pt idx="5">
                  <c:v>1758</c:v>
                </c:pt>
                <c:pt idx="6">
                  <c:v>1924.4</c:v>
                </c:pt>
                <c:pt idx="7">
                  <c:v>2117.9</c:v>
                </c:pt>
                <c:pt idx="8">
                  <c:v>2323.6</c:v>
                </c:pt>
                <c:pt idx="9">
                  <c:v>2590.6</c:v>
                </c:pt>
                <c:pt idx="10">
                  <c:v>2887.6</c:v>
                </c:pt>
                <c:pt idx="11">
                  <c:v>3097.5</c:v>
                </c:pt>
                <c:pt idx="12">
                  <c:v>2873.5</c:v>
                </c:pt>
                <c:pt idx="13">
                  <c:v>3039</c:v>
                </c:pt>
                <c:pt idx="14">
                  <c:v>3259.3</c:v>
                </c:pt>
                <c:pt idx="15">
                  <c:v>3480.3</c:v>
                </c:pt>
                <c:pt idx="16">
                  <c:v>3741.8</c:v>
                </c:pt>
                <c:pt idx="17">
                  <c:v>3763.5</c:v>
                </c:pt>
                <c:pt idx="18">
                  <c:v>3526.2</c:v>
                </c:pt>
                <c:pt idx="19">
                  <c:v>3538.6</c:v>
                </c:pt>
                <c:pt idx="20">
                  <c:v>3818.8</c:v>
                </c:pt>
                <c:pt idx="21">
                  <c:v>4020.4</c:v>
                </c:pt>
                <c:pt idx="22">
                  <c:v>4182.3999999999996</c:v>
                </c:pt>
                <c:pt idx="23">
                  <c:v>4124.6000000000004</c:v>
                </c:pt>
                <c:pt idx="24">
                  <c:v>4552.3</c:v>
                </c:pt>
                <c:pt idx="25">
                  <c:v>4771.3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4-1143-AB8E-7DE50A3A8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056640"/>
        <c:axId val="1591198752"/>
      </c:scatterChart>
      <c:valAx>
        <c:axId val="13410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591198752"/>
        <c:crosses val="autoZero"/>
        <c:crossBetween val="midCat"/>
      </c:valAx>
      <c:valAx>
        <c:axId val="15911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4105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Poccu9I!$C$58:$C$59</c:f>
              <c:strCache>
                <c:ptCount val="2"/>
                <c:pt idx="0">
                  <c:v>y</c:v>
                </c:pt>
                <c:pt idx="1">
                  <c:v>-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267566912628528"/>
                  <c:y val="0.15114164390696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RU"/>
                </a:p>
              </c:txPr>
            </c:trendlineLbl>
          </c:trendline>
          <c:xVal>
            <c:numRef>
              <c:f>Poccu9I!$B$60:$B$84</c:f>
              <c:numCache>
                <c:formatCode>General</c:formatCode>
                <c:ptCount val="25"/>
                <c:pt idx="0">
                  <c:v>1.0999999999999996</c:v>
                </c:pt>
                <c:pt idx="1">
                  <c:v>1.0999999999999996</c:v>
                </c:pt>
                <c:pt idx="2">
                  <c:v>-2.4000000000000004</c:v>
                </c:pt>
                <c:pt idx="3">
                  <c:v>-1.6999999999999993</c:v>
                </c:pt>
                <c:pt idx="4">
                  <c:v>-0.90000000000000036</c:v>
                </c:pt>
                <c:pt idx="5">
                  <c:v>0.19999999999999929</c:v>
                </c:pt>
                <c:pt idx="6">
                  <c:v>-0.49999999999999911</c:v>
                </c:pt>
                <c:pt idx="7">
                  <c:v>-0.5</c:v>
                </c:pt>
                <c:pt idx="8">
                  <c:v>-0.10000000000000053</c:v>
                </c:pt>
                <c:pt idx="9">
                  <c:v>-1.0999999999999996</c:v>
                </c:pt>
                <c:pt idx="10">
                  <c:v>0.20000000000000018</c:v>
                </c:pt>
                <c:pt idx="11">
                  <c:v>1.9999999999999991</c:v>
                </c:pt>
                <c:pt idx="12">
                  <c:v>-0.79999999999999893</c:v>
                </c:pt>
                <c:pt idx="13">
                  <c:v>-0.90000000000000036</c:v>
                </c:pt>
                <c:pt idx="14">
                  <c:v>-1</c:v>
                </c:pt>
                <c:pt idx="15">
                  <c:v>0</c:v>
                </c:pt>
                <c:pt idx="16">
                  <c:v>-0.29999999999999982</c:v>
                </c:pt>
                <c:pt idx="17">
                  <c:v>0.39999999999999947</c:v>
                </c:pt>
                <c:pt idx="18">
                  <c:v>-9.9999999999999645E-2</c:v>
                </c:pt>
                <c:pt idx="19">
                  <c:v>-0.29999999999999982</c:v>
                </c:pt>
                <c:pt idx="20">
                  <c:v>-0.40000000000000036</c:v>
                </c:pt>
                <c:pt idx="21">
                  <c:v>-0.20000000000000018</c:v>
                </c:pt>
                <c:pt idx="22">
                  <c:v>1.2000000000000002</c:v>
                </c:pt>
                <c:pt idx="23">
                  <c:v>-1</c:v>
                </c:pt>
                <c:pt idx="24">
                  <c:v>-0.89999999999999991</c:v>
                </c:pt>
              </c:numCache>
            </c:numRef>
          </c:xVal>
          <c:yVal>
            <c:numRef>
              <c:f>Poccu9I!$C$60:$C$84</c:f>
              <c:numCache>
                <c:formatCode>General</c:formatCode>
                <c:ptCount val="25"/>
                <c:pt idx="0">
                  <c:v>-4.2758933293042336</c:v>
                </c:pt>
                <c:pt idx="1">
                  <c:v>7.8446847131244652</c:v>
                </c:pt>
                <c:pt idx="2">
                  <c:v>12.542993047932683</c:v>
                </c:pt>
                <c:pt idx="3">
                  <c:v>7.4582222511216472</c:v>
                </c:pt>
                <c:pt idx="4">
                  <c:v>6.3778288757110069</c:v>
                </c:pt>
                <c:pt idx="5">
                  <c:v>9.4653014789533607</c:v>
                </c:pt>
                <c:pt idx="6">
                  <c:v>10.055082103512783</c:v>
                </c:pt>
                <c:pt idx="7">
                  <c:v>9.7124510127956842</c:v>
                </c:pt>
                <c:pt idx="8">
                  <c:v>11.490790153210535</c:v>
                </c:pt>
                <c:pt idx="9">
                  <c:v>11.464525592526828</c:v>
                </c:pt>
                <c:pt idx="10">
                  <c:v>7.2690123285773689</c:v>
                </c:pt>
                <c:pt idx="11">
                  <c:v>-7.231638418079096</c:v>
                </c:pt>
                <c:pt idx="12">
                  <c:v>5.759526709587611</c:v>
                </c:pt>
                <c:pt idx="13">
                  <c:v>7.2490950970714101</c:v>
                </c:pt>
                <c:pt idx="14">
                  <c:v>6.7805970607185584</c:v>
                </c:pt>
                <c:pt idx="15">
                  <c:v>7.5137200816021599</c:v>
                </c:pt>
                <c:pt idx="16">
                  <c:v>0.57993479074241849</c:v>
                </c:pt>
                <c:pt idx="17">
                  <c:v>-6.3053009166998848</c:v>
                </c:pt>
                <c:pt idx="18">
                  <c:v>0.35165333787079833</c:v>
                </c:pt>
                <c:pt idx="19">
                  <c:v>7.9183858022946998</c:v>
                </c:pt>
                <c:pt idx="20">
                  <c:v>5.2791452812401776</c:v>
                </c:pt>
                <c:pt idx="21">
                  <c:v>4.0294498059894419</c:v>
                </c:pt>
                <c:pt idx="22">
                  <c:v>-1.3819816373373965</c:v>
                </c:pt>
                <c:pt idx="23">
                  <c:v>10.36949037482422</c:v>
                </c:pt>
                <c:pt idx="24">
                  <c:v>4.8107550029655339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D-1842-99A0-85BFF0B5E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74847"/>
        <c:axId val="304408207"/>
      </c:scatterChart>
      <c:valAx>
        <c:axId val="3041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04408207"/>
        <c:crosses val="autoZero"/>
        <c:crossBetween val="midCat"/>
      </c:valAx>
      <c:valAx>
        <c:axId val="3044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041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中國!$C$2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67866351051046"/>
                  <c:y val="0.32792936314378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RU"/>
                </a:p>
              </c:txPr>
            </c:trendlineLbl>
          </c:trendline>
          <c:xVal>
            <c:numRef>
              <c:f>中國!$C$3:$C$28</c:f>
              <c:numCache>
                <c:formatCode>General</c:formatCode>
                <c:ptCount val="26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3.6</c:v>
                </c:pt>
                <c:pt idx="5">
                  <c:v>4</c:v>
                </c:pt>
                <c:pt idx="6">
                  <c:v>4.3</c:v>
                </c:pt>
                <c:pt idx="7">
                  <c:v>4.2</c:v>
                </c:pt>
                <c:pt idx="8">
                  <c:v>4.2</c:v>
                </c:pt>
                <c:pt idx="9">
                  <c:v>4.0999999999999996</c:v>
                </c:pt>
                <c:pt idx="10">
                  <c:v>4</c:v>
                </c:pt>
                <c:pt idx="11">
                  <c:v>4.2</c:v>
                </c:pt>
                <c:pt idx="12">
                  <c:v>4.3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</c:v>
                </c:pt>
                <c:pt idx="20">
                  <c:v>3.9</c:v>
                </c:pt>
                <c:pt idx="21">
                  <c:v>3.8</c:v>
                </c:pt>
                <c:pt idx="22">
                  <c:v>3.6</c:v>
                </c:pt>
                <c:pt idx="23">
                  <c:v>4.2</c:v>
                </c:pt>
                <c:pt idx="24">
                  <c:v>4</c:v>
                </c:pt>
                <c:pt idx="25">
                  <c:v>4.2</c:v>
                </c:pt>
              </c:numCache>
            </c:numRef>
          </c:xVal>
          <c:yVal>
            <c:numRef>
              <c:f>中國!$B$3:$B$28</c:f>
              <c:numCache>
                <c:formatCode>General</c:formatCode>
                <c:ptCount val="26"/>
                <c:pt idx="0">
                  <c:v>2768.3</c:v>
                </c:pt>
                <c:pt idx="1">
                  <c:v>3019.4</c:v>
                </c:pt>
                <c:pt idx="2">
                  <c:v>3297.1</c:v>
                </c:pt>
                <c:pt idx="3">
                  <c:v>3657.5</c:v>
                </c:pt>
                <c:pt idx="4">
                  <c:v>4051</c:v>
                </c:pt>
                <c:pt idx="5">
                  <c:v>4489.1000000000004</c:v>
                </c:pt>
                <c:pt idx="6">
                  <c:v>5036.5</c:v>
                </c:pt>
                <c:pt idx="7">
                  <c:v>5694.7</c:v>
                </c:pt>
                <c:pt idx="8">
                  <c:v>6542.3</c:v>
                </c:pt>
                <c:pt idx="9">
                  <c:v>7601.3</c:v>
                </c:pt>
                <c:pt idx="10">
                  <c:v>8918.9</c:v>
                </c:pt>
                <c:pt idx="11">
                  <c:v>9961.9</c:v>
                </c:pt>
                <c:pt idx="12">
                  <c:v>10972.8</c:v>
                </c:pt>
                <c:pt idx="13">
                  <c:v>12283</c:v>
                </c:pt>
                <c:pt idx="14">
                  <c:v>13735.7</c:v>
                </c:pt>
                <c:pt idx="15">
                  <c:v>15137.5</c:v>
                </c:pt>
                <c:pt idx="16">
                  <c:v>16277.4</c:v>
                </c:pt>
                <c:pt idx="17">
                  <c:v>17200.7</c:v>
                </c:pt>
                <c:pt idx="18">
                  <c:v>17880.3</c:v>
                </c:pt>
                <c:pt idx="19">
                  <c:v>18701.7</c:v>
                </c:pt>
                <c:pt idx="20">
                  <c:v>19814.099999999999</c:v>
                </c:pt>
                <c:pt idx="21">
                  <c:v>21660.2</c:v>
                </c:pt>
                <c:pt idx="22">
                  <c:v>23360.799999999999</c:v>
                </c:pt>
                <c:pt idx="23">
                  <c:v>24196.3</c:v>
                </c:pt>
                <c:pt idx="24">
                  <c:v>27419.5</c:v>
                </c:pt>
                <c:pt idx="25">
                  <c:v>30217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9-9C48-8572-53575054F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895"/>
        <c:axId val="56007663"/>
      </c:scatterChart>
      <c:valAx>
        <c:axId val="1995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6007663"/>
        <c:crosses val="autoZero"/>
        <c:crossBetween val="midCat"/>
      </c:valAx>
      <c:valAx>
        <c:axId val="560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995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中國!$C$2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3290564416468911"/>
                  <c:y val="0.19990963595317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RU"/>
                </a:p>
              </c:txPr>
            </c:trendlineLbl>
          </c:trendline>
          <c:xVal>
            <c:numRef>
              <c:f>中國!$C$3:$C$28</c:f>
              <c:numCache>
                <c:formatCode>General</c:formatCode>
                <c:ptCount val="26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3.6</c:v>
                </c:pt>
                <c:pt idx="5">
                  <c:v>4</c:v>
                </c:pt>
                <c:pt idx="6">
                  <c:v>4.3</c:v>
                </c:pt>
                <c:pt idx="7">
                  <c:v>4.2</c:v>
                </c:pt>
                <c:pt idx="8">
                  <c:v>4.2</c:v>
                </c:pt>
                <c:pt idx="9">
                  <c:v>4.0999999999999996</c:v>
                </c:pt>
                <c:pt idx="10">
                  <c:v>4</c:v>
                </c:pt>
                <c:pt idx="11">
                  <c:v>4.2</c:v>
                </c:pt>
                <c:pt idx="12">
                  <c:v>4.3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</c:v>
                </c:pt>
                <c:pt idx="20">
                  <c:v>3.9</c:v>
                </c:pt>
                <c:pt idx="21">
                  <c:v>3.8</c:v>
                </c:pt>
                <c:pt idx="22">
                  <c:v>3.6</c:v>
                </c:pt>
                <c:pt idx="23">
                  <c:v>4.2</c:v>
                </c:pt>
                <c:pt idx="24">
                  <c:v>4</c:v>
                </c:pt>
                <c:pt idx="25">
                  <c:v>4.2</c:v>
                </c:pt>
              </c:numCache>
            </c:numRef>
          </c:xVal>
          <c:yVal>
            <c:numRef>
              <c:f>中國!$B$3:$B$28</c:f>
              <c:numCache>
                <c:formatCode>General</c:formatCode>
                <c:ptCount val="26"/>
                <c:pt idx="0">
                  <c:v>2768.3</c:v>
                </c:pt>
                <c:pt idx="1">
                  <c:v>3019.4</c:v>
                </c:pt>
                <c:pt idx="2">
                  <c:v>3297.1</c:v>
                </c:pt>
                <c:pt idx="3">
                  <c:v>3657.5</c:v>
                </c:pt>
                <c:pt idx="4">
                  <c:v>4051</c:v>
                </c:pt>
                <c:pt idx="5">
                  <c:v>4489.1000000000004</c:v>
                </c:pt>
                <c:pt idx="6">
                  <c:v>5036.5</c:v>
                </c:pt>
                <c:pt idx="7">
                  <c:v>5694.7</c:v>
                </c:pt>
                <c:pt idx="8">
                  <c:v>6542.3</c:v>
                </c:pt>
                <c:pt idx="9">
                  <c:v>7601.3</c:v>
                </c:pt>
                <c:pt idx="10">
                  <c:v>8918.9</c:v>
                </c:pt>
                <c:pt idx="11">
                  <c:v>9961.9</c:v>
                </c:pt>
                <c:pt idx="12">
                  <c:v>10972.8</c:v>
                </c:pt>
                <c:pt idx="13">
                  <c:v>12283</c:v>
                </c:pt>
                <c:pt idx="14">
                  <c:v>13735.7</c:v>
                </c:pt>
                <c:pt idx="15">
                  <c:v>15137.5</c:v>
                </c:pt>
                <c:pt idx="16">
                  <c:v>16277.4</c:v>
                </c:pt>
                <c:pt idx="17">
                  <c:v>17200.7</c:v>
                </c:pt>
                <c:pt idx="18">
                  <c:v>17880.3</c:v>
                </c:pt>
                <c:pt idx="19">
                  <c:v>18701.7</c:v>
                </c:pt>
                <c:pt idx="20">
                  <c:v>19814.099999999999</c:v>
                </c:pt>
                <c:pt idx="21">
                  <c:v>21660.2</c:v>
                </c:pt>
                <c:pt idx="22">
                  <c:v>23360.799999999999</c:v>
                </c:pt>
                <c:pt idx="23">
                  <c:v>24196.3</c:v>
                </c:pt>
                <c:pt idx="24">
                  <c:v>27419.5</c:v>
                </c:pt>
                <c:pt idx="25">
                  <c:v>30217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18-3B4E-B38F-76510F4E4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895"/>
        <c:axId val="56007663"/>
      </c:scatterChart>
      <c:valAx>
        <c:axId val="1995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6007663"/>
        <c:crosses val="autoZero"/>
        <c:crossBetween val="midCat"/>
      </c:valAx>
      <c:valAx>
        <c:axId val="560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995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中國!$C$58:$C$59</c:f>
              <c:strCache>
                <c:ptCount val="2"/>
                <c:pt idx="0">
                  <c:v>y</c:v>
                </c:pt>
                <c:pt idx="1">
                  <c:v>-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7395281423804843"/>
                  <c:y val="0.25528141182301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RU"/>
                </a:p>
              </c:txPr>
            </c:trendlineLbl>
          </c:trendline>
          <c:xVal>
            <c:numRef>
              <c:f>中國!$B$60:$B$84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0.39999999999999991</c:v>
                </c:pt>
                <c:pt idx="5">
                  <c:v>0.29999999999999982</c:v>
                </c:pt>
                <c:pt idx="6">
                  <c:v>-9.9999999999999645E-2</c:v>
                </c:pt>
                <c:pt idx="7">
                  <c:v>0</c:v>
                </c:pt>
                <c:pt idx="8">
                  <c:v>-0.10000000000000053</c:v>
                </c:pt>
                <c:pt idx="9">
                  <c:v>-9.9999999999999645E-2</c:v>
                </c:pt>
                <c:pt idx="10">
                  <c:v>0.20000000000000018</c:v>
                </c:pt>
                <c:pt idx="11">
                  <c:v>9.9999999999999645E-2</c:v>
                </c:pt>
                <c:pt idx="12">
                  <c:v>-0.20000000000000018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-9.9999999999999645E-2</c:v>
                </c:pt>
                <c:pt idx="19">
                  <c:v>-0.10000000000000009</c:v>
                </c:pt>
                <c:pt idx="20">
                  <c:v>-0.10000000000000009</c:v>
                </c:pt>
                <c:pt idx="21">
                  <c:v>-0.19999999999999973</c:v>
                </c:pt>
                <c:pt idx="22">
                  <c:v>0.60000000000000009</c:v>
                </c:pt>
                <c:pt idx="23">
                  <c:v>-0.20000000000000018</c:v>
                </c:pt>
                <c:pt idx="24">
                  <c:v>0.20000000000000018</c:v>
                </c:pt>
              </c:numCache>
            </c:numRef>
          </c:xVal>
          <c:yVal>
            <c:numRef>
              <c:f>中國!$C$60:$C$84</c:f>
              <c:numCache>
                <c:formatCode>General</c:formatCode>
                <c:ptCount val="25"/>
                <c:pt idx="0">
                  <c:v>9.070548712206044</c:v>
                </c:pt>
                <c:pt idx="1">
                  <c:v>9.1971914949990001</c:v>
                </c:pt>
                <c:pt idx="2">
                  <c:v>10.93081799156835</c:v>
                </c:pt>
                <c:pt idx="3">
                  <c:v>10.758714969241286</c:v>
                </c:pt>
                <c:pt idx="4">
                  <c:v>10.814613675635655</c:v>
                </c:pt>
                <c:pt idx="5">
                  <c:v>12.193980976142202</c:v>
                </c:pt>
                <c:pt idx="6">
                  <c:v>13.068599225652733</c:v>
                </c:pt>
                <c:pt idx="7">
                  <c:v>14.884014961279792</c:v>
                </c:pt>
                <c:pt idx="8">
                  <c:v>16.186967885911681</c:v>
                </c:pt>
                <c:pt idx="9">
                  <c:v>17.333877099969737</c:v>
                </c:pt>
                <c:pt idx="10">
                  <c:v>11.694267230263822</c:v>
                </c:pt>
                <c:pt idx="11">
                  <c:v>10.147662594484984</c:v>
                </c:pt>
                <c:pt idx="12">
                  <c:v>11.940434529017214</c:v>
                </c:pt>
                <c:pt idx="13">
                  <c:v>11.826915248717745</c:v>
                </c:pt>
                <c:pt idx="14">
                  <c:v>10.205522834657128</c:v>
                </c:pt>
                <c:pt idx="15">
                  <c:v>7.5303055326176693</c:v>
                </c:pt>
                <c:pt idx="16">
                  <c:v>5.6722818140489339</c:v>
                </c:pt>
                <c:pt idx="17">
                  <c:v>3.9510019941048822</c:v>
                </c:pt>
                <c:pt idx="18">
                  <c:v>4.5938826529756298</c:v>
                </c:pt>
                <c:pt idx="19">
                  <c:v>5.9481223632076103</c:v>
                </c:pt>
                <c:pt idx="20">
                  <c:v>9.3171024674348182</c:v>
                </c:pt>
                <c:pt idx="21">
                  <c:v>7.8512663779651088</c:v>
                </c:pt>
                <c:pt idx="22">
                  <c:v>3.5765042293072153</c:v>
                </c:pt>
                <c:pt idx="23">
                  <c:v>13.321044953153999</c:v>
                </c:pt>
                <c:pt idx="24">
                  <c:v>10.202593045095645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1-024F-97BC-75036BF9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321328"/>
        <c:axId val="800323600"/>
      </c:scatterChart>
      <c:valAx>
        <c:axId val="8003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00323600"/>
        <c:crosses val="autoZero"/>
        <c:crossBetween val="midCat"/>
      </c:valAx>
      <c:valAx>
        <c:axId val="8003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0032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USA!$C$2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23489203420125"/>
                  <c:y val="0.33697941962862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RU"/>
                </a:p>
              </c:txPr>
            </c:trendlineLbl>
          </c:trendline>
          <c:xVal>
            <c:numRef>
              <c:f>USA!$C$3:$C$28</c:f>
              <c:numCache>
                <c:formatCode>General</c:formatCode>
                <c:ptCount val="26"/>
                <c:pt idx="0">
                  <c:v>4.9000000000000004</c:v>
                </c:pt>
                <c:pt idx="1">
                  <c:v>4.5</c:v>
                </c:pt>
                <c:pt idx="2">
                  <c:v>4.2</c:v>
                </c:pt>
                <c:pt idx="3">
                  <c:v>4</c:v>
                </c:pt>
                <c:pt idx="4">
                  <c:v>4.7</c:v>
                </c:pt>
                <c:pt idx="5">
                  <c:v>5.8</c:v>
                </c:pt>
                <c:pt idx="6">
                  <c:v>6</c:v>
                </c:pt>
                <c:pt idx="7">
                  <c:v>5.5</c:v>
                </c:pt>
                <c:pt idx="8">
                  <c:v>5.0999999999999996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5.8</c:v>
                </c:pt>
                <c:pt idx="12">
                  <c:v>9.3000000000000007</c:v>
                </c:pt>
                <c:pt idx="13">
                  <c:v>9.6</c:v>
                </c:pt>
                <c:pt idx="14">
                  <c:v>8.9</c:v>
                </c:pt>
                <c:pt idx="15">
                  <c:v>8.1</c:v>
                </c:pt>
                <c:pt idx="16">
                  <c:v>7.4</c:v>
                </c:pt>
                <c:pt idx="17">
                  <c:v>6.2</c:v>
                </c:pt>
                <c:pt idx="18">
                  <c:v>5.3</c:v>
                </c:pt>
                <c:pt idx="19">
                  <c:v>4.9000000000000004</c:v>
                </c:pt>
                <c:pt idx="20">
                  <c:v>4.4000000000000004</c:v>
                </c:pt>
                <c:pt idx="21">
                  <c:v>3.9</c:v>
                </c:pt>
                <c:pt idx="22">
                  <c:v>3.7</c:v>
                </c:pt>
                <c:pt idx="23">
                  <c:v>8.1</c:v>
                </c:pt>
                <c:pt idx="24">
                  <c:v>5.4</c:v>
                </c:pt>
                <c:pt idx="25">
                  <c:v>3.6</c:v>
                </c:pt>
              </c:numCache>
            </c:numRef>
          </c:xVal>
          <c:yVal>
            <c:numRef>
              <c:f>USA!$B$3:$B$28</c:f>
              <c:numCache>
                <c:formatCode>General</c:formatCode>
                <c:ptCount val="26"/>
                <c:pt idx="0">
                  <c:v>8577.6</c:v>
                </c:pt>
                <c:pt idx="1">
                  <c:v>9062.7999999999993</c:v>
                </c:pt>
                <c:pt idx="2">
                  <c:v>9631.2000000000007</c:v>
                </c:pt>
                <c:pt idx="3">
                  <c:v>10251</c:v>
                </c:pt>
                <c:pt idx="4">
                  <c:v>10581.9</c:v>
                </c:pt>
                <c:pt idx="5">
                  <c:v>10929.1</c:v>
                </c:pt>
                <c:pt idx="6">
                  <c:v>11456.5</c:v>
                </c:pt>
                <c:pt idx="7">
                  <c:v>12217.2</c:v>
                </c:pt>
                <c:pt idx="8">
                  <c:v>13039.2</c:v>
                </c:pt>
                <c:pt idx="9">
                  <c:v>13815.6</c:v>
                </c:pt>
                <c:pt idx="10">
                  <c:v>14474.3</c:v>
                </c:pt>
                <c:pt idx="11">
                  <c:v>14769.9</c:v>
                </c:pt>
                <c:pt idx="12">
                  <c:v>14478.1</c:v>
                </c:pt>
                <c:pt idx="13">
                  <c:v>15049</c:v>
                </c:pt>
                <c:pt idx="14">
                  <c:v>15599.7</c:v>
                </c:pt>
                <c:pt idx="15">
                  <c:v>16254</c:v>
                </c:pt>
                <c:pt idx="16">
                  <c:v>16843.2</c:v>
                </c:pt>
                <c:pt idx="17">
                  <c:v>17550.7</c:v>
                </c:pt>
                <c:pt idx="18">
                  <c:v>18206</c:v>
                </c:pt>
                <c:pt idx="19">
                  <c:v>18695.099999999999</c:v>
                </c:pt>
                <c:pt idx="20">
                  <c:v>19477.400000000001</c:v>
                </c:pt>
                <c:pt idx="21">
                  <c:v>20533.099999999999</c:v>
                </c:pt>
                <c:pt idx="22">
                  <c:v>21381</c:v>
                </c:pt>
                <c:pt idx="23">
                  <c:v>21060.5</c:v>
                </c:pt>
                <c:pt idx="24">
                  <c:v>23315.1</c:v>
                </c:pt>
                <c:pt idx="25">
                  <c:v>25464.5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D-DF46-8FA9-78FC71406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149568"/>
        <c:axId val="18175743"/>
      </c:scatterChart>
      <c:valAx>
        <c:axId val="16511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175743"/>
        <c:crosses val="autoZero"/>
        <c:crossBetween val="midCat"/>
      </c:valAx>
      <c:valAx>
        <c:axId val="181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511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USA!$C$2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7891587362929326"/>
                  <c:y val="0.29236539357813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RU"/>
                </a:p>
              </c:txPr>
            </c:trendlineLbl>
          </c:trendline>
          <c:xVal>
            <c:numRef>
              <c:f>USA!$C$3:$C$28</c:f>
              <c:numCache>
                <c:formatCode>General</c:formatCode>
                <c:ptCount val="26"/>
                <c:pt idx="0">
                  <c:v>4.9000000000000004</c:v>
                </c:pt>
                <c:pt idx="1">
                  <c:v>4.5</c:v>
                </c:pt>
                <c:pt idx="2">
                  <c:v>4.2</c:v>
                </c:pt>
                <c:pt idx="3">
                  <c:v>4</c:v>
                </c:pt>
                <c:pt idx="4">
                  <c:v>4.7</c:v>
                </c:pt>
                <c:pt idx="5">
                  <c:v>5.8</c:v>
                </c:pt>
                <c:pt idx="6">
                  <c:v>6</c:v>
                </c:pt>
                <c:pt idx="7">
                  <c:v>5.5</c:v>
                </c:pt>
                <c:pt idx="8">
                  <c:v>5.0999999999999996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5.8</c:v>
                </c:pt>
                <c:pt idx="12">
                  <c:v>9.3000000000000007</c:v>
                </c:pt>
                <c:pt idx="13">
                  <c:v>9.6</c:v>
                </c:pt>
                <c:pt idx="14">
                  <c:v>8.9</c:v>
                </c:pt>
                <c:pt idx="15">
                  <c:v>8.1</c:v>
                </c:pt>
                <c:pt idx="16">
                  <c:v>7.4</c:v>
                </c:pt>
                <c:pt idx="17">
                  <c:v>6.2</c:v>
                </c:pt>
                <c:pt idx="18">
                  <c:v>5.3</c:v>
                </c:pt>
                <c:pt idx="19">
                  <c:v>4.9000000000000004</c:v>
                </c:pt>
                <c:pt idx="20">
                  <c:v>4.4000000000000004</c:v>
                </c:pt>
                <c:pt idx="21">
                  <c:v>3.9</c:v>
                </c:pt>
                <c:pt idx="22">
                  <c:v>3.7</c:v>
                </c:pt>
                <c:pt idx="23">
                  <c:v>8.1</c:v>
                </c:pt>
                <c:pt idx="24">
                  <c:v>5.4</c:v>
                </c:pt>
                <c:pt idx="25">
                  <c:v>3.6</c:v>
                </c:pt>
              </c:numCache>
            </c:numRef>
          </c:xVal>
          <c:yVal>
            <c:numRef>
              <c:f>USA!$B$3:$B$28</c:f>
              <c:numCache>
                <c:formatCode>General</c:formatCode>
                <c:ptCount val="26"/>
                <c:pt idx="0">
                  <c:v>8577.6</c:v>
                </c:pt>
                <c:pt idx="1">
                  <c:v>9062.7999999999993</c:v>
                </c:pt>
                <c:pt idx="2">
                  <c:v>9631.2000000000007</c:v>
                </c:pt>
                <c:pt idx="3">
                  <c:v>10251</c:v>
                </c:pt>
                <c:pt idx="4">
                  <c:v>10581.9</c:v>
                </c:pt>
                <c:pt idx="5">
                  <c:v>10929.1</c:v>
                </c:pt>
                <c:pt idx="6">
                  <c:v>11456.5</c:v>
                </c:pt>
                <c:pt idx="7">
                  <c:v>12217.2</c:v>
                </c:pt>
                <c:pt idx="8">
                  <c:v>13039.2</c:v>
                </c:pt>
                <c:pt idx="9">
                  <c:v>13815.6</c:v>
                </c:pt>
                <c:pt idx="10">
                  <c:v>14474.3</c:v>
                </c:pt>
                <c:pt idx="11">
                  <c:v>14769.9</c:v>
                </c:pt>
                <c:pt idx="12">
                  <c:v>14478.1</c:v>
                </c:pt>
                <c:pt idx="13">
                  <c:v>15049</c:v>
                </c:pt>
                <c:pt idx="14">
                  <c:v>15599.7</c:v>
                </c:pt>
                <c:pt idx="15">
                  <c:v>16254</c:v>
                </c:pt>
                <c:pt idx="16">
                  <c:v>16843.2</c:v>
                </c:pt>
                <c:pt idx="17">
                  <c:v>17550.7</c:v>
                </c:pt>
                <c:pt idx="18">
                  <c:v>18206</c:v>
                </c:pt>
                <c:pt idx="19">
                  <c:v>18695.099999999999</c:v>
                </c:pt>
                <c:pt idx="20">
                  <c:v>19477.400000000001</c:v>
                </c:pt>
                <c:pt idx="21">
                  <c:v>20533.099999999999</c:v>
                </c:pt>
                <c:pt idx="22">
                  <c:v>21381</c:v>
                </c:pt>
                <c:pt idx="23">
                  <c:v>21060.5</c:v>
                </c:pt>
                <c:pt idx="24">
                  <c:v>23315.1</c:v>
                </c:pt>
                <c:pt idx="25">
                  <c:v>25464.5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7-CD4A-B011-42D5CDDE2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149568"/>
        <c:axId val="18175743"/>
      </c:scatterChart>
      <c:valAx>
        <c:axId val="16511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175743"/>
        <c:crosses val="autoZero"/>
        <c:crossBetween val="midCat"/>
      </c:valAx>
      <c:valAx>
        <c:axId val="181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511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USA!$C$58:$C$59</c:f>
              <c:strCache>
                <c:ptCount val="2"/>
                <c:pt idx="0">
                  <c:v>y</c:v>
                </c:pt>
                <c:pt idx="1">
                  <c:v>-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1409053706996306"/>
                  <c:y val="1.2203789808173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RU"/>
                </a:p>
              </c:txPr>
            </c:trendlineLbl>
          </c:trendline>
          <c:xVal>
            <c:numRef>
              <c:f>USA!$B$60:$B$84</c:f>
              <c:numCache>
                <c:formatCode>General</c:formatCode>
                <c:ptCount val="25"/>
                <c:pt idx="0">
                  <c:v>-0.40000000000000036</c:v>
                </c:pt>
                <c:pt idx="1">
                  <c:v>-0.29999999999999982</c:v>
                </c:pt>
                <c:pt idx="2">
                  <c:v>-0.20000000000000018</c:v>
                </c:pt>
                <c:pt idx="3">
                  <c:v>0.70000000000000018</c:v>
                </c:pt>
                <c:pt idx="4">
                  <c:v>1.0999999999999996</c:v>
                </c:pt>
                <c:pt idx="5">
                  <c:v>0.20000000000000018</c:v>
                </c:pt>
                <c:pt idx="6">
                  <c:v>-0.5</c:v>
                </c:pt>
                <c:pt idx="7">
                  <c:v>-0.40000000000000036</c:v>
                </c:pt>
                <c:pt idx="8">
                  <c:v>-0.5</c:v>
                </c:pt>
                <c:pt idx="9">
                  <c:v>0</c:v>
                </c:pt>
                <c:pt idx="10">
                  <c:v>1.2000000000000002</c:v>
                </c:pt>
                <c:pt idx="11">
                  <c:v>3.5000000000000009</c:v>
                </c:pt>
                <c:pt idx="12">
                  <c:v>0.29999999999999893</c:v>
                </c:pt>
                <c:pt idx="13">
                  <c:v>-0.69999999999999929</c:v>
                </c:pt>
                <c:pt idx="14">
                  <c:v>-0.80000000000000071</c:v>
                </c:pt>
                <c:pt idx="15">
                  <c:v>-0.69999999999999929</c:v>
                </c:pt>
                <c:pt idx="16">
                  <c:v>-1.2000000000000002</c:v>
                </c:pt>
                <c:pt idx="17">
                  <c:v>-0.90000000000000036</c:v>
                </c:pt>
                <c:pt idx="18">
                  <c:v>-0.39999999999999947</c:v>
                </c:pt>
                <c:pt idx="19">
                  <c:v>-0.5</c:v>
                </c:pt>
                <c:pt idx="20">
                  <c:v>-0.50000000000000044</c:v>
                </c:pt>
                <c:pt idx="21">
                  <c:v>-0.19999999999999973</c:v>
                </c:pt>
                <c:pt idx="22">
                  <c:v>4.3999999999999995</c:v>
                </c:pt>
                <c:pt idx="23">
                  <c:v>-2.6999999999999993</c:v>
                </c:pt>
                <c:pt idx="24">
                  <c:v>-1.8000000000000003</c:v>
                </c:pt>
              </c:numCache>
            </c:numRef>
          </c:xVal>
          <c:yVal>
            <c:numRef>
              <c:f>USA!$C$60:$C$84</c:f>
              <c:numCache>
                <c:formatCode>General</c:formatCode>
                <c:ptCount val="25"/>
                <c:pt idx="0">
                  <c:v>5.6565939190449415</c:v>
                </c:pt>
                <c:pt idx="1">
                  <c:v>6.2717923820453008</c:v>
                </c:pt>
                <c:pt idx="2">
                  <c:v>6.435335160727627</c:v>
                </c:pt>
                <c:pt idx="3">
                  <c:v>3.2279777582674827</c:v>
                </c:pt>
                <c:pt idx="4">
                  <c:v>3.2810742872263083</c:v>
                </c:pt>
                <c:pt idx="5">
                  <c:v>4.8256489555407089</c:v>
                </c:pt>
                <c:pt idx="6">
                  <c:v>6.6398987474359599</c:v>
                </c:pt>
                <c:pt idx="7">
                  <c:v>6.7282192319025631</c:v>
                </c:pt>
                <c:pt idx="8">
                  <c:v>5.9543530277931129</c:v>
                </c:pt>
                <c:pt idx="9">
                  <c:v>4.7677987202872041</c:v>
                </c:pt>
                <c:pt idx="10">
                  <c:v>2.042240384681818</c:v>
                </c:pt>
                <c:pt idx="11">
                  <c:v>-1.9756396454952252</c:v>
                </c:pt>
                <c:pt idx="12">
                  <c:v>3.9431969664527777</c:v>
                </c:pt>
                <c:pt idx="13">
                  <c:v>3.6593793607548726</c:v>
                </c:pt>
                <c:pt idx="14">
                  <c:v>4.1943114290659391</c:v>
                </c:pt>
                <c:pt idx="15">
                  <c:v>3.6249538575120011</c:v>
                </c:pt>
                <c:pt idx="16">
                  <c:v>4.2005082169658969</c:v>
                </c:pt>
                <c:pt idx="17">
                  <c:v>3.7337542092338154</c:v>
                </c:pt>
                <c:pt idx="18">
                  <c:v>2.686476985609132</c:v>
                </c:pt>
                <c:pt idx="19">
                  <c:v>4.1845189381174901</c:v>
                </c:pt>
                <c:pt idx="20">
                  <c:v>5.4201279431546148</c:v>
                </c:pt>
                <c:pt idx="21">
                  <c:v>4.1294300422245129</c:v>
                </c:pt>
                <c:pt idx="22">
                  <c:v>-1.4989944343108368</c:v>
                </c:pt>
                <c:pt idx="23">
                  <c:v>10.705348875857641</c:v>
                </c:pt>
                <c:pt idx="24">
                  <c:v>9.2189182118026576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D-124A-8146-9D8AE3930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082368"/>
        <c:axId val="2036779328"/>
      </c:scatterChart>
      <c:valAx>
        <c:axId val="20370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36779328"/>
        <c:crosses val="autoZero"/>
        <c:crossBetween val="midCat"/>
      </c:valAx>
      <c:valAx>
        <c:axId val="20367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3708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800100</xdr:colOff>
      <xdr:row>1</xdr:row>
      <xdr:rowOff>0</xdr:rowOff>
    </xdr:from>
    <xdr:to>
      <xdr:col>21</xdr:col>
      <xdr:colOff>25400</xdr:colOff>
      <xdr:row>20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2B7EB34-AD51-402A-C12D-23A5365CC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812343</xdr:colOff>
      <xdr:row>20</xdr:row>
      <xdr:rowOff>217387</xdr:rowOff>
    </xdr:from>
    <xdr:to>
      <xdr:col>21</xdr:col>
      <xdr:colOff>39359</xdr:colOff>
      <xdr:row>41</xdr:row>
      <xdr:rowOff>48226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FB134-80B3-F94B-86F4-E9E408CF8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812343</xdr:colOff>
      <xdr:row>56</xdr:row>
      <xdr:rowOff>205945</xdr:rowOff>
    </xdr:from>
    <xdr:to>
      <xdr:col>12</xdr:col>
      <xdr:colOff>114415</xdr:colOff>
      <xdr:row>73</xdr:row>
      <xdr:rowOff>78717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B4ED19-7B88-332A-5CEA-9A1642461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12700</xdr:rowOff>
    </xdr:from>
    <xdr:to>
      <xdr:col>19</xdr:col>
      <xdr:colOff>762000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40B8D-AE58-4DEF-1297-9F6FE6B9D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12828</xdr:colOff>
      <xdr:row>21</xdr:row>
      <xdr:rowOff>230908</xdr:rowOff>
    </xdr:from>
    <xdr:to>
      <xdr:col>19</xdr:col>
      <xdr:colOff>774828</xdr:colOff>
      <xdr:row>43</xdr:row>
      <xdr:rowOff>49516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DF2E9C-2E07-3146-9500-281588F49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782523</xdr:colOff>
      <xdr:row>56</xdr:row>
      <xdr:rowOff>179595</xdr:rowOff>
    </xdr:from>
    <xdr:to>
      <xdr:col>12</xdr:col>
      <xdr:colOff>821009</xdr:colOff>
      <xdr:row>74</xdr:row>
      <xdr:rowOff>140085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36C048-9FA6-2299-C323-D8F5DEFDC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2</xdr:row>
      <xdr:rowOff>0</xdr:rowOff>
    </xdr:from>
    <xdr:to>
      <xdr:col>20</xdr:col>
      <xdr:colOff>12700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7DD64-6E22-A009-31DC-901F83867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21</xdr:row>
      <xdr:rowOff>0</xdr:rowOff>
    </xdr:from>
    <xdr:to>
      <xdr:col>20</xdr:col>
      <xdr:colOff>38100</xdr:colOff>
      <xdr:row>40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164AEC-662F-004E-83E8-A7FA506BE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57</xdr:row>
      <xdr:rowOff>0</xdr:rowOff>
    </xdr:from>
    <xdr:to>
      <xdr:col>12</xdr:col>
      <xdr:colOff>355600</xdr:colOff>
      <xdr:row>75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7D4332-8EA3-89B8-B5EF-1E8AC40F1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DB6F9-0FFA-4D43-A02A-F8A38BCAFD70}">
  <dimension ref="A2:Z84"/>
  <sheetViews>
    <sheetView tabSelected="1" topLeftCell="A18" zoomScale="111" workbookViewId="0">
      <selection activeCell="B38" sqref="B38"/>
    </sheetView>
  </sheetViews>
  <sheetFormatPr baseColWidth="10" defaultRowHeight="16"/>
  <cols>
    <col min="6" max="6" width="14.6640625" customWidth="1"/>
    <col min="7" max="7" width="16.5" customWidth="1"/>
    <col min="9" max="9" width="13.6640625" customWidth="1"/>
  </cols>
  <sheetData>
    <row r="2" spans="1:26">
      <c r="B2" t="s">
        <v>0</v>
      </c>
      <c r="C2" t="s">
        <v>1</v>
      </c>
      <c r="D2" t="s">
        <v>5</v>
      </c>
      <c r="E2" t="s">
        <v>2</v>
      </c>
      <c r="F2" t="s">
        <v>8</v>
      </c>
      <c r="G2" t="s">
        <v>9</v>
      </c>
      <c r="H2" t="s">
        <v>14</v>
      </c>
      <c r="I2" t="s">
        <v>15</v>
      </c>
    </row>
    <row r="3" spans="1:26" ht="18">
      <c r="A3">
        <v>1997</v>
      </c>
      <c r="B3" s="1">
        <v>1323.7</v>
      </c>
      <c r="C3" s="1">
        <v>10.8</v>
      </c>
      <c r="D3" s="1">
        <f>$C3^2</f>
        <v>116.64000000000001</v>
      </c>
      <c r="E3" s="1">
        <f>$B3*$C3</f>
        <v>14295.960000000001</v>
      </c>
      <c r="F3" s="1">
        <f>$B3^2</f>
        <v>1752181.6900000002</v>
      </c>
      <c r="G3">
        <f t="shared" ref="G3:G28" si="0">$B$33*C3+$B$34</f>
        <v>1405.5701176809052</v>
      </c>
      <c r="H3" s="1">
        <f>$B3-$G3</f>
        <v>-81.870117680905196</v>
      </c>
      <c r="I3" s="1">
        <f>$H3^2</f>
        <v>6702.7161690852654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>
      <c r="A4">
        <v>1998</v>
      </c>
      <c r="B4" s="1">
        <v>1267.0999999999999</v>
      </c>
      <c r="C4" s="1">
        <v>11.9</v>
      </c>
      <c r="D4" s="1">
        <f t="shared" ref="D4:D28" si="1">$C4^2</f>
        <v>141.61000000000001</v>
      </c>
      <c r="E4" s="1">
        <f t="shared" ref="E4:E28" si="2">$B4*$C4</f>
        <v>15078.49</v>
      </c>
      <c r="F4" s="1">
        <f t="shared" ref="F4:F28" si="3">$B4^2</f>
        <v>1605542.4099999997</v>
      </c>
      <c r="G4">
        <f t="shared" si="0"/>
        <v>950.61629519562939</v>
      </c>
      <c r="H4" s="1">
        <f t="shared" ref="H4:H28" si="4">$B4-$G4</f>
        <v>316.48370480437052</v>
      </c>
      <c r="I4" s="1">
        <f t="shared" ref="I4:I28" si="5">$H4^2</f>
        <v>100161.93540669994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>
      <c r="A5">
        <v>1999</v>
      </c>
      <c r="B5" s="1">
        <v>1366.5</v>
      </c>
      <c r="C5" s="1">
        <v>13</v>
      </c>
      <c r="D5" s="1">
        <f t="shared" si="1"/>
        <v>169</v>
      </c>
      <c r="E5" s="1">
        <f t="shared" si="2"/>
        <v>17764.5</v>
      </c>
      <c r="F5" s="1">
        <f t="shared" si="3"/>
        <v>1867322.25</v>
      </c>
      <c r="G5">
        <f t="shared" si="0"/>
        <v>495.66247271035445</v>
      </c>
      <c r="H5" s="1">
        <f t="shared" si="4"/>
        <v>870.83752728964555</v>
      </c>
      <c r="I5" s="1">
        <f t="shared" si="5"/>
        <v>758357.99893594417</v>
      </c>
    </row>
    <row r="6" spans="1:26" ht="18">
      <c r="A6">
        <v>2000</v>
      </c>
      <c r="B6" s="1">
        <v>1537.9</v>
      </c>
      <c r="C6" s="1">
        <v>10.6</v>
      </c>
      <c r="D6" s="1">
        <f t="shared" si="1"/>
        <v>112.36</v>
      </c>
      <c r="E6" s="1">
        <f t="shared" si="2"/>
        <v>16301.74</v>
      </c>
      <c r="F6" s="1">
        <f t="shared" si="3"/>
        <v>2365136.41</v>
      </c>
      <c r="G6">
        <f t="shared" si="0"/>
        <v>1488.2889944964099</v>
      </c>
      <c r="H6" s="1">
        <f t="shared" si="4"/>
        <v>49.61100550359015</v>
      </c>
      <c r="I6" s="1">
        <f t="shared" si="5"/>
        <v>2461.251867077252</v>
      </c>
    </row>
    <row r="7" spans="1:26" ht="18">
      <c r="A7">
        <v>2001</v>
      </c>
      <c r="B7" s="1">
        <v>1652.6</v>
      </c>
      <c r="C7" s="1">
        <v>8.9</v>
      </c>
      <c r="D7" s="1">
        <f t="shared" si="1"/>
        <v>79.210000000000008</v>
      </c>
      <c r="E7" s="1">
        <f t="shared" si="2"/>
        <v>14708.14</v>
      </c>
      <c r="F7" s="1">
        <f t="shared" si="3"/>
        <v>2731086.76</v>
      </c>
      <c r="G7">
        <f t="shared" si="0"/>
        <v>2191.399447428199</v>
      </c>
      <c r="H7" s="1">
        <f t="shared" si="4"/>
        <v>-538.79944742819907</v>
      </c>
      <c r="I7" s="1">
        <f t="shared" si="5"/>
        <v>290304.84454893268</v>
      </c>
    </row>
    <row r="8" spans="1:26" ht="18">
      <c r="A8">
        <v>2002</v>
      </c>
      <c r="B8" s="1">
        <v>1758</v>
      </c>
      <c r="C8" s="1">
        <v>8</v>
      </c>
      <c r="D8" s="1">
        <f t="shared" si="1"/>
        <v>64</v>
      </c>
      <c r="E8" s="1">
        <f t="shared" si="2"/>
        <v>14064</v>
      </c>
      <c r="F8" s="1">
        <f t="shared" si="3"/>
        <v>3090564</v>
      </c>
      <c r="G8">
        <f t="shared" si="0"/>
        <v>2563.6343930979701</v>
      </c>
      <c r="H8" s="1">
        <f t="shared" si="4"/>
        <v>-805.63439309797013</v>
      </c>
      <c r="I8" s="1">
        <f t="shared" si="5"/>
        <v>649046.77534233464</v>
      </c>
    </row>
    <row r="9" spans="1:26" ht="18">
      <c r="A9">
        <v>2003</v>
      </c>
      <c r="B9" s="1">
        <v>1924.4</v>
      </c>
      <c r="C9" s="1">
        <v>8.1999999999999993</v>
      </c>
      <c r="D9" s="1">
        <f t="shared" si="1"/>
        <v>67.239999999999995</v>
      </c>
      <c r="E9" s="1">
        <f t="shared" si="2"/>
        <v>15780.08</v>
      </c>
      <c r="F9" s="1">
        <f t="shared" si="3"/>
        <v>3703315.3600000003</v>
      </c>
      <c r="G9">
        <f t="shared" si="0"/>
        <v>2480.9155162824659</v>
      </c>
      <c r="H9" s="1">
        <f t="shared" si="4"/>
        <v>-556.5155162824658</v>
      </c>
      <c r="I9" s="1">
        <f t="shared" si="5"/>
        <v>309709.51986313943</v>
      </c>
    </row>
    <row r="10" spans="1:26" ht="18">
      <c r="A10">
        <v>2004</v>
      </c>
      <c r="B10" s="1">
        <v>2117.9</v>
      </c>
      <c r="C10" s="1">
        <v>7.7</v>
      </c>
      <c r="D10" s="1">
        <f t="shared" si="1"/>
        <v>59.290000000000006</v>
      </c>
      <c r="E10" s="1">
        <f t="shared" si="2"/>
        <v>16307.830000000002</v>
      </c>
      <c r="F10" s="1">
        <f t="shared" si="3"/>
        <v>4485500.41</v>
      </c>
      <c r="G10">
        <f t="shared" si="0"/>
        <v>2687.7127083212272</v>
      </c>
      <c r="H10" s="1">
        <f t="shared" si="4"/>
        <v>-569.81270832122709</v>
      </c>
      <c r="I10" s="1">
        <f t="shared" si="5"/>
        <v>324686.52256437181</v>
      </c>
    </row>
    <row r="11" spans="1:26" ht="18">
      <c r="A11">
        <v>2005</v>
      </c>
      <c r="B11" s="1">
        <v>2323.6</v>
      </c>
      <c r="C11" s="1">
        <v>7.2</v>
      </c>
      <c r="D11" s="1">
        <f t="shared" si="1"/>
        <v>51.84</v>
      </c>
      <c r="E11" s="1">
        <f t="shared" si="2"/>
        <v>16729.919999999998</v>
      </c>
      <c r="F11" s="1">
        <f t="shared" si="3"/>
        <v>5399116.96</v>
      </c>
      <c r="G11">
        <f t="shared" si="0"/>
        <v>2894.5099003599885</v>
      </c>
      <c r="H11" s="1">
        <f t="shared" si="4"/>
        <v>-570.90990035998857</v>
      </c>
      <c r="I11" s="1">
        <f t="shared" si="5"/>
        <v>325938.1143290521</v>
      </c>
    </row>
    <row r="12" spans="1:26" ht="18">
      <c r="A12">
        <v>2006</v>
      </c>
      <c r="B12" s="1">
        <v>2590.6</v>
      </c>
      <c r="C12" s="1">
        <v>7.1</v>
      </c>
      <c r="D12" s="1">
        <f t="shared" si="1"/>
        <v>50.41</v>
      </c>
      <c r="E12" s="1">
        <f t="shared" si="2"/>
        <v>18393.259999999998</v>
      </c>
      <c r="F12" s="1">
        <f t="shared" si="3"/>
        <v>6711208.3599999994</v>
      </c>
      <c r="G12">
        <f t="shared" si="0"/>
        <v>2935.8693387677413</v>
      </c>
      <c r="H12" s="1">
        <f t="shared" si="4"/>
        <v>-345.26933876774137</v>
      </c>
      <c r="I12" s="1">
        <f t="shared" si="5"/>
        <v>119210.91629311336</v>
      </c>
    </row>
    <row r="13" spans="1:26" ht="18">
      <c r="A13">
        <v>2007</v>
      </c>
      <c r="B13" s="1">
        <v>2887.6</v>
      </c>
      <c r="C13" s="1">
        <v>6</v>
      </c>
      <c r="D13" s="1">
        <f t="shared" si="1"/>
        <v>36</v>
      </c>
      <c r="E13" s="1">
        <f t="shared" si="2"/>
        <v>17325.599999999999</v>
      </c>
      <c r="F13" s="1">
        <f t="shared" si="3"/>
        <v>8338233.7599999998</v>
      </c>
      <c r="G13">
        <f t="shared" si="0"/>
        <v>3390.8231612530162</v>
      </c>
      <c r="H13" s="1">
        <f t="shared" si="4"/>
        <v>-503.22316125301631</v>
      </c>
      <c r="I13" s="1">
        <f t="shared" si="5"/>
        <v>253233.55002147926</v>
      </c>
    </row>
    <row r="14" spans="1:26" ht="18">
      <c r="A14">
        <v>2008</v>
      </c>
      <c r="B14" s="1">
        <v>3097.5</v>
      </c>
      <c r="C14" s="1">
        <v>6.2</v>
      </c>
      <c r="D14" s="1">
        <f t="shared" si="1"/>
        <v>38.440000000000005</v>
      </c>
      <c r="E14" s="1">
        <f t="shared" si="2"/>
        <v>19204.5</v>
      </c>
      <c r="F14" s="1">
        <f t="shared" si="3"/>
        <v>9594506.25</v>
      </c>
      <c r="G14">
        <f t="shared" si="0"/>
        <v>3308.1042844375115</v>
      </c>
      <c r="H14" s="1">
        <f t="shared" si="4"/>
        <v>-210.60428443751152</v>
      </c>
      <c r="I14" s="1">
        <f t="shared" si="5"/>
        <v>44354.164623436256</v>
      </c>
    </row>
    <row r="15" spans="1:26" ht="18">
      <c r="A15">
        <v>2009</v>
      </c>
      <c r="B15" s="1">
        <v>2873.5</v>
      </c>
      <c r="C15" s="1">
        <v>8.1999999999999993</v>
      </c>
      <c r="D15" s="1">
        <f t="shared" si="1"/>
        <v>67.239999999999995</v>
      </c>
      <c r="E15" s="1">
        <f t="shared" si="2"/>
        <v>23562.699999999997</v>
      </c>
      <c r="F15" s="1">
        <f t="shared" si="3"/>
        <v>8257002.25</v>
      </c>
      <c r="G15">
        <f t="shared" si="0"/>
        <v>2480.9155162824659</v>
      </c>
      <c r="H15" s="1">
        <f t="shared" si="4"/>
        <v>392.58448371753411</v>
      </c>
      <c r="I15" s="1">
        <f t="shared" si="5"/>
        <v>154122.5768557628</v>
      </c>
    </row>
    <row r="16" spans="1:26" ht="18">
      <c r="A16">
        <v>2010</v>
      </c>
      <c r="B16" s="1">
        <v>3039</v>
      </c>
      <c r="C16" s="1">
        <v>7.4</v>
      </c>
      <c r="D16" s="1">
        <f t="shared" si="1"/>
        <v>54.760000000000005</v>
      </c>
      <c r="E16" s="1">
        <f t="shared" si="2"/>
        <v>22488.600000000002</v>
      </c>
      <c r="F16" s="1">
        <f t="shared" si="3"/>
        <v>9235521</v>
      </c>
      <c r="G16">
        <f t="shared" si="0"/>
        <v>2811.7910235444838</v>
      </c>
      <c r="H16" s="1">
        <f t="shared" si="4"/>
        <v>227.20897645551622</v>
      </c>
      <c r="I16" s="1">
        <f t="shared" si="5"/>
        <v>51623.918981963325</v>
      </c>
    </row>
    <row r="17" spans="1:9" ht="18">
      <c r="A17">
        <v>2011</v>
      </c>
      <c r="B17" s="1">
        <v>3259.3</v>
      </c>
      <c r="C17" s="1">
        <v>6.5</v>
      </c>
      <c r="D17" s="1">
        <f t="shared" si="1"/>
        <v>42.25</v>
      </c>
      <c r="E17" s="1">
        <f t="shared" si="2"/>
        <v>21185.45</v>
      </c>
      <c r="F17" s="1">
        <f t="shared" si="3"/>
        <v>10623036.490000002</v>
      </c>
      <c r="G17">
        <f t="shared" si="0"/>
        <v>3184.0259692142549</v>
      </c>
      <c r="H17" s="1">
        <f t="shared" si="4"/>
        <v>75.274030785745254</v>
      </c>
      <c r="I17" s="1">
        <f t="shared" si="5"/>
        <v>5666.1797107333241</v>
      </c>
    </row>
    <row r="18" spans="1:9" ht="18">
      <c r="A18">
        <v>2012</v>
      </c>
      <c r="B18" s="1">
        <v>3480.3</v>
      </c>
      <c r="C18" s="1">
        <v>5.5</v>
      </c>
      <c r="D18" s="1">
        <f t="shared" si="1"/>
        <v>30.25</v>
      </c>
      <c r="E18" s="1">
        <f t="shared" si="2"/>
        <v>19141.650000000001</v>
      </c>
      <c r="F18" s="1">
        <f t="shared" si="3"/>
        <v>12112488.090000002</v>
      </c>
      <c r="G18">
        <f t="shared" si="0"/>
        <v>3597.620353291778</v>
      </c>
      <c r="H18" s="1">
        <f t="shared" si="4"/>
        <v>-117.32035329177779</v>
      </c>
      <c r="I18" s="1">
        <f t="shared" si="5"/>
        <v>13764.065296507557</v>
      </c>
    </row>
    <row r="19" spans="1:9" ht="18">
      <c r="A19">
        <v>2013</v>
      </c>
      <c r="B19" s="1">
        <v>3741.8</v>
      </c>
      <c r="C19" s="1">
        <v>5.5</v>
      </c>
      <c r="D19" s="1">
        <f t="shared" si="1"/>
        <v>30.25</v>
      </c>
      <c r="E19" s="1">
        <f t="shared" si="2"/>
        <v>20579.900000000001</v>
      </c>
      <c r="F19" s="1">
        <f t="shared" si="3"/>
        <v>14001067.240000002</v>
      </c>
      <c r="G19">
        <f t="shared" si="0"/>
        <v>3597.620353291778</v>
      </c>
      <c r="H19" s="1">
        <f t="shared" si="4"/>
        <v>144.17964670822221</v>
      </c>
      <c r="I19" s="1">
        <f t="shared" si="5"/>
        <v>20787.77052490777</v>
      </c>
    </row>
    <row r="20" spans="1:9" ht="18">
      <c r="A20">
        <v>2014</v>
      </c>
      <c r="B20" s="1">
        <v>3763.5</v>
      </c>
      <c r="C20" s="1">
        <v>5.2</v>
      </c>
      <c r="D20" s="1">
        <f t="shared" si="1"/>
        <v>27.040000000000003</v>
      </c>
      <c r="E20" s="1">
        <f t="shared" si="2"/>
        <v>19570.2</v>
      </c>
      <c r="F20" s="1">
        <f t="shared" si="3"/>
        <v>14163932.25</v>
      </c>
      <c r="G20">
        <f t="shared" si="0"/>
        <v>3721.698668515035</v>
      </c>
      <c r="H20" s="1">
        <f t="shared" si="4"/>
        <v>41.801331484964976</v>
      </c>
      <c r="I20" s="1">
        <f t="shared" si="5"/>
        <v>1747.3513139159243</v>
      </c>
    </row>
    <row r="21" spans="1:9" ht="18">
      <c r="A21">
        <v>2015</v>
      </c>
      <c r="B21" s="1">
        <v>3526.2</v>
      </c>
      <c r="C21" s="1">
        <v>5.6</v>
      </c>
      <c r="D21" s="1">
        <f t="shared" si="1"/>
        <v>31.359999999999996</v>
      </c>
      <c r="E21" s="1">
        <f t="shared" si="2"/>
        <v>19746.719999999998</v>
      </c>
      <c r="F21" s="1">
        <f t="shared" si="3"/>
        <v>12434086.439999999</v>
      </c>
      <c r="G21">
        <f t="shared" si="0"/>
        <v>3556.2609148840261</v>
      </c>
      <c r="H21" s="1">
        <f t="shared" si="4"/>
        <v>-30.060914884026261</v>
      </c>
      <c r="I21" s="1">
        <f t="shared" si="5"/>
        <v>903.65860366467155</v>
      </c>
    </row>
    <row r="22" spans="1:9" ht="18">
      <c r="A22">
        <v>2016</v>
      </c>
      <c r="B22" s="1">
        <v>3538.6</v>
      </c>
      <c r="C22" s="1">
        <v>5.5</v>
      </c>
      <c r="D22" s="1">
        <f t="shared" si="1"/>
        <v>30.25</v>
      </c>
      <c r="E22" s="1">
        <f t="shared" si="2"/>
        <v>19462.3</v>
      </c>
      <c r="F22" s="1">
        <f t="shared" si="3"/>
        <v>12521689.959999999</v>
      </c>
      <c r="G22">
        <f t="shared" si="0"/>
        <v>3597.620353291778</v>
      </c>
      <c r="H22" s="1">
        <f t="shared" si="4"/>
        <v>-59.020353291778065</v>
      </c>
      <c r="I22" s="1">
        <f t="shared" si="5"/>
        <v>3483.4021026862979</v>
      </c>
    </row>
    <row r="23" spans="1:9" ht="18">
      <c r="A23">
        <v>2017</v>
      </c>
      <c r="B23" s="1">
        <v>3818.8</v>
      </c>
      <c r="C23" s="1">
        <v>5.2</v>
      </c>
      <c r="D23" s="1">
        <f t="shared" si="1"/>
        <v>27.040000000000003</v>
      </c>
      <c r="E23" s="1">
        <f t="shared" si="2"/>
        <v>19857.760000000002</v>
      </c>
      <c r="F23" s="1">
        <f t="shared" si="3"/>
        <v>14583233.440000001</v>
      </c>
      <c r="G23">
        <f t="shared" si="0"/>
        <v>3721.698668515035</v>
      </c>
      <c r="H23" s="1">
        <f t="shared" si="4"/>
        <v>97.101331484965158</v>
      </c>
      <c r="I23" s="1">
        <f t="shared" si="5"/>
        <v>9428.6685761530862</v>
      </c>
    </row>
    <row r="24" spans="1:9" ht="18">
      <c r="A24">
        <v>2018</v>
      </c>
      <c r="B24" s="1">
        <v>4020.4</v>
      </c>
      <c r="C24" s="1">
        <v>4.8</v>
      </c>
      <c r="D24" s="1">
        <f t="shared" si="1"/>
        <v>23.04</v>
      </c>
      <c r="E24" s="1">
        <f t="shared" si="2"/>
        <v>19297.919999999998</v>
      </c>
      <c r="F24" s="1">
        <f t="shared" si="3"/>
        <v>16163616.16</v>
      </c>
      <c r="G24">
        <f t="shared" si="0"/>
        <v>3887.1364221460444</v>
      </c>
      <c r="H24" s="1">
        <f t="shared" si="4"/>
        <v>133.26357785395567</v>
      </c>
      <c r="I24" s="1">
        <f t="shared" si="5"/>
        <v>17759.181182437304</v>
      </c>
    </row>
    <row r="25" spans="1:9" ht="18">
      <c r="A25">
        <v>2019</v>
      </c>
      <c r="B25" s="1">
        <v>4182.3999999999996</v>
      </c>
      <c r="C25" s="1">
        <v>4.5999999999999996</v>
      </c>
      <c r="D25" s="1">
        <f t="shared" si="1"/>
        <v>21.159999999999997</v>
      </c>
      <c r="E25" s="1">
        <f t="shared" si="2"/>
        <v>19239.039999999997</v>
      </c>
      <c r="F25" s="1">
        <f t="shared" si="3"/>
        <v>17492469.759999998</v>
      </c>
      <c r="G25">
        <f t="shared" si="0"/>
        <v>3969.8552989615491</v>
      </c>
      <c r="H25" s="1">
        <f t="shared" si="4"/>
        <v>212.54470103845051</v>
      </c>
      <c r="I25" s="1">
        <f t="shared" si="5"/>
        <v>45175.249939524307</v>
      </c>
    </row>
    <row r="26" spans="1:9" ht="18">
      <c r="A26">
        <v>2020</v>
      </c>
      <c r="B26" s="1">
        <v>4124.6000000000004</v>
      </c>
      <c r="C26" s="1">
        <v>5.8</v>
      </c>
      <c r="D26" s="1">
        <f t="shared" si="1"/>
        <v>33.64</v>
      </c>
      <c r="E26" s="1">
        <f t="shared" si="2"/>
        <v>23922.68</v>
      </c>
      <c r="F26" s="1">
        <f t="shared" si="3"/>
        <v>17012325.160000004</v>
      </c>
      <c r="G26">
        <f t="shared" si="0"/>
        <v>3473.5420380685214</v>
      </c>
      <c r="H26" s="1">
        <f t="shared" si="4"/>
        <v>651.05796193147899</v>
      </c>
      <c r="I26" s="1">
        <f t="shared" si="5"/>
        <v>423876.46979437117</v>
      </c>
    </row>
    <row r="27" spans="1:9" ht="18">
      <c r="A27">
        <v>2021</v>
      </c>
      <c r="B27" s="1">
        <v>4552.3</v>
      </c>
      <c r="C27" s="1">
        <v>4.8</v>
      </c>
      <c r="D27" s="1">
        <f t="shared" si="1"/>
        <v>23.04</v>
      </c>
      <c r="E27" s="1">
        <f t="shared" si="2"/>
        <v>21851.040000000001</v>
      </c>
      <c r="F27" s="1">
        <f t="shared" si="3"/>
        <v>20723435.290000003</v>
      </c>
      <c r="G27">
        <f t="shared" si="0"/>
        <v>3887.1364221460444</v>
      </c>
      <c r="H27" s="1">
        <f t="shared" si="4"/>
        <v>665.16357785395576</v>
      </c>
      <c r="I27" s="1">
        <f t="shared" si="5"/>
        <v>442442.58530347544</v>
      </c>
    </row>
    <row r="28" spans="1:9" ht="18">
      <c r="A28">
        <v>2022</v>
      </c>
      <c r="B28" s="1">
        <v>4771.3</v>
      </c>
      <c r="C28" s="1">
        <v>3.9</v>
      </c>
      <c r="D28" s="1">
        <f t="shared" si="1"/>
        <v>15.209999999999999</v>
      </c>
      <c r="E28" s="1">
        <f t="shared" si="2"/>
        <v>18608.07</v>
      </c>
      <c r="F28" s="1">
        <f t="shared" si="3"/>
        <v>22765303.690000001</v>
      </c>
      <c r="G28">
        <f t="shared" si="0"/>
        <v>4259.3713678158147</v>
      </c>
      <c r="H28" s="1">
        <f t="shared" si="4"/>
        <v>511.92863218418552</v>
      </c>
      <c r="I28" s="1">
        <f t="shared" si="5"/>
        <v>262070.92444997109</v>
      </c>
    </row>
    <row r="30" spans="1:9" ht="18">
      <c r="A30" t="s">
        <v>3</v>
      </c>
      <c r="B30">
        <f>AVERAGE(B3:B28)</f>
        <v>2943.8230769230772</v>
      </c>
      <c r="C30">
        <f>AVERAGE(C3:C28)</f>
        <v>7.0807692307692314</v>
      </c>
      <c r="D30" s="1">
        <f>AVERAGE(D3:D28)</f>
        <v>55.483461538461533</v>
      </c>
      <c r="E30" s="1">
        <f>AVERAGE(E3:E28)</f>
        <v>18633.386538461535</v>
      </c>
      <c r="F30" s="1">
        <f>AVERAGE(F3:F28)</f>
        <v>9758958.5323076919</v>
      </c>
    </row>
    <row r="31" spans="1:9">
      <c r="A31" t="s">
        <v>16</v>
      </c>
      <c r="I31">
        <f>SUM(I3:I28)</f>
        <v>4637020.3126007393</v>
      </c>
    </row>
    <row r="33" spans="1:2">
      <c r="A33" s="3" t="s">
        <v>4</v>
      </c>
      <c r="B33" s="3">
        <f>(E30-(B30*C30))/(D30 - C30^2)</f>
        <v>-413.59438407752316</v>
      </c>
    </row>
    <row r="34" spans="1:2">
      <c r="A34" s="3" t="s">
        <v>6</v>
      </c>
      <c r="B34" s="3">
        <f>B30-B33*C30</f>
        <v>5872.3894657181554</v>
      </c>
    </row>
    <row r="36" spans="1:2">
      <c r="A36" s="2" t="s">
        <v>7</v>
      </c>
      <c r="B36" s="2">
        <f>SQRT(D30-C30^2)</f>
        <v>2.3121783320179348</v>
      </c>
    </row>
    <row r="37" spans="1:2">
      <c r="A37" s="2" t="s">
        <v>10</v>
      </c>
      <c r="B37" s="2">
        <f>SQRT(F30-B30^2)</f>
        <v>1045.401465506357</v>
      </c>
    </row>
    <row r="38" spans="1:2">
      <c r="A38" s="2" t="s">
        <v>11</v>
      </c>
      <c r="B38" s="2">
        <f>(E30-B30*C30)/(B36*B37)</f>
        <v>-0.91477198441189433</v>
      </c>
    </row>
    <row r="39" spans="1:2">
      <c r="A39" s="2" t="s">
        <v>12</v>
      </c>
      <c r="B39" s="2">
        <f>B38^2</f>
        <v>0.83680778346487505</v>
      </c>
    </row>
    <row r="41" spans="1:2">
      <c r="A41" s="4" t="s">
        <v>13</v>
      </c>
      <c r="B41" s="4">
        <f>SQRT( I31/(B36^2*COUNT(B3:B28)*(COUNT(B3:B28)-2)) )</f>
        <v>37.282573038546445</v>
      </c>
    </row>
    <row r="42" spans="1:2">
      <c r="A42" s="4" t="s">
        <v>17</v>
      </c>
      <c r="B42" s="4">
        <f>SQRT( I31/(B36^2*COUNT(B3:B28)*(COUNT(B3:B28)-2)) *D30 )</f>
        <v>277.70752727727745</v>
      </c>
    </row>
    <row r="43" spans="1:2">
      <c r="A43" s="4" t="s">
        <v>18</v>
      </c>
      <c r="B43" s="4">
        <f>B33/B41</f>
        <v>-11.093504293545083</v>
      </c>
    </row>
    <row r="44" spans="1:2">
      <c r="A44" s="4" t="s">
        <v>19</v>
      </c>
      <c r="B44" s="4">
        <f>B34/B42</f>
        <v>21.145949925422297</v>
      </c>
    </row>
    <row r="45" spans="1:2">
      <c r="A45" s="4" t="s">
        <v>27</v>
      </c>
      <c r="B45" s="4">
        <v>2.06</v>
      </c>
    </row>
    <row r="47" spans="1:2">
      <c r="A47" s="5" t="s">
        <v>20</v>
      </c>
      <c r="B47" s="5">
        <f>2.0639*B41</f>
        <v>76.947502494256</v>
      </c>
    </row>
    <row r="48" spans="1:2">
      <c r="A48" s="5" t="s">
        <v>21</v>
      </c>
      <c r="B48" s="5">
        <f>2.0639*B42</f>
        <v>573.1605655475729</v>
      </c>
    </row>
    <row r="50" spans="1:3">
      <c r="A50" s="6" t="s">
        <v>22</v>
      </c>
      <c r="B50" s="6">
        <f>B39/(1-B39) * COUNT(A3:A28)</f>
        <v>133.321323970153</v>
      </c>
    </row>
    <row r="51" spans="1:3">
      <c r="A51" s="6" t="s">
        <v>23</v>
      </c>
      <c r="B51" s="6">
        <v>4.26</v>
      </c>
    </row>
    <row r="53" spans="1:3">
      <c r="A53" s="7" t="s">
        <v>24</v>
      </c>
      <c r="B53" s="7">
        <f xml:space="preserve"> 1.02*C30</f>
        <v>7.2223846153846161</v>
      </c>
    </row>
    <row r="54" spans="1:3">
      <c r="A54" s="7" t="s">
        <v>25</v>
      </c>
      <c r="B54" s="7">
        <f>B33*B53+B34</f>
        <v>2885.2517491471763</v>
      </c>
    </row>
    <row r="55" spans="1:3">
      <c r="A55" s="7" t="s">
        <v>26</v>
      </c>
      <c r="B55" s="7">
        <f>SQRT(I31/(COUNT(A3:A28)-2)) + SQRT(1 + 1/COUNT(A3:A28) + (B53-C30)^2/(B36^2 * COUNT(A3:A28)))</f>
        <v>440.57478177309378</v>
      </c>
    </row>
    <row r="58" spans="1:3">
      <c r="B58" t="s">
        <v>1</v>
      </c>
      <c r="C58" t="s">
        <v>0</v>
      </c>
    </row>
    <row r="59" spans="1:3" ht="18">
      <c r="A59">
        <v>1997</v>
      </c>
      <c r="B59" s="1" t="s">
        <v>28</v>
      </c>
      <c r="C59" s="1" t="s">
        <v>28</v>
      </c>
    </row>
    <row r="60" spans="1:3" ht="18">
      <c r="A60">
        <v>1998</v>
      </c>
      <c r="B60" s="1">
        <f>$C4-$C3</f>
        <v>1.0999999999999996</v>
      </c>
      <c r="C60" s="1">
        <f>($B4-$B3)/$B3 * 100</f>
        <v>-4.2758933293042336</v>
      </c>
    </row>
    <row r="61" spans="1:3" ht="18">
      <c r="A61">
        <v>1999</v>
      </c>
      <c r="B61" s="1">
        <f t="shared" ref="B61:B84" si="6">$C5-$C4</f>
        <v>1.0999999999999996</v>
      </c>
      <c r="C61" s="1">
        <f t="shared" ref="C61:C84" si="7">($B5-$B4)/$B4 * 100</f>
        <v>7.8446847131244652</v>
      </c>
    </row>
    <row r="62" spans="1:3" ht="18">
      <c r="A62">
        <v>2000</v>
      </c>
      <c r="B62" s="1">
        <f t="shared" si="6"/>
        <v>-2.4000000000000004</v>
      </c>
      <c r="C62" s="1">
        <f t="shared" si="7"/>
        <v>12.542993047932683</v>
      </c>
    </row>
    <row r="63" spans="1:3" ht="18">
      <c r="A63">
        <v>2001</v>
      </c>
      <c r="B63" s="1">
        <f t="shared" si="6"/>
        <v>-1.6999999999999993</v>
      </c>
      <c r="C63" s="1">
        <f t="shared" si="7"/>
        <v>7.4582222511216472</v>
      </c>
    </row>
    <row r="64" spans="1:3" ht="18">
      <c r="A64">
        <v>2002</v>
      </c>
      <c r="B64" s="1">
        <f t="shared" si="6"/>
        <v>-0.90000000000000036</v>
      </c>
      <c r="C64" s="1">
        <f t="shared" si="7"/>
        <v>6.3778288757110069</v>
      </c>
    </row>
    <row r="65" spans="1:9" ht="18">
      <c r="A65">
        <v>2003</v>
      </c>
      <c r="B65" s="1">
        <f t="shared" si="6"/>
        <v>0.19999999999999929</v>
      </c>
      <c r="C65" s="1">
        <f t="shared" si="7"/>
        <v>9.4653014789533607</v>
      </c>
    </row>
    <row r="66" spans="1:9" ht="18">
      <c r="A66">
        <v>2004</v>
      </c>
      <c r="B66" s="1">
        <f t="shared" si="6"/>
        <v>-0.49999999999999911</v>
      </c>
      <c r="C66" s="1">
        <f t="shared" si="7"/>
        <v>10.055082103512783</v>
      </c>
    </row>
    <row r="67" spans="1:9" ht="18">
      <c r="A67">
        <v>2005</v>
      </c>
      <c r="B67" s="1">
        <f t="shared" si="6"/>
        <v>-0.5</v>
      </c>
      <c r="C67" s="1">
        <f t="shared" si="7"/>
        <v>9.7124510127956842</v>
      </c>
    </row>
    <row r="68" spans="1:9" ht="18">
      <c r="A68">
        <v>2006</v>
      </c>
      <c r="B68" s="1">
        <f t="shared" si="6"/>
        <v>-0.10000000000000053</v>
      </c>
      <c r="C68" s="1">
        <f t="shared" si="7"/>
        <v>11.490790153210535</v>
      </c>
    </row>
    <row r="69" spans="1:9" ht="18">
      <c r="A69">
        <v>2007</v>
      </c>
      <c r="B69" s="1">
        <f t="shared" si="6"/>
        <v>-1.0999999999999996</v>
      </c>
      <c r="C69" s="1">
        <f t="shared" si="7"/>
        <v>11.464525592526828</v>
      </c>
    </row>
    <row r="70" spans="1:9" ht="18">
      <c r="A70">
        <v>2008</v>
      </c>
      <c r="B70" s="1">
        <f t="shared" si="6"/>
        <v>0.20000000000000018</v>
      </c>
      <c r="C70" s="1">
        <f t="shared" si="7"/>
        <v>7.2690123285773689</v>
      </c>
    </row>
    <row r="71" spans="1:9" ht="18">
      <c r="A71">
        <v>2009</v>
      </c>
      <c r="B71" s="1">
        <f t="shared" si="6"/>
        <v>1.9999999999999991</v>
      </c>
      <c r="C71" s="1">
        <f t="shared" si="7"/>
        <v>-7.231638418079096</v>
      </c>
    </row>
    <row r="72" spans="1:9" ht="18">
      <c r="A72">
        <v>2010</v>
      </c>
      <c r="B72" s="1">
        <f t="shared" si="6"/>
        <v>-0.79999999999999893</v>
      </c>
      <c r="C72" s="1">
        <f t="shared" si="7"/>
        <v>5.759526709587611</v>
      </c>
    </row>
    <row r="73" spans="1:9" ht="18">
      <c r="A73">
        <v>2011</v>
      </c>
      <c r="B73" s="1">
        <f t="shared" si="6"/>
        <v>-0.90000000000000036</v>
      </c>
      <c r="C73" s="1">
        <f t="shared" si="7"/>
        <v>7.2490950970714101</v>
      </c>
    </row>
    <row r="74" spans="1:9" ht="18">
      <c r="A74">
        <v>2012</v>
      </c>
      <c r="B74" s="1">
        <f t="shared" si="6"/>
        <v>-1</v>
      </c>
      <c r="C74" s="1">
        <f t="shared" si="7"/>
        <v>6.7805970607185584</v>
      </c>
    </row>
    <row r="75" spans="1:9" ht="18">
      <c r="A75">
        <v>2013</v>
      </c>
      <c r="B75" s="1">
        <f t="shared" si="6"/>
        <v>0</v>
      </c>
      <c r="C75" s="1">
        <f t="shared" si="7"/>
        <v>7.5137200816021599</v>
      </c>
    </row>
    <row r="76" spans="1:9" ht="19" thickBot="1">
      <c r="A76">
        <v>2014</v>
      </c>
      <c r="B76" s="1">
        <f t="shared" si="6"/>
        <v>-0.29999999999999982</v>
      </c>
      <c r="C76" s="1">
        <f t="shared" si="7"/>
        <v>0.57993479074241849</v>
      </c>
    </row>
    <row r="77" spans="1:9" ht="18">
      <c r="A77">
        <v>2015</v>
      </c>
      <c r="B77" s="1">
        <f t="shared" si="6"/>
        <v>0.39999999999999947</v>
      </c>
      <c r="C77" s="1">
        <f t="shared" si="7"/>
        <v>-6.3053009166998848</v>
      </c>
      <c r="G77" s="9"/>
      <c r="H77" s="9" t="s">
        <v>29</v>
      </c>
      <c r="I77" s="9" t="s">
        <v>30</v>
      </c>
    </row>
    <row r="78" spans="1:9" ht="18">
      <c r="A78">
        <v>2016</v>
      </c>
      <c r="B78" s="1">
        <f t="shared" si="6"/>
        <v>-9.9999999999999645E-2</v>
      </c>
      <c r="C78" s="1">
        <f t="shared" si="7"/>
        <v>0.35165333787079833</v>
      </c>
      <c r="G78" t="s">
        <v>29</v>
      </c>
      <c r="H78">
        <v>1</v>
      </c>
    </row>
    <row r="79" spans="1:9" ht="19" thickBot="1">
      <c r="A79">
        <v>2017</v>
      </c>
      <c r="B79" s="1">
        <f t="shared" si="6"/>
        <v>-0.29999999999999982</v>
      </c>
      <c r="C79" s="1">
        <f t="shared" si="7"/>
        <v>7.9183858022946998</v>
      </c>
      <c r="G79" s="8" t="s">
        <v>30</v>
      </c>
      <c r="H79" s="8">
        <v>-0.66779418860386164</v>
      </c>
      <c r="I79" s="8">
        <v>1</v>
      </c>
    </row>
    <row r="80" spans="1:9" ht="18">
      <c r="A80">
        <v>2018</v>
      </c>
      <c r="B80" s="1">
        <f t="shared" si="6"/>
        <v>-0.40000000000000036</v>
      </c>
      <c r="C80" s="1">
        <f t="shared" si="7"/>
        <v>5.2791452812401776</v>
      </c>
    </row>
    <row r="81" spans="1:3" ht="18">
      <c r="A81">
        <v>2019</v>
      </c>
      <c r="B81" s="1">
        <f t="shared" si="6"/>
        <v>-0.20000000000000018</v>
      </c>
      <c r="C81" s="1">
        <f t="shared" si="7"/>
        <v>4.0294498059894419</v>
      </c>
    </row>
    <row r="82" spans="1:3" ht="18">
      <c r="A82">
        <v>2020</v>
      </c>
      <c r="B82" s="1">
        <f t="shared" si="6"/>
        <v>1.2000000000000002</v>
      </c>
      <c r="C82" s="1">
        <f t="shared" si="7"/>
        <v>-1.3819816373373965</v>
      </c>
    </row>
    <row r="83" spans="1:3" ht="18">
      <c r="A83">
        <v>2021</v>
      </c>
      <c r="B83" s="1">
        <f t="shared" si="6"/>
        <v>-1</v>
      </c>
      <c r="C83" s="1">
        <f t="shared" si="7"/>
        <v>10.36949037482422</v>
      </c>
    </row>
    <row r="84" spans="1:3" ht="18">
      <c r="A84">
        <v>2022</v>
      </c>
      <c r="B84" s="1">
        <f t="shared" si="6"/>
        <v>-0.89999999999999991</v>
      </c>
      <c r="C84" s="1">
        <f t="shared" si="7"/>
        <v>4.8107550029655339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5E88-C598-E745-981A-F0523DB3A7D3}">
  <dimension ref="A2:AJ84"/>
  <sheetViews>
    <sheetView topLeftCell="A2" zoomScale="99" workbookViewId="0">
      <selection activeCell="F84" sqref="F84"/>
    </sheetView>
  </sheetViews>
  <sheetFormatPr baseColWidth="10" defaultRowHeight="16"/>
  <cols>
    <col min="6" max="6" width="14.83203125" customWidth="1"/>
    <col min="9" max="9" width="17.33203125" customWidth="1"/>
  </cols>
  <sheetData>
    <row r="2" spans="1:36">
      <c r="B2" t="s">
        <v>0</v>
      </c>
      <c r="C2" t="s">
        <v>1</v>
      </c>
      <c r="D2" t="s">
        <v>5</v>
      </c>
      <c r="E2" t="s">
        <v>2</v>
      </c>
      <c r="F2" t="s">
        <v>8</v>
      </c>
      <c r="G2" t="s">
        <v>9</v>
      </c>
      <c r="H2" t="s">
        <v>14</v>
      </c>
      <c r="I2" t="s">
        <v>15</v>
      </c>
    </row>
    <row r="3" spans="1:36" ht="18">
      <c r="A3">
        <v>1997</v>
      </c>
      <c r="B3" s="1">
        <v>2768.3</v>
      </c>
      <c r="C3" s="1">
        <v>3.1</v>
      </c>
      <c r="D3" s="1">
        <f>$C3^2</f>
        <v>9.6100000000000012</v>
      </c>
      <c r="E3" s="1">
        <f>$B3*$C3</f>
        <v>8581.7300000000014</v>
      </c>
      <c r="F3" s="1">
        <f>$B3^2</f>
        <v>7663484.8900000006</v>
      </c>
      <c r="G3">
        <f>$B$33*C3+$B$34</f>
        <v>6064.1114228456936</v>
      </c>
      <c r="H3" s="1">
        <f>$B3-$G3</f>
        <v>-3295.8114228456934</v>
      </c>
      <c r="I3" s="1">
        <f>$H3^2</f>
        <v>10862372.934960155</v>
      </c>
    </row>
    <row r="4" spans="1:36" ht="18">
      <c r="A4">
        <v>1998</v>
      </c>
      <c r="B4" s="1">
        <v>3019.4</v>
      </c>
      <c r="C4" s="1">
        <v>3.1</v>
      </c>
      <c r="D4" s="1">
        <f t="shared" ref="D4:D28" si="0">$C4^2</f>
        <v>9.6100000000000012</v>
      </c>
      <c r="E4" s="1">
        <f t="shared" ref="E4:E28" si="1">$B4*$C4</f>
        <v>9360.1400000000012</v>
      </c>
      <c r="F4" s="1">
        <f t="shared" ref="F4:F28" si="2">$B4^2</f>
        <v>9116776.3600000013</v>
      </c>
      <c r="G4">
        <f t="shared" ref="G4:G28" si="3">$B$33*C4+$B$34</f>
        <v>6064.1114228456936</v>
      </c>
      <c r="H4" s="1">
        <f t="shared" ref="H4:H28" si="4">$B4-$G4</f>
        <v>-3044.7114228456935</v>
      </c>
      <c r="I4" s="1">
        <f t="shared" ref="I4:I28" si="5">$H4^2</f>
        <v>9270267.6484070476</v>
      </c>
    </row>
    <row r="5" spans="1:36" ht="18">
      <c r="A5">
        <v>1999</v>
      </c>
      <c r="B5" s="1">
        <v>3297.1</v>
      </c>
      <c r="C5" s="1">
        <v>3.1</v>
      </c>
      <c r="D5" s="1">
        <f t="shared" si="0"/>
        <v>9.6100000000000012</v>
      </c>
      <c r="E5" s="1">
        <f t="shared" si="1"/>
        <v>10221.01</v>
      </c>
      <c r="F5" s="1">
        <f t="shared" si="2"/>
        <v>10870868.41</v>
      </c>
      <c r="G5">
        <f t="shared" si="3"/>
        <v>6064.1114228456936</v>
      </c>
      <c r="H5" s="1">
        <f t="shared" si="4"/>
        <v>-2767.0114228456937</v>
      </c>
      <c r="I5" s="1">
        <f t="shared" si="5"/>
        <v>7656352.2141585499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8">
      <c r="A6">
        <v>2000</v>
      </c>
      <c r="B6" s="1">
        <v>3657.5</v>
      </c>
      <c r="C6" s="1">
        <v>3.1</v>
      </c>
      <c r="D6" s="1">
        <f t="shared" si="0"/>
        <v>9.6100000000000012</v>
      </c>
      <c r="E6" s="1">
        <f t="shared" si="1"/>
        <v>11338.25</v>
      </c>
      <c r="F6" s="1">
        <f t="shared" si="2"/>
        <v>13377306.25</v>
      </c>
      <c r="G6">
        <f t="shared" si="3"/>
        <v>6064.1114228456936</v>
      </c>
      <c r="H6" s="1">
        <f t="shared" si="4"/>
        <v>-2406.6114228456936</v>
      </c>
      <c r="I6" s="1">
        <f t="shared" si="5"/>
        <v>5791778.5405713739</v>
      </c>
      <c r="K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8">
      <c r="A7">
        <v>2001</v>
      </c>
      <c r="B7" s="1">
        <v>4051</v>
      </c>
      <c r="C7" s="1">
        <v>3.6</v>
      </c>
      <c r="D7" s="1">
        <f t="shared" si="0"/>
        <v>12.96</v>
      </c>
      <c r="E7" s="1">
        <f t="shared" si="1"/>
        <v>14583.6</v>
      </c>
      <c r="F7" s="1">
        <f t="shared" si="2"/>
        <v>16410601</v>
      </c>
      <c r="G7">
        <f t="shared" si="3"/>
        <v>10260.018637274552</v>
      </c>
      <c r="H7" s="1">
        <f t="shared" si="4"/>
        <v>-6209.018637274552</v>
      </c>
      <c r="I7" s="1">
        <f t="shared" si="5"/>
        <v>38551912.438022733</v>
      </c>
    </row>
    <row r="8" spans="1:36" ht="18">
      <c r="A8">
        <v>2002</v>
      </c>
      <c r="B8" s="1">
        <v>4489.1000000000004</v>
      </c>
      <c r="C8" s="1">
        <v>4</v>
      </c>
      <c r="D8" s="1">
        <f t="shared" si="0"/>
        <v>16</v>
      </c>
      <c r="E8" s="1">
        <f t="shared" si="1"/>
        <v>17956.400000000001</v>
      </c>
      <c r="F8" s="1">
        <f t="shared" si="2"/>
        <v>20152018.810000002</v>
      </c>
      <c r="G8">
        <f t="shared" si="3"/>
        <v>13616.744408817634</v>
      </c>
      <c r="H8" s="1">
        <f t="shared" si="4"/>
        <v>-9127.644408817634</v>
      </c>
      <c r="I8" s="1">
        <f t="shared" si="5"/>
        <v>83313892.453819811</v>
      </c>
    </row>
    <row r="9" spans="1:36" ht="18">
      <c r="A9">
        <v>2003</v>
      </c>
      <c r="B9" s="1">
        <v>5036.5</v>
      </c>
      <c r="C9" s="1">
        <v>4.3</v>
      </c>
      <c r="D9" s="1">
        <f t="shared" si="0"/>
        <v>18.489999999999998</v>
      </c>
      <c r="E9" s="1">
        <f t="shared" si="1"/>
        <v>21656.95</v>
      </c>
      <c r="F9" s="1">
        <f t="shared" si="2"/>
        <v>25366332.25</v>
      </c>
      <c r="G9">
        <f t="shared" si="3"/>
        <v>16134.288737474948</v>
      </c>
      <c r="H9" s="1">
        <f t="shared" si="4"/>
        <v>-11097.788737474948</v>
      </c>
      <c r="I9" s="1">
        <f t="shared" si="5"/>
        <v>123160914.86162581</v>
      </c>
    </row>
    <row r="10" spans="1:36" ht="18">
      <c r="A10">
        <v>2004</v>
      </c>
      <c r="B10" s="1">
        <v>5694.7</v>
      </c>
      <c r="C10" s="1">
        <v>4.2</v>
      </c>
      <c r="D10" s="1">
        <f t="shared" si="0"/>
        <v>17.64</v>
      </c>
      <c r="E10" s="1">
        <f t="shared" si="1"/>
        <v>23917.74</v>
      </c>
      <c r="F10" s="1">
        <f t="shared" si="2"/>
        <v>32429608.089999996</v>
      </c>
      <c r="G10">
        <f t="shared" si="3"/>
        <v>15295.107294589179</v>
      </c>
      <c r="H10" s="1">
        <f t="shared" si="4"/>
        <v>-9600.4072945891785</v>
      </c>
      <c r="I10" s="1">
        <f t="shared" si="5"/>
        <v>92167820.222001106</v>
      </c>
    </row>
    <row r="11" spans="1:36" ht="18">
      <c r="A11">
        <v>2005</v>
      </c>
      <c r="B11" s="1">
        <v>6542.3</v>
      </c>
      <c r="C11" s="1">
        <v>4.2</v>
      </c>
      <c r="D11" s="1">
        <f t="shared" si="0"/>
        <v>17.64</v>
      </c>
      <c r="E11" s="1">
        <f t="shared" si="1"/>
        <v>27477.660000000003</v>
      </c>
      <c r="F11" s="1">
        <f t="shared" si="2"/>
        <v>42801689.289999999</v>
      </c>
      <c r="G11">
        <f t="shared" si="3"/>
        <v>15295.107294589179</v>
      </c>
      <c r="H11" s="1">
        <f t="shared" si="4"/>
        <v>-8752.8072945891799</v>
      </c>
      <c r="I11" s="1">
        <f t="shared" si="5"/>
        <v>76611635.536213562</v>
      </c>
    </row>
    <row r="12" spans="1:36" ht="18">
      <c r="A12">
        <v>2006</v>
      </c>
      <c r="B12" s="1">
        <v>7601.3</v>
      </c>
      <c r="C12" s="1">
        <v>4.0999999999999996</v>
      </c>
      <c r="D12" s="1">
        <f t="shared" si="0"/>
        <v>16.809999999999999</v>
      </c>
      <c r="E12" s="1">
        <f t="shared" si="1"/>
        <v>31165.329999999998</v>
      </c>
      <c r="F12" s="1">
        <f t="shared" si="2"/>
        <v>57779761.690000005</v>
      </c>
      <c r="G12">
        <f t="shared" si="3"/>
        <v>14455.925851703403</v>
      </c>
      <c r="H12" s="1">
        <f t="shared" si="4"/>
        <v>-6854.625851703403</v>
      </c>
      <c r="I12" s="1">
        <f t="shared" si="5"/>
        <v>46985895.566840604</v>
      </c>
    </row>
    <row r="13" spans="1:36" ht="18">
      <c r="A13">
        <v>2007</v>
      </c>
      <c r="B13" s="1">
        <v>8918.9</v>
      </c>
      <c r="C13" s="1">
        <v>4</v>
      </c>
      <c r="D13" s="1">
        <f t="shared" si="0"/>
        <v>16</v>
      </c>
      <c r="E13" s="1">
        <f t="shared" si="1"/>
        <v>35675.599999999999</v>
      </c>
      <c r="F13" s="1">
        <f t="shared" si="2"/>
        <v>79546777.209999993</v>
      </c>
      <c r="G13">
        <f t="shared" si="3"/>
        <v>13616.744408817634</v>
      </c>
      <c r="H13" s="1">
        <f t="shared" si="4"/>
        <v>-4697.8444088176348</v>
      </c>
      <c r="I13" s="1">
        <f t="shared" si="5"/>
        <v>22069742.089459114</v>
      </c>
    </row>
    <row r="14" spans="1:36" ht="18">
      <c r="A14">
        <v>2008</v>
      </c>
      <c r="B14" s="1">
        <v>9961.9</v>
      </c>
      <c r="C14" s="1">
        <v>4.2</v>
      </c>
      <c r="D14" s="1">
        <f t="shared" si="0"/>
        <v>17.64</v>
      </c>
      <c r="E14" s="1">
        <f t="shared" si="1"/>
        <v>41839.980000000003</v>
      </c>
      <c r="F14" s="1">
        <f t="shared" si="2"/>
        <v>99239451.609999999</v>
      </c>
      <c r="G14">
        <f t="shared" si="3"/>
        <v>15295.107294589179</v>
      </c>
      <c r="H14" s="1">
        <f t="shared" si="4"/>
        <v>-5333.2072945891796</v>
      </c>
      <c r="I14" s="1">
        <f t="shared" si="5"/>
        <v>28443100.047059238</v>
      </c>
    </row>
    <row r="15" spans="1:36" ht="18">
      <c r="A15">
        <v>2009</v>
      </c>
      <c r="B15" s="1">
        <v>10972.8</v>
      </c>
      <c r="C15" s="1">
        <v>4.3</v>
      </c>
      <c r="D15" s="1">
        <f t="shared" si="0"/>
        <v>18.489999999999998</v>
      </c>
      <c r="E15" s="1">
        <f t="shared" si="1"/>
        <v>47183.039999999994</v>
      </c>
      <c r="F15" s="1">
        <f t="shared" si="2"/>
        <v>120402339.83999999</v>
      </c>
      <c r="G15">
        <f t="shared" si="3"/>
        <v>16134.288737474948</v>
      </c>
      <c r="H15" s="1">
        <f t="shared" si="4"/>
        <v>-5161.4887374749487</v>
      </c>
      <c r="I15" s="1">
        <f t="shared" si="5"/>
        <v>26640965.987080742</v>
      </c>
    </row>
    <row r="16" spans="1:36" ht="18">
      <c r="A16">
        <v>2010</v>
      </c>
      <c r="B16" s="1">
        <v>12283</v>
      </c>
      <c r="C16" s="1">
        <v>4.0999999999999996</v>
      </c>
      <c r="D16" s="1">
        <f t="shared" si="0"/>
        <v>16.809999999999999</v>
      </c>
      <c r="E16" s="1">
        <f t="shared" si="1"/>
        <v>50360.299999999996</v>
      </c>
      <c r="F16" s="1">
        <f t="shared" si="2"/>
        <v>150872089</v>
      </c>
      <c r="G16">
        <f t="shared" si="3"/>
        <v>14455.925851703403</v>
      </c>
      <c r="H16" s="1">
        <f t="shared" si="4"/>
        <v>-2172.9258517034032</v>
      </c>
      <c r="I16" s="1">
        <f t="shared" si="5"/>
        <v>4721606.7570009604</v>
      </c>
    </row>
    <row r="17" spans="1:9" ht="18">
      <c r="A17">
        <v>2011</v>
      </c>
      <c r="B17" s="1">
        <v>13735.7</v>
      </c>
      <c r="C17" s="1">
        <v>4.0999999999999996</v>
      </c>
      <c r="D17" s="1">
        <f t="shared" si="0"/>
        <v>16.809999999999999</v>
      </c>
      <c r="E17" s="1">
        <f t="shared" si="1"/>
        <v>56316.369999999995</v>
      </c>
      <c r="F17" s="1">
        <f t="shared" si="2"/>
        <v>188669454.49000001</v>
      </c>
      <c r="G17">
        <f t="shared" si="3"/>
        <v>14455.925851703403</v>
      </c>
      <c r="H17" s="1">
        <f t="shared" si="4"/>
        <v>-720.22585170340244</v>
      </c>
      <c r="I17" s="1">
        <f t="shared" si="5"/>
        <v>518725.27746189147</v>
      </c>
    </row>
    <row r="18" spans="1:9" ht="18">
      <c r="A18">
        <v>2012</v>
      </c>
      <c r="B18" s="1">
        <v>15137.5</v>
      </c>
      <c r="C18" s="1">
        <v>4.0999999999999996</v>
      </c>
      <c r="D18" s="1">
        <f t="shared" si="0"/>
        <v>16.809999999999999</v>
      </c>
      <c r="E18" s="1">
        <f t="shared" si="1"/>
        <v>62063.749999999993</v>
      </c>
      <c r="F18" s="1">
        <f t="shared" si="2"/>
        <v>229143906.25</v>
      </c>
      <c r="G18">
        <f t="shared" si="3"/>
        <v>14455.925851703403</v>
      </c>
      <c r="H18" s="1">
        <f t="shared" si="4"/>
        <v>681.57414829659683</v>
      </c>
      <c r="I18" s="1">
        <f t="shared" si="5"/>
        <v>464543.31962623139</v>
      </c>
    </row>
    <row r="19" spans="1:9" ht="18">
      <c r="A19">
        <v>2013</v>
      </c>
      <c r="B19" s="1">
        <v>16277.4</v>
      </c>
      <c r="C19" s="1">
        <v>4.0999999999999996</v>
      </c>
      <c r="D19" s="1">
        <f t="shared" si="0"/>
        <v>16.809999999999999</v>
      </c>
      <c r="E19" s="1">
        <f t="shared" si="1"/>
        <v>66737.34</v>
      </c>
      <c r="F19" s="1">
        <f t="shared" si="2"/>
        <v>264953750.75999999</v>
      </c>
      <c r="G19">
        <f t="shared" si="3"/>
        <v>14455.925851703403</v>
      </c>
      <c r="H19" s="1">
        <f t="shared" si="4"/>
        <v>1821.4741482965965</v>
      </c>
      <c r="I19" s="1">
        <f t="shared" si="5"/>
        <v>3317768.0729128113</v>
      </c>
    </row>
    <row r="20" spans="1:9" ht="18">
      <c r="A20">
        <v>2014</v>
      </c>
      <c r="B20" s="1">
        <v>17200.7</v>
      </c>
      <c r="C20" s="1">
        <v>4.0999999999999996</v>
      </c>
      <c r="D20" s="1">
        <f t="shared" si="0"/>
        <v>16.809999999999999</v>
      </c>
      <c r="E20" s="1">
        <f t="shared" si="1"/>
        <v>70522.87</v>
      </c>
      <c r="F20" s="1">
        <f t="shared" si="2"/>
        <v>295864080.49000001</v>
      </c>
      <c r="G20">
        <f t="shared" si="3"/>
        <v>14455.925851703403</v>
      </c>
      <c r="H20" s="1">
        <f t="shared" si="4"/>
        <v>2744.7741482965976</v>
      </c>
      <c r="I20" s="1">
        <f t="shared" si="5"/>
        <v>7533785.1251573125</v>
      </c>
    </row>
    <row r="21" spans="1:9" ht="18">
      <c r="A21">
        <v>2015</v>
      </c>
      <c r="B21" s="1">
        <v>17880.3</v>
      </c>
      <c r="C21" s="1">
        <v>4.0999999999999996</v>
      </c>
      <c r="D21" s="1">
        <f t="shared" si="0"/>
        <v>16.809999999999999</v>
      </c>
      <c r="E21" s="1">
        <f t="shared" si="1"/>
        <v>73309.23</v>
      </c>
      <c r="F21" s="1">
        <f t="shared" si="2"/>
        <v>319705128.08999997</v>
      </c>
      <c r="G21">
        <f t="shared" si="3"/>
        <v>14455.925851703403</v>
      </c>
      <c r="H21" s="1">
        <f t="shared" si="4"/>
        <v>3424.3741482965961</v>
      </c>
      <c r="I21" s="1">
        <f t="shared" si="5"/>
        <v>11726338.307522038</v>
      </c>
    </row>
    <row r="22" spans="1:9" ht="18">
      <c r="A22">
        <v>2016</v>
      </c>
      <c r="B22" s="1">
        <v>18701.7</v>
      </c>
      <c r="C22" s="1">
        <v>4</v>
      </c>
      <c r="D22" s="1">
        <f t="shared" si="0"/>
        <v>16</v>
      </c>
      <c r="E22" s="1">
        <f t="shared" si="1"/>
        <v>74806.8</v>
      </c>
      <c r="F22" s="1">
        <f t="shared" si="2"/>
        <v>349753582.89000005</v>
      </c>
      <c r="G22">
        <f t="shared" si="3"/>
        <v>13616.744408817634</v>
      </c>
      <c r="H22" s="1">
        <f t="shared" si="4"/>
        <v>5084.9555911823663</v>
      </c>
      <c r="I22" s="1">
        <f t="shared" si="5"/>
        <v>25856773.364296809</v>
      </c>
    </row>
    <row r="23" spans="1:9" ht="18">
      <c r="A23">
        <v>2017</v>
      </c>
      <c r="B23" s="1">
        <v>19814.099999999999</v>
      </c>
      <c r="C23" s="1">
        <v>3.9</v>
      </c>
      <c r="D23" s="1">
        <f t="shared" si="0"/>
        <v>15.209999999999999</v>
      </c>
      <c r="E23" s="1">
        <f t="shared" si="1"/>
        <v>77274.989999999991</v>
      </c>
      <c r="F23" s="1">
        <f t="shared" si="2"/>
        <v>392598558.80999994</v>
      </c>
      <c r="G23">
        <f t="shared" si="3"/>
        <v>12777.562965931862</v>
      </c>
      <c r="H23" s="1">
        <f t="shared" si="4"/>
        <v>7036.5370340681366</v>
      </c>
      <c r="I23" s="1">
        <f t="shared" si="5"/>
        <v>49512853.431812406</v>
      </c>
    </row>
    <row r="24" spans="1:9" ht="18">
      <c r="A24">
        <v>2018</v>
      </c>
      <c r="B24" s="1">
        <v>21660.2</v>
      </c>
      <c r="C24" s="1">
        <v>3.8</v>
      </c>
      <c r="D24" s="1">
        <f t="shared" si="0"/>
        <v>14.44</v>
      </c>
      <c r="E24" s="1">
        <f t="shared" si="1"/>
        <v>82308.759999999995</v>
      </c>
      <c r="F24" s="1">
        <f t="shared" si="2"/>
        <v>469164264.04000002</v>
      </c>
      <c r="G24">
        <f t="shared" si="3"/>
        <v>11938.38152304609</v>
      </c>
      <c r="H24" s="1">
        <f t="shared" si="4"/>
        <v>9721.8184769539112</v>
      </c>
      <c r="I24" s="1">
        <f t="shared" si="5"/>
        <v>94513754.498842463</v>
      </c>
    </row>
    <row r="25" spans="1:9" ht="18">
      <c r="A25">
        <v>2019</v>
      </c>
      <c r="B25" s="1">
        <v>23360.799999999999</v>
      </c>
      <c r="C25" s="1">
        <v>3.6</v>
      </c>
      <c r="D25" s="1">
        <f t="shared" si="0"/>
        <v>12.96</v>
      </c>
      <c r="E25" s="1">
        <f t="shared" si="1"/>
        <v>84098.880000000005</v>
      </c>
      <c r="F25" s="1">
        <f t="shared" si="2"/>
        <v>545726976.63999999</v>
      </c>
      <c r="G25">
        <f t="shared" si="3"/>
        <v>10260.018637274552</v>
      </c>
      <c r="H25" s="1">
        <f t="shared" si="4"/>
        <v>13100.781362725447</v>
      </c>
      <c r="I25" s="1">
        <f t="shared" si="5"/>
        <v>171630472.31393442</v>
      </c>
    </row>
    <row r="26" spans="1:9" ht="18">
      <c r="A26">
        <v>2020</v>
      </c>
      <c r="B26" s="1">
        <v>24196.3</v>
      </c>
      <c r="C26" s="1">
        <v>4.2</v>
      </c>
      <c r="D26" s="1">
        <f t="shared" si="0"/>
        <v>17.64</v>
      </c>
      <c r="E26" s="1">
        <f t="shared" si="1"/>
        <v>101624.46</v>
      </c>
      <c r="F26" s="1">
        <f t="shared" si="2"/>
        <v>585460933.68999994</v>
      </c>
      <c r="G26">
        <f t="shared" si="3"/>
        <v>15295.107294589179</v>
      </c>
      <c r="H26" s="1">
        <f t="shared" si="4"/>
        <v>8901.1927054108201</v>
      </c>
      <c r="I26" s="1">
        <f t="shared" si="5"/>
        <v>79231231.578858793</v>
      </c>
    </row>
    <row r="27" spans="1:9" ht="18">
      <c r="A27">
        <v>2021</v>
      </c>
      <c r="B27" s="1">
        <v>27419.5</v>
      </c>
      <c r="C27" s="1">
        <v>4</v>
      </c>
      <c r="D27" s="1">
        <f t="shared" si="0"/>
        <v>16</v>
      </c>
      <c r="E27" s="1">
        <f t="shared" si="1"/>
        <v>109678</v>
      </c>
      <c r="F27" s="1">
        <f t="shared" si="2"/>
        <v>751828980.25</v>
      </c>
      <c r="G27">
        <f t="shared" si="3"/>
        <v>13616.744408817634</v>
      </c>
      <c r="H27" s="1">
        <f t="shared" si="4"/>
        <v>13802.755591182366</v>
      </c>
      <c r="I27" s="1">
        <f t="shared" si="5"/>
        <v>190516061.90991604</v>
      </c>
    </row>
    <row r="28" spans="1:9" ht="18">
      <c r="A28">
        <v>2022</v>
      </c>
      <c r="B28" s="1">
        <v>30217</v>
      </c>
      <c r="C28" s="1">
        <v>4.2</v>
      </c>
      <c r="D28" s="1">
        <f t="shared" si="0"/>
        <v>17.64</v>
      </c>
      <c r="E28" s="1">
        <f t="shared" si="1"/>
        <v>126911.40000000001</v>
      </c>
      <c r="F28" s="1">
        <f t="shared" si="2"/>
        <v>913067089</v>
      </c>
      <c r="G28">
        <f t="shared" si="3"/>
        <v>15295.107294589179</v>
      </c>
      <c r="H28" s="1">
        <f t="shared" si="4"/>
        <v>14921.892705410821</v>
      </c>
      <c r="I28" s="1">
        <f t="shared" si="5"/>
        <v>222662881.91179267</v>
      </c>
    </row>
    <row r="30" spans="1:9" ht="18">
      <c r="A30" t="s">
        <v>3</v>
      </c>
      <c r="B30">
        <f>AVERAGE(B3:B28)</f>
        <v>12842.115384615385</v>
      </c>
      <c r="C30">
        <f>AVERAGE(C3:C28)</f>
        <v>3.9076923076923076</v>
      </c>
      <c r="D30" s="1">
        <f>AVERAGE(D3:D28)</f>
        <v>15.417692307692306</v>
      </c>
      <c r="E30" s="1">
        <f>AVERAGE(E3:E28)</f>
        <v>51421.945384615377</v>
      </c>
      <c r="F30" s="1">
        <f>AVERAGE(F3:F28)</f>
        <v>230460223.4653846</v>
      </c>
    </row>
    <row r="31" spans="1:9">
      <c r="A31" t="s">
        <v>16</v>
      </c>
      <c r="I31">
        <f>SUM(I3:I28)</f>
        <v>1433733446.4093547</v>
      </c>
    </row>
    <row r="33" spans="1:2">
      <c r="A33" s="3" t="s">
        <v>4</v>
      </c>
      <c r="B33" s="3">
        <f>(E30-(B30*C30))/(D30 - C30^2)</f>
        <v>8391.8144288577114</v>
      </c>
    </row>
    <row r="34" spans="1:2">
      <c r="A34" s="3" t="s">
        <v>6</v>
      </c>
      <c r="B34" s="3">
        <f>B30-B33*C30</f>
        <v>-19950.513306613211</v>
      </c>
    </row>
    <row r="36" spans="1:2">
      <c r="A36" s="2" t="s">
        <v>7</v>
      </c>
      <c r="B36" s="2">
        <f>SQRT(D30-C30^2)</f>
        <v>0.38423057673052791</v>
      </c>
    </row>
    <row r="37" spans="1:2">
      <c r="A37" s="2" t="s">
        <v>10</v>
      </c>
      <c r="B37" s="2">
        <f>SQRT(F30-B30^2)</f>
        <v>8095.6961352072403</v>
      </c>
    </row>
    <row r="38" spans="1:2">
      <c r="A38" s="2" t="s">
        <v>11</v>
      </c>
      <c r="B38" s="2">
        <f>(E30-B30*C30)/(B36*B37)</f>
        <v>0.39828467422252423</v>
      </c>
    </row>
    <row r="39" spans="1:2">
      <c r="A39" s="2" t="s">
        <v>12</v>
      </c>
      <c r="B39" s="2">
        <f>B38^2</f>
        <v>0.15863068172054226</v>
      </c>
    </row>
    <row r="41" spans="1:2">
      <c r="A41" s="4" t="s">
        <v>13</v>
      </c>
      <c r="B41" s="4">
        <f>SQRT( I31/(B36^2*COUNT(B3:B28)*(COUNT(B3:B28)-2)) )</f>
        <v>3945.0270992388441</v>
      </c>
    </row>
    <row r="42" spans="1:2">
      <c r="A42" s="4" t="s">
        <v>17</v>
      </c>
      <c r="B42" s="4">
        <f>SQRT( I31/(B36^2*COUNT(B3:B28)*(COUNT(B3:B28)-2)) *D30 )</f>
        <v>15490.294617637381</v>
      </c>
    </row>
    <row r="43" spans="1:2">
      <c r="A43" s="4" t="s">
        <v>18</v>
      </c>
      <c r="B43" s="4">
        <f>B33/B41</f>
        <v>2.1271880313513774</v>
      </c>
    </row>
    <row r="44" spans="1:2">
      <c r="A44" s="4" t="s">
        <v>19</v>
      </c>
      <c r="B44" s="4">
        <f>B34/B42</f>
        <v>-1.287936336852973</v>
      </c>
    </row>
    <row r="45" spans="1:2">
      <c r="A45" s="4" t="s">
        <v>27</v>
      </c>
      <c r="B45" s="4">
        <v>2.06</v>
      </c>
    </row>
    <row r="47" spans="1:2">
      <c r="A47" s="5" t="s">
        <v>20</v>
      </c>
      <c r="B47" s="5">
        <f>2.0639*B41</f>
        <v>8142.1414301190498</v>
      </c>
    </row>
    <row r="48" spans="1:2">
      <c r="A48" s="5" t="s">
        <v>21</v>
      </c>
      <c r="B48" s="5">
        <f>2.0639*B42</f>
        <v>31970.419061341789</v>
      </c>
    </row>
    <row r="50" spans="1:3">
      <c r="A50" s="6" t="s">
        <v>22</v>
      </c>
      <c r="B50" s="6">
        <f>B39/(1-B39) * COUNT(A3:A28)</f>
        <v>4.9020063307849249</v>
      </c>
    </row>
    <row r="51" spans="1:3">
      <c r="A51" s="6" t="s">
        <v>23</v>
      </c>
      <c r="B51" s="6">
        <v>4.26</v>
      </c>
    </row>
    <row r="53" spans="1:3">
      <c r="A53" s="7" t="s">
        <v>24</v>
      </c>
      <c r="B53" s="7">
        <f xml:space="preserve"> 1.02*C30</f>
        <v>3.9858461538461536</v>
      </c>
    </row>
    <row r="54" spans="1:3">
      <c r="A54" s="7" t="s">
        <v>25</v>
      </c>
      <c r="B54" s="7">
        <f>B33*B53+B34</f>
        <v>13497.967958439956</v>
      </c>
    </row>
    <row r="55" spans="1:3">
      <c r="A55" s="7" t="s">
        <v>26</v>
      </c>
      <c r="B55" s="7">
        <f>SQRT(I31/(COUNT(A3:A28)-2)) + SQRT(1 + 1/COUNT(A3:A28) + (B53-C30)^2/(B36^2 * COUNT(A3:A28)))</f>
        <v>7730.1138000066676</v>
      </c>
    </row>
    <row r="58" spans="1:3">
      <c r="B58" t="s">
        <v>1</v>
      </c>
      <c r="C58" t="s">
        <v>0</v>
      </c>
    </row>
    <row r="59" spans="1:3" ht="18">
      <c r="A59">
        <v>1997</v>
      </c>
      <c r="B59" s="1" t="s">
        <v>28</v>
      </c>
      <c r="C59" s="1" t="s">
        <v>28</v>
      </c>
    </row>
    <row r="60" spans="1:3" ht="18">
      <c r="A60">
        <v>1998</v>
      </c>
      <c r="B60" s="1">
        <f>$C4-$C3</f>
        <v>0</v>
      </c>
      <c r="C60" s="1">
        <f>($B4-$B3)/$B3 * 100</f>
        <v>9.070548712206044</v>
      </c>
    </row>
    <row r="61" spans="1:3" ht="18">
      <c r="A61">
        <v>1999</v>
      </c>
      <c r="B61" s="1">
        <f t="shared" ref="B61:B84" si="6">$C5-$C4</f>
        <v>0</v>
      </c>
      <c r="C61" s="1">
        <f t="shared" ref="C61:C84" si="7">($B5-$B4)/$B4 * 100</f>
        <v>9.1971914949990001</v>
      </c>
    </row>
    <row r="62" spans="1:3" ht="18">
      <c r="A62">
        <v>2000</v>
      </c>
      <c r="B62" s="1">
        <f t="shared" si="6"/>
        <v>0</v>
      </c>
      <c r="C62" s="1">
        <f t="shared" si="7"/>
        <v>10.93081799156835</v>
      </c>
    </row>
    <row r="63" spans="1:3" ht="18">
      <c r="A63">
        <v>2001</v>
      </c>
      <c r="B63" s="1">
        <f t="shared" si="6"/>
        <v>0.5</v>
      </c>
      <c r="C63" s="1">
        <f t="shared" si="7"/>
        <v>10.758714969241286</v>
      </c>
    </row>
    <row r="64" spans="1:3" ht="18">
      <c r="A64">
        <v>2002</v>
      </c>
      <c r="B64" s="1">
        <f t="shared" si="6"/>
        <v>0.39999999999999991</v>
      </c>
      <c r="C64" s="1">
        <f t="shared" si="7"/>
        <v>10.814613675635655</v>
      </c>
    </row>
    <row r="65" spans="1:3" ht="18">
      <c r="A65">
        <v>2003</v>
      </c>
      <c r="B65" s="1">
        <f t="shared" si="6"/>
        <v>0.29999999999999982</v>
      </c>
      <c r="C65" s="1">
        <f t="shared" si="7"/>
        <v>12.193980976142202</v>
      </c>
    </row>
    <row r="66" spans="1:3" ht="18">
      <c r="A66">
        <v>2004</v>
      </c>
      <c r="B66" s="1">
        <f t="shared" si="6"/>
        <v>-9.9999999999999645E-2</v>
      </c>
      <c r="C66" s="1">
        <f t="shared" si="7"/>
        <v>13.068599225652733</v>
      </c>
    </row>
    <row r="67" spans="1:3" ht="18">
      <c r="A67">
        <v>2005</v>
      </c>
      <c r="B67" s="1">
        <f t="shared" si="6"/>
        <v>0</v>
      </c>
      <c r="C67" s="1">
        <f t="shared" si="7"/>
        <v>14.884014961279792</v>
      </c>
    </row>
    <row r="68" spans="1:3" ht="18">
      <c r="A68">
        <v>2006</v>
      </c>
      <c r="B68" s="1">
        <f t="shared" si="6"/>
        <v>-0.10000000000000053</v>
      </c>
      <c r="C68" s="1">
        <f t="shared" si="7"/>
        <v>16.186967885911681</v>
      </c>
    </row>
    <row r="69" spans="1:3" ht="18">
      <c r="A69">
        <v>2007</v>
      </c>
      <c r="B69" s="1">
        <f t="shared" si="6"/>
        <v>-9.9999999999999645E-2</v>
      </c>
      <c r="C69" s="1">
        <f t="shared" si="7"/>
        <v>17.333877099969737</v>
      </c>
    </row>
    <row r="70" spans="1:3" ht="18">
      <c r="A70">
        <v>2008</v>
      </c>
      <c r="B70" s="1">
        <f t="shared" si="6"/>
        <v>0.20000000000000018</v>
      </c>
      <c r="C70" s="1">
        <f t="shared" si="7"/>
        <v>11.694267230263822</v>
      </c>
    </row>
    <row r="71" spans="1:3" ht="18">
      <c r="A71">
        <v>2009</v>
      </c>
      <c r="B71" s="1">
        <f t="shared" si="6"/>
        <v>9.9999999999999645E-2</v>
      </c>
      <c r="C71" s="1">
        <f t="shared" si="7"/>
        <v>10.147662594484984</v>
      </c>
    </row>
    <row r="72" spans="1:3" ht="18">
      <c r="A72">
        <v>2010</v>
      </c>
      <c r="B72" s="1">
        <f t="shared" si="6"/>
        <v>-0.20000000000000018</v>
      </c>
      <c r="C72" s="1">
        <f t="shared" si="7"/>
        <v>11.940434529017214</v>
      </c>
    </row>
    <row r="73" spans="1:3" ht="18">
      <c r="A73">
        <v>2011</v>
      </c>
      <c r="B73" s="1">
        <f t="shared" si="6"/>
        <v>0</v>
      </c>
      <c r="C73" s="1">
        <f t="shared" si="7"/>
        <v>11.826915248717745</v>
      </c>
    </row>
    <row r="74" spans="1:3" ht="18">
      <c r="A74">
        <v>2012</v>
      </c>
      <c r="B74" s="1">
        <f t="shared" si="6"/>
        <v>0</v>
      </c>
      <c r="C74" s="1">
        <f t="shared" si="7"/>
        <v>10.205522834657128</v>
      </c>
    </row>
    <row r="75" spans="1:3" ht="18">
      <c r="A75">
        <v>2013</v>
      </c>
      <c r="B75" s="1">
        <f t="shared" si="6"/>
        <v>0</v>
      </c>
      <c r="C75" s="1">
        <f t="shared" si="7"/>
        <v>7.5303055326176693</v>
      </c>
    </row>
    <row r="76" spans="1:3" ht="18">
      <c r="A76">
        <v>2014</v>
      </c>
      <c r="B76" s="1">
        <f t="shared" si="6"/>
        <v>0</v>
      </c>
      <c r="C76" s="1">
        <f t="shared" si="7"/>
        <v>5.6722818140489339</v>
      </c>
    </row>
    <row r="77" spans="1:3" ht="18">
      <c r="A77">
        <v>2015</v>
      </c>
      <c r="B77" s="1">
        <f t="shared" si="6"/>
        <v>0</v>
      </c>
      <c r="C77" s="1">
        <f t="shared" si="7"/>
        <v>3.9510019941048822</v>
      </c>
    </row>
    <row r="78" spans="1:3" ht="18">
      <c r="A78">
        <v>2016</v>
      </c>
      <c r="B78" s="1">
        <f t="shared" si="6"/>
        <v>-9.9999999999999645E-2</v>
      </c>
      <c r="C78" s="1">
        <f t="shared" si="7"/>
        <v>4.5938826529756298</v>
      </c>
    </row>
    <row r="79" spans="1:3" ht="18">
      <c r="A79">
        <v>2017</v>
      </c>
      <c r="B79" s="1">
        <f t="shared" si="6"/>
        <v>-0.10000000000000009</v>
      </c>
      <c r="C79" s="1">
        <f t="shared" si="7"/>
        <v>5.9481223632076103</v>
      </c>
    </row>
    <row r="80" spans="1:3" ht="18">
      <c r="A80">
        <v>2018</v>
      </c>
      <c r="B80" s="1">
        <f t="shared" si="6"/>
        <v>-0.10000000000000009</v>
      </c>
      <c r="C80" s="1">
        <f t="shared" si="7"/>
        <v>9.3171024674348182</v>
      </c>
    </row>
    <row r="81" spans="1:3" ht="18">
      <c r="A81">
        <v>2019</v>
      </c>
      <c r="B81" s="1">
        <f t="shared" si="6"/>
        <v>-0.19999999999999973</v>
      </c>
      <c r="C81" s="1">
        <f t="shared" si="7"/>
        <v>7.8512663779651088</v>
      </c>
    </row>
    <row r="82" spans="1:3" ht="18">
      <c r="A82">
        <v>2020</v>
      </c>
      <c r="B82" s="1">
        <f t="shared" si="6"/>
        <v>0.60000000000000009</v>
      </c>
      <c r="C82" s="1">
        <f t="shared" si="7"/>
        <v>3.5765042293072153</v>
      </c>
    </row>
    <row r="83" spans="1:3" ht="18">
      <c r="A83">
        <v>2021</v>
      </c>
      <c r="B83" s="1">
        <f t="shared" si="6"/>
        <v>-0.20000000000000018</v>
      </c>
      <c r="C83" s="1">
        <f t="shared" si="7"/>
        <v>13.321044953153999</v>
      </c>
    </row>
    <row r="84" spans="1:3" ht="18">
      <c r="A84">
        <v>2022</v>
      </c>
      <c r="B84" s="1">
        <f t="shared" si="6"/>
        <v>0.20000000000000018</v>
      </c>
      <c r="C84" s="1">
        <f t="shared" si="7"/>
        <v>10.202593045095645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DEC77-FE9C-474B-A109-ADE6EB87849D}">
  <dimension ref="A2:AI84"/>
  <sheetViews>
    <sheetView topLeftCell="A19" workbookViewId="0">
      <selection activeCell="B53" sqref="B53"/>
    </sheetView>
  </sheetViews>
  <sheetFormatPr baseColWidth="10" defaultRowHeight="16"/>
  <cols>
    <col min="6" max="6" width="15.83203125" customWidth="1"/>
    <col min="9" max="9" width="18.1640625" customWidth="1"/>
  </cols>
  <sheetData>
    <row r="2" spans="1:35">
      <c r="B2" t="s">
        <v>0</v>
      </c>
      <c r="C2" t="s">
        <v>1</v>
      </c>
      <c r="D2" t="s">
        <v>5</v>
      </c>
      <c r="E2" t="s">
        <v>2</v>
      </c>
      <c r="F2" t="s">
        <v>8</v>
      </c>
      <c r="G2" t="s">
        <v>9</v>
      </c>
      <c r="H2" t="s">
        <v>14</v>
      </c>
      <c r="I2" t="s">
        <v>15</v>
      </c>
    </row>
    <row r="3" spans="1:35" ht="18">
      <c r="A3">
        <v>1997</v>
      </c>
      <c r="B3" s="1">
        <v>8577.6</v>
      </c>
      <c r="C3" s="1">
        <v>4.9000000000000004</v>
      </c>
      <c r="D3" s="1">
        <f>$C3^2</f>
        <v>24.010000000000005</v>
      </c>
      <c r="E3" s="1">
        <f>$B3*$C3</f>
        <v>42030.240000000005</v>
      </c>
      <c r="F3" s="1">
        <f>$B3^2</f>
        <v>73575221.760000005</v>
      </c>
      <c r="G3">
        <f>$B$33*C3+$B$34</f>
        <v>15491.826194223406</v>
      </c>
      <c r="H3" s="1">
        <f>$B3-$G3</f>
        <v>-6914.2261942234054</v>
      </c>
      <c r="I3" s="1">
        <f>$H3^2</f>
        <v>47806523.864885077</v>
      </c>
    </row>
    <row r="4" spans="1:35" ht="18">
      <c r="A4">
        <v>1998</v>
      </c>
      <c r="B4" s="1">
        <v>9062.7999999999993</v>
      </c>
      <c r="C4" s="1">
        <v>4.5</v>
      </c>
      <c r="D4" s="1">
        <f t="shared" ref="D4:D28" si="0">$C4^2</f>
        <v>20.25</v>
      </c>
      <c r="E4" s="1">
        <f t="shared" ref="E4:E28" si="1">$B4*$C4</f>
        <v>40782.6</v>
      </c>
      <c r="F4" s="1">
        <f t="shared" ref="F4:F28" si="2">$B4^2</f>
        <v>82134343.839999989</v>
      </c>
      <c r="G4">
        <f t="shared" ref="G4:G28" si="3">$B$33*C4+$B$34</f>
        <v>15493.224887110771</v>
      </c>
      <c r="H4" s="1">
        <f t="shared" ref="H4:H28" si="4">$B4-$G4</f>
        <v>-6430.424887110772</v>
      </c>
      <c r="I4" s="1">
        <f t="shared" ref="I4:I28" si="5">$H4^2</f>
        <v>41350364.228773586</v>
      </c>
    </row>
    <row r="5" spans="1:35" ht="18">
      <c r="A5">
        <v>1999</v>
      </c>
      <c r="B5" s="1">
        <v>9631.2000000000007</v>
      </c>
      <c r="C5" s="1">
        <v>4.2</v>
      </c>
      <c r="D5" s="1">
        <f t="shared" si="0"/>
        <v>17.64</v>
      </c>
      <c r="E5" s="1">
        <f t="shared" si="1"/>
        <v>40451.040000000008</v>
      </c>
      <c r="F5" s="1">
        <f t="shared" si="2"/>
        <v>92760013.440000013</v>
      </c>
      <c r="G5">
        <f t="shared" si="3"/>
        <v>15494.273906776296</v>
      </c>
      <c r="H5" s="1">
        <f t="shared" si="4"/>
        <v>-5863.0739067762952</v>
      </c>
      <c r="I5" s="1">
        <f t="shared" si="5"/>
        <v>34375635.636321045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8">
      <c r="A6">
        <v>2000</v>
      </c>
      <c r="B6" s="1">
        <v>10251</v>
      </c>
      <c r="C6" s="1">
        <v>4</v>
      </c>
      <c r="D6" s="1">
        <f t="shared" si="0"/>
        <v>16</v>
      </c>
      <c r="E6" s="1">
        <f t="shared" si="1"/>
        <v>41004</v>
      </c>
      <c r="F6" s="1">
        <f t="shared" si="2"/>
        <v>105083001</v>
      </c>
      <c r="G6">
        <f t="shared" si="3"/>
        <v>15494.973253219978</v>
      </c>
      <c r="H6" s="1">
        <f t="shared" si="4"/>
        <v>-5243.9732532199778</v>
      </c>
      <c r="I6" s="1">
        <f t="shared" si="5"/>
        <v>27499255.480486516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8">
      <c r="A7">
        <v>2001</v>
      </c>
      <c r="B7" s="1">
        <v>10581.9</v>
      </c>
      <c r="C7" s="1">
        <v>4.7</v>
      </c>
      <c r="D7" s="1">
        <f t="shared" si="0"/>
        <v>22.090000000000003</v>
      </c>
      <c r="E7" s="1">
        <f t="shared" si="1"/>
        <v>49734.93</v>
      </c>
      <c r="F7" s="1">
        <f t="shared" si="2"/>
        <v>111976607.61</v>
      </c>
      <c r="G7">
        <f t="shared" si="3"/>
        <v>15492.525540667088</v>
      </c>
      <c r="H7" s="1">
        <f t="shared" si="4"/>
        <v>-4910.625540667088</v>
      </c>
      <c r="I7" s="1">
        <f t="shared" si="5"/>
        <v>24114243.200651929</v>
      </c>
    </row>
    <row r="8" spans="1:35" ht="18">
      <c r="A8">
        <v>2002</v>
      </c>
      <c r="B8" s="1">
        <v>10929.1</v>
      </c>
      <c r="C8" s="1">
        <v>5.8</v>
      </c>
      <c r="D8" s="1">
        <f t="shared" si="0"/>
        <v>33.64</v>
      </c>
      <c r="E8" s="1">
        <f t="shared" si="1"/>
        <v>63388.78</v>
      </c>
      <c r="F8" s="1">
        <f t="shared" si="2"/>
        <v>119445226.81</v>
      </c>
      <c r="G8">
        <f t="shared" si="3"/>
        <v>15488.679135226832</v>
      </c>
      <c r="H8" s="1">
        <f t="shared" si="4"/>
        <v>-4559.5791352268316</v>
      </c>
      <c r="I8" s="1">
        <f t="shared" si="5"/>
        <v>20789761.890395861</v>
      </c>
    </row>
    <row r="9" spans="1:35" ht="18">
      <c r="A9">
        <v>2003</v>
      </c>
      <c r="B9" s="1">
        <v>11456.5</v>
      </c>
      <c r="C9" s="1">
        <v>6</v>
      </c>
      <c r="D9" s="1">
        <f t="shared" si="0"/>
        <v>36</v>
      </c>
      <c r="E9" s="1">
        <f t="shared" si="1"/>
        <v>68739</v>
      </c>
      <c r="F9" s="1">
        <f t="shared" si="2"/>
        <v>131251392.25</v>
      </c>
      <c r="G9">
        <f t="shared" si="3"/>
        <v>15487.97978878315</v>
      </c>
      <c r="H9" s="1">
        <f t="shared" si="4"/>
        <v>-4031.4797887831501</v>
      </c>
      <c r="I9" s="1">
        <f t="shared" si="5"/>
        <v>16252829.287367033</v>
      </c>
    </row>
    <row r="10" spans="1:35" ht="18">
      <c r="A10">
        <v>2004</v>
      </c>
      <c r="B10" s="1">
        <v>12217.2</v>
      </c>
      <c r="C10" s="1">
        <v>5.5</v>
      </c>
      <c r="D10" s="1">
        <f t="shared" si="0"/>
        <v>30.25</v>
      </c>
      <c r="E10" s="1">
        <f t="shared" si="1"/>
        <v>67194.600000000006</v>
      </c>
      <c r="F10" s="1">
        <f t="shared" si="2"/>
        <v>149259975.84</v>
      </c>
      <c r="G10">
        <f t="shared" si="3"/>
        <v>15489.728154892357</v>
      </c>
      <c r="H10" s="1">
        <f t="shared" si="4"/>
        <v>-3272.5281548923558</v>
      </c>
      <c r="I10" s="1">
        <f t="shared" si="5"/>
        <v>10709440.524563167</v>
      </c>
    </row>
    <row r="11" spans="1:35" ht="18">
      <c r="A11">
        <v>2005</v>
      </c>
      <c r="B11" s="1">
        <v>13039.2</v>
      </c>
      <c r="C11" s="1">
        <v>5.0999999999999996</v>
      </c>
      <c r="D11" s="1">
        <f t="shared" si="0"/>
        <v>26.009999999999998</v>
      </c>
      <c r="E11" s="1">
        <f t="shared" si="1"/>
        <v>66499.92</v>
      </c>
      <c r="F11" s="1">
        <f t="shared" si="2"/>
        <v>170020736.64000002</v>
      </c>
      <c r="G11">
        <f t="shared" si="3"/>
        <v>15491.126847779722</v>
      </c>
      <c r="H11" s="1">
        <f t="shared" si="4"/>
        <v>-2451.9268477797214</v>
      </c>
      <c r="I11" s="1">
        <f t="shared" si="5"/>
        <v>6011945.2668630006</v>
      </c>
    </row>
    <row r="12" spans="1:35" ht="18">
      <c r="A12">
        <v>2006</v>
      </c>
      <c r="B12" s="1">
        <v>13815.6</v>
      </c>
      <c r="C12" s="1">
        <v>4.5999999999999996</v>
      </c>
      <c r="D12" s="1">
        <f t="shared" si="0"/>
        <v>21.159999999999997</v>
      </c>
      <c r="E12" s="1">
        <f t="shared" si="1"/>
        <v>63551.759999999995</v>
      </c>
      <c r="F12" s="1">
        <f t="shared" si="2"/>
        <v>190870803.36000001</v>
      </c>
      <c r="G12">
        <f t="shared" si="3"/>
        <v>15492.87521388893</v>
      </c>
      <c r="H12" s="1">
        <f t="shared" si="4"/>
        <v>-1677.27521388893</v>
      </c>
      <c r="I12" s="1">
        <f t="shared" si="5"/>
        <v>2813252.1431261557</v>
      </c>
    </row>
    <row r="13" spans="1:35" ht="18">
      <c r="A13">
        <v>2007</v>
      </c>
      <c r="B13" s="1">
        <v>14474.3</v>
      </c>
      <c r="C13" s="1">
        <v>4.5999999999999996</v>
      </c>
      <c r="D13" s="1">
        <f t="shared" si="0"/>
        <v>21.159999999999997</v>
      </c>
      <c r="E13" s="1">
        <f t="shared" si="1"/>
        <v>66581.779999999984</v>
      </c>
      <c r="F13" s="1">
        <f t="shared" si="2"/>
        <v>209505360.48999998</v>
      </c>
      <c r="G13">
        <f t="shared" si="3"/>
        <v>15492.87521388893</v>
      </c>
      <c r="H13" s="1">
        <f t="shared" si="4"/>
        <v>-1018.5752138889311</v>
      </c>
      <c r="I13" s="1">
        <f t="shared" si="5"/>
        <v>1037495.4663488817</v>
      </c>
    </row>
    <row r="14" spans="1:35" ht="18">
      <c r="A14">
        <v>2008</v>
      </c>
      <c r="B14" s="1">
        <v>14769.9</v>
      </c>
      <c r="C14" s="1">
        <v>5.8</v>
      </c>
      <c r="D14" s="1">
        <f t="shared" si="0"/>
        <v>33.64</v>
      </c>
      <c r="E14" s="1">
        <f t="shared" si="1"/>
        <v>85665.42</v>
      </c>
      <c r="F14" s="1">
        <f t="shared" si="2"/>
        <v>218149946.00999999</v>
      </c>
      <c r="G14">
        <f t="shared" si="3"/>
        <v>15488.679135226832</v>
      </c>
      <c r="H14" s="1">
        <f t="shared" si="4"/>
        <v>-718.7791352268323</v>
      </c>
      <c r="I14" s="1">
        <f t="shared" si="5"/>
        <v>516643.44523743284</v>
      </c>
    </row>
    <row r="15" spans="1:35" ht="18">
      <c r="A15">
        <v>2009</v>
      </c>
      <c r="B15" s="1">
        <v>14478.1</v>
      </c>
      <c r="C15" s="1">
        <v>9.3000000000000007</v>
      </c>
      <c r="D15" s="1">
        <f t="shared" si="0"/>
        <v>86.490000000000009</v>
      </c>
      <c r="E15" s="1">
        <f t="shared" si="1"/>
        <v>134646.33000000002</v>
      </c>
      <c r="F15" s="1">
        <f t="shared" si="2"/>
        <v>209615379.61000001</v>
      </c>
      <c r="G15">
        <f t="shared" si="3"/>
        <v>15476.440572462383</v>
      </c>
      <c r="H15" s="1">
        <f t="shared" si="4"/>
        <v>-998.34057246238262</v>
      </c>
      <c r="I15" s="1">
        <f t="shared" si="5"/>
        <v>996683.89862451784</v>
      </c>
    </row>
    <row r="16" spans="1:35" ht="18">
      <c r="A16">
        <v>2010</v>
      </c>
      <c r="B16" s="1">
        <v>15049</v>
      </c>
      <c r="C16" s="1">
        <v>9.6</v>
      </c>
      <c r="D16" s="1">
        <f t="shared" si="0"/>
        <v>92.16</v>
      </c>
      <c r="E16" s="1">
        <f t="shared" si="1"/>
        <v>144470.39999999999</v>
      </c>
      <c r="F16" s="1">
        <f t="shared" si="2"/>
        <v>226472401</v>
      </c>
      <c r="G16">
        <f t="shared" si="3"/>
        <v>15475.391552796858</v>
      </c>
      <c r="H16" s="1">
        <f t="shared" si="4"/>
        <v>-426.39155279685838</v>
      </c>
      <c r="I16" s="1">
        <f t="shared" si="5"/>
        <v>181809.75629651608</v>
      </c>
    </row>
    <row r="17" spans="1:9" ht="18">
      <c r="A17">
        <v>2011</v>
      </c>
      <c r="B17" s="1">
        <v>15599.7</v>
      </c>
      <c r="C17" s="1">
        <v>8.9</v>
      </c>
      <c r="D17" s="1">
        <f t="shared" si="0"/>
        <v>79.210000000000008</v>
      </c>
      <c r="E17" s="1">
        <f t="shared" si="1"/>
        <v>138837.33000000002</v>
      </c>
      <c r="F17" s="1">
        <f t="shared" si="2"/>
        <v>243350640.09000003</v>
      </c>
      <c r="G17">
        <f t="shared" si="3"/>
        <v>15477.839265349749</v>
      </c>
      <c r="H17" s="1">
        <f t="shared" si="4"/>
        <v>121.8607346502522</v>
      </c>
      <c r="I17" s="1">
        <f t="shared" si="5"/>
        <v>14850.038649499176</v>
      </c>
    </row>
    <row r="18" spans="1:9" ht="18">
      <c r="A18">
        <v>2012</v>
      </c>
      <c r="B18" s="1">
        <v>16254</v>
      </c>
      <c r="C18" s="1">
        <v>8.1</v>
      </c>
      <c r="D18" s="1">
        <f t="shared" si="0"/>
        <v>65.61</v>
      </c>
      <c r="E18" s="1">
        <f t="shared" si="1"/>
        <v>131657.4</v>
      </c>
      <c r="F18" s="1">
        <f t="shared" si="2"/>
        <v>264192516</v>
      </c>
      <c r="G18">
        <f t="shared" si="3"/>
        <v>15480.63665112448</v>
      </c>
      <c r="H18" s="1">
        <f t="shared" si="4"/>
        <v>773.36334887552039</v>
      </c>
      <c r="I18" s="1">
        <f t="shared" si="5"/>
        <v>598090.86938395991</v>
      </c>
    </row>
    <row r="19" spans="1:9" ht="18">
      <c r="A19">
        <v>2013</v>
      </c>
      <c r="B19" s="1">
        <v>16843.2</v>
      </c>
      <c r="C19" s="1">
        <v>7.4</v>
      </c>
      <c r="D19" s="1">
        <f t="shared" si="0"/>
        <v>54.760000000000005</v>
      </c>
      <c r="E19" s="1">
        <f t="shared" si="1"/>
        <v>124639.68000000001</v>
      </c>
      <c r="F19" s="1">
        <f t="shared" si="2"/>
        <v>283693386.24000001</v>
      </c>
      <c r="G19">
        <f t="shared" si="3"/>
        <v>15483.08436367737</v>
      </c>
      <c r="H19" s="1">
        <f t="shared" si="4"/>
        <v>1360.115636322631</v>
      </c>
      <c r="I19" s="1">
        <f t="shared" si="5"/>
        <v>1849914.5441693154</v>
      </c>
    </row>
    <row r="20" spans="1:9" ht="18">
      <c r="A20">
        <v>2014</v>
      </c>
      <c r="B20" s="1">
        <v>17550.7</v>
      </c>
      <c r="C20" s="1">
        <v>6.2</v>
      </c>
      <c r="D20" s="1">
        <f t="shared" si="0"/>
        <v>38.440000000000005</v>
      </c>
      <c r="E20" s="1">
        <f t="shared" si="1"/>
        <v>108814.34000000001</v>
      </c>
      <c r="F20" s="1">
        <f t="shared" si="2"/>
        <v>308027070.49000001</v>
      </c>
      <c r="G20">
        <f t="shared" si="3"/>
        <v>15487.280442339466</v>
      </c>
      <c r="H20" s="1">
        <f t="shared" si="4"/>
        <v>2063.4195576605343</v>
      </c>
      <c r="I20" s="1">
        <f t="shared" si="5"/>
        <v>4257700.2709359955</v>
      </c>
    </row>
    <row r="21" spans="1:9" ht="18">
      <c r="A21">
        <v>2015</v>
      </c>
      <c r="B21" s="1">
        <v>18206</v>
      </c>
      <c r="C21" s="1">
        <v>5.3</v>
      </c>
      <c r="D21" s="1">
        <f t="shared" si="0"/>
        <v>28.09</v>
      </c>
      <c r="E21" s="1">
        <f t="shared" si="1"/>
        <v>96491.8</v>
      </c>
      <c r="F21" s="1">
        <f t="shared" si="2"/>
        <v>331458436</v>
      </c>
      <c r="G21">
        <f t="shared" si="3"/>
        <v>15490.42750133604</v>
      </c>
      <c r="H21" s="1">
        <f t="shared" si="4"/>
        <v>2715.5724986639598</v>
      </c>
      <c r="I21" s="1">
        <f t="shared" si="5"/>
        <v>7374333.9955000216</v>
      </c>
    </row>
    <row r="22" spans="1:9" ht="18">
      <c r="A22">
        <v>2016</v>
      </c>
      <c r="B22" s="1">
        <v>18695.099999999999</v>
      </c>
      <c r="C22" s="1">
        <v>4.9000000000000004</v>
      </c>
      <c r="D22" s="1">
        <f t="shared" si="0"/>
        <v>24.010000000000005</v>
      </c>
      <c r="E22" s="1">
        <f t="shared" si="1"/>
        <v>91605.99</v>
      </c>
      <c r="F22" s="1">
        <f t="shared" si="2"/>
        <v>349506764.00999993</v>
      </c>
      <c r="G22">
        <f t="shared" si="3"/>
        <v>15491.826194223406</v>
      </c>
      <c r="H22" s="1">
        <f t="shared" si="4"/>
        <v>3203.2738057765928</v>
      </c>
      <c r="I22" s="1">
        <f t="shared" si="5"/>
        <v>10260963.074774457</v>
      </c>
    </row>
    <row r="23" spans="1:9" ht="18">
      <c r="A23">
        <v>2017</v>
      </c>
      <c r="B23" s="1">
        <v>19477.400000000001</v>
      </c>
      <c r="C23" s="1">
        <v>4.4000000000000004</v>
      </c>
      <c r="D23" s="1">
        <f t="shared" si="0"/>
        <v>19.360000000000003</v>
      </c>
      <c r="E23" s="1">
        <f t="shared" si="1"/>
        <v>85700.560000000012</v>
      </c>
      <c r="F23" s="1">
        <f t="shared" si="2"/>
        <v>379369110.76000005</v>
      </c>
      <c r="G23">
        <f t="shared" si="3"/>
        <v>15493.574560332612</v>
      </c>
      <c r="H23" s="1">
        <f t="shared" si="4"/>
        <v>3983.8254396673892</v>
      </c>
      <c r="I23" s="1">
        <f t="shared" si="5"/>
        <v>15870865.133741068</v>
      </c>
    </row>
    <row r="24" spans="1:9" ht="18">
      <c r="A24">
        <v>2018</v>
      </c>
      <c r="B24" s="1">
        <v>20533.099999999999</v>
      </c>
      <c r="C24" s="1">
        <v>3.9</v>
      </c>
      <c r="D24" s="1">
        <f t="shared" si="0"/>
        <v>15.209999999999999</v>
      </c>
      <c r="E24" s="1">
        <f t="shared" si="1"/>
        <v>80079.09</v>
      </c>
      <c r="F24" s="1">
        <f t="shared" si="2"/>
        <v>421608195.60999995</v>
      </c>
      <c r="G24">
        <f t="shared" si="3"/>
        <v>15495.322926441819</v>
      </c>
      <c r="H24" s="1">
        <f t="shared" si="4"/>
        <v>5037.7770735581798</v>
      </c>
      <c r="I24" s="1">
        <f t="shared" si="5"/>
        <v>25379197.842868418</v>
      </c>
    </row>
    <row r="25" spans="1:9" ht="18">
      <c r="A25">
        <v>2019</v>
      </c>
      <c r="B25" s="1">
        <v>21381</v>
      </c>
      <c r="C25" s="1">
        <v>3.7</v>
      </c>
      <c r="D25" s="1">
        <f t="shared" si="0"/>
        <v>13.690000000000001</v>
      </c>
      <c r="E25" s="1">
        <f t="shared" si="1"/>
        <v>79109.7</v>
      </c>
      <c r="F25" s="1">
        <f t="shared" si="2"/>
        <v>457147161</v>
      </c>
      <c r="G25">
        <f t="shared" si="3"/>
        <v>15496.022272885502</v>
      </c>
      <c r="H25" s="1">
        <f t="shared" si="4"/>
        <v>5884.9777271144976</v>
      </c>
      <c r="I25" s="1">
        <f t="shared" si="5"/>
        <v>34632962.848633721</v>
      </c>
    </row>
    <row r="26" spans="1:9" ht="18">
      <c r="A26">
        <v>2020</v>
      </c>
      <c r="B26" s="1">
        <v>21060.5</v>
      </c>
      <c r="C26" s="1">
        <v>8.1</v>
      </c>
      <c r="D26" s="1">
        <f t="shared" si="0"/>
        <v>65.61</v>
      </c>
      <c r="E26" s="1">
        <f t="shared" si="1"/>
        <v>170590.05</v>
      </c>
      <c r="F26" s="1">
        <f t="shared" si="2"/>
        <v>443544660.25</v>
      </c>
      <c r="G26">
        <f t="shared" si="3"/>
        <v>15480.63665112448</v>
      </c>
      <c r="H26" s="1">
        <f t="shared" si="4"/>
        <v>5579.8633488755204</v>
      </c>
      <c r="I26" s="1">
        <f t="shared" si="5"/>
        <v>31134874.992124338</v>
      </c>
    </row>
    <row r="27" spans="1:9" ht="18">
      <c r="A27">
        <v>2021</v>
      </c>
      <c r="B27" s="1">
        <v>23315.1</v>
      </c>
      <c r="C27" s="1">
        <v>5.4</v>
      </c>
      <c r="D27" s="1">
        <f t="shared" si="0"/>
        <v>29.160000000000004</v>
      </c>
      <c r="E27" s="1">
        <f t="shared" si="1"/>
        <v>125901.54</v>
      </c>
      <c r="F27" s="1">
        <f t="shared" si="2"/>
        <v>543593888.00999999</v>
      </c>
      <c r="G27">
        <f t="shared" si="3"/>
        <v>15490.077828114197</v>
      </c>
      <c r="H27" s="1">
        <f t="shared" si="4"/>
        <v>7825.0221718858011</v>
      </c>
      <c r="I27" s="1">
        <f t="shared" si="5"/>
        <v>61230971.990504377</v>
      </c>
    </row>
    <row r="28" spans="1:9" ht="18">
      <c r="A28">
        <v>2022</v>
      </c>
      <c r="B28" s="1">
        <v>25464.5</v>
      </c>
      <c r="C28" s="1">
        <v>3.6</v>
      </c>
      <c r="D28" s="1">
        <f t="shared" si="0"/>
        <v>12.96</v>
      </c>
      <c r="E28" s="1">
        <f t="shared" si="1"/>
        <v>91672.2</v>
      </c>
      <c r="F28" s="1">
        <f t="shared" si="2"/>
        <v>648440760.25</v>
      </c>
      <c r="G28">
        <f t="shared" si="3"/>
        <v>15496.371946107343</v>
      </c>
      <c r="H28" s="1">
        <f t="shared" si="4"/>
        <v>9968.1280538926567</v>
      </c>
      <c r="I28" s="1">
        <f t="shared" si="5"/>
        <v>99363576.898801804</v>
      </c>
    </row>
    <row r="30" spans="1:9" ht="18">
      <c r="A30" t="s">
        <v>3</v>
      </c>
      <c r="B30">
        <f>AVERAGE(B3:B28)</f>
        <v>15488.988461538462</v>
      </c>
      <c r="C30">
        <f>AVERAGE(C3:C28)</f>
        <v>5.7115384615384617</v>
      </c>
      <c r="D30" s="1">
        <f>AVERAGE(D3:D28)</f>
        <v>35.63884615384616</v>
      </c>
      <c r="E30" s="1">
        <f>AVERAGE(E3:E28)</f>
        <v>88455.403076923074</v>
      </c>
      <c r="F30" s="1">
        <f>AVERAGE(F3:F28)</f>
        <v>260155884.55269235</v>
      </c>
    </row>
    <row r="31" spans="1:9">
      <c r="A31" t="s">
        <v>16</v>
      </c>
      <c r="I31">
        <f>SUM(I3:I28)</f>
        <v>526424186.59002763</v>
      </c>
    </row>
    <row r="33" spans="1:2">
      <c r="A33" s="3" t="s">
        <v>4</v>
      </c>
      <c r="B33" s="3">
        <f>(E30-(B30*C30))/(D30 - C30^2)</f>
        <v>-3.49673221841423</v>
      </c>
    </row>
    <row r="34" spans="1:2">
      <c r="A34" s="3" t="s">
        <v>6</v>
      </c>
      <c r="B34" s="3">
        <f>B30-B33*C30</f>
        <v>15508.960182093635</v>
      </c>
    </row>
    <row r="36" spans="1:2">
      <c r="A36" s="2" t="s">
        <v>7</v>
      </c>
      <c r="B36" s="2">
        <f>SQRT(D30-C30^2)</f>
        <v>1.7370015993697361</v>
      </c>
    </row>
    <row r="37" spans="1:2">
      <c r="A37" s="2" t="s">
        <v>10</v>
      </c>
      <c r="B37" s="2">
        <f>SQRT(F30-B30^2)</f>
        <v>4499.6800987426586</v>
      </c>
    </row>
    <row r="38" spans="1:2">
      <c r="A38" s="2" t="s">
        <v>11</v>
      </c>
      <c r="B38" s="2">
        <f>(E30-B30*C30)/(B36*B37)</f>
        <v>-1.3498358378077604E-3</v>
      </c>
    </row>
    <row r="39" spans="1:2">
      <c r="A39" s="2" t="s">
        <v>12</v>
      </c>
      <c r="B39" s="2">
        <f>B38^2</f>
        <v>1.8220567890301785E-6</v>
      </c>
    </row>
    <row r="41" spans="1:2">
      <c r="A41" s="4" t="s">
        <v>13</v>
      </c>
      <c r="B41" s="4">
        <f>SQRT( I31/(B36^2*COUNT(B3:B28)*(COUNT(B3:B28)-2)) )</f>
        <v>528.78046717535665</v>
      </c>
    </row>
    <row r="42" spans="1:2">
      <c r="A42" s="4" t="s">
        <v>17</v>
      </c>
      <c r="B42" s="4">
        <f>SQRT( I31/(B36^2*COUNT(B3:B28)*(COUNT(B3:B28)-2)) *D30 )</f>
        <v>3156.7284301277368</v>
      </c>
    </row>
    <row r="43" spans="1:2">
      <c r="A43" s="4" t="s">
        <v>18</v>
      </c>
      <c r="B43" s="4">
        <f>B33/B41</f>
        <v>-6.6128241027757695E-3</v>
      </c>
    </row>
    <row r="44" spans="1:2">
      <c r="A44" s="4" t="s">
        <v>19</v>
      </c>
      <c r="B44" s="4">
        <f>B34/B42</f>
        <v>4.9129852394258906</v>
      </c>
    </row>
    <row r="45" spans="1:2">
      <c r="A45" s="4" t="s">
        <v>27</v>
      </c>
      <c r="B45" s="4">
        <v>2.06</v>
      </c>
    </row>
    <row r="47" spans="1:2">
      <c r="A47" s="5" t="s">
        <v>20</v>
      </c>
      <c r="B47" s="5">
        <f>2.0639*B41</f>
        <v>1091.3500062032185</v>
      </c>
    </row>
    <row r="48" spans="1:2">
      <c r="A48" s="5" t="s">
        <v>21</v>
      </c>
      <c r="B48" s="5">
        <f>2.0639*B42</f>
        <v>6515.1718069406352</v>
      </c>
    </row>
    <row r="50" spans="1:3">
      <c r="A50" s="6" t="s">
        <v>22</v>
      </c>
      <c r="B50" s="6">
        <f>B39/(1-B39) * COUNT(A3:A28)</f>
        <v>4.7373562832106417E-5</v>
      </c>
    </row>
    <row r="51" spans="1:3">
      <c r="A51" s="6" t="s">
        <v>23</v>
      </c>
      <c r="B51" s="6">
        <v>4.26</v>
      </c>
    </row>
    <row r="53" spans="1:3">
      <c r="A53" s="7" t="s">
        <v>24</v>
      </c>
      <c r="B53" s="7">
        <f xml:space="preserve"> 1.02*C30</f>
        <v>5.8257692307692306</v>
      </c>
    </row>
    <row r="54" spans="1:3">
      <c r="A54" s="7" t="s">
        <v>25</v>
      </c>
      <c r="B54" s="7">
        <f>B33*B53+B34</f>
        <v>15488.589027127358</v>
      </c>
    </row>
    <row r="55" spans="1:3">
      <c r="A55" s="7" t="s">
        <v>26</v>
      </c>
      <c r="B55" s="7">
        <f>SQRT(I31/(COUNT(A3:A28)-2)) + SQRT(1 + 1/COUNT(A3:A28) + (B53-C30)^2/(B36^2 * COUNT(A3:A28)))</f>
        <v>4684.4303992289597</v>
      </c>
    </row>
    <row r="58" spans="1:3">
      <c r="B58" t="s">
        <v>1</v>
      </c>
      <c r="C58" t="s">
        <v>0</v>
      </c>
    </row>
    <row r="59" spans="1:3" ht="18">
      <c r="A59">
        <v>1997</v>
      </c>
      <c r="B59" s="1" t="s">
        <v>28</v>
      </c>
      <c r="C59" s="1" t="s">
        <v>28</v>
      </c>
    </row>
    <row r="60" spans="1:3" ht="18">
      <c r="A60">
        <v>1998</v>
      </c>
      <c r="B60" s="1">
        <f>$C4-$C3</f>
        <v>-0.40000000000000036</v>
      </c>
      <c r="C60" s="1">
        <f>($B4-$B3)/$B3 * 100</f>
        <v>5.6565939190449415</v>
      </c>
    </row>
    <row r="61" spans="1:3" ht="18">
      <c r="A61">
        <v>1999</v>
      </c>
      <c r="B61" s="1">
        <f t="shared" ref="B61:B84" si="6">$C5-$C4</f>
        <v>-0.29999999999999982</v>
      </c>
      <c r="C61" s="1">
        <f t="shared" ref="C61:C84" si="7">($B5-$B4)/$B4 * 100</f>
        <v>6.2717923820453008</v>
      </c>
    </row>
    <row r="62" spans="1:3" ht="18">
      <c r="A62">
        <v>2000</v>
      </c>
      <c r="B62" s="1">
        <f t="shared" si="6"/>
        <v>-0.20000000000000018</v>
      </c>
      <c r="C62" s="1">
        <f t="shared" si="7"/>
        <v>6.435335160727627</v>
      </c>
    </row>
    <row r="63" spans="1:3" ht="18">
      <c r="A63">
        <v>2001</v>
      </c>
      <c r="B63" s="1">
        <f t="shared" si="6"/>
        <v>0.70000000000000018</v>
      </c>
      <c r="C63" s="1">
        <f t="shared" si="7"/>
        <v>3.2279777582674827</v>
      </c>
    </row>
    <row r="64" spans="1:3" ht="18">
      <c r="A64">
        <v>2002</v>
      </c>
      <c r="B64" s="1">
        <f t="shared" si="6"/>
        <v>1.0999999999999996</v>
      </c>
      <c r="C64" s="1">
        <f t="shared" si="7"/>
        <v>3.2810742872263083</v>
      </c>
    </row>
    <row r="65" spans="1:3" ht="18">
      <c r="A65">
        <v>2003</v>
      </c>
      <c r="B65" s="1">
        <f t="shared" si="6"/>
        <v>0.20000000000000018</v>
      </c>
      <c r="C65" s="1">
        <f t="shared" si="7"/>
        <v>4.8256489555407089</v>
      </c>
    </row>
    <row r="66" spans="1:3" ht="18">
      <c r="A66">
        <v>2004</v>
      </c>
      <c r="B66" s="1">
        <f t="shared" si="6"/>
        <v>-0.5</v>
      </c>
      <c r="C66" s="1">
        <f t="shared" si="7"/>
        <v>6.6398987474359599</v>
      </c>
    </row>
    <row r="67" spans="1:3" ht="18">
      <c r="A67">
        <v>2005</v>
      </c>
      <c r="B67" s="1">
        <f t="shared" si="6"/>
        <v>-0.40000000000000036</v>
      </c>
      <c r="C67" s="1">
        <f t="shared" si="7"/>
        <v>6.7282192319025631</v>
      </c>
    </row>
    <row r="68" spans="1:3" ht="18">
      <c r="A68">
        <v>2006</v>
      </c>
      <c r="B68" s="1">
        <f t="shared" si="6"/>
        <v>-0.5</v>
      </c>
      <c r="C68" s="1">
        <f t="shared" si="7"/>
        <v>5.9543530277931129</v>
      </c>
    </row>
    <row r="69" spans="1:3" ht="18">
      <c r="A69">
        <v>2007</v>
      </c>
      <c r="B69" s="1">
        <f t="shared" si="6"/>
        <v>0</v>
      </c>
      <c r="C69" s="1">
        <f t="shared" si="7"/>
        <v>4.7677987202872041</v>
      </c>
    </row>
    <row r="70" spans="1:3" ht="18">
      <c r="A70">
        <v>2008</v>
      </c>
      <c r="B70" s="1">
        <f t="shared" si="6"/>
        <v>1.2000000000000002</v>
      </c>
      <c r="C70" s="1">
        <f t="shared" si="7"/>
        <v>2.042240384681818</v>
      </c>
    </row>
    <row r="71" spans="1:3" ht="18">
      <c r="A71">
        <v>2009</v>
      </c>
      <c r="B71" s="1">
        <f t="shared" si="6"/>
        <v>3.5000000000000009</v>
      </c>
      <c r="C71" s="1">
        <f t="shared" si="7"/>
        <v>-1.9756396454952252</v>
      </c>
    </row>
    <row r="72" spans="1:3" ht="18">
      <c r="A72">
        <v>2010</v>
      </c>
      <c r="B72" s="1">
        <f t="shared" si="6"/>
        <v>0.29999999999999893</v>
      </c>
      <c r="C72" s="1">
        <f t="shared" si="7"/>
        <v>3.9431969664527777</v>
      </c>
    </row>
    <row r="73" spans="1:3" ht="18">
      <c r="A73">
        <v>2011</v>
      </c>
      <c r="B73" s="1">
        <f t="shared" si="6"/>
        <v>-0.69999999999999929</v>
      </c>
      <c r="C73" s="1">
        <f t="shared" si="7"/>
        <v>3.6593793607548726</v>
      </c>
    </row>
    <row r="74" spans="1:3" ht="18">
      <c r="A74">
        <v>2012</v>
      </c>
      <c r="B74" s="1">
        <f t="shared" si="6"/>
        <v>-0.80000000000000071</v>
      </c>
      <c r="C74" s="1">
        <f t="shared" si="7"/>
        <v>4.1943114290659391</v>
      </c>
    </row>
    <row r="75" spans="1:3" ht="18">
      <c r="A75">
        <v>2013</v>
      </c>
      <c r="B75" s="1">
        <f t="shared" si="6"/>
        <v>-0.69999999999999929</v>
      </c>
      <c r="C75" s="1">
        <f t="shared" si="7"/>
        <v>3.6249538575120011</v>
      </c>
    </row>
    <row r="76" spans="1:3" ht="18">
      <c r="A76">
        <v>2014</v>
      </c>
      <c r="B76" s="1">
        <f t="shared" si="6"/>
        <v>-1.2000000000000002</v>
      </c>
      <c r="C76" s="1">
        <f t="shared" si="7"/>
        <v>4.2005082169658969</v>
      </c>
    </row>
    <row r="77" spans="1:3" ht="18">
      <c r="A77">
        <v>2015</v>
      </c>
      <c r="B77" s="1">
        <f t="shared" si="6"/>
        <v>-0.90000000000000036</v>
      </c>
      <c r="C77" s="1">
        <f t="shared" si="7"/>
        <v>3.7337542092338154</v>
      </c>
    </row>
    <row r="78" spans="1:3" ht="18">
      <c r="A78">
        <v>2016</v>
      </c>
      <c r="B78" s="1">
        <f t="shared" si="6"/>
        <v>-0.39999999999999947</v>
      </c>
      <c r="C78" s="1">
        <f t="shared" si="7"/>
        <v>2.686476985609132</v>
      </c>
    </row>
    <row r="79" spans="1:3" ht="18">
      <c r="A79">
        <v>2017</v>
      </c>
      <c r="B79" s="1">
        <f t="shared" si="6"/>
        <v>-0.5</v>
      </c>
      <c r="C79" s="1">
        <f t="shared" si="7"/>
        <v>4.1845189381174901</v>
      </c>
    </row>
    <row r="80" spans="1:3" ht="18">
      <c r="A80">
        <v>2018</v>
      </c>
      <c r="B80" s="1">
        <f t="shared" si="6"/>
        <v>-0.50000000000000044</v>
      </c>
      <c r="C80" s="1">
        <f t="shared" si="7"/>
        <v>5.4201279431546148</v>
      </c>
    </row>
    <row r="81" spans="1:3" ht="18">
      <c r="A81">
        <v>2019</v>
      </c>
      <c r="B81" s="1">
        <f t="shared" si="6"/>
        <v>-0.19999999999999973</v>
      </c>
      <c r="C81" s="1">
        <f t="shared" si="7"/>
        <v>4.1294300422245129</v>
      </c>
    </row>
    <row r="82" spans="1:3" ht="18">
      <c r="A82">
        <v>2020</v>
      </c>
      <c r="B82" s="1">
        <f t="shared" si="6"/>
        <v>4.3999999999999995</v>
      </c>
      <c r="C82" s="1">
        <f t="shared" si="7"/>
        <v>-1.4989944343108368</v>
      </c>
    </row>
    <row r="83" spans="1:3" ht="18">
      <c r="A83">
        <v>2021</v>
      </c>
      <c r="B83" s="1">
        <f t="shared" si="6"/>
        <v>-2.6999999999999993</v>
      </c>
      <c r="C83" s="1">
        <f t="shared" si="7"/>
        <v>10.705348875857641</v>
      </c>
    </row>
    <row r="84" spans="1:3" ht="18">
      <c r="A84">
        <v>2022</v>
      </c>
      <c r="B84" s="1">
        <f t="shared" si="6"/>
        <v>-1.8000000000000003</v>
      </c>
      <c r="C84" s="1">
        <f t="shared" si="7"/>
        <v>9.2189182118026576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8E44F-2A63-7B4B-9AF6-996D2B964AAB}">
  <dimension ref="A1:K70"/>
  <sheetViews>
    <sheetView topLeftCell="A28" workbookViewId="0">
      <selection activeCell="G70" sqref="G70"/>
    </sheetView>
  </sheetViews>
  <sheetFormatPr baseColWidth="10" defaultRowHeight="16"/>
  <cols>
    <col min="3" max="4" width="18" customWidth="1"/>
    <col min="5" max="5" width="20" customWidth="1"/>
    <col min="7" max="7" width="12.1640625" bestFit="1" customWidth="1"/>
    <col min="9" max="9" width="20" customWidth="1"/>
    <col min="10" max="10" width="19" customWidth="1"/>
    <col min="11" max="11" width="31.33203125" customWidth="1"/>
    <col min="12" max="12" width="17.33203125" customWidth="1"/>
    <col min="13" max="13" width="34" customWidth="1"/>
  </cols>
  <sheetData>
    <row r="1" spans="1:10">
      <c r="A1" s="15" t="s">
        <v>31</v>
      </c>
      <c r="B1" s="13" t="s">
        <v>32</v>
      </c>
      <c r="C1" s="13" t="s">
        <v>33</v>
      </c>
      <c r="D1" s="13" t="s">
        <v>35</v>
      </c>
      <c r="E1" s="13" t="s">
        <v>34</v>
      </c>
      <c r="F1" s="13" t="s">
        <v>100</v>
      </c>
      <c r="G1" s="13" t="s">
        <v>101</v>
      </c>
      <c r="H1" s="13" t="s">
        <v>102</v>
      </c>
      <c r="I1" s="13" t="s">
        <v>104</v>
      </c>
      <c r="J1" s="13" t="s">
        <v>105</v>
      </c>
    </row>
    <row r="2" spans="1:10">
      <c r="A2" s="13" t="s">
        <v>36</v>
      </c>
      <c r="B2" s="10">
        <v>77.5</v>
      </c>
      <c r="C2" s="10">
        <v>31600</v>
      </c>
      <c r="D2" s="10">
        <v>8.6</v>
      </c>
      <c r="E2" s="11">
        <v>8.68</v>
      </c>
      <c r="F2">
        <f>$B$68+$B$69*C2+$B$70*D2</f>
        <v>77.749376050271053</v>
      </c>
      <c r="G2">
        <f>F2-B2</f>
        <v>0.24937605027105292</v>
      </c>
      <c r="H2">
        <f>G2^2</f>
        <v>6.218841444879071E-2</v>
      </c>
      <c r="I2">
        <f>B2-$B$43</f>
        <v>1.3875000000000028</v>
      </c>
      <c r="J2">
        <f>I2^2</f>
        <v>1.9251562500000079</v>
      </c>
    </row>
    <row r="3" spans="1:10">
      <c r="A3" s="13" t="s">
        <v>37</v>
      </c>
      <c r="B3" s="10">
        <v>80</v>
      </c>
      <c r="C3" s="16">
        <v>41700</v>
      </c>
      <c r="D3" s="10">
        <v>8.1999999999999993</v>
      </c>
      <c r="E3" s="10">
        <v>6.13</v>
      </c>
      <c r="F3">
        <f>$B$68+$B$69*C3+$B$70*D3</f>
        <v>78.856779301133741</v>
      </c>
      <c r="G3">
        <f t="shared" ref="G3:G41" si="0">F3-B3</f>
        <v>-1.1432206988662585</v>
      </c>
      <c r="H3">
        <f t="shared" ref="H3:H41" si="1">G3^2</f>
        <v>1.3069535663162566</v>
      </c>
      <c r="I3">
        <f t="shared" ref="I3:I42" si="2">B3-$B$43</f>
        <v>3.8875000000000028</v>
      </c>
      <c r="J3">
        <f t="shared" ref="J3:J41" si="3">I3^2</f>
        <v>15.112656250000022</v>
      </c>
    </row>
    <row r="4" spans="1:10">
      <c r="A4" s="13" t="s">
        <v>38</v>
      </c>
      <c r="B4" s="12">
        <v>78.5</v>
      </c>
      <c r="C4" s="16">
        <v>10900</v>
      </c>
      <c r="D4" s="10">
        <v>11</v>
      </c>
      <c r="E4" s="10">
        <v>23</v>
      </c>
      <c r="F4">
        <f>$B$68+$B$69*C4+$B$70*D4</f>
        <v>75.145199295924542</v>
      </c>
      <c r="G4">
        <f t="shared" si="0"/>
        <v>-3.3548007040754584</v>
      </c>
      <c r="H4">
        <f t="shared" si="1"/>
        <v>11.254687764065192</v>
      </c>
      <c r="I4">
        <f t="shared" si="2"/>
        <v>2.3875000000000028</v>
      </c>
      <c r="J4">
        <f t="shared" si="3"/>
        <v>5.7001562500000134</v>
      </c>
    </row>
    <row r="5" spans="1:10">
      <c r="A5" s="13" t="s">
        <v>39</v>
      </c>
      <c r="B5" s="12">
        <v>74.7</v>
      </c>
      <c r="C5" s="16">
        <v>11600</v>
      </c>
      <c r="D5" s="10">
        <v>17.3</v>
      </c>
      <c r="E5" s="10">
        <v>9.33</v>
      </c>
      <c r="F5">
        <f>$B$68+$B$69*C5+$B$70*D5</f>
        <v>73.882289461097869</v>
      </c>
      <c r="G5">
        <f t="shared" si="0"/>
        <v>-0.81771053890213352</v>
      </c>
      <c r="H5">
        <f t="shared" si="1"/>
        <v>0.66865052543161763</v>
      </c>
      <c r="I5">
        <f t="shared" si="2"/>
        <v>-1.4124999999999943</v>
      </c>
      <c r="J5">
        <f t="shared" si="3"/>
        <v>1.995156249999984</v>
      </c>
    </row>
    <row r="6" spans="1:10">
      <c r="A6" s="13" t="s">
        <v>40</v>
      </c>
      <c r="B6" s="10">
        <v>83.6</v>
      </c>
      <c r="C6" s="16">
        <v>49900</v>
      </c>
      <c r="D6" s="10">
        <v>3.4</v>
      </c>
      <c r="E6" s="10">
        <v>3.07</v>
      </c>
      <c r="F6">
        <f>$B$68+$B$69*C6+$B$70*D6</f>
        <v>80.703326811642739</v>
      </c>
      <c r="G6">
        <f t="shared" si="0"/>
        <v>-2.896673188357255</v>
      </c>
      <c r="H6">
        <f t="shared" si="1"/>
        <v>8.3907155601477843</v>
      </c>
      <c r="I6">
        <f t="shared" si="2"/>
        <v>7.4874999999999972</v>
      </c>
      <c r="J6">
        <f t="shared" si="3"/>
        <v>56.062656249999961</v>
      </c>
    </row>
    <row r="7" spans="1:10">
      <c r="A7" s="13" t="s">
        <v>41</v>
      </c>
      <c r="B7" s="10">
        <v>83.8</v>
      </c>
      <c r="C7" s="16">
        <v>60000</v>
      </c>
      <c r="D7" s="10">
        <v>2.5</v>
      </c>
      <c r="E7" s="10">
        <v>5.32</v>
      </c>
      <c r="F7">
        <f>$B$68+$B$69*C7+$B$70*D7</f>
        <v>81.916586513822537</v>
      </c>
      <c r="G7">
        <f t="shared" si="0"/>
        <v>-1.8834134861774601</v>
      </c>
      <c r="H7">
        <f t="shared" si="1"/>
        <v>3.5472463599151336</v>
      </c>
      <c r="I7">
        <f t="shared" si="2"/>
        <v>7.6875</v>
      </c>
      <c r="J7">
        <f t="shared" si="3"/>
        <v>59.09765625</v>
      </c>
    </row>
    <row r="8" spans="1:10">
      <c r="A8" s="13" t="s">
        <v>42</v>
      </c>
      <c r="B8" s="10">
        <v>61.3</v>
      </c>
      <c r="C8" s="16">
        <v>1400</v>
      </c>
      <c r="D8" s="10">
        <v>56.1</v>
      </c>
      <c r="E8" s="11">
        <v>4.09</v>
      </c>
      <c r="F8">
        <f>$B$68+$B$69*C8+$B$70*D8</f>
        <v>64.634984827399691</v>
      </c>
      <c r="G8">
        <f t="shared" si="0"/>
        <v>3.334984827399694</v>
      </c>
      <c r="H8">
        <f t="shared" si="1"/>
        <v>11.122123798986166</v>
      </c>
      <c r="I8">
        <f t="shared" si="2"/>
        <v>-14.8125</v>
      </c>
      <c r="J8">
        <f t="shared" si="3"/>
        <v>219.41015625</v>
      </c>
    </row>
    <row r="9" spans="1:10">
      <c r="A9" s="13" t="s">
        <v>43</v>
      </c>
      <c r="B9" s="10">
        <v>75.5</v>
      </c>
      <c r="C9" s="16">
        <v>5500</v>
      </c>
      <c r="D9" s="10">
        <v>17.8</v>
      </c>
      <c r="E9" s="10">
        <v>9.84</v>
      </c>
      <c r="F9">
        <f>$B$68+$B$69*C9+$B$70*D9</f>
        <v>73.158751787222855</v>
      </c>
      <c r="G9">
        <f t="shared" si="0"/>
        <v>-2.3412482127771455</v>
      </c>
      <c r="H9">
        <f t="shared" si="1"/>
        <v>5.4814431938321775</v>
      </c>
      <c r="I9">
        <f t="shared" si="2"/>
        <v>-0.61249999999999716</v>
      </c>
      <c r="J9">
        <f t="shared" si="3"/>
        <v>0.37515624999999653</v>
      </c>
    </row>
    <row r="10" spans="1:10">
      <c r="A10" s="13" t="s">
        <v>44</v>
      </c>
      <c r="B10" s="10">
        <v>75.8</v>
      </c>
      <c r="C10" s="16">
        <v>10300</v>
      </c>
      <c r="D10" s="10">
        <v>5.8</v>
      </c>
      <c r="E10" s="10">
        <v>2.04</v>
      </c>
      <c r="F10">
        <f>$B$68+$B$69*C10+$B$70*D10</f>
        <v>76.18535085953485</v>
      </c>
      <c r="G10">
        <f t="shared" si="0"/>
        <v>0.38535085953485293</v>
      </c>
      <c r="H10">
        <f t="shared" si="1"/>
        <v>0.14849528494424996</v>
      </c>
      <c r="I10">
        <f t="shared" si="2"/>
        <v>-0.3125</v>
      </c>
      <c r="J10">
        <f t="shared" si="3"/>
        <v>9.765625E-2</v>
      </c>
    </row>
    <row r="11" spans="1:10">
      <c r="A11" s="13" t="s">
        <v>45</v>
      </c>
      <c r="B11" s="10">
        <v>82.5</v>
      </c>
      <c r="C11" s="16">
        <v>45900</v>
      </c>
      <c r="D11" s="10">
        <v>9.9</v>
      </c>
      <c r="E11" s="10">
        <v>8.41</v>
      </c>
      <c r="F11">
        <f>$B$68+$B$69*C11+$B$70*D11</f>
        <v>78.922156077269193</v>
      </c>
      <c r="G11">
        <f t="shared" si="0"/>
        <v>-3.577843922730807</v>
      </c>
      <c r="H11">
        <f t="shared" si="1"/>
        <v>12.800967135421768</v>
      </c>
      <c r="I11">
        <f t="shared" si="2"/>
        <v>6.3875000000000028</v>
      </c>
      <c r="J11">
        <f t="shared" si="3"/>
        <v>40.800156250000036</v>
      </c>
    </row>
    <row r="12" spans="1:10">
      <c r="A12" s="13" t="s">
        <v>46</v>
      </c>
      <c r="B12" s="10">
        <v>77.2</v>
      </c>
      <c r="C12" s="16">
        <v>33800</v>
      </c>
      <c r="D12" s="10">
        <v>3.2</v>
      </c>
      <c r="E12" s="10">
        <v>1.85</v>
      </c>
      <c r="F12">
        <f>$B$68+$B$69*C12+$B$70*D12</f>
        <v>79.115396001483958</v>
      </c>
      <c r="G12">
        <f t="shared" si="0"/>
        <v>1.9153960014839555</v>
      </c>
      <c r="H12">
        <f t="shared" si="1"/>
        <v>3.668741842500725</v>
      </c>
      <c r="I12">
        <f t="shared" si="2"/>
        <v>1.0875000000000057</v>
      </c>
      <c r="J12">
        <f t="shared" si="3"/>
        <v>1.1826562500000124</v>
      </c>
    </row>
    <row r="13" spans="1:10">
      <c r="A13" s="13" t="s">
        <v>47</v>
      </c>
      <c r="B13" s="10">
        <v>75.400000000000006</v>
      </c>
      <c r="C13" s="16">
        <v>14100</v>
      </c>
      <c r="D13" s="10">
        <v>5.2</v>
      </c>
      <c r="E13" s="10">
        <v>10.74</v>
      </c>
      <c r="F13">
        <f>$B$68+$B$69*C13+$B$70*D13</f>
        <v>76.69716362500391</v>
      </c>
      <c r="G13">
        <f t="shared" si="0"/>
        <v>1.297163625003904</v>
      </c>
      <c r="H13">
        <f t="shared" si="1"/>
        <v>1.682633470033269</v>
      </c>
      <c r="I13">
        <f t="shared" si="2"/>
        <v>-0.71249999999999147</v>
      </c>
      <c r="J13">
        <f t="shared" si="3"/>
        <v>0.50765624999998782</v>
      </c>
    </row>
    <row r="14" spans="1:10">
      <c r="A14" s="13" t="s">
        <v>48</v>
      </c>
      <c r="B14" s="10">
        <v>75.599999999999994</v>
      </c>
      <c r="C14" s="16">
        <v>56600</v>
      </c>
      <c r="D14" s="10">
        <v>9.9</v>
      </c>
      <c r="E14" s="10">
        <v>4.01</v>
      </c>
      <c r="F14">
        <f>$B$68+$B$69*C14+$B$70*D14</f>
        <v>80.005629697165844</v>
      </c>
      <c r="G14">
        <f t="shared" si="0"/>
        <v>4.4056296971658497</v>
      </c>
      <c r="H14">
        <f t="shared" si="1"/>
        <v>19.409573028549659</v>
      </c>
      <c r="I14">
        <f t="shared" si="2"/>
        <v>-0.51250000000000284</v>
      </c>
      <c r="J14">
        <f t="shared" si="3"/>
        <v>0.26265625000000292</v>
      </c>
    </row>
    <row r="15" spans="1:10">
      <c r="A15" s="13" t="s">
        <v>49</v>
      </c>
      <c r="B15" s="10">
        <v>68.900000000000006</v>
      </c>
      <c r="C15" s="16">
        <v>12500</v>
      </c>
      <c r="D15" s="10">
        <v>57.2</v>
      </c>
      <c r="E15" s="10">
        <v>4.83</v>
      </c>
      <c r="F15">
        <f>$B$68+$B$69*C15+$B$70*D15</f>
        <v>65.526077941123816</v>
      </c>
      <c r="G15">
        <f t="shared" si="0"/>
        <v>-3.3739220588761896</v>
      </c>
      <c r="H15">
        <f t="shared" si="1"/>
        <v>11.383350059371345</v>
      </c>
      <c r="I15">
        <f t="shared" si="2"/>
        <v>-7.2124999999999915</v>
      </c>
      <c r="J15">
        <f t="shared" si="3"/>
        <v>52.020156249999879</v>
      </c>
    </row>
    <row r="16" spans="1:10">
      <c r="A16" s="13" t="s">
        <v>50</v>
      </c>
      <c r="B16" s="10">
        <v>77.099999999999994</v>
      </c>
      <c r="C16" s="16">
        <v>10400</v>
      </c>
      <c r="D16" s="10">
        <v>11.6</v>
      </c>
      <c r="E16" s="10">
        <v>16.82</v>
      </c>
      <c r="F16">
        <f>$B$68+$B$69*C16+$B$70*D16</f>
        <v>74.967541945937626</v>
      </c>
      <c r="G16">
        <f t="shared" si="0"/>
        <v>-2.1324580540623685</v>
      </c>
      <c r="H16">
        <f t="shared" si="1"/>
        <v>4.5473773523354639</v>
      </c>
      <c r="I16">
        <f t="shared" si="2"/>
        <v>0.98749999999999716</v>
      </c>
      <c r="J16">
        <f t="shared" si="3"/>
        <v>0.9751562499999944</v>
      </c>
    </row>
    <row r="17" spans="1:10">
      <c r="A17" s="13" t="s">
        <v>51</v>
      </c>
      <c r="B17" s="10">
        <v>79.7</v>
      </c>
      <c r="C17" s="16">
        <v>6600</v>
      </c>
      <c r="D17" s="10">
        <v>10.5</v>
      </c>
      <c r="E17" s="10">
        <v>5.98</v>
      </c>
      <c r="F17">
        <f>$B$68+$B$69*C17+$B$70*D17</f>
        <v>74.815641114946729</v>
      </c>
      <c r="G17">
        <f t="shared" si="0"/>
        <v>-4.884358885053274</v>
      </c>
      <c r="H17">
        <f t="shared" si="1"/>
        <v>23.85696171799886</v>
      </c>
      <c r="I17">
        <f t="shared" si="2"/>
        <v>3.5875000000000057</v>
      </c>
      <c r="J17">
        <f t="shared" si="3"/>
        <v>12.87015625000004</v>
      </c>
    </row>
    <row r="18" spans="1:10">
      <c r="A18" s="13" t="s">
        <v>52</v>
      </c>
      <c r="B18" s="10">
        <v>81.7</v>
      </c>
      <c r="C18" s="16">
        <v>54000</v>
      </c>
      <c r="D18" s="10">
        <v>4</v>
      </c>
      <c r="E18" s="10">
        <v>3.54</v>
      </c>
      <c r="F18">
        <f>$B$68+$B$69*C18+$B$70*D18</f>
        <v>80.991461858994569</v>
      </c>
      <c r="G18">
        <f t="shared" si="0"/>
        <v>-0.70853814100543389</v>
      </c>
      <c r="H18">
        <f t="shared" si="1"/>
        <v>0.50202629725943615</v>
      </c>
      <c r="I18">
        <f t="shared" si="2"/>
        <v>5.5875000000000057</v>
      </c>
      <c r="J18">
        <f t="shared" si="3"/>
        <v>31.220156250000063</v>
      </c>
    </row>
    <row r="19" spans="1:10">
      <c r="A19" s="13" t="s">
        <v>53</v>
      </c>
      <c r="B19" s="10">
        <v>76.2</v>
      </c>
      <c r="C19" s="16">
        <v>32100</v>
      </c>
      <c r="D19" s="10">
        <v>4.8</v>
      </c>
      <c r="E19" s="10">
        <v>7.6</v>
      </c>
      <c r="F19">
        <f>$B$68+$B$69*C19+$B$70*D19</f>
        <v>78.604514688687502</v>
      </c>
      <c r="G19">
        <f t="shared" si="0"/>
        <v>2.4045146886874988</v>
      </c>
      <c r="H19">
        <f t="shared" si="1"/>
        <v>5.7816908881139391</v>
      </c>
      <c r="I19">
        <f t="shared" si="2"/>
        <v>8.7500000000005684E-2</v>
      </c>
      <c r="J19">
        <f t="shared" si="3"/>
        <v>7.6562500000009947E-3</v>
      </c>
    </row>
    <row r="20" spans="1:10">
      <c r="A20" s="13" t="s">
        <v>54</v>
      </c>
      <c r="B20" s="10">
        <v>78.3</v>
      </c>
      <c r="C20" s="16">
        <v>40700</v>
      </c>
      <c r="D20" s="10">
        <v>3</v>
      </c>
      <c r="E20" s="10">
        <v>2.89</v>
      </c>
      <c r="F20">
        <f>$B$68+$B$69*C20+$B$70*D20</f>
        <v>79.856427178018933</v>
      </c>
      <c r="G20">
        <f t="shared" si="0"/>
        <v>1.5564271780189358</v>
      </c>
      <c r="H20">
        <f t="shared" si="1"/>
        <v>2.4224655604759882</v>
      </c>
      <c r="I20">
        <f t="shared" si="2"/>
        <v>2.1875</v>
      </c>
      <c r="J20">
        <f t="shared" si="3"/>
        <v>4.78515625</v>
      </c>
    </row>
    <row r="21" spans="1:10">
      <c r="A21" s="13" t="s">
        <v>55</v>
      </c>
      <c r="B21" s="10">
        <v>78.099999999999994</v>
      </c>
      <c r="C21" s="16">
        <v>38700</v>
      </c>
      <c r="D21" s="10">
        <v>5</v>
      </c>
      <c r="E21" s="10">
        <v>6.33</v>
      </c>
      <c r="F21">
        <f>$B$68+$B$69*C21+$B$70*D21</f>
        <v>79.23048293912494</v>
      </c>
      <c r="G21">
        <f t="shared" si="0"/>
        <v>1.1304829391249456</v>
      </c>
      <c r="H21">
        <f t="shared" si="1"/>
        <v>1.2779916756525753</v>
      </c>
      <c r="I21">
        <f t="shared" si="2"/>
        <v>1.9874999999999972</v>
      </c>
      <c r="J21">
        <f t="shared" si="3"/>
        <v>3.9501562499999885</v>
      </c>
    </row>
    <row r="22" spans="1:10">
      <c r="A22" s="13" t="s">
        <v>56</v>
      </c>
      <c r="B22" s="10">
        <v>82.1</v>
      </c>
      <c r="C22" s="16">
        <v>51700</v>
      </c>
      <c r="D22" s="10">
        <v>3.2</v>
      </c>
      <c r="E22" s="10">
        <v>6.42</v>
      </c>
      <c r="F22">
        <f>$B$68+$B$69*C22+$B$70*D22</f>
        <v>80.927935982432572</v>
      </c>
      <c r="G22">
        <f t="shared" si="0"/>
        <v>-1.172064017567422</v>
      </c>
      <c r="H22">
        <f t="shared" si="1"/>
        <v>1.3737340612762861</v>
      </c>
      <c r="I22">
        <f t="shared" si="2"/>
        <v>5.9874999999999972</v>
      </c>
      <c r="J22">
        <f t="shared" si="3"/>
        <v>35.850156249999969</v>
      </c>
    </row>
    <row r="23" spans="1:10">
      <c r="A23" s="13" t="s">
        <v>57</v>
      </c>
      <c r="B23" s="10">
        <v>82.3</v>
      </c>
      <c r="C23" s="16">
        <v>80300</v>
      </c>
      <c r="D23" s="10">
        <v>2.2000000000000002</v>
      </c>
      <c r="E23" s="10">
        <v>7</v>
      </c>
      <c r="F23">
        <f>$B$68+$B$69*C23+$B$70*D23</f>
        <v>84.035662485912056</v>
      </c>
      <c r="G23">
        <f t="shared" si="0"/>
        <v>1.7356624859120586</v>
      </c>
      <c r="H23">
        <f t="shared" si="1"/>
        <v>3.0125242650024271</v>
      </c>
      <c r="I23">
        <f t="shared" si="2"/>
        <v>6.1875</v>
      </c>
      <c r="J23">
        <f t="shared" si="3"/>
        <v>38.28515625</v>
      </c>
    </row>
    <row r="24" spans="1:10">
      <c r="A24" s="13" t="s">
        <v>58</v>
      </c>
      <c r="B24" s="10">
        <v>79.599999999999994</v>
      </c>
      <c r="C24" s="16">
        <v>21200</v>
      </c>
      <c r="D24" s="10">
        <v>7</v>
      </c>
      <c r="E24" s="10">
        <v>17.95</v>
      </c>
      <c r="F24">
        <f>$B$68+$B$69*C24+$B$70*D24</f>
        <v>77.035020839632992</v>
      </c>
      <c r="G24">
        <f t="shared" si="0"/>
        <v>-2.5649791603670025</v>
      </c>
      <c r="H24">
        <f t="shared" si="1"/>
        <v>6.579118093117013</v>
      </c>
      <c r="I24">
        <f t="shared" si="2"/>
        <v>3.4874999999999972</v>
      </c>
      <c r="J24">
        <f t="shared" si="3"/>
        <v>12.16265624999998</v>
      </c>
    </row>
    <row r="25" spans="1:10">
      <c r="A25" s="13" t="s">
        <v>59</v>
      </c>
      <c r="B25" s="10">
        <v>71.900000000000006</v>
      </c>
      <c r="C25" s="16">
        <v>18600</v>
      </c>
      <c r="D25" s="10">
        <v>22.7</v>
      </c>
      <c r="E25" s="10">
        <v>8.5</v>
      </c>
      <c r="F25">
        <f>$B$68+$B$69*C25+$B$70*D25</f>
        <v>73.447854304562469</v>
      </c>
      <c r="G25">
        <f t="shared" si="0"/>
        <v>1.5478543045624633</v>
      </c>
      <c r="H25">
        <f t="shared" si="1"/>
        <v>2.3958529481525468</v>
      </c>
      <c r="I25">
        <f t="shared" si="2"/>
        <v>-4.2124999999999915</v>
      </c>
      <c r="J25">
        <f t="shared" si="3"/>
        <v>17.74515624999993</v>
      </c>
    </row>
    <row r="26" spans="1:10">
      <c r="A26" s="13" t="s">
        <v>60</v>
      </c>
      <c r="B26" s="10">
        <v>68.599999999999994</v>
      </c>
      <c r="C26" s="17">
        <v>7800</v>
      </c>
      <c r="D26" s="10">
        <v>36.6</v>
      </c>
      <c r="E26" s="10">
        <v>1.26</v>
      </c>
      <c r="F26">
        <f>$B$68+$B$69*C26+$B$70*D26</f>
        <v>69.411445416368807</v>
      </c>
      <c r="G26">
        <f t="shared" si="0"/>
        <v>0.81144541636881229</v>
      </c>
      <c r="H26">
        <f t="shared" si="1"/>
        <v>0.65844366374595509</v>
      </c>
      <c r="I26">
        <f t="shared" si="2"/>
        <v>-7.5125000000000028</v>
      </c>
      <c r="J26">
        <f t="shared" si="3"/>
        <v>56.437656250000046</v>
      </c>
    </row>
    <row r="27" spans="1:10">
      <c r="A27" s="13" t="s">
        <v>61</v>
      </c>
      <c r="B27" s="10">
        <v>54.1</v>
      </c>
      <c r="C27" s="16">
        <v>1500</v>
      </c>
      <c r="D27" s="10">
        <v>103.1</v>
      </c>
      <c r="E27" s="10">
        <v>13.28</v>
      </c>
      <c r="F27">
        <f>$B$68+$B$69*C27+$B$70*D27</f>
        <v>54.694604325272415</v>
      </c>
      <c r="G27">
        <f t="shared" si="0"/>
        <v>0.5946043252724138</v>
      </c>
      <c r="H27">
        <f t="shared" si="1"/>
        <v>0.35355430363266249</v>
      </c>
      <c r="I27">
        <f t="shared" si="2"/>
        <v>-22.012499999999996</v>
      </c>
      <c r="J27">
        <f t="shared" si="3"/>
        <v>484.55015624999982</v>
      </c>
    </row>
    <row r="28" spans="1:10">
      <c r="A28" s="13" t="s">
        <v>62</v>
      </c>
      <c r="B28" s="10">
        <v>77.400000000000006</v>
      </c>
      <c r="C28" s="16">
        <v>22000</v>
      </c>
      <c r="D28" s="10">
        <v>11</v>
      </c>
      <c r="E28" s="10">
        <v>19.579999999999998</v>
      </c>
      <c r="F28">
        <f>$B$68+$B$69*C28+$B$70*D28</f>
        <v>76.26917660254631</v>
      </c>
      <c r="G28">
        <f t="shared" si="0"/>
        <v>-1.1308233974536961</v>
      </c>
      <c r="H28">
        <f t="shared" si="1"/>
        <v>1.27876155622872</v>
      </c>
      <c r="I28">
        <f t="shared" si="2"/>
        <v>1.2875000000000085</v>
      </c>
      <c r="J28">
        <f t="shared" si="3"/>
        <v>1.657656250000022</v>
      </c>
    </row>
    <row r="29" spans="1:10">
      <c r="A29" s="13" t="s">
        <v>63</v>
      </c>
      <c r="B29" s="10">
        <v>70</v>
      </c>
      <c r="C29" s="16">
        <v>5200</v>
      </c>
      <c r="D29" s="10">
        <v>52.7</v>
      </c>
      <c r="E29" s="10">
        <v>4.3499999999999996</v>
      </c>
      <c r="F29">
        <f>$B$68+$B$69*C29+$B$70*D29</f>
        <v>65.739593720244571</v>
      </c>
      <c r="G29">
        <f t="shared" si="0"/>
        <v>-4.2604062797554292</v>
      </c>
      <c r="H29">
        <f t="shared" si="1"/>
        <v>18.151061668579498</v>
      </c>
      <c r="I29">
        <f t="shared" si="2"/>
        <v>-6.1124999999999972</v>
      </c>
      <c r="J29">
        <f t="shared" si="3"/>
        <v>37.362656249999965</v>
      </c>
    </row>
    <row r="30" spans="1:10">
      <c r="A30" s="13" t="s">
        <v>64</v>
      </c>
      <c r="B30" s="10">
        <v>74.599999999999994</v>
      </c>
      <c r="C30" s="16">
        <v>19800</v>
      </c>
      <c r="D30" s="10">
        <v>2.1</v>
      </c>
      <c r="E30" s="10">
        <v>4.74</v>
      </c>
      <c r="F30">
        <f>$B$68+$B$69*C30+$B$70*D30</f>
        <v>77.930651159002807</v>
      </c>
      <c r="G30">
        <f t="shared" si="0"/>
        <v>3.3306511590028123</v>
      </c>
      <c r="H30">
        <f t="shared" si="1"/>
        <v>11.093237142966776</v>
      </c>
      <c r="I30">
        <f t="shared" si="2"/>
        <v>-1.5125000000000028</v>
      </c>
      <c r="J30">
        <f t="shared" si="3"/>
        <v>2.2876562500000084</v>
      </c>
    </row>
    <row r="31" spans="1:10">
      <c r="A31" s="13" t="s">
        <v>65</v>
      </c>
      <c r="B31" s="10">
        <v>83</v>
      </c>
      <c r="C31" s="17">
        <v>65700</v>
      </c>
      <c r="D31" s="10">
        <v>1.8</v>
      </c>
      <c r="E31" s="10">
        <v>4.99</v>
      </c>
      <c r="F31">
        <f>$B$68+$B$69*C31+$B$70*D31</f>
        <v>82.641963081499284</v>
      </c>
      <c r="G31">
        <f t="shared" si="0"/>
        <v>-0.35803691850071573</v>
      </c>
      <c r="H31">
        <f t="shared" si="1"/>
        <v>0.12819043500948815</v>
      </c>
      <c r="I31">
        <f t="shared" si="2"/>
        <v>6.8875000000000028</v>
      </c>
      <c r="J31">
        <f t="shared" si="3"/>
        <v>47.437656250000039</v>
      </c>
    </row>
    <row r="32" spans="1:10">
      <c r="A32" s="14" t="s">
        <v>66</v>
      </c>
      <c r="B32" s="10">
        <v>72</v>
      </c>
      <c r="C32" s="16">
        <v>27500</v>
      </c>
      <c r="D32" s="10">
        <v>6.6</v>
      </c>
      <c r="E32" s="10">
        <v>5.01</v>
      </c>
      <c r="F32">
        <f>$B$68+$B$69*C32+$B$70*D32</f>
        <v>77.75763906660714</v>
      </c>
      <c r="G32">
        <f t="shared" si="0"/>
        <v>5.7576390666071404</v>
      </c>
      <c r="H32">
        <f t="shared" si="1"/>
        <v>33.150407621320745</v>
      </c>
      <c r="I32">
        <f t="shared" si="2"/>
        <v>-4.1124999999999972</v>
      </c>
      <c r="J32">
        <f t="shared" si="3"/>
        <v>16.912656249999976</v>
      </c>
    </row>
    <row r="33" spans="1:11">
      <c r="A33" s="13" t="s">
        <v>67</v>
      </c>
      <c r="B33" s="10">
        <v>73</v>
      </c>
      <c r="C33" s="16">
        <v>26100</v>
      </c>
      <c r="D33" s="10">
        <v>8.1</v>
      </c>
      <c r="E33" s="10">
        <v>4.9000000000000004</v>
      </c>
      <c r="F33">
        <f>$B$68+$B$69*C33+$B$70*D33</f>
        <v>77.298306809117932</v>
      </c>
      <c r="G33">
        <f t="shared" si="0"/>
        <v>4.2983068091179319</v>
      </c>
      <c r="H33">
        <f t="shared" si="1"/>
        <v>18.47544142530958</v>
      </c>
      <c r="I33">
        <f t="shared" si="2"/>
        <v>-3.1124999999999972</v>
      </c>
      <c r="J33">
        <f t="shared" si="3"/>
        <v>9.6876562499999821</v>
      </c>
    </row>
    <row r="34" spans="1:11">
      <c r="A34" s="13" t="s">
        <v>68</v>
      </c>
      <c r="B34" s="10">
        <v>75.099999999999994</v>
      </c>
      <c r="C34" s="16">
        <v>19800</v>
      </c>
      <c r="D34" s="10">
        <v>4.5999999999999996</v>
      </c>
      <c r="E34" s="10">
        <v>11.81</v>
      </c>
      <c r="F34">
        <f>$B$68+$B$69*C34+$B$70*D34</f>
        <v>77.401368902417246</v>
      </c>
      <c r="G34">
        <f t="shared" si="0"/>
        <v>2.3013689024172521</v>
      </c>
      <c r="H34">
        <f t="shared" si="1"/>
        <v>5.2962988250131877</v>
      </c>
      <c r="I34">
        <f t="shared" si="2"/>
        <v>-1.0125000000000028</v>
      </c>
      <c r="J34">
        <f t="shared" si="3"/>
        <v>1.0251562500000058</v>
      </c>
    </row>
    <row r="35" spans="1:11">
      <c r="A35" s="13" t="s">
        <v>69</v>
      </c>
      <c r="B35" s="10">
        <v>84</v>
      </c>
      <c r="C35" s="17">
        <v>47900</v>
      </c>
      <c r="D35" s="10">
        <v>4.3</v>
      </c>
      <c r="E35" s="11">
        <v>7.51</v>
      </c>
      <c r="F35">
        <f>$B$68+$B$69*C35+$B$70*D35</f>
        <v>80.310266765646404</v>
      </c>
      <c r="G35">
        <f t="shared" si="0"/>
        <v>-3.6897332343535965</v>
      </c>
      <c r="H35">
        <f t="shared" si="1"/>
        <v>13.614131340693453</v>
      </c>
      <c r="I35">
        <f t="shared" si="2"/>
        <v>7.8875000000000028</v>
      </c>
      <c r="J35">
        <f t="shared" si="3"/>
        <v>62.212656250000045</v>
      </c>
    </row>
    <row r="36" spans="1:11">
      <c r="A36" s="13" t="s">
        <v>70</v>
      </c>
      <c r="B36" s="10">
        <v>82.8</v>
      </c>
      <c r="C36" s="17">
        <v>53600</v>
      </c>
      <c r="D36" s="10">
        <v>2.2999999999999998</v>
      </c>
      <c r="E36" s="11">
        <v>8.66</v>
      </c>
      <c r="F36">
        <f>$B$68+$B$69*C36+$B$70*D36</f>
        <v>81.310870106747643</v>
      </c>
      <c r="G36">
        <f t="shared" si="0"/>
        <v>-1.489129893252354</v>
      </c>
      <c r="H36">
        <f t="shared" si="1"/>
        <v>2.2175078389777672</v>
      </c>
      <c r="I36">
        <f t="shared" si="2"/>
        <v>6.6875</v>
      </c>
      <c r="J36">
        <f t="shared" si="3"/>
        <v>44.72265625</v>
      </c>
    </row>
    <row r="37" spans="1:11">
      <c r="A37" s="13" t="s">
        <v>71</v>
      </c>
      <c r="B37" s="10">
        <v>61.8</v>
      </c>
      <c r="C37" s="17">
        <v>4900</v>
      </c>
      <c r="D37" s="10">
        <v>55.2</v>
      </c>
      <c r="E37" s="11">
        <v>9.7899999999999991</v>
      </c>
      <c r="F37">
        <f>$B$68+$B$69*C37+$B$70*D37</f>
        <v>65.179933698615187</v>
      </c>
      <c r="G37">
        <f t="shared" si="0"/>
        <v>3.37993369861519</v>
      </c>
      <c r="H37">
        <f t="shared" si="1"/>
        <v>11.423951807034557</v>
      </c>
      <c r="I37">
        <f t="shared" si="2"/>
        <v>-14.3125</v>
      </c>
      <c r="J37">
        <f t="shared" si="3"/>
        <v>204.84765625</v>
      </c>
    </row>
    <row r="38" spans="1:11">
      <c r="A38" s="13" t="s">
        <v>72</v>
      </c>
      <c r="B38" s="10">
        <v>83.3</v>
      </c>
      <c r="C38" s="16">
        <v>49800</v>
      </c>
      <c r="D38" s="10">
        <v>3</v>
      </c>
      <c r="E38" s="11">
        <v>5.1100000000000003</v>
      </c>
      <c r="F38">
        <f>$B$68+$B$69*C38+$B$70*D38</f>
        <v>80.777886051015159</v>
      </c>
      <c r="G38">
        <f t="shared" si="0"/>
        <v>-2.5221139489848383</v>
      </c>
      <c r="H38">
        <f t="shared" si="1"/>
        <v>6.3610587716638953</v>
      </c>
      <c r="I38">
        <f t="shared" si="2"/>
        <v>7.1875</v>
      </c>
      <c r="J38">
        <f t="shared" si="3"/>
        <v>51.66015625</v>
      </c>
    </row>
    <row r="39" spans="1:11">
      <c r="A39" s="13" t="s">
        <v>73</v>
      </c>
      <c r="B39" s="10">
        <v>78.2</v>
      </c>
      <c r="C39" s="16">
        <v>17600</v>
      </c>
      <c r="D39" s="10">
        <v>6.5</v>
      </c>
      <c r="E39" s="11">
        <v>4.82</v>
      </c>
      <c r="F39">
        <f>$B$68+$B$69*C39+$B$70*D39</f>
        <v>76.77634411042412</v>
      </c>
      <c r="G39">
        <f t="shared" si="0"/>
        <v>-1.4236558895758833</v>
      </c>
      <c r="H39">
        <f t="shared" si="1"/>
        <v>2.0267960919240995</v>
      </c>
      <c r="I39">
        <f t="shared" si="2"/>
        <v>2.0875000000000057</v>
      </c>
      <c r="J39">
        <f t="shared" si="3"/>
        <v>4.3576562500000238</v>
      </c>
    </row>
    <row r="40" spans="1:11">
      <c r="A40" s="13" t="s">
        <v>74</v>
      </c>
      <c r="B40" s="10">
        <v>75.8</v>
      </c>
      <c r="C40" s="16">
        <v>34900</v>
      </c>
      <c r="D40" s="10">
        <v>5.0999999999999996</v>
      </c>
      <c r="E40" s="11">
        <v>3.37</v>
      </c>
      <c r="F40">
        <f>$B$68+$B$69*C40+$B$70*D40</f>
        <v>78.824526624972989</v>
      </c>
      <c r="G40">
        <f t="shared" si="0"/>
        <v>3.0245266249729923</v>
      </c>
      <c r="H40">
        <f t="shared" si="1"/>
        <v>9.1477613051705191</v>
      </c>
      <c r="I40">
        <f t="shared" si="2"/>
        <v>-0.3125</v>
      </c>
      <c r="J40">
        <f t="shared" si="3"/>
        <v>9.765625E-2</v>
      </c>
    </row>
    <row r="41" spans="1:11">
      <c r="A41" s="13" t="s">
        <v>75</v>
      </c>
      <c r="B41" s="10">
        <v>73.5</v>
      </c>
      <c r="C41" s="16">
        <v>19100</v>
      </c>
      <c r="D41" s="10">
        <v>12</v>
      </c>
      <c r="E41" s="11">
        <v>4.38</v>
      </c>
      <c r="F41">
        <f>$B$68+$B$69*C41+$B$70*D41</f>
        <v>75.76381197115505</v>
      </c>
      <c r="G41">
        <f t="shared" si="0"/>
        <v>2.2638119711550502</v>
      </c>
      <c r="H41">
        <f t="shared" si="1"/>
        <v>5.1248446407449135</v>
      </c>
      <c r="I41">
        <f t="shared" si="2"/>
        <v>-2.6124999999999972</v>
      </c>
      <c r="J41">
        <f t="shared" si="3"/>
        <v>6.8251562499999849</v>
      </c>
    </row>
    <row r="42" spans="1:11">
      <c r="A42" s="13" t="s">
        <v>16</v>
      </c>
      <c r="B42">
        <f>SUM(B2:B41)</f>
        <v>3044.5</v>
      </c>
      <c r="F42">
        <f>SUM(F2:F41)</f>
        <v>3044.5</v>
      </c>
      <c r="G42">
        <f>SUM(G2:G41)</f>
        <v>8.5265128291212022E-14</v>
      </c>
      <c r="H42">
        <f>SUM(H2:H41)</f>
        <v>281.1789613013645</v>
      </c>
      <c r="J42">
        <f>SUM(J2:J41)</f>
        <v>1644.4837499999996</v>
      </c>
    </row>
    <row r="43" spans="1:11">
      <c r="A43" s="13" t="s">
        <v>3</v>
      </c>
      <c r="B43">
        <f>B42/COUNT(B2:B41)</f>
        <v>76.112499999999997</v>
      </c>
    </row>
    <row r="44" spans="1:11" ht="17" thickBot="1"/>
    <row r="45" spans="1:11">
      <c r="A45" s="9"/>
      <c r="B45" s="9" t="s">
        <v>32</v>
      </c>
      <c r="C45" s="9" t="s">
        <v>33</v>
      </c>
      <c r="D45" s="9" t="s">
        <v>34</v>
      </c>
      <c r="E45" s="9" t="s">
        <v>35</v>
      </c>
      <c r="H45" s="19" t="s">
        <v>103</v>
      </c>
      <c r="I45">
        <f>SQRT(1 - H42/J42)</f>
        <v>0.91050364120434146</v>
      </c>
    </row>
    <row r="46" spans="1:11">
      <c r="A46" t="s">
        <v>32</v>
      </c>
      <c r="B46">
        <v>1</v>
      </c>
      <c r="H46" s="20" t="s">
        <v>91</v>
      </c>
      <c r="I46">
        <f>B55^2/(1-B55^2) * (COUNT(B2:B41) - 2 - 1)/2</f>
        <v>89.697815491582958</v>
      </c>
    </row>
    <row r="47" spans="1:11">
      <c r="A47" t="s">
        <v>33</v>
      </c>
      <c r="B47">
        <v>0.70939564092470109</v>
      </c>
      <c r="C47">
        <v>1</v>
      </c>
      <c r="H47" t="s">
        <v>23</v>
      </c>
      <c r="I47">
        <v>3.25</v>
      </c>
      <c r="K47" t="s">
        <v>106</v>
      </c>
    </row>
    <row r="48" spans="1:11">
      <c r="A48" t="s">
        <v>34</v>
      </c>
      <c r="B48">
        <v>-3.3041693877180214E-2</v>
      </c>
      <c r="C48">
        <v>-0.27653703993978662</v>
      </c>
      <c r="D48">
        <v>1</v>
      </c>
      <c r="H48" t="s">
        <v>108</v>
      </c>
      <c r="I48">
        <f>SQRT(($B$55^2-B47^2)/(1-$B$55^2) * 37)</f>
        <v>8.3962028863144766</v>
      </c>
    </row>
    <row r="49" spans="1:9" ht="17" thickBot="1">
      <c r="A49" s="8" t="s">
        <v>35</v>
      </c>
      <c r="B49" s="8">
        <v>-0.87246078842279662</v>
      </c>
      <c r="C49" s="8">
        <v>-0.56726144938439427</v>
      </c>
      <c r="D49" s="8">
        <v>8.6480729332114162E-2</v>
      </c>
      <c r="E49" s="8">
        <v>1</v>
      </c>
      <c r="H49" t="s">
        <v>107</v>
      </c>
      <c r="I49">
        <f>SQRT(($B$55^2-B49^2)/(1-$B$55^2) * 37)</f>
        <v>3.8311761627772345</v>
      </c>
    </row>
    <row r="52" spans="1:9">
      <c r="A52" t="s">
        <v>76</v>
      </c>
    </row>
    <row r="53" spans="1:9" ht="17" thickBot="1"/>
    <row r="54" spans="1:9">
      <c r="A54" s="18" t="s">
        <v>77</v>
      </c>
      <c r="B54" s="18"/>
    </row>
    <row r="55" spans="1:9">
      <c r="A55" t="s">
        <v>78</v>
      </c>
      <c r="B55">
        <v>0.91050364120434146</v>
      </c>
    </row>
    <row r="56" spans="1:9">
      <c r="A56" t="s">
        <v>79</v>
      </c>
      <c r="B56">
        <v>0.82901688064636414</v>
      </c>
    </row>
    <row r="57" spans="1:9">
      <c r="A57" t="s">
        <v>80</v>
      </c>
      <c r="B57">
        <v>0.81977454987049192</v>
      </c>
    </row>
    <row r="58" spans="1:9">
      <c r="A58" t="s">
        <v>81</v>
      </c>
      <c r="B58">
        <v>2.7567066195958114</v>
      </c>
    </row>
    <row r="59" spans="1:9" ht="17" thickBot="1">
      <c r="A59" s="8" t="s">
        <v>82</v>
      </c>
      <c r="B59" s="8">
        <v>40</v>
      </c>
    </row>
    <row r="61" spans="1:9" ht="17" thickBot="1">
      <c r="A61" t="s">
        <v>83</v>
      </c>
    </row>
    <row r="62" spans="1:9">
      <c r="A62" s="9"/>
      <c r="B62" s="9" t="s">
        <v>88</v>
      </c>
      <c r="C62" s="9" t="s">
        <v>89</v>
      </c>
      <c r="D62" s="9" t="s">
        <v>90</v>
      </c>
      <c r="E62" s="9" t="s">
        <v>91</v>
      </c>
      <c r="F62" s="9" t="s">
        <v>92</v>
      </c>
    </row>
    <row r="63" spans="1:9">
      <c r="A63" t="s">
        <v>84</v>
      </c>
      <c r="B63">
        <v>2</v>
      </c>
      <c r="C63">
        <v>1363.3047886986351</v>
      </c>
      <c r="D63">
        <v>681.65239434931755</v>
      </c>
      <c r="E63">
        <v>89.697815491582986</v>
      </c>
      <c r="F63">
        <v>6.4511162002228568E-15</v>
      </c>
    </row>
    <row r="64" spans="1:9">
      <c r="A64" t="s">
        <v>85</v>
      </c>
      <c r="B64">
        <v>37</v>
      </c>
      <c r="C64">
        <v>281.17896130136455</v>
      </c>
      <c r="D64">
        <v>7.5994313865233662</v>
      </c>
    </row>
    <row r="65" spans="1:9" ht="17" thickBot="1">
      <c r="A65" s="8" t="s">
        <v>86</v>
      </c>
      <c r="B65" s="8">
        <v>39</v>
      </c>
      <c r="C65" s="8">
        <v>1644.4837499999996</v>
      </c>
      <c r="D65" s="8"/>
      <c r="E65" s="8"/>
      <c r="F65" s="8"/>
    </row>
    <row r="66" spans="1:9" ht="17" thickBot="1"/>
    <row r="67" spans="1:9">
      <c r="A67" s="9"/>
      <c r="B67" s="9" t="s">
        <v>93</v>
      </c>
      <c r="C67" s="9" t="s">
        <v>81</v>
      </c>
      <c r="D67" s="9" t="s">
        <v>94</v>
      </c>
      <c r="E67" s="9" t="s">
        <v>95</v>
      </c>
      <c r="F67" s="9" t="s">
        <v>96</v>
      </c>
      <c r="G67" s="9" t="s">
        <v>97</v>
      </c>
      <c r="H67" s="9" t="s">
        <v>98</v>
      </c>
      <c r="I67" s="9" t="s">
        <v>99</v>
      </c>
    </row>
    <row r="68" spans="1:9">
      <c r="A68" t="s">
        <v>87</v>
      </c>
      <c r="B68">
        <v>76.370315761641805</v>
      </c>
      <c r="C68">
        <v>1.1220370851746877</v>
      </c>
      <c r="D68">
        <v>68.063985380440315</v>
      </c>
      <c r="E68">
        <v>1.7636763284187626E-40</v>
      </c>
      <c r="F68">
        <v>74.096852676421705</v>
      </c>
      <c r="G68">
        <v>78.643778846861906</v>
      </c>
      <c r="H68">
        <v>74.096852676421705</v>
      </c>
      <c r="I68">
        <v>78.643778846861906</v>
      </c>
    </row>
    <row r="69" spans="1:9">
      <c r="A69" t="s">
        <v>33</v>
      </c>
      <c r="B69">
        <v>1.0125921681277149E-4</v>
      </c>
      <c r="C69">
        <v>2.643032126702525E-5</v>
      </c>
      <c r="D69">
        <v>3.8311761627772403</v>
      </c>
      <c r="E69">
        <v>4.776662682597379E-4</v>
      </c>
      <c r="F69">
        <v>4.7706299066086898E-5</v>
      </c>
      <c r="G69">
        <v>1.5481213455945607E-4</v>
      </c>
      <c r="H69">
        <v>4.7706299066086898E-5</v>
      </c>
      <c r="I69">
        <v>1.5481213455945607E-4</v>
      </c>
    </row>
    <row r="70" spans="1:9" ht="17" thickBot="1">
      <c r="A70" s="8" t="s">
        <v>35</v>
      </c>
      <c r="B70" s="8">
        <v>-0.21171290263422457</v>
      </c>
      <c r="C70" s="8">
        <v>2.5215315244383769E-2</v>
      </c>
      <c r="D70" s="8">
        <v>-8.396202886314482</v>
      </c>
      <c r="E70" s="8">
        <v>4.2835785528540886E-10</v>
      </c>
      <c r="F70" s="8">
        <v>-0.262803984335298</v>
      </c>
      <c r="G70" s="8">
        <v>-0.16062182093315114</v>
      </c>
      <c r="H70" s="8">
        <v>-0.262803984335298</v>
      </c>
      <c r="I70" s="8">
        <v>-0.16062182093315114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C37F-C983-824C-A6C9-80BB079A38E5}">
  <dimension ref="A1:W53"/>
  <sheetViews>
    <sheetView workbookViewId="0">
      <selection activeCell="X53" sqref="X53"/>
    </sheetView>
  </sheetViews>
  <sheetFormatPr baseColWidth="10" defaultRowHeight="16"/>
  <cols>
    <col min="1" max="1" width="47.1640625" customWidth="1"/>
    <col min="2" max="2" width="17.5" customWidth="1"/>
    <col min="14" max="14" width="52.1640625" customWidth="1"/>
    <col min="15" max="15" width="18.6640625" customWidth="1"/>
    <col min="16" max="16" width="17.33203125" customWidth="1"/>
    <col min="17" max="17" width="15.1640625" customWidth="1"/>
  </cols>
  <sheetData>
    <row r="1" spans="1:23" ht="53">
      <c r="A1" s="22" t="s">
        <v>109</v>
      </c>
      <c r="B1" s="23" t="s">
        <v>110</v>
      </c>
      <c r="C1" s="24" t="s">
        <v>111</v>
      </c>
      <c r="D1" s="24" t="s">
        <v>112</v>
      </c>
      <c r="E1" s="24" t="s">
        <v>113</v>
      </c>
      <c r="F1" s="24" t="s">
        <v>114</v>
      </c>
      <c r="G1" s="24" t="s">
        <v>115</v>
      </c>
      <c r="H1" s="24" t="s">
        <v>116</v>
      </c>
      <c r="I1" s="24" t="s">
        <v>117</v>
      </c>
      <c r="J1" s="24" t="s">
        <v>118</v>
      </c>
      <c r="N1" s="22" t="s">
        <v>109</v>
      </c>
      <c r="O1" s="23" t="s">
        <v>110</v>
      </c>
      <c r="P1" s="24" t="s">
        <v>111</v>
      </c>
      <c r="Q1" s="24" t="s">
        <v>118</v>
      </c>
    </row>
    <row r="2" spans="1:23">
      <c r="A2" s="25" t="s">
        <v>119</v>
      </c>
      <c r="B2" s="26">
        <v>18.2</v>
      </c>
      <c r="C2" s="26">
        <v>63</v>
      </c>
      <c r="D2" s="26">
        <v>2</v>
      </c>
      <c r="E2" s="26">
        <v>1</v>
      </c>
      <c r="F2" s="26">
        <v>1</v>
      </c>
      <c r="G2" s="26">
        <v>0</v>
      </c>
      <c r="H2" s="26">
        <v>0</v>
      </c>
      <c r="I2" s="26">
        <v>0</v>
      </c>
      <c r="J2" s="26">
        <v>0</v>
      </c>
      <c r="N2" s="25" t="s">
        <v>119</v>
      </c>
      <c r="O2" s="26">
        <v>18.2</v>
      </c>
      <c r="P2" s="26">
        <v>63</v>
      </c>
      <c r="Q2" s="26">
        <v>0</v>
      </c>
      <c r="R2" s="21"/>
      <c r="S2" s="21"/>
      <c r="T2" s="21"/>
      <c r="U2" s="21"/>
      <c r="V2" s="21"/>
      <c r="W2" s="21"/>
    </row>
    <row r="3" spans="1:23">
      <c r="A3" s="25" t="s">
        <v>120</v>
      </c>
      <c r="B3" s="26">
        <v>6.6</v>
      </c>
      <c r="C3" s="26">
        <v>46</v>
      </c>
      <c r="D3" s="26">
        <v>2</v>
      </c>
      <c r="E3" s="26">
        <v>1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N3" s="25" t="s">
        <v>120</v>
      </c>
      <c r="O3" s="26">
        <v>6.6</v>
      </c>
      <c r="P3" s="26">
        <v>46</v>
      </c>
      <c r="Q3" s="26">
        <v>0</v>
      </c>
    </row>
    <row r="4" spans="1:23">
      <c r="A4" s="25" t="s">
        <v>121</v>
      </c>
      <c r="B4" s="26">
        <v>24</v>
      </c>
      <c r="C4" s="26">
        <v>115</v>
      </c>
      <c r="D4" s="26">
        <v>2</v>
      </c>
      <c r="E4" s="26">
        <v>1</v>
      </c>
      <c r="F4" s="26">
        <v>1</v>
      </c>
      <c r="G4" s="26">
        <v>1</v>
      </c>
      <c r="H4" s="26">
        <v>0</v>
      </c>
      <c r="I4" s="26">
        <v>0</v>
      </c>
      <c r="J4" s="26">
        <v>0</v>
      </c>
      <c r="N4" s="25" t="s">
        <v>121</v>
      </c>
      <c r="O4" s="26">
        <v>24</v>
      </c>
      <c r="P4" s="26">
        <v>115</v>
      </c>
      <c r="Q4" s="26">
        <v>0</v>
      </c>
    </row>
    <row r="5" spans="1:23">
      <c r="A5" s="25" t="s">
        <v>122</v>
      </c>
      <c r="B5" s="26">
        <v>7.6</v>
      </c>
      <c r="C5" s="26">
        <v>48</v>
      </c>
      <c r="D5" s="26">
        <v>2</v>
      </c>
      <c r="E5" s="26">
        <v>0</v>
      </c>
      <c r="F5" s="26">
        <v>0</v>
      </c>
      <c r="G5" s="26">
        <v>1</v>
      </c>
      <c r="H5" s="26">
        <v>0</v>
      </c>
      <c r="I5" s="26">
        <v>1</v>
      </c>
      <c r="J5" s="26">
        <v>0</v>
      </c>
      <c r="N5" s="25" t="s">
        <v>122</v>
      </c>
      <c r="O5" s="26">
        <v>7.6</v>
      </c>
      <c r="P5" s="26">
        <v>48</v>
      </c>
      <c r="Q5" s="26">
        <v>0</v>
      </c>
    </row>
    <row r="6" spans="1:23">
      <c r="A6" s="27" t="s">
        <v>123</v>
      </c>
      <c r="B6" s="26">
        <v>3.4</v>
      </c>
      <c r="C6" s="26">
        <v>29</v>
      </c>
      <c r="D6" s="26">
        <v>2</v>
      </c>
      <c r="E6" s="26">
        <v>0</v>
      </c>
      <c r="F6" s="26">
        <v>0</v>
      </c>
      <c r="G6" s="26">
        <v>1</v>
      </c>
      <c r="H6" s="26">
        <v>0</v>
      </c>
      <c r="I6" s="26">
        <v>0</v>
      </c>
      <c r="J6" s="26">
        <v>0</v>
      </c>
      <c r="N6" s="27" t="s">
        <v>123</v>
      </c>
      <c r="O6" s="26">
        <v>3.4</v>
      </c>
      <c r="P6" s="26">
        <v>29</v>
      </c>
      <c r="Q6" s="26">
        <v>0</v>
      </c>
    </row>
    <row r="7" spans="1:23">
      <c r="A7" s="25" t="s">
        <v>124</v>
      </c>
      <c r="B7" s="26">
        <v>2.9</v>
      </c>
      <c r="C7" s="26">
        <v>16.399999999999999</v>
      </c>
      <c r="D7" s="26">
        <v>1</v>
      </c>
      <c r="E7" s="26">
        <v>0</v>
      </c>
      <c r="F7" s="26">
        <v>0</v>
      </c>
      <c r="G7" s="26">
        <v>1</v>
      </c>
      <c r="H7" s="26">
        <v>0</v>
      </c>
      <c r="I7" s="26">
        <v>0</v>
      </c>
      <c r="J7" s="26">
        <v>0</v>
      </c>
      <c r="N7" s="25" t="s">
        <v>124</v>
      </c>
      <c r="O7" s="26">
        <v>2.9</v>
      </c>
      <c r="P7" s="26">
        <v>16.399999999999999</v>
      </c>
      <c r="Q7" s="26">
        <v>0</v>
      </c>
    </row>
    <row r="8" spans="1:23">
      <c r="A8" s="25" t="s">
        <v>125</v>
      </c>
      <c r="B8" s="28">
        <v>8.9499999999999993</v>
      </c>
      <c r="C8" s="26">
        <v>39.200000000000003</v>
      </c>
      <c r="D8" s="26">
        <v>2</v>
      </c>
      <c r="E8" s="26">
        <v>0</v>
      </c>
      <c r="F8" s="26">
        <v>1</v>
      </c>
      <c r="G8" s="26">
        <v>1</v>
      </c>
      <c r="H8" s="26">
        <v>0</v>
      </c>
      <c r="I8" s="26">
        <v>0</v>
      </c>
      <c r="J8" s="26">
        <v>0</v>
      </c>
      <c r="N8" s="25" t="s">
        <v>125</v>
      </c>
      <c r="O8" s="28">
        <v>8.9499999999999993</v>
      </c>
      <c r="P8" s="26">
        <v>39.200000000000003</v>
      </c>
      <c r="Q8" s="26">
        <v>0</v>
      </c>
    </row>
    <row r="9" spans="1:23">
      <c r="A9" s="25" t="s">
        <v>126</v>
      </c>
      <c r="B9" s="26">
        <v>5.6</v>
      </c>
      <c r="C9" s="26">
        <v>32.5</v>
      </c>
      <c r="D9" s="26">
        <v>1</v>
      </c>
      <c r="E9" s="26">
        <v>1</v>
      </c>
      <c r="F9" s="26">
        <v>0</v>
      </c>
      <c r="G9" s="26">
        <v>1</v>
      </c>
      <c r="H9" s="26">
        <v>1</v>
      </c>
      <c r="I9" s="26">
        <v>1</v>
      </c>
      <c r="J9" s="26">
        <v>0</v>
      </c>
      <c r="N9" s="25" t="s">
        <v>126</v>
      </c>
      <c r="O9" s="26">
        <v>5.6</v>
      </c>
      <c r="P9" s="26">
        <v>32.5</v>
      </c>
      <c r="Q9" s="26">
        <v>0</v>
      </c>
    </row>
    <row r="10" spans="1:23">
      <c r="A10" s="25" t="s">
        <v>127</v>
      </c>
      <c r="B10" s="26">
        <v>15.1</v>
      </c>
      <c r="C10" s="26">
        <v>79.2</v>
      </c>
      <c r="D10" s="26">
        <v>3</v>
      </c>
      <c r="E10" s="26">
        <v>1</v>
      </c>
      <c r="F10" s="26">
        <v>1</v>
      </c>
      <c r="G10" s="26">
        <v>1</v>
      </c>
      <c r="H10" s="26">
        <v>0</v>
      </c>
      <c r="I10" s="26">
        <v>0</v>
      </c>
      <c r="J10" s="26">
        <v>0</v>
      </c>
      <c r="N10" s="25" t="s">
        <v>127</v>
      </c>
      <c r="O10" s="26">
        <v>15.1</v>
      </c>
      <c r="P10" s="26">
        <v>79.2</v>
      </c>
      <c r="Q10" s="26">
        <v>0</v>
      </c>
    </row>
    <row r="11" spans="1:23">
      <c r="A11" s="25" t="s">
        <v>128</v>
      </c>
      <c r="B11" s="26">
        <v>5</v>
      </c>
      <c r="C11" s="26">
        <v>26.4</v>
      </c>
      <c r="D11" s="26">
        <v>1</v>
      </c>
      <c r="E11" s="26">
        <v>0</v>
      </c>
      <c r="F11" s="26">
        <v>1</v>
      </c>
      <c r="G11" s="26">
        <v>0</v>
      </c>
      <c r="H11" s="26">
        <v>0</v>
      </c>
      <c r="I11" s="26">
        <v>0</v>
      </c>
      <c r="J11" s="26">
        <v>0</v>
      </c>
      <c r="N11" s="25" t="s">
        <v>128</v>
      </c>
      <c r="O11" s="26">
        <v>5</v>
      </c>
      <c r="P11" s="26">
        <v>26.4</v>
      </c>
      <c r="Q11" s="26">
        <v>0</v>
      </c>
    </row>
    <row r="12" spans="1:23">
      <c r="A12" s="25" t="s">
        <v>129</v>
      </c>
      <c r="B12" s="26">
        <v>7.95</v>
      </c>
      <c r="C12" s="26">
        <v>50.2</v>
      </c>
      <c r="D12" s="26">
        <v>3</v>
      </c>
      <c r="E12" s="26">
        <v>0</v>
      </c>
      <c r="F12" s="26">
        <v>1</v>
      </c>
      <c r="G12" s="26">
        <v>1</v>
      </c>
      <c r="H12" s="26">
        <v>1</v>
      </c>
      <c r="I12" s="26">
        <v>0</v>
      </c>
      <c r="J12" s="26">
        <v>0</v>
      </c>
      <c r="N12" s="25" t="s">
        <v>129</v>
      </c>
      <c r="O12" s="26">
        <v>7.95</v>
      </c>
      <c r="P12" s="26">
        <v>50.2</v>
      </c>
      <c r="Q12" s="26">
        <v>0</v>
      </c>
    </row>
    <row r="13" spans="1:23">
      <c r="A13" s="25" t="s">
        <v>130</v>
      </c>
      <c r="B13" s="26">
        <v>4.2</v>
      </c>
      <c r="C13" s="26">
        <v>20.3</v>
      </c>
      <c r="D13" s="26">
        <v>1</v>
      </c>
      <c r="E13" s="26">
        <v>0</v>
      </c>
      <c r="F13" s="26">
        <v>0</v>
      </c>
      <c r="G13" s="26">
        <v>1</v>
      </c>
      <c r="H13" s="26">
        <v>1</v>
      </c>
      <c r="I13" s="26">
        <v>0</v>
      </c>
      <c r="J13" s="26">
        <v>0</v>
      </c>
      <c r="N13" s="25" t="s">
        <v>130</v>
      </c>
      <c r="O13" s="26">
        <v>4.2</v>
      </c>
      <c r="P13" s="26">
        <v>20.3</v>
      </c>
      <c r="Q13" s="26">
        <v>0</v>
      </c>
    </row>
    <row r="14" spans="1:23">
      <c r="A14" s="25" t="s">
        <v>131</v>
      </c>
      <c r="B14" s="26">
        <v>12.8</v>
      </c>
      <c r="C14" s="26">
        <v>87.2</v>
      </c>
      <c r="D14" s="26">
        <v>3</v>
      </c>
      <c r="E14" s="26">
        <v>1</v>
      </c>
      <c r="F14" s="26">
        <v>1</v>
      </c>
      <c r="G14" s="26">
        <v>1</v>
      </c>
      <c r="H14" s="26">
        <v>0</v>
      </c>
      <c r="I14" s="26">
        <v>0</v>
      </c>
      <c r="J14" s="26">
        <v>0</v>
      </c>
      <c r="N14" s="25" t="s">
        <v>131</v>
      </c>
      <c r="O14" s="26">
        <v>12.8</v>
      </c>
      <c r="P14" s="26">
        <v>87.2</v>
      </c>
      <c r="Q14" s="26">
        <v>0</v>
      </c>
    </row>
    <row r="15" spans="1:23">
      <c r="A15" s="25" t="s">
        <v>132</v>
      </c>
      <c r="B15" s="26">
        <v>6.85</v>
      </c>
      <c r="C15" s="26">
        <v>36.1</v>
      </c>
      <c r="D15" s="26">
        <v>2</v>
      </c>
      <c r="E15" s="26">
        <v>1</v>
      </c>
      <c r="F15" s="26">
        <v>0</v>
      </c>
      <c r="G15" s="26">
        <v>1</v>
      </c>
      <c r="H15" s="26">
        <v>0</v>
      </c>
      <c r="I15" s="26">
        <v>1</v>
      </c>
      <c r="J15" s="26">
        <v>0</v>
      </c>
      <c r="N15" s="25" t="s">
        <v>132</v>
      </c>
      <c r="O15" s="26">
        <v>6.85</v>
      </c>
      <c r="P15" s="26">
        <v>36.1</v>
      </c>
      <c r="Q15" s="26">
        <v>0</v>
      </c>
    </row>
    <row r="16" spans="1:23">
      <c r="A16" s="25" t="s">
        <v>133</v>
      </c>
      <c r="B16" s="26">
        <v>15.5</v>
      </c>
      <c r="C16" s="26">
        <v>45.7</v>
      </c>
      <c r="D16" s="26">
        <v>2</v>
      </c>
      <c r="E16" s="26">
        <v>1</v>
      </c>
      <c r="F16" s="26">
        <v>1</v>
      </c>
      <c r="G16" s="26">
        <v>1</v>
      </c>
      <c r="H16" s="26">
        <v>0</v>
      </c>
      <c r="I16" s="26">
        <v>1</v>
      </c>
      <c r="J16" s="26">
        <v>0</v>
      </c>
      <c r="N16" s="25" t="s">
        <v>133</v>
      </c>
      <c r="O16" s="26">
        <v>15.5</v>
      </c>
      <c r="P16" s="26">
        <v>45.7</v>
      </c>
      <c r="Q16" s="26">
        <v>0</v>
      </c>
    </row>
    <row r="17" spans="1:17">
      <c r="A17" s="25" t="s">
        <v>134</v>
      </c>
      <c r="B17" s="26">
        <v>8.3000000000000007</v>
      </c>
      <c r="C17" s="26">
        <v>40.799999999999997</v>
      </c>
      <c r="D17" s="26">
        <v>2</v>
      </c>
      <c r="E17" s="26">
        <v>0</v>
      </c>
      <c r="F17" s="26">
        <v>1</v>
      </c>
      <c r="G17" s="26">
        <v>1</v>
      </c>
      <c r="H17" s="26">
        <v>1</v>
      </c>
      <c r="I17" s="26">
        <v>0</v>
      </c>
      <c r="J17" s="26">
        <v>0</v>
      </c>
      <c r="N17" s="25" t="s">
        <v>134</v>
      </c>
      <c r="O17" s="26">
        <v>8.3000000000000007</v>
      </c>
      <c r="P17" s="26">
        <v>40.799999999999997</v>
      </c>
      <c r="Q17" s="26">
        <v>0</v>
      </c>
    </row>
    <row r="18" spans="1:17">
      <c r="A18" s="25" t="s">
        <v>134</v>
      </c>
      <c r="B18" s="26">
        <v>9.6</v>
      </c>
      <c r="C18" s="26">
        <v>54.2</v>
      </c>
      <c r="D18" s="26">
        <v>3</v>
      </c>
      <c r="E18" s="26">
        <v>0</v>
      </c>
      <c r="F18" s="26">
        <v>1</v>
      </c>
      <c r="G18" s="26">
        <v>1</v>
      </c>
      <c r="H18" s="26">
        <v>1</v>
      </c>
      <c r="I18" s="26">
        <v>0</v>
      </c>
      <c r="J18" s="26">
        <v>0</v>
      </c>
      <c r="N18" s="25" t="s">
        <v>134</v>
      </c>
      <c r="O18" s="26">
        <v>9.6</v>
      </c>
      <c r="P18" s="26">
        <v>54.2</v>
      </c>
      <c r="Q18" s="26">
        <v>0</v>
      </c>
    </row>
    <row r="19" spans="1:17">
      <c r="A19" s="25" t="s">
        <v>135</v>
      </c>
      <c r="B19" s="26">
        <v>7.5</v>
      </c>
      <c r="C19" s="26">
        <v>39.4</v>
      </c>
      <c r="D19" s="26">
        <v>1</v>
      </c>
      <c r="E19" s="26">
        <v>0</v>
      </c>
      <c r="F19" s="26">
        <v>1</v>
      </c>
      <c r="G19" s="26">
        <v>1</v>
      </c>
      <c r="H19" s="26">
        <v>1</v>
      </c>
      <c r="I19" s="26">
        <v>0</v>
      </c>
      <c r="J19" s="26">
        <v>0</v>
      </c>
      <c r="N19" s="25" t="s">
        <v>135</v>
      </c>
      <c r="O19" s="26">
        <v>7.5</v>
      </c>
      <c r="P19" s="26">
        <v>39.4</v>
      </c>
      <c r="Q19" s="26">
        <v>0</v>
      </c>
    </row>
    <row r="20" spans="1:17">
      <c r="A20" s="25" t="s">
        <v>136</v>
      </c>
      <c r="B20" s="26">
        <v>8</v>
      </c>
      <c r="C20" s="26">
        <v>55.5</v>
      </c>
      <c r="D20" s="26">
        <v>3</v>
      </c>
      <c r="E20" s="26">
        <v>1</v>
      </c>
      <c r="F20" s="26">
        <v>0</v>
      </c>
      <c r="G20" s="26">
        <v>1</v>
      </c>
      <c r="H20" s="26">
        <v>1</v>
      </c>
      <c r="I20" s="26">
        <v>1</v>
      </c>
      <c r="J20" s="26">
        <v>0</v>
      </c>
      <c r="N20" s="25" t="s">
        <v>136</v>
      </c>
      <c r="O20" s="26">
        <v>8</v>
      </c>
      <c r="P20" s="26">
        <v>55.5</v>
      </c>
      <c r="Q20" s="26">
        <v>0</v>
      </c>
    </row>
    <row r="21" spans="1:17">
      <c r="A21" s="25" t="s">
        <v>137</v>
      </c>
      <c r="B21" s="26">
        <v>7.3</v>
      </c>
      <c r="C21" s="26">
        <v>72.900000000000006</v>
      </c>
      <c r="D21" s="26">
        <v>3</v>
      </c>
      <c r="E21" s="26">
        <v>1</v>
      </c>
      <c r="F21" s="26">
        <v>0</v>
      </c>
      <c r="G21" s="26">
        <v>1</v>
      </c>
      <c r="H21" s="26">
        <v>1</v>
      </c>
      <c r="I21" s="26">
        <v>0</v>
      </c>
      <c r="J21" s="26">
        <v>0</v>
      </c>
      <c r="N21" s="25" t="s">
        <v>137</v>
      </c>
      <c r="O21" s="26">
        <v>7.3</v>
      </c>
      <c r="P21" s="26">
        <v>72.900000000000006</v>
      </c>
      <c r="Q21" s="26">
        <v>0</v>
      </c>
    </row>
    <row r="22" spans="1:17">
      <c r="A22" s="25" t="s">
        <v>138</v>
      </c>
      <c r="B22" s="26">
        <v>3.6</v>
      </c>
      <c r="C22" s="26">
        <v>22.9</v>
      </c>
      <c r="D22" s="26">
        <v>1</v>
      </c>
      <c r="E22" s="26">
        <v>1</v>
      </c>
      <c r="F22" s="26">
        <v>0</v>
      </c>
      <c r="G22" s="26">
        <v>1</v>
      </c>
      <c r="H22" s="26">
        <v>0</v>
      </c>
      <c r="I22" s="26">
        <v>0</v>
      </c>
      <c r="J22" s="26">
        <v>0</v>
      </c>
      <c r="N22" s="25" t="s">
        <v>138</v>
      </c>
      <c r="O22" s="26">
        <v>3.6</v>
      </c>
      <c r="P22" s="26">
        <v>22.9</v>
      </c>
      <c r="Q22" s="26">
        <v>0</v>
      </c>
    </row>
    <row r="23" spans="1:17">
      <c r="A23" s="25" t="s">
        <v>139</v>
      </c>
      <c r="B23" s="26">
        <v>5.0999999999999996</v>
      </c>
      <c r="C23" s="26">
        <v>36.700000000000003</v>
      </c>
      <c r="D23" s="26">
        <v>1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1</v>
      </c>
      <c r="N23" s="25" t="s">
        <v>139</v>
      </c>
      <c r="O23" s="26">
        <v>5.0999999999999996</v>
      </c>
      <c r="P23" s="26">
        <v>36.700000000000003</v>
      </c>
      <c r="Q23" s="26">
        <v>1</v>
      </c>
    </row>
    <row r="24" spans="1:17">
      <c r="A24" s="25" t="s">
        <v>140</v>
      </c>
      <c r="B24" s="26">
        <v>9.8000000000000007</v>
      </c>
      <c r="C24" s="26">
        <v>33.9</v>
      </c>
      <c r="D24" s="26">
        <v>1</v>
      </c>
      <c r="E24" s="26">
        <v>0</v>
      </c>
      <c r="F24" s="26">
        <v>0</v>
      </c>
      <c r="G24" s="26">
        <v>1</v>
      </c>
      <c r="H24" s="26">
        <v>0</v>
      </c>
      <c r="I24" s="26">
        <v>0</v>
      </c>
      <c r="J24" s="26">
        <v>1</v>
      </c>
      <c r="N24" s="25" t="s">
        <v>140</v>
      </c>
      <c r="O24" s="26">
        <v>9.8000000000000007</v>
      </c>
      <c r="P24" s="26">
        <v>33.9</v>
      </c>
      <c r="Q24" s="26">
        <v>1</v>
      </c>
    </row>
    <row r="25" spans="1:17">
      <c r="A25" s="25" t="s">
        <v>141</v>
      </c>
      <c r="B25" s="26">
        <v>6.7</v>
      </c>
      <c r="C25" s="26">
        <v>34.9</v>
      </c>
      <c r="D25" s="26">
        <v>2</v>
      </c>
      <c r="E25" s="26">
        <v>0</v>
      </c>
      <c r="F25" s="26">
        <v>1</v>
      </c>
      <c r="G25" s="26">
        <v>1</v>
      </c>
      <c r="H25" s="26">
        <v>0</v>
      </c>
      <c r="I25" s="26">
        <v>0</v>
      </c>
      <c r="J25" s="26">
        <v>0</v>
      </c>
      <c r="N25" s="25" t="s">
        <v>141</v>
      </c>
      <c r="O25" s="26">
        <v>6.7</v>
      </c>
      <c r="P25" s="26">
        <v>34.9</v>
      </c>
      <c r="Q25" s="26">
        <v>0</v>
      </c>
    </row>
    <row r="26" spans="1:17">
      <c r="A26" s="27" t="s">
        <v>147</v>
      </c>
      <c r="B26" s="26">
        <v>11.7</v>
      </c>
      <c r="C26" s="26">
        <v>86.1</v>
      </c>
      <c r="D26" s="26">
        <v>3</v>
      </c>
      <c r="E26" s="26">
        <v>0</v>
      </c>
      <c r="F26" s="26">
        <v>1</v>
      </c>
      <c r="G26" s="26">
        <v>1</v>
      </c>
      <c r="H26" s="26">
        <v>0</v>
      </c>
      <c r="I26" s="26">
        <v>1</v>
      </c>
      <c r="J26" s="26">
        <v>0</v>
      </c>
      <c r="N26" s="27" t="s">
        <v>147</v>
      </c>
      <c r="O26" s="26">
        <v>11.7</v>
      </c>
      <c r="P26" s="26">
        <v>86.1</v>
      </c>
      <c r="Q26" s="26">
        <v>0</v>
      </c>
    </row>
    <row r="27" spans="1:17">
      <c r="A27" s="25" t="s">
        <v>142</v>
      </c>
      <c r="B27" s="26">
        <v>5.25</v>
      </c>
      <c r="C27" s="26">
        <v>32.43</v>
      </c>
      <c r="D27" s="26">
        <v>1</v>
      </c>
      <c r="E27" s="26">
        <v>0</v>
      </c>
      <c r="F27" s="26">
        <v>1</v>
      </c>
      <c r="G27" s="26">
        <v>0</v>
      </c>
      <c r="H27" s="26">
        <v>1</v>
      </c>
      <c r="I27" s="26">
        <v>0</v>
      </c>
      <c r="J27" s="26">
        <v>0</v>
      </c>
      <c r="N27" s="25" t="s">
        <v>142</v>
      </c>
      <c r="O27" s="26">
        <v>5.25</v>
      </c>
      <c r="P27" s="26">
        <v>32.43</v>
      </c>
      <c r="Q27" s="26">
        <v>0</v>
      </c>
    </row>
    <row r="28" spans="1:17">
      <c r="A28" s="25" t="s">
        <v>143</v>
      </c>
      <c r="B28" s="26">
        <v>8.4</v>
      </c>
      <c r="C28" s="26">
        <v>68</v>
      </c>
      <c r="D28" s="26">
        <v>3</v>
      </c>
      <c r="E28" s="26">
        <v>0</v>
      </c>
      <c r="F28" s="26">
        <v>1</v>
      </c>
      <c r="G28" s="26">
        <v>0</v>
      </c>
      <c r="H28" s="26">
        <v>1</v>
      </c>
      <c r="I28" s="26">
        <v>1</v>
      </c>
      <c r="J28" s="26">
        <v>0</v>
      </c>
      <c r="N28" s="25" t="s">
        <v>143</v>
      </c>
      <c r="O28" s="26">
        <v>8.4</v>
      </c>
      <c r="P28" s="26">
        <v>68</v>
      </c>
      <c r="Q28" s="26">
        <v>0</v>
      </c>
    </row>
    <row r="29" spans="1:17">
      <c r="A29" s="25" t="s">
        <v>144</v>
      </c>
      <c r="B29" s="26">
        <v>7.1</v>
      </c>
      <c r="C29" s="26">
        <v>41.8</v>
      </c>
      <c r="D29" s="26">
        <v>2</v>
      </c>
      <c r="E29" s="26">
        <v>0</v>
      </c>
      <c r="F29" s="26">
        <v>1</v>
      </c>
      <c r="G29" s="26">
        <v>1</v>
      </c>
      <c r="H29" s="26">
        <v>0</v>
      </c>
      <c r="I29" s="26">
        <v>1</v>
      </c>
      <c r="J29" s="26">
        <v>1</v>
      </c>
      <c r="N29" s="25" t="s">
        <v>144</v>
      </c>
      <c r="O29" s="26">
        <v>7.1</v>
      </c>
      <c r="P29" s="26">
        <v>41.8</v>
      </c>
      <c r="Q29" s="26">
        <v>1</v>
      </c>
    </row>
    <row r="30" spans="1:17">
      <c r="A30" s="25" t="s">
        <v>145</v>
      </c>
      <c r="B30" s="26">
        <v>13.2</v>
      </c>
      <c r="C30" s="26">
        <v>74.5</v>
      </c>
      <c r="D30" s="26">
        <v>2</v>
      </c>
      <c r="E30" s="26">
        <v>0</v>
      </c>
      <c r="F30" s="26">
        <v>1</v>
      </c>
      <c r="G30" s="26">
        <v>1</v>
      </c>
      <c r="H30" s="26">
        <v>0</v>
      </c>
      <c r="I30" s="26">
        <v>1</v>
      </c>
      <c r="J30" s="26">
        <v>1</v>
      </c>
      <c r="N30" s="25" t="s">
        <v>145</v>
      </c>
      <c r="O30" s="26">
        <v>13.2</v>
      </c>
      <c r="P30" s="26">
        <v>74.5</v>
      </c>
      <c r="Q30" s="26">
        <v>1</v>
      </c>
    </row>
    <row r="31" spans="1:17">
      <c r="A31" s="25" t="s">
        <v>146</v>
      </c>
      <c r="B31" s="26">
        <v>41.5</v>
      </c>
      <c r="C31" s="26">
        <v>320</v>
      </c>
      <c r="D31" s="26">
        <v>7</v>
      </c>
      <c r="E31" s="26">
        <v>0</v>
      </c>
      <c r="F31" s="26">
        <v>0</v>
      </c>
      <c r="G31" s="26">
        <v>1</v>
      </c>
      <c r="H31" s="26">
        <v>1</v>
      </c>
      <c r="I31" s="26">
        <v>1</v>
      </c>
      <c r="J31" s="26">
        <v>1</v>
      </c>
      <c r="N31" s="25" t="s">
        <v>146</v>
      </c>
      <c r="O31" s="26">
        <v>41.5</v>
      </c>
      <c r="P31" s="26">
        <v>320</v>
      </c>
      <c r="Q31" s="26">
        <v>1</v>
      </c>
    </row>
    <row r="32" spans="1:17">
      <c r="A32" s="29" t="s">
        <v>3</v>
      </c>
      <c r="B32" s="4">
        <f>AVERAGE(B2:B31)</f>
        <v>9.9233333333333338</v>
      </c>
      <c r="C32" s="4">
        <f t="shared" ref="C32:J32" si="0">AVERAGE(C2:C31)</f>
        <v>58.274333333333331</v>
      </c>
      <c r="D32" s="4">
        <f t="shared" si="0"/>
        <v>2.1333333333333333</v>
      </c>
      <c r="E32" s="4">
        <f t="shared" si="0"/>
        <v>0.36666666666666664</v>
      </c>
      <c r="F32" s="4">
        <f t="shared" si="0"/>
        <v>0.56666666666666665</v>
      </c>
      <c r="G32" s="4">
        <f t="shared" si="0"/>
        <v>0.8</v>
      </c>
      <c r="H32" s="4">
        <f t="shared" si="0"/>
        <v>0.36666666666666664</v>
      </c>
      <c r="I32" s="4">
        <f t="shared" si="0"/>
        <v>0.33333333333333331</v>
      </c>
      <c r="J32" s="4">
        <f t="shared" si="0"/>
        <v>0.16666666666666666</v>
      </c>
    </row>
    <row r="34" spans="1:19" ht="17" thickBot="1"/>
    <row r="35" spans="1:19" ht="85">
      <c r="A35" s="34"/>
      <c r="B35" s="34" t="s">
        <v>110</v>
      </c>
      <c r="C35" s="35" t="s">
        <v>111</v>
      </c>
      <c r="D35" s="35" t="s">
        <v>112</v>
      </c>
      <c r="E35" s="35" t="s">
        <v>113</v>
      </c>
      <c r="F35" s="35" t="s">
        <v>114</v>
      </c>
      <c r="G35" s="35" t="s">
        <v>115</v>
      </c>
      <c r="H35" s="35" t="s">
        <v>116</v>
      </c>
      <c r="I35" s="35" t="s">
        <v>117</v>
      </c>
      <c r="J35" s="35" t="s">
        <v>118</v>
      </c>
      <c r="N35" t="s">
        <v>76</v>
      </c>
    </row>
    <row r="36" spans="1:19" ht="17" thickBot="1">
      <c r="A36" s="30" t="s">
        <v>110</v>
      </c>
      <c r="B36" s="30">
        <v>1</v>
      </c>
      <c r="C36" s="30"/>
      <c r="D36" s="30"/>
      <c r="E36" s="30"/>
      <c r="F36" s="30"/>
      <c r="G36" s="30"/>
      <c r="H36" s="30"/>
      <c r="I36" s="30"/>
      <c r="J36" s="30"/>
    </row>
    <row r="37" spans="1:19" ht="34">
      <c r="A37" s="31" t="s">
        <v>111</v>
      </c>
      <c r="B37" s="30">
        <v>0.92459379027732636</v>
      </c>
      <c r="C37" s="30">
        <v>1</v>
      </c>
      <c r="D37" s="30"/>
      <c r="E37" s="30"/>
      <c r="F37" s="30"/>
      <c r="G37" s="30"/>
      <c r="H37" s="30"/>
      <c r="I37" s="30"/>
      <c r="J37" s="30"/>
      <c r="N37" s="36" t="s">
        <v>77</v>
      </c>
      <c r="O37" s="36"/>
    </row>
    <row r="38" spans="1:19" ht="34">
      <c r="A38" s="31" t="s">
        <v>112</v>
      </c>
      <c r="B38" s="30">
        <v>0.75956387562891725</v>
      </c>
      <c r="C38" s="30">
        <v>0.87910910900284123</v>
      </c>
      <c r="D38" s="30">
        <v>1</v>
      </c>
      <c r="E38" s="30"/>
      <c r="F38" s="30"/>
      <c r="G38" s="30"/>
      <c r="H38" s="30"/>
      <c r="I38" s="30"/>
      <c r="J38" s="30"/>
      <c r="N38" s="30" t="s">
        <v>78</v>
      </c>
      <c r="O38" s="30">
        <v>0.92463466816301976</v>
      </c>
    </row>
    <row r="39" spans="1:19" ht="51">
      <c r="A39" s="31" t="s">
        <v>113</v>
      </c>
      <c r="B39" s="30">
        <v>0.13355808068276476</v>
      </c>
      <c r="C39" s="30">
        <v>1.9366071160380801E-2</v>
      </c>
      <c r="D39" s="30">
        <v>3.1378822998599405E-2</v>
      </c>
      <c r="E39" s="30">
        <v>1</v>
      </c>
      <c r="F39" s="30"/>
      <c r="G39" s="30"/>
      <c r="H39" s="30"/>
      <c r="I39" s="30"/>
      <c r="J39" s="30"/>
      <c r="N39" s="30" t="s">
        <v>79</v>
      </c>
      <c r="O39" s="30">
        <v>0.85494926956893758</v>
      </c>
    </row>
    <row r="40" spans="1:19" ht="51">
      <c r="A40" s="31" t="s">
        <v>114</v>
      </c>
      <c r="B40" s="30">
        <v>0.1493727074181313</v>
      </c>
      <c r="C40" s="30">
        <v>-1.5880657829685674E-2</v>
      </c>
      <c r="D40" s="30">
        <v>4.195815218119632E-2</v>
      </c>
      <c r="E40" s="30">
        <v>-0.17216007539088793</v>
      </c>
      <c r="F40" s="30">
        <v>1</v>
      </c>
      <c r="G40" s="30"/>
      <c r="H40" s="30"/>
      <c r="I40" s="30"/>
      <c r="J40" s="30"/>
      <c r="N40" s="30" t="s">
        <v>80</v>
      </c>
      <c r="O40" s="30">
        <v>0.84420477101848856</v>
      </c>
    </row>
    <row r="41" spans="1:19" ht="51">
      <c r="A41" s="31" t="s">
        <v>115</v>
      </c>
      <c r="B41" s="30">
        <v>0.12285656696831872</v>
      </c>
      <c r="C41" s="30">
        <v>0.12008768141391629</v>
      </c>
      <c r="D41" s="30">
        <v>0.19846679199330994</v>
      </c>
      <c r="E41" s="30">
        <v>3.4585723193303754E-2</v>
      </c>
      <c r="F41" s="30">
        <v>-0.10090091909944678</v>
      </c>
      <c r="G41" s="30">
        <v>1</v>
      </c>
      <c r="H41" s="30"/>
      <c r="I41" s="30"/>
      <c r="J41" s="30"/>
      <c r="N41" s="30" t="s">
        <v>81</v>
      </c>
      <c r="O41" s="30">
        <v>2.9926558472348028</v>
      </c>
    </row>
    <row r="42" spans="1:19" ht="52" thickBot="1">
      <c r="A42" s="31" t="s">
        <v>116</v>
      </c>
      <c r="B42" s="30">
        <v>4.1230412586874779E-2</v>
      </c>
      <c r="C42" s="30">
        <v>0.18770056159687659</v>
      </c>
      <c r="D42" s="30">
        <v>0.2667199954880945</v>
      </c>
      <c r="E42" s="30">
        <v>-0.14832535885167469</v>
      </c>
      <c r="F42" s="30">
        <v>-3.257082507395178E-2</v>
      </c>
      <c r="G42" s="30">
        <v>3.4585723193303809E-2</v>
      </c>
      <c r="H42" s="30">
        <v>1</v>
      </c>
      <c r="I42" s="30"/>
      <c r="J42" s="30"/>
      <c r="N42" s="33" t="s">
        <v>82</v>
      </c>
      <c r="O42" s="33">
        <v>30</v>
      </c>
    </row>
    <row r="43" spans="1:19" ht="51">
      <c r="A43" s="31" t="s">
        <v>117</v>
      </c>
      <c r="B43" s="30">
        <v>0.24868202979601031</v>
      </c>
      <c r="C43" s="30">
        <v>0.29790877459256671</v>
      </c>
      <c r="D43" s="30">
        <v>0.34081894939996588</v>
      </c>
      <c r="E43" s="30">
        <v>4.8911598804451922E-2</v>
      </c>
      <c r="F43" s="30">
        <v>-9.5130298830898713E-2</v>
      </c>
      <c r="G43" s="30">
        <v>0.17677669529663681</v>
      </c>
      <c r="H43" s="30">
        <v>4.8911598804451895E-2</v>
      </c>
      <c r="I43" s="30">
        <v>1</v>
      </c>
      <c r="J43" s="30"/>
    </row>
    <row r="44" spans="1:19" ht="52" thickBot="1">
      <c r="A44" s="32" t="s">
        <v>118</v>
      </c>
      <c r="B44" s="33">
        <v>0.32495935012778954</v>
      </c>
      <c r="C44" s="33">
        <v>0.36023389611215495</v>
      </c>
      <c r="D44" s="33">
        <v>0.17751409526934084</v>
      </c>
      <c r="E44" s="33">
        <v>-0.34027852368936035</v>
      </c>
      <c r="F44" s="33">
        <v>-0.15041420939904671</v>
      </c>
      <c r="G44" s="33">
        <v>-2.4825341532472723E-17</v>
      </c>
      <c r="H44" s="33">
        <v>-0.15467205622243652</v>
      </c>
      <c r="I44" s="33">
        <v>0.25298221281347033</v>
      </c>
      <c r="J44" s="33">
        <v>1</v>
      </c>
      <c r="N44" t="s">
        <v>83</v>
      </c>
    </row>
    <row r="45" spans="1:19">
      <c r="N45" s="34"/>
      <c r="O45" s="34" t="s">
        <v>88</v>
      </c>
      <c r="P45" s="34" t="s">
        <v>89</v>
      </c>
      <c r="Q45" s="34" t="s">
        <v>90</v>
      </c>
      <c r="R45" s="34" t="s">
        <v>91</v>
      </c>
      <c r="S45" s="34" t="s">
        <v>92</v>
      </c>
    </row>
    <row r="46" spans="1:19">
      <c r="N46" s="30" t="s">
        <v>84</v>
      </c>
      <c r="O46" s="30">
        <v>2</v>
      </c>
      <c r="P46" s="30">
        <v>1425.2719631269727</v>
      </c>
      <c r="Q46" s="30">
        <v>712.63598156348633</v>
      </c>
      <c r="R46" s="30">
        <v>79.570886026431168</v>
      </c>
      <c r="S46" s="30">
        <v>4.7920233062072097E-12</v>
      </c>
    </row>
    <row r="47" spans="1:19">
      <c r="N47" s="30" t="s">
        <v>85</v>
      </c>
      <c r="O47" s="30">
        <v>27</v>
      </c>
      <c r="P47" s="30">
        <v>241.81170353969372</v>
      </c>
      <c r="Q47" s="30">
        <v>8.9559890199886567</v>
      </c>
      <c r="R47" s="30"/>
      <c r="S47" s="30"/>
    </row>
    <row r="48" spans="1:19" ht="17" thickBot="1">
      <c r="N48" s="33" t="s">
        <v>86</v>
      </c>
      <c r="O48" s="33">
        <v>29</v>
      </c>
      <c r="P48" s="33">
        <v>1667.0836666666664</v>
      </c>
      <c r="Q48" s="33"/>
      <c r="R48" s="33"/>
      <c r="S48" s="33"/>
    </row>
    <row r="49" spans="14:22" ht="17" thickBot="1"/>
    <row r="50" spans="14:22">
      <c r="N50" s="34"/>
      <c r="O50" s="34" t="s">
        <v>93</v>
      </c>
      <c r="P50" s="34" t="s">
        <v>81</v>
      </c>
      <c r="Q50" s="34" t="s">
        <v>94</v>
      </c>
      <c r="R50" s="34" t="s">
        <v>95</v>
      </c>
      <c r="S50" s="34" t="s">
        <v>96</v>
      </c>
      <c r="T50" s="34" t="s">
        <v>97</v>
      </c>
      <c r="U50" s="34" t="s">
        <v>98</v>
      </c>
      <c r="V50" s="34" t="s">
        <v>99</v>
      </c>
    </row>
    <row r="51" spans="14:22">
      <c r="N51" s="30" t="s">
        <v>87</v>
      </c>
      <c r="O51" s="30">
        <v>2.4216163795848367</v>
      </c>
      <c r="P51" s="30">
        <v>0.80844272481791379</v>
      </c>
      <c r="Q51" s="30">
        <v>2.9954087101597202</v>
      </c>
      <c r="R51" s="30">
        <v>5.8107315869434673E-3</v>
      </c>
      <c r="S51" s="30">
        <v>0.76282892597696694</v>
      </c>
      <c r="T51" s="30">
        <v>4.0804038331927064</v>
      </c>
      <c r="U51" s="30">
        <v>0.76282892597696694</v>
      </c>
      <c r="V51" s="30">
        <v>4.0804038331927064</v>
      </c>
    </row>
    <row r="52" spans="14:22" ht="34">
      <c r="N52" s="31" t="s">
        <v>111</v>
      </c>
      <c r="O52" s="30">
        <v>0.12926424924103913</v>
      </c>
      <c r="P52" s="30">
        <v>1.0944954243250536E-2</v>
      </c>
      <c r="Q52" s="30">
        <v>11.81039649578736</v>
      </c>
      <c r="R52" s="30">
        <v>3.5697397475851439E-12</v>
      </c>
      <c r="S52" s="30">
        <v>0.10680705812325729</v>
      </c>
      <c r="T52" s="30">
        <v>0.15172144035882099</v>
      </c>
      <c r="U52" s="30">
        <v>0.10680705812325729</v>
      </c>
      <c r="V52" s="30">
        <v>0.15172144035882099</v>
      </c>
    </row>
    <row r="53" spans="14:22" ht="52" thickBot="1">
      <c r="N53" s="32" t="s">
        <v>118</v>
      </c>
      <c r="O53" s="33">
        <v>-0.18642596764138197</v>
      </c>
      <c r="P53" s="33">
        <v>1.5716107375234556</v>
      </c>
      <c r="Q53" s="33">
        <v>-0.11862095567961825</v>
      </c>
      <c r="R53" s="33">
        <v>0.90645380339544623</v>
      </c>
      <c r="S53" s="33">
        <v>-3.4111048389200969</v>
      </c>
      <c r="T53" s="33">
        <v>3.0382529036373329</v>
      </c>
      <c r="U53" s="33">
        <v>-3.4111048389200969</v>
      </c>
      <c r="V53" s="33">
        <v>3.0382529036373329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Poccu9I</vt:lpstr>
      <vt:lpstr>中國</vt:lpstr>
      <vt:lpstr>USA</vt:lpstr>
      <vt:lpstr>Страны</vt:lpstr>
      <vt:lpstr>Квартиры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Агличеев Александр Олегович</dc:creator>
  <cp:lastModifiedBy>Агличеев Александр Олегович</cp:lastModifiedBy>
  <dcterms:created xsi:type="dcterms:W3CDTF">2024-02-25T22:54:54Z</dcterms:created>
  <dcterms:modified xsi:type="dcterms:W3CDTF">2024-03-11T02:12:25Z</dcterms:modified>
</cp:coreProperties>
</file>