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B3/f-of-e-tools/verilog/hardware/processor/source/"/>
    </mc:Choice>
  </mc:AlternateContent>
  <xr:revisionPtr revIDLastSave="0" documentId="13_ncr:1_{09964BF3-ABAF-FF48-B47C-23B21695255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instruction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D13" i="1"/>
  <c r="E13" i="1"/>
  <c r="F13" i="1"/>
  <c r="G13" i="1"/>
  <c r="H13" i="1"/>
  <c r="I13" i="1"/>
  <c r="J13" i="1"/>
  <c r="C13" i="1"/>
  <c r="K9" i="1"/>
  <c r="K20" i="1"/>
  <c r="K21" i="1"/>
  <c r="K22" i="1"/>
  <c r="K23" i="1"/>
  <c r="K24" i="1"/>
  <c r="K25" i="1"/>
  <c r="K6" i="1"/>
  <c r="K7" i="1"/>
  <c r="D11" i="1"/>
  <c r="E9" i="1"/>
  <c r="F9" i="1"/>
  <c r="G9" i="1"/>
  <c r="H9" i="1"/>
  <c r="I9" i="1"/>
  <c r="J9" i="1"/>
  <c r="D9" i="1"/>
  <c r="D6" i="1"/>
  <c r="E6" i="1"/>
  <c r="F6" i="1"/>
  <c r="G6" i="1"/>
  <c r="H6" i="1"/>
  <c r="I6" i="1"/>
  <c r="J6" i="1"/>
  <c r="C6" i="1"/>
  <c r="D25" i="1"/>
  <c r="E25" i="1"/>
  <c r="F25" i="1"/>
  <c r="G25" i="1"/>
  <c r="H25" i="1"/>
  <c r="I25" i="1"/>
  <c r="J25" i="1"/>
  <c r="C25" i="1"/>
  <c r="C24" i="1"/>
  <c r="T20" i="1" a="1"/>
  <c r="T20" i="1" s="1"/>
  <c r="D20" i="1"/>
  <c r="M35" i="1" s="1"/>
  <c r="E20" i="1"/>
  <c r="N29" i="1" s="1"/>
  <c r="F20" i="1"/>
  <c r="G20" i="1"/>
  <c r="O29" i="1" s="1"/>
  <c r="H20" i="1"/>
  <c r="I20" i="1"/>
  <c r="J20" i="1"/>
  <c r="P29" i="1" s="1"/>
  <c r="D21" i="1"/>
  <c r="E21" i="1"/>
  <c r="F21" i="1"/>
  <c r="G21" i="1"/>
  <c r="H21" i="1"/>
  <c r="I21" i="1"/>
  <c r="J21" i="1"/>
  <c r="D22" i="1"/>
  <c r="M30" i="1" s="1"/>
  <c r="E22" i="1"/>
  <c r="N30" i="1" s="1"/>
  <c r="F22" i="1"/>
  <c r="G22" i="1"/>
  <c r="O30" i="1" s="1"/>
  <c r="H22" i="1"/>
  <c r="I22" i="1"/>
  <c r="J22" i="1"/>
  <c r="P30" i="1" s="1"/>
  <c r="D23" i="1"/>
  <c r="M31" i="1" s="1"/>
  <c r="E23" i="1"/>
  <c r="N31" i="1" s="1"/>
  <c r="F23" i="1"/>
  <c r="G23" i="1"/>
  <c r="O31" i="1" s="1"/>
  <c r="H23" i="1"/>
  <c r="I23" i="1"/>
  <c r="J23" i="1"/>
  <c r="P31" i="1" s="1"/>
  <c r="D24" i="1"/>
  <c r="E24" i="1"/>
  <c r="F24" i="1"/>
  <c r="G24" i="1"/>
  <c r="H24" i="1"/>
  <c r="I24" i="1"/>
  <c r="J24" i="1"/>
  <c r="C23" i="1"/>
  <c r="C22" i="1"/>
  <c r="C21" i="1"/>
  <c r="C20" i="1"/>
  <c r="C7" i="1"/>
  <c r="H7" i="1"/>
  <c r="I7" i="1"/>
  <c r="J7" i="1"/>
  <c r="E7" i="1"/>
  <c r="F7" i="1"/>
  <c r="G7" i="1"/>
  <c r="D7" i="1"/>
  <c r="O36" i="1" l="1"/>
  <c r="Q36" i="1"/>
  <c r="Q35" i="1"/>
  <c r="N35" i="1"/>
  <c r="C16" i="1"/>
  <c r="J16" i="1"/>
  <c r="I16" i="1"/>
  <c r="H16" i="1"/>
  <c r="Q32" i="1"/>
  <c r="Q37" i="1"/>
  <c r="F16" i="1"/>
  <c r="G16" i="1"/>
  <c r="E16" i="1"/>
  <c r="D16" i="1"/>
  <c r="N36" i="1"/>
  <c r="Q29" i="1"/>
  <c r="Q31" i="1"/>
  <c r="M36" i="1"/>
  <c r="Q30" i="1"/>
  <c r="O35" i="1"/>
  <c r="M29" i="1"/>
  <c r="R29" i="1" s="1" a="1"/>
  <c r="R29" i="1" s="1"/>
  <c r="V29" i="1" s="1" a="1"/>
  <c r="V29" i="1" s="1"/>
  <c r="Z29" i="1" s="1" a="1"/>
  <c r="Z29" i="1" s="1"/>
  <c r="M20" i="1" a="1"/>
  <c r="M20" i="1" s="1"/>
  <c r="V20" i="1" s="1" a="1"/>
  <c r="V20" i="1" s="1"/>
  <c r="AC20" i="1" s="1" a="1"/>
  <c r="AC20" i="1" s="1"/>
  <c r="S35" i="1" l="1" a="1"/>
  <c r="S35" i="1" s="1"/>
  <c r="V35" i="1" s="1" a="1"/>
  <c r="V35" i="1" s="1"/>
  <c r="Z35" i="1" s="1" a="1"/>
  <c r="Z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<sst xmlns="http://schemas.openxmlformats.org/spreadsheetml/2006/main" count="160" uniqueCount="145">
  <si>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</si>
  <si>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</si>
  <si>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</si>
  <si>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</si>
  <si>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</si>
  <si>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</si>
  <si>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</si>
  <si>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</si>
  <si>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</si>
  <si>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</si>
  <si>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</si>
  <si>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</si>
  <si>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</si>
  <si>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</si>
  <si>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</si>
  <si>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</si>
  <si>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</si>
  <si>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</si>
  <si>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</si>
  <si>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</si>
  <si>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</si>
  <si>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</si>
  <si>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</si>
  <si>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</si>
  <si>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</si>
  <si>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</si>
  <si>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</si>
  <si>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</si>
  <si>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</si>
  <si>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</si>
  <si>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</si>
  <si>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</si>
  <si>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</si>
  <si>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</si>
  <si>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</si>
  <si>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</si>
  <si>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</si>
  <si>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FENCE</t>
  </si>
  <si>
    <t>FENCE_I</t>
  </si>
  <si>
    <t>ECALL</t>
  </si>
  <si>
    <t>EBREAK</t>
  </si>
  <si>
    <t>CSRRW</t>
  </si>
  <si>
    <t>CSRRS</t>
  </si>
  <si>
    <t>CSRRC</t>
  </si>
  <si>
    <t>CSRRWI</t>
  </si>
  <si>
    <t>CSRRSI</t>
  </si>
  <si>
    <t>CSRRCI</t>
  </si>
  <si>
    <t>MUL</t>
  </si>
  <si>
    <t>MULH</t>
  </si>
  <si>
    <t>MULHSU</t>
  </si>
  <si>
    <t>MULHU</t>
  </si>
  <si>
    <t>DIV</t>
  </si>
  <si>
    <t>DIVU</t>
  </si>
  <si>
    <t>REM</t>
  </si>
  <si>
    <t>REMU</t>
  </si>
  <si>
    <t>bubblesort</t>
  </si>
  <si>
    <t>addition</t>
  </si>
  <si>
    <t>substraction</t>
  </si>
  <si>
    <t>less than</t>
  </si>
  <si>
    <t>unsigned less than</t>
  </si>
  <si>
    <t>bitwise xor</t>
  </si>
  <si>
    <t>bitwise or</t>
  </si>
  <si>
    <t>bitwise and</t>
  </si>
  <si>
    <t>right logical shift</t>
  </si>
  <si>
    <t>right arithmetic shift</t>
  </si>
  <si>
    <t>left logical shift</t>
  </si>
  <si>
    <t>unconditional jump</t>
  </si>
  <si>
    <t>jump and link register</t>
  </si>
  <si>
    <t>branch if equal</t>
  </si>
  <si>
    <t>branch if unequal</t>
  </si>
  <si>
    <t>branch if less than</t>
  </si>
  <si>
    <t>branc if greater</t>
  </si>
  <si>
    <t>branch if less than, unsigned</t>
  </si>
  <si>
    <t>branc if greater, unsigned</t>
  </si>
  <si>
    <t>sycnhronizing instruction and data streams</t>
  </si>
  <si>
    <t>something about ordering IO access</t>
  </si>
  <si>
    <t>make a request to the supporting execution environment</t>
  </si>
  <si>
    <t>used by debuggers to cause control to be transferred back to a debugging environment</t>
  </si>
  <si>
    <t>add an 11bit constant to register</t>
  </si>
  <si>
    <t>bitwise AND an 11bit constant with register</t>
  </si>
  <si>
    <t>load a 32bit value from memory</t>
  </si>
  <si>
    <t>load a 16bit value from memory, zero extended</t>
  </si>
  <si>
    <t>load an 8bit value from memory, zero extended</t>
  </si>
  <si>
    <t>load an 8bit value from memory, sign extended</t>
  </si>
  <si>
    <t>load a 16bit value from memory, sign extended</t>
  </si>
  <si>
    <t>store bottom 8 bits</t>
  </si>
  <si>
    <t>store 32 bits</t>
  </si>
  <si>
    <t>store bottom 16 bits</t>
  </si>
  <si>
    <t>place a 20 bit constant into top 20 bits of the rd register</t>
  </si>
  <si>
    <t>add a constant to PC and save to rd register</t>
  </si>
  <si>
    <t>bsort_base</t>
  </si>
  <si>
    <t>bsort_branch</t>
  </si>
  <si>
    <t>bsort_dryrun</t>
  </si>
  <si>
    <t>runs bsort twice, first time without moving anything</t>
  </si>
  <si>
    <t>bsort_double</t>
  </si>
  <si>
    <t>runs bsort twice, both ways</t>
  </si>
  <si>
    <t>instruction</t>
  </si>
  <si>
    <t>description</t>
  </si>
  <si>
    <t>benchmark</t>
  </si>
  <si>
    <t>bsort_swapping</t>
  </si>
  <si>
    <t>two cells are always swapped trice, to increase ALU operations</t>
  </si>
  <si>
    <t>bsort_loading</t>
  </si>
  <si>
    <t>number of instructions for 1 run in sunflower</t>
  </si>
  <si>
    <t>number of cycles for 1 run in sunflower</t>
  </si>
  <si>
    <t>Instruction frequencies for 1 run in sunflower:</t>
  </si>
  <si>
    <t>bsort_branch_simple</t>
  </si>
  <si>
    <t>4 additional comparisons at each step of the bsort, at different positions</t>
  </si>
  <si>
    <t>4 additional comparisons at each step of the bsort, at the same position</t>
  </si>
  <si>
    <t>unmodified bsort benchmark, hence can't meassure some things</t>
  </si>
  <si>
    <t>dumpdistr</t>
  </si>
  <si>
    <t>ni</t>
  </si>
  <si>
    <t>number of fetched instructions for 1 run in sunflower</t>
  </si>
  <si>
    <t>average CPI in sunflower</t>
  </si>
  <si>
    <t>execution frequency on hardware</t>
  </si>
  <si>
    <t>average CPI on hardware</t>
  </si>
  <si>
    <t>loading data 101x each time</t>
  </si>
  <si>
    <t>branching</t>
  </si>
  <si>
    <t>loading</t>
  </si>
  <si>
    <t>storing</t>
  </si>
  <si>
    <t>shift by an immediate</t>
  </si>
  <si>
    <t>A</t>
  </si>
  <si>
    <t>b</t>
  </si>
  <si>
    <t>A^-1</t>
  </si>
  <si>
    <t>x</t>
  </si>
  <si>
    <t>jumps and other</t>
  </si>
  <si>
    <t>const</t>
  </si>
  <si>
    <t>other ALU operations</t>
  </si>
  <si>
    <t>modified to run repeatadly and toggle an output wire</t>
  </si>
  <si>
    <t>A^T</t>
  </si>
  <si>
    <t>branch</t>
  </si>
  <si>
    <t>load</t>
  </si>
  <si>
    <t>store</t>
  </si>
  <si>
    <t>b - ALU - other</t>
  </si>
  <si>
    <t>cycles waiting</t>
  </si>
  <si>
    <t>memory</t>
  </si>
  <si>
    <t>variable</t>
  </si>
  <si>
    <t>CPI</t>
  </si>
  <si>
    <t>branching CPI</t>
  </si>
  <si>
    <t>execution frequency on hardware at 12MHz</t>
  </si>
  <si>
    <t>average CPI on hardware at 12MHz</t>
  </si>
  <si>
    <t>bsort_alu_verify</t>
  </si>
  <si>
    <t>two cells are always swapped trice using xor, multiplication and addition, and the results are verified at the end</t>
  </si>
  <si>
    <t>Proportion Branching Instructions</t>
  </si>
  <si>
    <t>Baseline Average Dynamic Power</t>
  </si>
  <si>
    <t>Device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</si>
</sst>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42.83203125" customWidth="1"/>
    <col min="2" max="2" width="21.5" customWidth="1"/>
    <col min="3" max="11" width="20.33203125" customWidth="1"/>
    <col min="13" max="13" width="12.6640625" bestFit="1" customWidth="1"/>
  </cols>
  <sheetData>
    <row r="1" spans="1:11" x14ac:dyDescent="0.2">
      <c r="A1" t="s">
        <v>98</v>
      </c>
      <c r="C1" t="s">
        <v>55</v>
      </c>
      <c r="D1" t="s">
        <v>90</v>
      </c>
      <c r="E1" t="s">
        <v>92</v>
      </c>
      <c r="F1" t="s">
        <v>94</v>
      </c>
      <c r="G1" t="s">
        <v>99</v>
      </c>
      <c r="H1" t="s">
        <v>91</v>
      </c>
      <c r="I1" t="s">
        <v>105</v>
      </c>
      <c r="J1" t="s">
        <v>101</v>
      </c>
      <c r="K1" t="s">
        <v>140</v>
      </c>
    </row>
    <row r="2" spans="1:11" ht="60.75" customHeight="1" x14ac:dyDescent="0.2">
      <c r="A2" t="s">
        <v>97</v>
      </c>
      <c r="C2" s="2" t="s">
        <v>108</v>
      </c>
      <c r="D2" s="2" t="s">
        <v>127</v>
      </c>
      <c r="E2" s="2" t="s">
        <v>93</v>
      </c>
      <c r="F2" s="2" t="s">
        <v>95</v>
      </c>
      <c r="G2" s="2" t="s">
        <v>100</v>
      </c>
      <c r="H2" s="2" t="s">
        <v>106</v>
      </c>
      <c r="I2" s="2" t="s">
        <v>107</v>
      </c>
      <c r="J2" s="2" t="s">
        <v>115</v>
      </c>
      <c r="K2" s="2" t="s">
        <v>141</v>
      </c>
    </row>
    <row r="3" spans="1:11" x14ac:dyDescent="0.2">
      <c r="A3" t="s">
        <v>102</v>
      </c>
      <c r="C3">
        <v>71430</v>
      </c>
      <c r="D3">
        <v>123137</v>
      </c>
      <c r="E3">
        <v>144841</v>
      </c>
      <c r="F3">
        <v>123143</v>
      </c>
      <c r="G3">
        <v>256905</v>
      </c>
      <c r="H3">
        <v>348985</v>
      </c>
      <c r="I3">
        <v>260019</v>
      </c>
      <c r="J3">
        <v>148383</v>
      </c>
      <c r="K3">
        <v>192029</v>
      </c>
    </row>
    <row r="4" spans="1:11" x14ac:dyDescent="0.2">
      <c r="A4" t="s">
        <v>103</v>
      </c>
      <c r="C4">
        <v>95310</v>
      </c>
      <c r="D4">
        <v>180167</v>
      </c>
      <c r="E4">
        <v>216495</v>
      </c>
      <c r="F4">
        <v>180181</v>
      </c>
      <c r="G4">
        <v>357555</v>
      </c>
      <c r="H4">
        <v>512095</v>
      </c>
      <c r="I4">
        <v>399177</v>
      </c>
      <c r="J4">
        <v>210219</v>
      </c>
      <c r="K4">
        <v>264833</v>
      </c>
    </row>
    <row r="5" spans="1:11" x14ac:dyDescent="0.2">
      <c r="A5" t="s">
        <v>111</v>
      </c>
      <c r="C5">
        <v>75040</v>
      </c>
      <c r="D5">
        <v>130389</v>
      </c>
      <c r="E5">
        <v>155867</v>
      </c>
      <c r="F5">
        <v>130399</v>
      </c>
      <c r="G5">
        <v>264157</v>
      </c>
      <c r="H5">
        <v>369925</v>
      </c>
      <c r="I5">
        <v>280959</v>
      </c>
      <c r="J5">
        <v>159639</v>
      </c>
      <c r="K5">
        <v>219305</v>
      </c>
    </row>
    <row r="6" spans="1:11" x14ac:dyDescent="0.2">
      <c r="A6" t="s">
        <v>133</v>
      </c>
      <c r="C6">
        <f>C4-C3</f>
        <v>23880</v>
      </c>
      <c r="D6">
        <f t="shared" ref="D6:J6" si="0">D4-D3</f>
        <v>57030</v>
      </c>
      <c r="E6">
        <f t="shared" si="0"/>
        <v>71654</v>
      </c>
      <c r="F6">
        <f t="shared" si="0"/>
        <v>57038</v>
      </c>
      <c r="G6">
        <f t="shared" si="0"/>
        <v>100650</v>
      </c>
      <c r="H6">
        <f t="shared" si="0"/>
        <v>163110</v>
      </c>
      <c r="I6">
        <f t="shared" si="0"/>
        <v>139158</v>
      </c>
      <c r="J6">
        <f t="shared" si="0"/>
        <v>61836</v>
      </c>
      <c r="K6">
        <f t="shared" ref="K6" si="1">K4-K3</f>
        <v>72804</v>
      </c>
    </row>
    <row r="7" spans="1:11" ht="15.75" customHeight="1" x14ac:dyDescent="0.2">
      <c r="A7" t="s">
        <v>112</v>
      </c>
      <c r="C7">
        <f>C4/C3</f>
        <v>1.3343133137337253</v>
      </c>
      <c r="D7">
        <f>D4/D3</f>
        <v>1.463142678480067</v>
      </c>
      <c r="E7">
        <f t="shared" ref="E7:J7" si="2">E4/E3</f>
        <v>1.494707990140913</v>
      </c>
      <c r="F7">
        <f t="shared" si="2"/>
        <v>1.4631850775115109</v>
      </c>
      <c r="G7">
        <f t="shared" si="2"/>
        <v>1.3917790622992936</v>
      </c>
      <c r="H7">
        <f>H4/H3</f>
        <v>1.4673839849850281</v>
      </c>
      <c r="I7">
        <f t="shared" si="2"/>
        <v>1.5351839673254646</v>
      </c>
      <c r="J7">
        <f t="shared" si="2"/>
        <v>1.4167323750025271</v>
      </c>
      <c r="K7">
        <f t="shared" ref="K7" si="3">K4/K3</f>
        <v>1.3791302355373407</v>
      </c>
    </row>
    <row r="8" spans="1:11" x14ac:dyDescent="0.2">
      <c r="A8" t="s">
        <v>113</v>
      </c>
      <c r="D8">
        <v>10.46</v>
      </c>
      <c r="E8">
        <v>17.824999999999999</v>
      </c>
      <c r="F8">
        <v>21.27</v>
      </c>
      <c r="G8">
        <v>10.481999999999999</v>
      </c>
      <c r="H8">
        <v>8.16</v>
      </c>
      <c r="I8">
        <v>10.06</v>
      </c>
      <c r="J8">
        <v>18.149000000000001</v>
      </c>
    </row>
    <row r="9" spans="1:11" x14ac:dyDescent="0.2">
      <c r="A9" t="s">
        <v>114</v>
      </c>
      <c r="D9">
        <f>6000000/(D8*D3)</f>
        <v>4.6583380034465796</v>
      </c>
      <c r="E9">
        <f t="shared" ref="E9:J9" si="4">6000000/(E8*E3)</f>
        <v>2.3239682866252345</v>
      </c>
      <c r="F9">
        <f t="shared" si="4"/>
        <v>2.2907306717280211</v>
      </c>
      <c r="G9">
        <f t="shared" si="4"/>
        <v>2.2280992796922665</v>
      </c>
      <c r="H9">
        <f t="shared" si="4"/>
        <v>2.1069504925628859</v>
      </c>
      <c r="I9">
        <f t="shared" si="4"/>
        <v>2.2937611142761192</v>
      </c>
      <c r="J9">
        <f t="shared" si="4"/>
        <v>2.2279959772507749</v>
      </c>
      <c r="K9" t="e">
        <f>6000000/(K8*K3)</f>
        <v>#DIV/0!</v>
      </c>
    </row>
    <row r="10" spans="1:11" x14ac:dyDescent="0.2">
      <c r="A10" t="s">
        <v>138</v>
      </c>
      <c r="D10">
        <v>20.920999999999999</v>
      </c>
    </row>
    <row r="11" spans="1:11" x14ac:dyDescent="0.2">
      <c r="A11" t="s">
        <v>139</v>
      </c>
      <c r="D11">
        <f>12000000/(D10*D3)</f>
        <v>4.6581153401894007</v>
      </c>
    </row>
    <row r="12" spans="1:11" x14ac:dyDescent="0.2">
      <c r="A12" t="s">
        <v>143</v>
      </c>
      <c r="C12">
        <v>2.8623899999999998E-3</v>
      </c>
      <c r="D12">
        <v>3.8369400000000001E-3</v>
      </c>
      <c r="E12">
        <v>3.9933499999999997E-3</v>
      </c>
      <c r="F12">
        <v>4.0100099999999996E-3</v>
      </c>
      <c r="G12">
        <v>4.0216200000000001E-3</v>
      </c>
      <c r="H12">
        <v>4.1289200000000003E-3</v>
      </c>
      <c r="I12">
        <v>4.0061000000000003E-3</v>
      </c>
      <c r="J12">
        <v>4.0835200000000002E-3</v>
      </c>
    </row>
    <row r="13" spans="1:11" x14ac:dyDescent="0.2">
      <c r="A13" t="s">
        <v>142</v>
      </c>
      <c r="C13">
        <f>100*SUM(C33:C38)/SUM(C29:C83)</f>
        <v>4.9587008259834802</v>
      </c>
      <c r="D13">
        <f t="shared" ref="D13:K13" si="5">100*SUM(D33:D38)/SUM(D29:D83)</f>
        <v>5.7748686422440043</v>
      </c>
      <c r="E13">
        <f t="shared" si="5"/>
        <v>7.4336686435470618</v>
      </c>
      <c r="F13">
        <f t="shared" si="5"/>
        <v>5.7762113965065005</v>
      </c>
      <c r="G13">
        <f t="shared" si="5"/>
        <v>2.7679492419376812</v>
      </c>
      <c r="H13">
        <f t="shared" si="5"/>
        <v>5.9598550080949035</v>
      </c>
      <c r="I13">
        <f t="shared" si="5"/>
        <v>7.9990308400539964</v>
      </c>
      <c r="J13">
        <f t="shared" si="5"/>
        <v>6.9502571049244182</v>
      </c>
      <c r="K13">
        <f t="shared" si="5"/>
        <v>12.115294485236682</v>
      </c>
    </row>
    <row r="14" spans="1:11" x14ac:dyDescent="0.2">
      <c r="A14" t="s">
        <v>144</v>
      </c>
    </row>
    <row r="16" spans="1:11" hidden="1" x14ac:dyDescent="0.2">
      <c r="A16" t="s">
        <v>137</v>
      </c>
      <c r="C16">
        <f>(C4-C21*$B21-C22*$B22-C23*$B23-C24*$B24-C25*$B25-C26*$B26)/C20</f>
        <v>2.7175042348955398</v>
      </c>
      <c r="D16">
        <f t="shared" ref="D16:J16" si="6">(D4-D21*$B21-D22*$B22-D23*$B23-D24*$B24-D25*$B25-D26*$B26)/D20</f>
        <v>2.8716495570243268</v>
      </c>
      <c r="E16">
        <f t="shared" si="6"/>
        <v>2.8593758707160766</v>
      </c>
      <c r="F16">
        <f t="shared" si="6"/>
        <v>2.8720933502038517</v>
      </c>
      <c r="G16">
        <f t="shared" si="6"/>
        <v>2.9329911404865703</v>
      </c>
      <c r="H16">
        <f t="shared" si="6"/>
        <v>4.0255012260204817</v>
      </c>
      <c r="I16">
        <f t="shared" si="6"/>
        <v>3.4167411894802631</v>
      </c>
      <c r="J16">
        <f t="shared" si="6"/>
        <v>2.3471637738776292</v>
      </c>
    </row>
    <row r="17" spans="1:29" hidden="1" x14ac:dyDescent="0.2"/>
    <row r="18" spans="1:29" hidden="1" x14ac:dyDescent="0.2">
      <c r="A18" t="s">
        <v>109</v>
      </c>
      <c r="B18" t="s">
        <v>110</v>
      </c>
    </row>
    <row r="19" spans="1:29" hidden="1" x14ac:dyDescent="0.2">
      <c r="A19" t="s">
        <v>104</v>
      </c>
      <c r="B19" t="s">
        <v>136</v>
      </c>
      <c r="M19" t="s">
        <v>120</v>
      </c>
      <c r="T19" t="s">
        <v>121</v>
      </c>
      <c r="V19" t="s">
        <v>122</v>
      </c>
      <c r="AC19" t="s">
        <v>123</v>
      </c>
    </row>
    <row r="20" spans="1:29" x14ac:dyDescent="0.2">
      <c r="A20" t="s">
        <v>116</v>
      </c>
      <c r="B20" t="s">
        <v>135</v>
      </c>
      <c r="C20">
        <f>SUM(C33:C38)</f>
        <v>3542</v>
      </c>
      <c r="D20">
        <f t="shared" ref="D20:J20" si="7">SUM(D33:D38)</f>
        <v>7111</v>
      </c>
      <c r="E20">
        <f t="shared" si="7"/>
        <v>10767</v>
      </c>
      <c r="F20">
        <f t="shared" si="7"/>
        <v>7113</v>
      </c>
      <c r="G20">
        <f t="shared" si="7"/>
        <v>7111</v>
      </c>
      <c r="H20">
        <f t="shared" si="7"/>
        <v>20799</v>
      </c>
      <c r="I20">
        <f t="shared" si="7"/>
        <v>20799</v>
      </c>
      <c r="J20">
        <f t="shared" si="7"/>
        <v>10313</v>
      </c>
      <c r="K20">
        <f t="shared" ref="K20" si="8">SUM(K33:K38)</f>
        <v>23265</v>
      </c>
      <c r="M20" cm="1">
        <f t="array" ref="M20:S26">TRANSPOSE(D20:J26)</f>
        <v>7111</v>
      </c>
      <c r="N20">
        <v>32838</v>
      </c>
      <c r="O20">
        <v>66218</v>
      </c>
      <c r="P20">
        <v>8076</v>
      </c>
      <c r="Q20">
        <v>8754</v>
      </c>
      <c r="R20">
        <v>136</v>
      </c>
      <c r="S20">
        <v>1</v>
      </c>
      <c r="T20" cm="1">
        <f t="array" ref="T20:T26">TRANSPOSE(D4:J4)</f>
        <v>180167</v>
      </c>
      <c r="V20" cm="1">
        <f t="array" ref="V20:AB26">MINVERSE(_xlfn.ANCHORARRAY(M20))</f>
        <v>-3.635087081951479E-2</v>
      </c>
      <c r="W20">
        <v>3.3922861115084674E-4</v>
      </c>
      <c r="X20">
        <v>3.6263097317328408E-2</v>
      </c>
      <c r="Y20">
        <v>-8.537532976016373E-5</v>
      </c>
      <c r="Z20">
        <v>7.4902649042440746E-5</v>
      </c>
      <c r="AA20">
        <v>-5.4013706069903682E-5</v>
      </c>
      <c r="AB20">
        <v>-1.8696872217683933E-4</v>
      </c>
      <c r="AC20" cm="1">
        <f t="array" ref="AC20:AC26">MMULT(_xlfn.ANCHORARRAY(V20),_xlfn.ANCHORARRAY(T20))</f>
        <v>5.1005820389660883</v>
      </c>
    </row>
    <row r="21" spans="1:29" x14ac:dyDescent="0.2">
      <c r="A21" t="s">
        <v>56</v>
      </c>
      <c r="B21">
        <v>1</v>
      </c>
      <c r="C21">
        <f>SUM(C56,C47,C57)</f>
        <v>26340</v>
      </c>
      <c r="D21">
        <f t="shared" ref="D21:J21" si="9">SUM(D56,D47,D57)</f>
        <v>32838</v>
      </c>
      <c r="E21">
        <f t="shared" si="9"/>
        <v>36380</v>
      </c>
      <c r="F21">
        <f t="shared" si="9"/>
        <v>32838</v>
      </c>
      <c r="G21">
        <f t="shared" si="9"/>
        <v>70642</v>
      </c>
      <c r="H21">
        <f t="shared" si="9"/>
        <v>114964</v>
      </c>
      <c r="I21">
        <f t="shared" si="9"/>
        <v>73902</v>
      </c>
      <c r="J21">
        <f t="shared" si="9"/>
        <v>43040</v>
      </c>
      <c r="K21">
        <f t="shared" ref="K21" si="10">SUM(K56,K47,K57)</f>
        <v>46955</v>
      </c>
      <c r="M21">
        <v>10767</v>
      </c>
      <c r="N21">
        <v>36380</v>
      </c>
      <c r="O21">
        <v>76950</v>
      </c>
      <c r="P21">
        <v>11732</v>
      </c>
      <c r="Q21">
        <v>8754</v>
      </c>
      <c r="R21">
        <v>254</v>
      </c>
      <c r="S21">
        <v>1</v>
      </c>
      <c r="T21">
        <v>216495</v>
      </c>
      <c r="V21">
        <v>3.9324532784843887E-2</v>
      </c>
      <c r="W21">
        <v>-1.7838593987774123E-4</v>
      </c>
      <c r="X21">
        <v>-3.933382198221004E-2</v>
      </c>
      <c r="Y21">
        <v>7.3872310242267076E-6</v>
      </c>
      <c r="Z21">
        <v>-2.2860238881440793E-5</v>
      </c>
      <c r="AA21">
        <v>3.750498086523561E-5</v>
      </c>
      <c r="AB21">
        <v>1.6564316423587071E-4</v>
      </c>
      <c r="AC21">
        <v>-0.11675093523181346</v>
      </c>
    </row>
    <row r="22" spans="1:29" x14ac:dyDescent="0.2">
      <c r="A22" t="s">
        <v>117</v>
      </c>
      <c r="B22">
        <v>1.55</v>
      </c>
      <c r="C22">
        <f>SUM(C39:C43)</f>
        <v>23130</v>
      </c>
      <c r="D22">
        <f t="shared" ref="D22:J22" si="11">SUM(D39:D43)</f>
        <v>66218</v>
      </c>
      <c r="E22">
        <f t="shared" si="11"/>
        <v>76950</v>
      </c>
      <c r="F22">
        <f t="shared" si="11"/>
        <v>66220</v>
      </c>
      <c r="G22">
        <f t="shared" si="11"/>
        <v>136010</v>
      </c>
      <c r="H22">
        <f t="shared" si="11"/>
        <v>165454</v>
      </c>
      <c r="I22">
        <f t="shared" si="11"/>
        <v>148346</v>
      </c>
      <c r="J22">
        <f t="shared" si="11"/>
        <v>70238</v>
      </c>
      <c r="K22">
        <f t="shared" ref="K22" si="12">SUM(K39:K43)</f>
        <v>62288</v>
      </c>
      <c r="M22">
        <v>7113</v>
      </c>
      <c r="N22">
        <v>32838</v>
      </c>
      <c r="O22">
        <v>66220</v>
      </c>
      <c r="P22">
        <v>8076</v>
      </c>
      <c r="Q22">
        <v>8754</v>
      </c>
      <c r="R22">
        <v>138</v>
      </c>
      <c r="S22">
        <v>1</v>
      </c>
      <c r="T22">
        <v>180181</v>
      </c>
      <c r="V22">
        <v>-1.361724196571419E-2</v>
      </c>
      <c r="W22">
        <v>3.26543015085874E-5</v>
      </c>
      <c r="X22">
        <v>1.3624344241461816E-2</v>
      </c>
      <c r="Y22">
        <v>1.0534513201513464E-5</v>
      </c>
      <c r="Z22">
        <v>-1.0525039752714027E-6</v>
      </c>
      <c r="AA22">
        <v>2.4256926885382997E-6</v>
      </c>
      <c r="AB22">
        <v>-5.1664279170991959E-5</v>
      </c>
      <c r="AC22">
        <v>1.8749830109410635</v>
      </c>
    </row>
    <row r="23" spans="1:29" x14ac:dyDescent="0.2">
      <c r="A23" t="s">
        <v>118</v>
      </c>
      <c r="B23">
        <v>1.55</v>
      </c>
      <c r="C23">
        <f>SUM(C44:C46)</f>
        <v>4022</v>
      </c>
      <c r="D23">
        <f t="shared" ref="D23:J23" si="13">SUM(D44:D46)</f>
        <v>8076</v>
      </c>
      <c r="E23">
        <f t="shared" si="13"/>
        <v>11732</v>
      </c>
      <c r="F23">
        <f t="shared" si="13"/>
        <v>8076</v>
      </c>
      <c r="G23">
        <f t="shared" si="13"/>
        <v>16800</v>
      </c>
      <c r="H23">
        <f t="shared" si="13"/>
        <v>11498</v>
      </c>
      <c r="I23">
        <f t="shared" si="13"/>
        <v>8078</v>
      </c>
      <c r="J23">
        <f t="shared" si="13"/>
        <v>12096</v>
      </c>
      <c r="K23">
        <f t="shared" ref="K23" si="14">SUM(K44:K46)</f>
        <v>7586</v>
      </c>
      <c r="M23">
        <v>7111</v>
      </c>
      <c r="N23">
        <v>70642</v>
      </c>
      <c r="O23">
        <v>136010</v>
      </c>
      <c r="P23">
        <v>16800</v>
      </c>
      <c r="Q23">
        <v>26202</v>
      </c>
      <c r="R23">
        <v>136</v>
      </c>
      <c r="S23">
        <v>1</v>
      </c>
      <c r="T23">
        <v>357555</v>
      </c>
      <c r="V23">
        <v>5.2476830432061736E-2</v>
      </c>
      <c r="W23">
        <v>2.3265704754675745E-5</v>
      </c>
      <c r="X23">
        <v>-5.2677032447099745E-2</v>
      </c>
      <c r="Y23">
        <v>4.4879382188945695E-5</v>
      </c>
      <c r="Z23">
        <v>-4.7282092177396974E-5</v>
      </c>
      <c r="AA23">
        <v>8.8926552665522262E-6</v>
      </c>
      <c r="AB23">
        <v>1.7044636500523016E-4</v>
      </c>
      <c r="AC23">
        <v>-0.55563378539225283</v>
      </c>
    </row>
    <row r="24" spans="1:29" x14ac:dyDescent="0.2">
      <c r="A24" t="s">
        <v>126</v>
      </c>
      <c r="B24">
        <v>1</v>
      </c>
      <c r="C24">
        <f>SUM(C52,C61,C62:C65,C53:C55,C58,C29)</f>
        <v>14329</v>
      </c>
      <c r="D24">
        <f t="shared" ref="D24:J24" si="15">SUM(D52,D61,D62:D65,D53:D55,D58)</f>
        <v>8754</v>
      </c>
      <c r="E24">
        <f t="shared" si="15"/>
        <v>8754</v>
      </c>
      <c r="F24">
        <f t="shared" si="15"/>
        <v>8754</v>
      </c>
      <c r="G24">
        <f t="shared" si="15"/>
        <v>26202</v>
      </c>
      <c r="H24">
        <f t="shared" si="15"/>
        <v>36130</v>
      </c>
      <c r="I24">
        <f t="shared" si="15"/>
        <v>8754</v>
      </c>
      <c r="J24">
        <f t="shared" si="15"/>
        <v>11754</v>
      </c>
      <c r="K24">
        <f t="shared" ref="K24" si="16">SUM(K52,K61,K62:K65,K53:K55,K58)</f>
        <v>49216</v>
      </c>
      <c r="M24">
        <v>20799</v>
      </c>
      <c r="N24">
        <v>114964</v>
      </c>
      <c r="O24">
        <v>165454</v>
      </c>
      <c r="P24">
        <v>11498</v>
      </c>
      <c r="Q24">
        <v>36130</v>
      </c>
      <c r="R24">
        <v>136</v>
      </c>
      <c r="S24">
        <v>1</v>
      </c>
      <c r="T24">
        <v>512095</v>
      </c>
      <c r="V24">
        <v>-5.7029914879437184E-2</v>
      </c>
      <c r="W24">
        <v>2.4425281132341858E-4</v>
      </c>
      <c r="X24">
        <v>5.7064420219157697E-2</v>
      </c>
      <c r="Y24">
        <v>-2.3270252018354897E-5</v>
      </c>
      <c r="Z24">
        <v>7.738157956623914E-5</v>
      </c>
      <c r="AA24">
        <v>-9.5409890262106474E-5</v>
      </c>
      <c r="AB24">
        <v>-2.3745958832970047E-4</v>
      </c>
      <c r="AC24">
        <v>3.197511875270358</v>
      </c>
    </row>
    <row r="25" spans="1:29" x14ac:dyDescent="0.2">
      <c r="A25" t="s">
        <v>124</v>
      </c>
      <c r="B25">
        <v>1</v>
      </c>
      <c r="C25">
        <f>SUM(C31:C32, C30,C66:C69,C59:C60)</f>
        <v>67</v>
      </c>
      <c r="D25">
        <f t="shared" ref="D25:J25" si="17">SUM(D31:D32, D30,D66:D69,D59:D60)</f>
        <v>136</v>
      </c>
      <c r="E25">
        <f t="shared" si="17"/>
        <v>254</v>
      </c>
      <c r="F25">
        <f t="shared" si="17"/>
        <v>138</v>
      </c>
      <c r="G25">
        <f t="shared" si="17"/>
        <v>136</v>
      </c>
      <c r="H25">
        <f t="shared" si="17"/>
        <v>136</v>
      </c>
      <c r="I25">
        <f t="shared" si="17"/>
        <v>136</v>
      </c>
      <c r="J25">
        <f t="shared" si="17"/>
        <v>738</v>
      </c>
      <c r="K25">
        <f t="shared" ref="K25" si="18">SUM(K31:K32, K30,K66:K69,K59:K60)</f>
        <v>2716</v>
      </c>
      <c r="M25">
        <v>20799</v>
      </c>
      <c r="N25">
        <v>73902</v>
      </c>
      <c r="O25">
        <v>148346</v>
      </c>
      <c r="P25">
        <v>8078</v>
      </c>
      <c r="Q25">
        <v>8754</v>
      </c>
      <c r="R25">
        <v>136</v>
      </c>
      <c r="S25">
        <v>1</v>
      </c>
      <c r="T25">
        <v>399177</v>
      </c>
      <c r="V25">
        <v>-0.4500318872147781</v>
      </c>
      <c r="W25">
        <v>-3.7188291265925137E-4</v>
      </c>
      <c r="X25">
        <v>0.45011255844121684</v>
      </c>
      <c r="Y25">
        <v>7.484081655864177E-5</v>
      </c>
      <c r="Z25">
        <v>-7.3850145067154652E-5</v>
      </c>
      <c r="AA25">
        <v>5.1588013381318136E-5</v>
      </c>
      <c r="AB25">
        <v>2.3863300134775947E-4</v>
      </c>
      <c r="AC25">
        <v>2.4434950113864318E-2</v>
      </c>
    </row>
    <row r="26" spans="1:29" x14ac:dyDescent="0.2">
      <c r="A26" t="s">
        <v>125</v>
      </c>
      <c r="B26">
        <v>2863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M26">
        <v>10313</v>
      </c>
      <c r="N26">
        <v>43040</v>
      </c>
      <c r="O26">
        <v>70238</v>
      </c>
      <c r="P26">
        <v>12096</v>
      </c>
      <c r="Q26">
        <v>11754</v>
      </c>
      <c r="R26">
        <v>738</v>
      </c>
      <c r="S26">
        <v>1</v>
      </c>
      <c r="T26">
        <v>210219</v>
      </c>
      <c r="V26">
        <v>6.4998922410006674</v>
      </c>
      <c r="W26">
        <v>-0.99222656328635406</v>
      </c>
      <c r="X26">
        <v>-3.7371942565618377</v>
      </c>
      <c r="Y26">
        <v>-0.50196877306807286</v>
      </c>
      <c r="Z26">
        <v>2.2419439134118537E-3</v>
      </c>
      <c r="AA26">
        <v>-0.2517364906372061</v>
      </c>
      <c r="AB26">
        <v>-1.9008101360608636E-2</v>
      </c>
      <c r="AC26">
        <v>65.95965508962945</v>
      </c>
    </row>
    <row r="28" spans="1:29" x14ac:dyDescent="0.2">
      <c r="A28" t="s">
        <v>96</v>
      </c>
      <c r="B28" t="s">
        <v>97</v>
      </c>
      <c r="M28" t="s">
        <v>128</v>
      </c>
      <c r="Q28" t="s">
        <v>132</v>
      </c>
      <c r="R28" t="s">
        <v>120</v>
      </c>
      <c r="V28" t="s">
        <v>122</v>
      </c>
      <c r="Z28" t="s">
        <v>123</v>
      </c>
    </row>
    <row r="29" spans="1:29" x14ac:dyDescent="0.2">
      <c r="A29" s="1" t="s">
        <v>0</v>
      </c>
      <c r="B29" t="s">
        <v>88</v>
      </c>
      <c r="C29">
        <v>9967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204</v>
      </c>
      <c r="K29">
        <v>4</v>
      </c>
      <c r="L29" t="s">
        <v>129</v>
      </c>
      <c r="M29">
        <f>D20</f>
        <v>7111</v>
      </c>
      <c r="N29">
        <f>E20</f>
        <v>10767</v>
      </c>
      <c r="O29">
        <f>G20</f>
        <v>7111</v>
      </c>
      <c r="P29">
        <f>J20</f>
        <v>10313</v>
      </c>
      <c r="Q29">
        <f>D4-D21-D24-D25</f>
        <v>138439</v>
      </c>
      <c r="R29" cm="1">
        <f t="array" ref="R29:U32">TRANSPOSE(M29:P32)</f>
        <v>7111</v>
      </c>
      <c r="S29">
        <v>66218</v>
      </c>
      <c r="T29">
        <v>8076</v>
      </c>
      <c r="U29">
        <v>1</v>
      </c>
      <c r="V29" cm="1">
        <f t="array" ref="V29:Y32">MINVERSE(_xlfn.ANCHORARRAY(R29))</f>
        <v>-1.459775187242437E-4</v>
      </c>
      <c r="W29">
        <v>6.4553709512161193E-4</v>
      </c>
      <c r="X29">
        <v>-7.4798920630780795E-5</v>
      </c>
      <c r="Y29">
        <v>-4.247606557665874E-4</v>
      </c>
      <c r="Z29" cm="1">
        <f t="array" ref="Z29:Z32">MMULT(_xlfn.ANCHORARRAY(V29),Q29:Q32)</f>
        <v>5.0512537183762731</v>
      </c>
    </row>
    <row r="30" spans="1:29" x14ac:dyDescent="0.2">
      <c r="A30" s="1" t="s">
        <v>1</v>
      </c>
      <c r="B30" t="s">
        <v>89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130</v>
      </c>
      <c r="M30">
        <f>D22</f>
        <v>66218</v>
      </c>
      <c r="N30">
        <f>E22</f>
        <v>76950</v>
      </c>
      <c r="O30">
        <f>G22</f>
        <v>136010</v>
      </c>
      <c r="P30">
        <f>J22</f>
        <v>70238</v>
      </c>
      <c r="Q30">
        <f>E4-E21-E24-E25</f>
        <v>171107</v>
      </c>
      <c r="R30">
        <v>10767</v>
      </c>
      <c r="S30">
        <v>76950</v>
      </c>
      <c r="T30">
        <v>11732</v>
      </c>
      <c r="U30">
        <v>1</v>
      </c>
      <c r="V30">
        <v>2.550895020265855E-6</v>
      </c>
      <c r="W30">
        <v>7.3454505280007157E-5</v>
      </c>
      <c r="X30">
        <v>7.8639536359250295E-6</v>
      </c>
      <c r="Y30">
        <v>-8.3869353936198078E-5</v>
      </c>
      <c r="Z30">
        <v>1.9973743570092619</v>
      </c>
    </row>
    <row r="31" spans="1:29" x14ac:dyDescent="0.2">
      <c r="A31" s="1" t="s">
        <v>2</v>
      </c>
      <c r="B31" t="s">
        <v>66</v>
      </c>
      <c r="C31">
        <v>63</v>
      </c>
      <c r="D31">
        <v>128</v>
      </c>
      <c r="E31">
        <v>246</v>
      </c>
      <c r="F31">
        <v>130</v>
      </c>
      <c r="G31">
        <v>128</v>
      </c>
      <c r="H31">
        <v>128</v>
      </c>
      <c r="I31">
        <v>128</v>
      </c>
      <c r="J31">
        <v>530</v>
      </c>
      <c r="K31">
        <v>1418</v>
      </c>
      <c r="L31" t="s">
        <v>131</v>
      </c>
      <c r="M31">
        <f>D23</f>
        <v>8076</v>
      </c>
      <c r="N31">
        <f>E23</f>
        <v>11732</v>
      </c>
      <c r="O31">
        <f>G23</f>
        <v>16800</v>
      </c>
      <c r="P31">
        <f>J23</f>
        <v>12096</v>
      </c>
      <c r="Q31">
        <f>G4-G21-G24-G25</f>
        <v>260575</v>
      </c>
      <c r="R31">
        <v>7111</v>
      </c>
      <c r="S31">
        <v>136010</v>
      </c>
      <c r="T31">
        <v>16800</v>
      </c>
      <c r="U31">
        <v>1</v>
      </c>
      <c r="V31">
        <v>-1.3503347836478616E-4</v>
      </c>
      <c r="W31">
        <v>-5.8763604224005726E-4</v>
      </c>
      <c r="X31">
        <v>5.1714689115259085E-5</v>
      </c>
      <c r="Y31">
        <v>6.7095483148958452E-4</v>
      </c>
      <c r="Z31">
        <v>-1.9789948560741237</v>
      </c>
    </row>
    <row r="32" spans="1:29" x14ac:dyDescent="0.2">
      <c r="A32" s="1" t="s">
        <v>3</v>
      </c>
      <c r="B32" t="s">
        <v>67</v>
      </c>
      <c r="C32">
        <v>2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206</v>
      </c>
      <c r="K32">
        <v>1296</v>
      </c>
      <c r="L32" t="s">
        <v>125</v>
      </c>
      <c r="M32">
        <v>1</v>
      </c>
      <c r="N32">
        <v>1</v>
      </c>
      <c r="O32">
        <v>1</v>
      </c>
      <c r="P32">
        <v>1</v>
      </c>
      <c r="Q32">
        <f>J4-J21-J24-J25</f>
        <v>154687</v>
      </c>
      <c r="R32">
        <v>10313</v>
      </c>
      <c r="S32">
        <v>70238</v>
      </c>
      <c r="T32">
        <v>12096</v>
      </c>
      <c r="U32">
        <v>1</v>
      </c>
      <c r="V32">
        <v>2.9596613404701455</v>
      </c>
      <c r="W32">
        <v>-4.7086760369105942</v>
      </c>
      <c r="X32">
        <v>-0.4064879865530337</v>
      </c>
      <c r="Y32">
        <v>3.1555026829934829</v>
      </c>
      <c r="Z32">
        <v>-13760.237906158436</v>
      </c>
    </row>
    <row r="33" spans="1:26" x14ac:dyDescent="0.2">
      <c r="A33" s="1" t="s">
        <v>4</v>
      </c>
      <c r="B33" t="s">
        <v>68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7650</v>
      </c>
    </row>
    <row r="34" spans="1:26" x14ac:dyDescent="0.2">
      <c r="A34" s="1" t="s">
        <v>5</v>
      </c>
      <c r="B34" t="s">
        <v>69</v>
      </c>
      <c r="C34">
        <v>0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404</v>
      </c>
      <c r="K34">
        <v>7332</v>
      </c>
      <c r="M34" t="s">
        <v>128</v>
      </c>
      <c r="Q34" t="s">
        <v>132</v>
      </c>
      <c r="S34" t="s">
        <v>120</v>
      </c>
      <c r="V34" t="s">
        <v>122</v>
      </c>
      <c r="Z34" t="s">
        <v>123</v>
      </c>
    </row>
    <row r="35" spans="1:26" x14ac:dyDescent="0.2">
      <c r="A35" s="1" t="s">
        <v>6</v>
      </c>
      <c r="B35" t="s">
        <v>70</v>
      </c>
      <c r="C35">
        <v>1829</v>
      </c>
      <c r="D35">
        <v>3657</v>
      </c>
      <c r="E35">
        <v>7313</v>
      </c>
      <c r="F35">
        <v>3659</v>
      </c>
      <c r="G35">
        <v>3657</v>
      </c>
      <c r="H35">
        <v>3657</v>
      </c>
      <c r="I35">
        <v>3657</v>
      </c>
      <c r="J35">
        <v>3657</v>
      </c>
      <c r="K35">
        <v>3657</v>
      </c>
      <c r="L35" t="s">
        <v>129</v>
      </c>
      <c r="M35">
        <f>D20</f>
        <v>7111</v>
      </c>
      <c r="N35">
        <f>E20</f>
        <v>10767</v>
      </c>
      <c r="O35">
        <f>G20</f>
        <v>7111</v>
      </c>
      <c r="Q35">
        <f>D4-D21-D24-D25</f>
        <v>138439</v>
      </c>
      <c r="S35" cm="1">
        <f t="array" ref="S35:U37">TRANSPOSE(M35:O37)</f>
        <v>7111</v>
      </c>
      <c r="T35">
        <v>74294</v>
      </c>
      <c r="U35">
        <v>1</v>
      </c>
      <c r="V35" cm="1">
        <f t="array" ref="V35:X37">MINVERSE(_xlfn.ANCHORARRAY(S35))</f>
        <v>-2.2340008915937691E-4</v>
      </c>
      <c r="W35">
        <v>2.7352297592997811E-4</v>
      </c>
      <c r="X35">
        <v>-5.0122886770601223E-5</v>
      </c>
      <c r="Z35" cm="1">
        <f t="array" ref="Z35:Z37">MMULT(_xlfn.ANCHORARRAY(V35),Q35:Q37)</f>
        <v>2.813639679066366</v>
      </c>
    </row>
    <row r="36" spans="1:26" x14ac:dyDescent="0.2">
      <c r="A36" s="1" t="s">
        <v>7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</v>
      </c>
      <c r="K36">
        <v>102</v>
      </c>
      <c r="L36" t="s">
        <v>134</v>
      </c>
      <c r="M36">
        <f>M30+M31</f>
        <v>74294</v>
      </c>
      <c r="N36">
        <f t="shared" ref="N36:O36" si="19">N30+N31</f>
        <v>88682</v>
      </c>
      <c r="O36">
        <f t="shared" si="19"/>
        <v>152810</v>
      </c>
      <c r="Q36">
        <f>E4-E21-E24-E25</f>
        <v>171107</v>
      </c>
      <c r="S36">
        <v>10767</v>
      </c>
      <c r="T36">
        <v>88682</v>
      </c>
      <c r="U36">
        <v>1</v>
      </c>
      <c r="V36">
        <v>-1.2736257578073259E-5</v>
      </c>
      <c r="W36">
        <v>0</v>
      </c>
      <c r="X36">
        <v>1.2736257578073259E-5</v>
      </c>
      <c r="Z36">
        <v>1.5555555555555556</v>
      </c>
    </row>
    <row r="37" spans="1:26" x14ac:dyDescent="0.2">
      <c r="A37" s="1" t="s">
        <v>8</v>
      </c>
      <c r="B37" t="s">
        <v>72</v>
      </c>
      <c r="C37">
        <v>0</v>
      </c>
      <c r="D37">
        <v>22</v>
      </c>
      <c r="E37">
        <v>22</v>
      </c>
      <c r="F37">
        <v>22</v>
      </c>
      <c r="G37">
        <v>22</v>
      </c>
      <c r="H37">
        <v>22</v>
      </c>
      <c r="I37">
        <v>22</v>
      </c>
      <c r="J37">
        <v>2222</v>
      </c>
      <c r="K37">
        <v>662</v>
      </c>
      <c r="L37" t="s">
        <v>125</v>
      </c>
      <c r="M37">
        <v>1</v>
      </c>
      <c r="N37">
        <v>1</v>
      </c>
      <c r="O37">
        <v>1</v>
      </c>
      <c r="Q37">
        <f>G4-G21-G24-G25</f>
        <v>260575</v>
      </c>
      <c r="S37">
        <v>7111</v>
      </c>
      <c r="T37">
        <v>152810</v>
      </c>
      <c r="U37">
        <v>1</v>
      </c>
      <c r="V37">
        <v>3.5348255545177039</v>
      </c>
      <c r="W37">
        <v>-1.9450218818380745</v>
      </c>
      <c r="X37">
        <v>-0.58980367267962941</v>
      </c>
      <c r="Z37">
        <v>2862.7637977146078</v>
      </c>
    </row>
    <row r="38" spans="1:26" x14ac:dyDescent="0.2">
      <c r="A38" s="1" t="s">
        <v>9</v>
      </c>
      <c r="B38" t="s">
        <v>73</v>
      </c>
      <c r="C38">
        <v>1711</v>
      </c>
      <c r="D38">
        <v>3426</v>
      </c>
      <c r="E38">
        <v>3426</v>
      </c>
      <c r="F38">
        <v>3426</v>
      </c>
      <c r="G38">
        <v>3426</v>
      </c>
      <c r="H38">
        <v>17114</v>
      </c>
      <c r="I38">
        <v>17114</v>
      </c>
      <c r="J38">
        <v>3826</v>
      </c>
      <c r="K38">
        <v>3862</v>
      </c>
    </row>
    <row r="39" spans="1:26" x14ac:dyDescent="0.2">
      <c r="A39" s="1" t="s">
        <v>10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26" x14ac:dyDescent="0.2">
      <c r="A40" s="1" t="s">
        <v>11</v>
      </c>
      <c r="B40" t="s">
        <v>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26" x14ac:dyDescent="0.2">
      <c r="A41" s="1" t="s">
        <v>12</v>
      </c>
      <c r="B41" t="s">
        <v>80</v>
      </c>
      <c r="C41">
        <v>15346</v>
      </c>
      <c r="D41">
        <v>50644</v>
      </c>
      <c r="E41">
        <v>61376</v>
      </c>
      <c r="F41">
        <v>50646</v>
      </c>
      <c r="G41">
        <v>102988</v>
      </c>
      <c r="H41">
        <v>122504</v>
      </c>
      <c r="I41">
        <v>105396</v>
      </c>
      <c r="J41">
        <v>54064</v>
      </c>
      <c r="K41">
        <v>47696</v>
      </c>
    </row>
    <row r="42" spans="1:26" x14ac:dyDescent="0.2">
      <c r="A42" s="1" t="s">
        <v>13</v>
      </c>
      <c r="B42" t="s">
        <v>82</v>
      </c>
      <c r="C42">
        <v>7784</v>
      </c>
      <c r="D42">
        <v>15574</v>
      </c>
      <c r="E42">
        <v>15574</v>
      </c>
      <c r="F42">
        <v>15574</v>
      </c>
      <c r="G42">
        <v>33022</v>
      </c>
      <c r="H42">
        <v>42950</v>
      </c>
      <c r="I42">
        <v>42950</v>
      </c>
      <c r="J42">
        <v>16174</v>
      </c>
      <c r="K42">
        <v>6</v>
      </c>
    </row>
    <row r="43" spans="1:26" x14ac:dyDescent="0.2">
      <c r="A43" s="1" t="s">
        <v>14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14586</v>
      </c>
    </row>
    <row r="44" spans="1:26" x14ac:dyDescent="0.2">
      <c r="A44" s="1" t="s">
        <v>15</v>
      </c>
      <c r="B44" t="s">
        <v>85</v>
      </c>
      <c r="C44">
        <v>2181</v>
      </c>
      <c r="D44">
        <v>4368</v>
      </c>
      <c r="E44">
        <v>4368</v>
      </c>
      <c r="F44">
        <v>4368</v>
      </c>
      <c r="G44">
        <v>13092</v>
      </c>
      <c r="H44">
        <v>4368</v>
      </c>
      <c r="I44">
        <v>4368</v>
      </c>
      <c r="J44">
        <v>4968</v>
      </c>
      <c r="K44">
        <v>6</v>
      </c>
    </row>
    <row r="45" spans="1:26" x14ac:dyDescent="0.2">
      <c r="A45" s="1" t="s">
        <v>16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3870</v>
      </c>
    </row>
    <row r="46" spans="1:26" x14ac:dyDescent="0.2">
      <c r="A46" s="1" t="s">
        <v>17</v>
      </c>
      <c r="B46" t="s">
        <v>86</v>
      </c>
      <c r="C46">
        <v>1841</v>
      </c>
      <c r="D46">
        <v>3708</v>
      </c>
      <c r="E46">
        <v>7364</v>
      </c>
      <c r="F46">
        <v>3708</v>
      </c>
      <c r="G46">
        <v>3708</v>
      </c>
      <c r="H46">
        <v>7130</v>
      </c>
      <c r="I46">
        <v>3710</v>
      </c>
      <c r="J46">
        <v>7128</v>
      </c>
      <c r="K46">
        <v>3710</v>
      </c>
    </row>
    <row r="47" spans="1:26" x14ac:dyDescent="0.2">
      <c r="A47" s="1" t="s">
        <v>18</v>
      </c>
      <c r="B47" t="s">
        <v>78</v>
      </c>
      <c r="C47">
        <v>16375</v>
      </c>
      <c r="D47">
        <v>12898</v>
      </c>
      <c r="E47">
        <v>16440</v>
      </c>
      <c r="F47">
        <v>12898</v>
      </c>
      <c r="G47">
        <v>24530</v>
      </c>
      <c r="H47">
        <v>36850</v>
      </c>
      <c r="I47">
        <v>26586</v>
      </c>
      <c r="J47">
        <v>22100</v>
      </c>
      <c r="K47">
        <v>20425</v>
      </c>
    </row>
    <row r="48" spans="1:26" x14ac:dyDescent="0.2">
      <c r="A48" t="s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1" t="s">
        <v>23</v>
      </c>
      <c r="B52" t="s">
        <v>79</v>
      </c>
      <c r="C52">
        <v>2181</v>
      </c>
      <c r="D52">
        <v>4370</v>
      </c>
      <c r="E52">
        <v>4370</v>
      </c>
      <c r="F52">
        <v>4370</v>
      </c>
      <c r="G52">
        <v>13094</v>
      </c>
      <c r="H52">
        <v>4370</v>
      </c>
      <c r="I52">
        <v>4370</v>
      </c>
      <c r="J52">
        <v>5170</v>
      </c>
      <c r="K52">
        <v>6796</v>
      </c>
    </row>
    <row r="53" spans="1:11" x14ac:dyDescent="0.2">
      <c r="A53" s="1" t="s">
        <v>24</v>
      </c>
      <c r="B53" t="s">
        <v>119</v>
      </c>
      <c r="C53">
        <v>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1010</v>
      </c>
      <c r="K53">
        <v>29330</v>
      </c>
    </row>
    <row r="54" spans="1:11" x14ac:dyDescent="0.2">
      <c r="A54" s="1" t="s">
        <v>25</v>
      </c>
      <c r="B54" t="s">
        <v>119</v>
      </c>
      <c r="C54">
        <v>0</v>
      </c>
      <c r="D54">
        <v>6</v>
      </c>
      <c r="E54">
        <v>6</v>
      </c>
      <c r="F54">
        <v>6</v>
      </c>
      <c r="G54">
        <v>6</v>
      </c>
      <c r="H54">
        <v>13694</v>
      </c>
      <c r="I54">
        <v>6</v>
      </c>
      <c r="J54">
        <v>606</v>
      </c>
      <c r="K54">
        <v>11742</v>
      </c>
    </row>
    <row r="55" spans="1:11" x14ac:dyDescent="0.2">
      <c r="A55" s="1" t="s">
        <v>26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13688</v>
      </c>
      <c r="I55">
        <v>0</v>
      </c>
      <c r="J55">
        <v>0</v>
      </c>
      <c r="K55">
        <v>0</v>
      </c>
    </row>
    <row r="56" spans="1:11" x14ac:dyDescent="0.2">
      <c r="A56" s="1" t="s">
        <v>27</v>
      </c>
      <c r="B56" t="s">
        <v>56</v>
      </c>
      <c r="C56">
        <v>9965</v>
      </c>
      <c r="D56">
        <v>19936</v>
      </c>
      <c r="E56">
        <v>19936</v>
      </c>
      <c r="F56">
        <v>19936</v>
      </c>
      <c r="G56">
        <v>46108</v>
      </c>
      <c r="H56">
        <v>64422</v>
      </c>
      <c r="I56">
        <v>47312</v>
      </c>
      <c r="J56">
        <v>20536</v>
      </c>
      <c r="K56">
        <v>25614</v>
      </c>
    </row>
    <row r="57" spans="1:11" x14ac:dyDescent="0.2">
      <c r="A57" s="1" t="s">
        <v>28</v>
      </c>
      <c r="B57" t="s">
        <v>57</v>
      </c>
      <c r="C57">
        <v>0</v>
      </c>
      <c r="D57">
        <v>4</v>
      </c>
      <c r="E57">
        <v>4</v>
      </c>
      <c r="F57">
        <v>4</v>
      </c>
      <c r="G57">
        <v>4</v>
      </c>
      <c r="H57">
        <v>13692</v>
      </c>
      <c r="I57">
        <v>4</v>
      </c>
      <c r="J57">
        <v>404</v>
      </c>
      <c r="K57">
        <v>916</v>
      </c>
    </row>
    <row r="58" spans="1:11" x14ac:dyDescent="0.2">
      <c r="A58" s="1" t="s">
        <v>29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s="1" t="s">
        <v>30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s="1" t="s">
        <v>31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s="1" t="s">
        <v>32</v>
      </c>
      <c r="B61" t="s">
        <v>60</v>
      </c>
      <c r="C61">
        <v>2181</v>
      </c>
      <c r="D61">
        <v>4364</v>
      </c>
      <c r="E61">
        <v>4364</v>
      </c>
      <c r="F61">
        <v>4364</v>
      </c>
      <c r="G61">
        <v>13088</v>
      </c>
      <c r="H61">
        <v>4364</v>
      </c>
      <c r="I61">
        <v>4364</v>
      </c>
      <c r="J61">
        <v>4564</v>
      </c>
      <c r="K61">
        <v>1292</v>
      </c>
    </row>
    <row r="62" spans="1:11" x14ac:dyDescent="0.2">
      <c r="A62" s="1" t="s">
        <v>33</v>
      </c>
      <c r="B62" t="s">
        <v>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1" t="s">
        <v>34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s="1" t="s">
        <v>35</v>
      </c>
      <c r="B64" t="s">
        <v>61</v>
      </c>
      <c r="C64">
        <v>0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404</v>
      </c>
      <c r="K64">
        <v>56</v>
      </c>
    </row>
    <row r="65" spans="1:11" x14ac:dyDescent="0.2">
      <c r="A65" s="1" t="s">
        <v>36</v>
      </c>
      <c r="B65" t="s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1" t="s">
        <v>37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1" t="s">
        <v>38</v>
      </c>
      <c r="B67" t="s">
        <v>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1" t="s">
        <v>39</v>
      </c>
      <c r="B68" t="s">
        <v>76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">
      <c r="A69" s="1" t="s">
        <v>40</v>
      </c>
      <c r="B69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51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2021-05-20T16:52:37Z</dcterms:created>
  <dcterms:modified xsi:type="dcterms:W3CDTF">2021-05-31T19:17:29Z</dcterms:modified>
</cp:coreProperties>
</file>