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filip/Desktop/Investments/Assignments/Week 5/"/>
    </mc:Choice>
  </mc:AlternateContent>
  <bookViews>
    <workbookView xWindow="1260" yWindow="540" windowWidth="28800" windowHeight="15940" tabRatio="500"/>
  </bookViews>
  <sheets>
    <sheet name="Sheet1" sheetId="1" r:id="rId1"/>
  </sheets>
  <definedNames>
    <definedName name="pvbond1">Sheet1!$H$24</definedName>
    <definedName name="pvbond2">Sheet1!$H$25</definedName>
    <definedName name="pvper">Sheet1!$H$20</definedName>
    <definedName name="solver_adj" localSheetId="0" hidden="1">Sheet1!$H$23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Sheet1!$J$14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Sheet1!$H$21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38888888.8888889</definedName>
    <definedName name="solver_ver" localSheetId="0" hidden="1">2</definedName>
    <definedName name="yield">Sheet1!$H$2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8" i="1"/>
  <c r="E8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E17" i="1"/>
  <c r="F17" i="1"/>
  <c r="G17" i="1"/>
  <c r="G34" i="1"/>
  <c r="G3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6" i="1"/>
  <c r="F34" i="1"/>
  <c r="F3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6" i="1"/>
  <c r="H28" i="1"/>
  <c r="K29" i="1"/>
  <c r="H29" i="1"/>
  <c r="M29" i="1"/>
  <c r="O29" i="1"/>
  <c r="K30" i="1"/>
  <c r="M30" i="1"/>
  <c r="O30" i="1"/>
  <c r="K31" i="1"/>
  <c r="M31" i="1"/>
  <c r="O31" i="1"/>
  <c r="K32" i="1"/>
  <c r="M32" i="1"/>
  <c r="O32" i="1"/>
  <c r="K33" i="1"/>
  <c r="M33" i="1"/>
  <c r="O33" i="1"/>
  <c r="K34" i="1"/>
  <c r="M34" i="1"/>
  <c r="O34" i="1"/>
  <c r="K35" i="1"/>
  <c r="M35" i="1"/>
  <c r="O35" i="1"/>
  <c r="K36" i="1"/>
  <c r="M36" i="1"/>
  <c r="O36" i="1"/>
  <c r="K37" i="1"/>
  <c r="M37" i="1"/>
  <c r="O37" i="1"/>
  <c r="K38" i="1"/>
  <c r="O38" i="1"/>
  <c r="K39" i="1"/>
  <c r="O39" i="1"/>
  <c r="K40" i="1"/>
  <c r="O40" i="1"/>
  <c r="K41" i="1"/>
  <c r="O41" i="1"/>
  <c r="K42" i="1"/>
  <c r="O42" i="1"/>
  <c r="K43" i="1"/>
  <c r="O43" i="1"/>
  <c r="K44" i="1"/>
  <c r="O44" i="1"/>
  <c r="K45" i="1"/>
  <c r="O45" i="1"/>
  <c r="K46" i="1"/>
  <c r="O46" i="1"/>
  <c r="K47" i="1"/>
  <c r="O47" i="1"/>
  <c r="K48" i="1"/>
  <c r="O48" i="1"/>
  <c r="K49" i="1"/>
  <c r="O49" i="1"/>
  <c r="K50" i="1"/>
  <c r="O50" i="1"/>
  <c r="K51" i="1"/>
  <c r="O51" i="1"/>
  <c r="K52" i="1"/>
  <c r="O52" i="1"/>
  <c r="K28" i="1"/>
  <c r="M28" i="1"/>
  <c r="O28" i="1"/>
  <c r="B6" i="1"/>
  <c r="H24" i="1"/>
  <c r="E6" i="1"/>
  <c r="F6" i="1"/>
  <c r="H25" i="1"/>
  <c r="H26" i="1"/>
  <c r="H21" i="1"/>
  <c r="H20" i="1"/>
  <c r="I8" i="1"/>
  <c r="I9" i="1"/>
  <c r="C7" i="1"/>
  <c r="I10" i="1"/>
  <c r="G7" i="1"/>
  <c r="J17" i="1"/>
  <c r="H19" i="1"/>
  <c r="J14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<sst xmlns="http://schemas.openxmlformats.org/spreadsheetml/2006/main" count="22" uniqueCount="22">
  <si>
    <t>Group 4</t>
  </si>
  <si>
    <t>Bond 1</t>
  </si>
  <si>
    <t>Bond 2</t>
  </si>
  <si>
    <t>Price Bond 1</t>
  </si>
  <si>
    <t>Price Bond 2</t>
  </si>
  <si>
    <t>Duration Bond 1</t>
  </si>
  <si>
    <t>Duration Bond 2</t>
  </si>
  <si>
    <t>Duration</t>
  </si>
  <si>
    <t>Portfolio Duration</t>
  </si>
  <si>
    <t>Duration Perpetuity</t>
  </si>
  <si>
    <t>PV Perpetuity</t>
  </si>
  <si>
    <t>PV Bond 1</t>
  </si>
  <si>
    <t>PV Bond 2</t>
  </si>
  <si>
    <t>Amount Invested</t>
  </si>
  <si>
    <t>PV Portfolio</t>
  </si>
  <si>
    <t># Bond 1</t>
  </si>
  <si>
    <t># Bond 2</t>
  </si>
  <si>
    <t>Weight Bond 1</t>
  </si>
  <si>
    <t>Weight Bond 2</t>
  </si>
  <si>
    <t>Cash Flows Bond 1</t>
  </si>
  <si>
    <t>Cash Flows Bond 2</t>
  </si>
  <si>
    <t>Cash Flows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</si>
</sst>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164" formatCode="&quot;$&quot;#,##0.0000_);[Red]\(&quot;$&quot;#,##0.0000\)"/>
    <numFmt numFmtId="165" formatCode="0.0000000000000"/>
    <numFmt numFmtId="166" formatCode="0.0000000"/>
    <numFmt numFmtId="167" formatCode="&quot;$&quot;#,##0.000000_);[Red]\(&quot;$&quot;#,##0.000000\)"/>
    <numFmt numFmtId="168" formatCode="&quot;$&quot;#,##0.000000000_);[Red]\(&quot;$&quot;#,##0.000000000\)"/>
    <numFmt numFmtId="169" formatCode="&quot;$&quot;#,##0.0000000000000_);[Red]\(&quot;$&quot;#,##0.0000000000000\)"/>
    <numFmt numFmtId="170" formatCode="_([$€-2]\ * #,##0.00_);_([$€-2]\ * \(#,##0.00\);_([$€-2]\ 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3" xfId="0" applyBorder="1"/>
    <xf numFmtId="168" fontId="0" fillId="0" borderId="0" xfId="0" applyNumberFormat="1"/>
    <xf numFmtId="169" fontId="0" fillId="0" borderId="0" xfId="0" applyNumberFormat="1"/>
    <xf numFmtId="170" fontId="0" fillId="0" borderId="2" xfId="0" applyNumberFormat="1" applyBorder="1"/>
    <xf numFmtId="170" fontId="0" fillId="0" borderId="4" xfId="0" applyNumberFormat="1" applyBorder="1"/>
    <xf numFmtId="0" fontId="0" fillId="0" borderId="0" xfId="0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Sheet1!$J$28:$J$52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Sheet1!$O$28:$O$52</c:f>
              <c:numCache>
                <c:formatCode>General</c:formatCode>
                <c:ptCount val="25"/>
                <c:pt idx="0">
                  <c:v>3.00846326759608E6</c:v>
                </c:pt>
                <c:pt idx="1">
                  <c:v>3.00846326759608E6</c:v>
                </c:pt>
                <c:pt idx="2">
                  <c:v>3.00846326759608E6</c:v>
                </c:pt>
                <c:pt idx="3">
                  <c:v>3.00846326759608E6</c:v>
                </c:pt>
                <c:pt idx="4">
                  <c:v>3.00846326759608E6</c:v>
                </c:pt>
                <c:pt idx="5">
                  <c:v>3.00846326759608E6</c:v>
                </c:pt>
                <c:pt idx="6">
                  <c:v>3.00846326759608E6</c:v>
                </c:pt>
                <c:pt idx="7">
                  <c:v>3.00846326759608E6</c:v>
                </c:pt>
                <c:pt idx="8">
                  <c:v>3.00846326759608E6</c:v>
                </c:pt>
                <c:pt idx="9">
                  <c:v>2.88364670248517E7</c:v>
                </c:pt>
                <c:pt idx="10">
                  <c:v>942222.9670156306</c:v>
                </c:pt>
                <c:pt idx="11">
                  <c:v>942222.9670156306</c:v>
                </c:pt>
                <c:pt idx="12">
                  <c:v>942222.9670156306</c:v>
                </c:pt>
                <c:pt idx="13">
                  <c:v>942222.9670156306</c:v>
                </c:pt>
                <c:pt idx="14">
                  <c:v>942222.9670156306</c:v>
                </c:pt>
                <c:pt idx="15">
                  <c:v>942222.9670156306</c:v>
                </c:pt>
                <c:pt idx="16">
                  <c:v>942222.9670156306</c:v>
                </c:pt>
                <c:pt idx="17">
                  <c:v>942222.9670156306</c:v>
                </c:pt>
                <c:pt idx="18">
                  <c:v>942222.9670156306</c:v>
                </c:pt>
                <c:pt idx="19">
                  <c:v>942222.9670156306</c:v>
                </c:pt>
                <c:pt idx="20">
                  <c:v>942222.9670156306</c:v>
                </c:pt>
                <c:pt idx="21">
                  <c:v>942222.9670156306</c:v>
                </c:pt>
                <c:pt idx="22">
                  <c:v>942222.9670156306</c:v>
                </c:pt>
                <c:pt idx="23">
                  <c:v>942222.9670156306</c:v>
                </c:pt>
                <c:pt idx="24">
                  <c:v>4.80533713177972E7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528400"/>
        <c:axId val="734208528"/>
      </c:lineChart>
      <c:catAx>
        <c:axId val="7405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8528"/>
        <c:crosses val="autoZero"/>
        <c:auto val="1"/>
        <c:lblAlgn val="ctr"/>
        <c:lblOffset val="100"/>
        <c:noMultiLvlLbl val="0"/>
      </c:catAx>
      <c:valAx>
        <c:axId val="734208528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284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Value of Portfolio Cash Flows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Sheet1!$J$28:$J$52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Sheet1!$P$28:$P$52</c:f>
              <c:numCache>
                <c:formatCode>General</c:formatCode>
                <c:ptCount val="25"/>
                <c:pt idx="0">
                  <c:v>2.76005804366613E6</c:v>
                </c:pt>
                <c:pt idx="1">
                  <c:v>2.53216334281296E6</c:v>
                </c:pt>
                <c:pt idx="2">
                  <c:v>2.32308563560822E6</c:v>
                </c:pt>
                <c:pt idx="3">
                  <c:v>2.13127122532865E6</c:v>
                </c:pt>
                <c:pt idx="4">
                  <c:v>1.95529470213637E6</c:v>
                </c:pt>
                <c:pt idx="5">
                  <c:v>1.79384835058383E6</c:v>
                </c:pt>
                <c:pt idx="6">
                  <c:v>1.64573243172828E6</c:v>
                </c:pt>
                <c:pt idx="7">
                  <c:v>1.50984626764063E6</c:v>
                </c:pt>
                <c:pt idx="8">
                  <c:v>1.38518006205562E6</c:v>
                </c:pt>
                <c:pt idx="9">
                  <c:v>1.21808353039886E7</c:v>
                </c:pt>
                <c:pt idx="10">
                  <c:v>365142.3520850667</c:v>
                </c:pt>
                <c:pt idx="11">
                  <c:v>334992.9835642814</c:v>
                </c:pt>
                <c:pt idx="12">
                  <c:v>307333.0124442948</c:v>
                </c:pt>
                <c:pt idx="13">
                  <c:v>281956.8921507291</c:v>
                </c:pt>
                <c:pt idx="14">
                  <c:v>258676.0478447056</c:v>
                </c:pt>
                <c:pt idx="15">
                  <c:v>237317.4750868859</c:v>
                </c:pt>
                <c:pt idx="16">
                  <c:v>217722.4542081522</c:v>
                </c:pt>
                <c:pt idx="17">
                  <c:v>199745.3708331671</c:v>
                </c:pt>
                <c:pt idx="18">
                  <c:v>183252.6337918964</c:v>
                </c:pt>
                <c:pt idx="19">
                  <c:v>168121.6823778866</c:v>
                </c:pt>
                <c:pt idx="20">
                  <c:v>154240.0755760428</c:v>
                </c:pt>
                <c:pt idx="21">
                  <c:v>141504.6564917823</c:v>
                </c:pt>
                <c:pt idx="22">
                  <c:v>129820.7857722774</c:v>
                </c:pt>
                <c:pt idx="23">
                  <c:v>119101.6383231902</c:v>
                </c:pt>
                <c:pt idx="24">
                  <c:v>5.57264546282817E6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22704"/>
        <c:axId val="740475072"/>
      </c:lineChart>
      <c:catAx>
        <c:axId val="73502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75072"/>
        <c:crosses val="autoZero"/>
        <c:auto val="1"/>
        <c:lblAlgn val="ctr"/>
        <c:lblOffset val="100"/>
        <c:noMultiLvlLbl val="0"/>
      </c:catAx>
      <c:valAx>
        <c:axId val="740475072"/>
        <c:scaling>
          <c:logBase val="10.0"/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of Cash Flows (€)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2270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56</xdr:row>
      <xdr:rowOff>25400</xdr:rowOff>
    </xdr:from>
    <xdr:to>
      <xdr:col>12</xdr:col>
      <xdr:colOff>889000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30</xdr:row>
      <xdr:rowOff>139700</xdr:rowOff>
    </xdr:from>
    <xdr:to>
      <xdr:col>9</xdr:col>
      <xdr:colOff>279400</xdr:colOff>
      <xdr:row>44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topLeftCell="B20" workbookViewId="0">
      <selection activeCell="Q47" sqref="Q47"/>
    </sheetView>
  </sheetViews>
  <sheetFormatPr baseColWidth="10" defaultRowHeight="16" x14ac:dyDescent="0.2"/>
  <cols>
    <col min="3" max="3" width="21.83203125" bestFit="1" customWidth="1"/>
    <col min="4" max="4" width="21.83203125" customWidth="1"/>
    <col min="7" max="7" width="14.33203125" bestFit="1" customWidth="1"/>
    <col min="8" max="8" width="20.83203125" bestFit="1" customWidth="1"/>
    <col min="9" max="9" width="15.83203125" bestFit="1" customWidth="1"/>
    <col min="10" max="10" width="14.33203125" bestFit="1" customWidth="1"/>
    <col min="11" max="11" width="15" bestFit="1" customWidth="1"/>
    <col min="12" max="12" width="15" customWidth="1"/>
    <col min="13" max="13" width="14.33203125" bestFit="1" customWidth="1"/>
    <col min="14" max="14" width="14.33203125" customWidth="1"/>
    <col min="15" max="22" width="14.33203125" bestFit="1" customWidth="1"/>
    <col min="23" max="27" width="15.33203125" bestFit="1" customWidth="1"/>
  </cols>
  <sheetData>
    <row r="1" spans="1:11" x14ac:dyDescent="0.2">
      <c r="A1" t="s">
        <v>0</v>
      </c>
      <c r="H1">
        <v>1000</v>
      </c>
      <c r="J1">
        <v>3.5</v>
      </c>
    </row>
    <row r="2" spans="1:11" x14ac:dyDescent="0.2">
      <c r="A2" t="s">
        <v>1</v>
      </c>
      <c r="E2" t="s">
        <v>2</v>
      </c>
      <c r="H2">
        <v>0.09</v>
      </c>
    </row>
    <row r="3" spans="1:11" x14ac:dyDescent="0.2">
      <c r="A3">
        <v>0.02</v>
      </c>
      <c r="E3">
        <v>0.08</v>
      </c>
    </row>
    <row r="4" spans="1:11" x14ac:dyDescent="0.2">
      <c r="A4">
        <v>25</v>
      </c>
      <c r="E4">
        <v>10</v>
      </c>
    </row>
    <row r="5" spans="1:11" x14ac:dyDescent="0.2">
      <c r="A5" t="s">
        <v>3</v>
      </c>
      <c r="E5" t="s">
        <v>4</v>
      </c>
    </row>
    <row r="6" spans="1:11" x14ac:dyDescent="0.2">
      <c r="A6" s="3">
        <f>PV(H2,A4,A3*1000,1000)</f>
        <v>-312.41942765360585</v>
      </c>
      <c r="B6" s="1">
        <f>-A6</f>
        <v>312.41942765360585</v>
      </c>
      <c r="C6" s="1"/>
      <c r="D6" s="1"/>
      <c r="E6" s="3">
        <f>PV(H2,E4,E3*1000,1000)</f>
        <v>-935.8234229884099</v>
      </c>
      <c r="F6" s="3">
        <f>-E6</f>
        <v>935.8234229884099</v>
      </c>
      <c r="I6" s="2"/>
    </row>
    <row r="7" spans="1:11" x14ac:dyDescent="0.2">
      <c r="A7" t="s">
        <v>5</v>
      </c>
      <c r="C7" s="4">
        <f>DURATION(I8,I9,A3,H2,1)</f>
        <v>14.833191490216866</v>
      </c>
      <c r="D7" s="4"/>
      <c r="E7" t="s">
        <v>6</v>
      </c>
      <c r="G7">
        <f>DURATION(I8,I10,E3,H2,1)</f>
        <v>7.1459448610351837</v>
      </c>
      <c r="I7" s="2"/>
    </row>
    <row r="8" spans="1:11" x14ac:dyDescent="0.2">
      <c r="A8">
        <f t="shared" ref="A8:A31" si="0">$A$3*$H$1</f>
        <v>20</v>
      </c>
      <c r="B8">
        <v>1</v>
      </c>
      <c r="C8">
        <f t="shared" ref="C8:C32" si="1">A8/(1+yield)^B8</f>
        <v>18.348623853211009</v>
      </c>
      <c r="D8">
        <f>C8*B8</f>
        <v>18.348623853211009</v>
      </c>
      <c r="E8">
        <f>$E$3*$H$1</f>
        <v>80</v>
      </c>
      <c r="F8">
        <f t="shared" ref="F8:F17" si="2">E8/(1+yield)^B8</f>
        <v>73.394495412844037</v>
      </c>
      <c r="G8">
        <f>F8*B8</f>
        <v>73.394495412844037</v>
      </c>
      <c r="I8" s="2">
        <f>DATE(2000,1,31)</f>
        <v>36556</v>
      </c>
    </row>
    <row r="9" spans="1:11" x14ac:dyDescent="0.2">
      <c r="A9">
        <f t="shared" si="0"/>
        <v>20</v>
      </c>
      <c r="B9">
        <v>2</v>
      </c>
      <c r="C9">
        <f t="shared" si="1"/>
        <v>16.833599865331198</v>
      </c>
      <c r="D9">
        <f t="shared" ref="D9:D32" si="3">C9*B9</f>
        <v>33.667199730662396</v>
      </c>
      <c r="E9">
        <f t="shared" ref="E9:E16" si="4">$E$3*$H$1</f>
        <v>80</v>
      </c>
      <c r="F9">
        <f t="shared" si="2"/>
        <v>67.334399461324793</v>
      </c>
      <c r="G9">
        <f t="shared" ref="G9:G17" si="5">F9*B9</f>
        <v>134.66879892264959</v>
      </c>
      <c r="I9" s="2">
        <f>DATE(2025,1,31)</f>
        <v>45688</v>
      </c>
    </row>
    <row r="10" spans="1:11" x14ac:dyDescent="0.2">
      <c r="A10">
        <f t="shared" si="0"/>
        <v>20</v>
      </c>
      <c r="B10">
        <v>3</v>
      </c>
      <c r="C10">
        <f t="shared" si="1"/>
        <v>15.443669601221282</v>
      </c>
      <c r="D10">
        <f t="shared" si="3"/>
        <v>46.331008803663849</v>
      </c>
      <c r="E10">
        <f t="shared" si="4"/>
        <v>80</v>
      </c>
      <c r="F10">
        <f t="shared" si="2"/>
        <v>61.77467840488513</v>
      </c>
      <c r="G10">
        <f t="shared" si="5"/>
        <v>185.3240352146554</v>
      </c>
      <c r="I10" s="2">
        <f>DATE(2010,1,31)</f>
        <v>40209</v>
      </c>
    </row>
    <row r="11" spans="1:11" x14ac:dyDescent="0.2">
      <c r="A11">
        <f t="shared" si="0"/>
        <v>20</v>
      </c>
      <c r="B11">
        <v>4</v>
      </c>
      <c r="C11">
        <f t="shared" si="1"/>
        <v>14.168504221303929</v>
      </c>
      <c r="D11">
        <f t="shared" si="3"/>
        <v>56.674016885215714</v>
      </c>
      <c r="E11">
        <f t="shared" si="4"/>
        <v>80</v>
      </c>
      <c r="F11">
        <f t="shared" si="2"/>
        <v>56.674016885215714</v>
      </c>
      <c r="G11">
        <f t="shared" si="5"/>
        <v>226.69606754086286</v>
      </c>
    </row>
    <row r="12" spans="1:11" x14ac:dyDescent="0.2">
      <c r="A12">
        <f t="shared" si="0"/>
        <v>20</v>
      </c>
      <c r="B12">
        <v>5</v>
      </c>
      <c r="C12">
        <f t="shared" si="1"/>
        <v>12.998627725966905</v>
      </c>
      <c r="D12">
        <f t="shared" si="3"/>
        <v>64.993138629834533</v>
      </c>
      <c r="E12">
        <f t="shared" si="4"/>
        <v>80</v>
      </c>
      <c r="F12">
        <f t="shared" si="2"/>
        <v>51.994510903867621</v>
      </c>
      <c r="G12">
        <f t="shared" si="5"/>
        <v>259.97255451933813</v>
      </c>
    </row>
    <row r="13" spans="1:11" x14ac:dyDescent="0.2">
      <c r="A13">
        <f t="shared" si="0"/>
        <v>20</v>
      </c>
      <c r="B13">
        <v>6</v>
      </c>
      <c r="C13">
        <f t="shared" si="1"/>
        <v>11.925346537584316</v>
      </c>
      <c r="D13">
        <f t="shared" si="3"/>
        <v>71.552079225505892</v>
      </c>
      <c r="E13">
        <f t="shared" si="4"/>
        <v>80</v>
      </c>
      <c r="F13">
        <f t="shared" si="2"/>
        <v>47.701386150337264</v>
      </c>
      <c r="G13">
        <f t="shared" si="5"/>
        <v>286.20831690202357</v>
      </c>
      <c r="I13" t="s">
        <v>7</v>
      </c>
      <c r="J13">
        <v>0</v>
      </c>
    </row>
    <row r="14" spans="1:11" x14ac:dyDescent="0.2">
      <c r="A14">
        <f t="shared" si="0"/>
        <v>20</v>
      </c>
      <c r="B14">
        <v>7</v>
      </c>
      <c r="C14">
        <f t="shared" si="1"/>
        <v>10.940684896866346</v>
      </c>
      <c r="D14">
        <f t="shared" si="3"/>
        <v>76.584794278064422</v>
      </c>
      <c r="E14">
        <f t="shared" si="4"/>
        <v>80</v>
      </c>
      <c r="F14">
        <f t="shared" si="2"/>
        <v>43.762739587465383</v>
      </c>
      <c r="G14">
        <f t="shared" si="5"/>
        <v>306.33917711225769</v>
      </c>
      <c r="J14">
        <f>SUM(J15:J16)</f>
        <v>0.99999999999973155</v>
      </c>
      <c r="K14">
        <v>1</v>
      </c>
    </row>
    <row r="15" spans="1:11" x14ac:dyDescent="0.2">
      <c r="A15">
        <f t="shared" si="0"/>
        <v>20</v>
      </c>
      <c r="B15">
        <v>8</v>
      </c>
      <c r="C15">
        <f t="shared" si="1"/>
        <v>10.037325593455362</v>
      </c>
      <c r="D15">
        <f t="shared" si="3"/>
        <v>80.298604747642898</v>
      </c>
      <c r="E15">
        <f t="shared" si="4"/>
        <v>80</v>
      </c>
      <c r="F15">
        <f t="shared" si="2"/>
        <v>40.149302373821449</v>
      </c>
      <c r="G15">
        <f t="shared" si="5"/>
        <v>321.19441899057159</v>
      </c>
      <c r="I15" t="s">
        <v>17</v>
      </c>
      <c r="J15">
        <v>0.6458965725429332</v>
      </c>
    </row>
    <row r="16" spans="1:11" x14ac:dyDescent="0.2">
      <c r="A16">
        <f t="shared" si="0"/>
        <v>20</v>
      </c>
      <c r="B16">
        <v>9</v>
      </c>
      <c r="C16">
        <f t="shared" si="1"/>
        <v>9.2085555903260197</v>
      </c>
      <c r="D16">
        <f t="shared" si="3"/>
        <v>82.877000312934172</v>
      </c>
      <c r="E16">
        <f t="shared" si="4"/>
        <v>80</v>
      </c>
      <c r="F16">
        <f t="shared" si="2"/>
        <v>36.834222361304079</v>
      </c>
      <c r="G16">
        <f t="shared" si="5"/>
        <v>331.50800125173669</v>
      </c>
      <c r="I16" t="s">
        <v>18</v>
      </c>
      <c r="J16">
        <v>0.35410342745679835</v>
      </c>
    </row>
    <row r="17" spans="1:27" x14ac:dyDescent="0.2">
      <c r="A17">
        <f t="shared" si="0"/>
        <v>20</v>
      </c>
      <c r="B17">
        <v>10</v>
      </c>
      <c r="C17">
        <f t="shared" si="1"/>
        <v>8.4482161379137786</v>
      </c>
      <c r="D17">
        <f t="shared" si="3"/>
        <v>84.482161379137779</v>
      </c>
      <c r="E17">
        <f>E3*H1+H1</f>
        <v>1080</v>
      </c>
      <c r="F17">
        <f t="shared" si="2"/>
        <v>456.20367144734405</v>
      </c>
      <c r="G17">
        <f t="shared" si="5"/>
        <v>4562.036714473441</v>
      </c>
      <c r="I17" t="s">
        <v>8</v>
      </c>
      <c r="J17">
        <f>J15*C7+J16*G7</f>
        <v>12.111111111113932</v>
      </c>
    </row>
    <row r="18" spans="1:27" x14ac:dyDescent="0.2">
      <c r="A18">
        <f t="shared" si="0"/>
        <v>20</v>
      </c>
      <c r="B18">
        <v>11</v>
      </c>
      <c r="C18">
        <f t="shared" si="1"/>
        <v>7.7506570072603473</v>
      </c>
      <c r="D18">
        <f t="shared" si="3"/>
        <v>85.257227079863824</v>
      </c>
    </row>
    <row r="19" spans="1:27" x14ac:dyDescent="0.2">
      <c r="A19">
        <f t="shared" si="0"/>
        <v>20</v>
      </c>
      <c r="B19">
        <v>12</v>
      </c>
      <c r="C19">
        <f t="shared" si="1"/>
        <v>7.1106945020737138</v>
      </c>
      <c r="D19">
        <f t="shared" si="3"/>
        <v>85.328334024884569</v>
      </c>
      <c r="G19" t="s">
        <v>9</v>
      </c>
      <c r="H19" s="4">
        <f>(1+H2)/H2</f>
        <v>12.111111111111112</v>
      </c>
    </row>
    <row r="20" spans="1:27" x14ac:dyDescent="0.2">
      <c r="A20">
        <f t="shared" si="0"/>
        <v>20</v>
      </c>
      <c r="B20">
        <v>13</v>
      </c>
      <c r="C20">
        <f t="shared" si="1"/>
        <v>6.5235729376823048</v>
      </c>
      <c r="D20">
        <f t="shared" si="3"/>
        <v>84.806448189869968</v>
      </c>
      <c r="G20" t="s">
        <v>10</v>
      </c>
      <c r="H20" s="5">
        <f>3500000/H2</f>
        <v>38888888.888888888</v>
      </c>
    </row>
    <row r="21" spans="1:27" x14ac:dyDescent="0.2">
      <c r="A21">
        <f t="shared" si="0"/>
        <v>20</v>
      </c>
      <c r="B21">
        <v>14</v>
      </c>
      <c r="C21">
        <f t="shared" si="1"/>
        <v>5.984929300625967</v>
      </c>
      <c r="D21">
        <f t="shared" si="3"/>
        <v>83.789010208763543</v>
      </c>
      <c r="G21" t="s">
        <v>14</v>
      </c>
      <c r="H21" s="6">
        <f>J15*B6*H23+J16*F6*H23</f>
        <v>38888888.888927788</v>
      </c>
      <c r="J21" s="1"/>
    </row>
    <row r="22" spans="1:27" x14ac:dyDescent="0.2">
      <c r="A22">
        <f t="shared" si="0"/>
        <v>20</v>
      </c>
      <c r="B22">
        <v>15</v>
      </c>
      <c r="C22">
        <f t="shared" si="1"/>
        <v>5.4907608262623553</v>
      </c>
      <c r="D22">
        <f t="shared" si="3"/>
        <v>82.361412393935325</v>
      </c>
    </row>
    <row r="23" spans="1:27" ht="17" thickBot="1" x14ac:dyDescent="0.25">
      <c r="A23">
        <f t="shared" si="0"/>
        <v>20</v>
      </c>
      <c r="B23">
        <v>16</v>
      </c>
      <c r="C23">
        <f t="shared" si="1"/>
        <v>5.0373952534517015</v>
      </c>
      <c r="D23">
        <f t="shared" si="3"/>
        <v>80.598324055227224</v>
      </c>
      <c r="G23" t="s">
        <v>13</v>
      </c>
      <c r="H23">
        <v>72939.152108056776</v>
      </c>
    </row>
    <row r="24" spans="1:27" x14ac:dyDescent="0.2">
      <c r="A24">
        <f t="shared" si="0"/>
        <v>20</v>
      </c>
      <c r="B24">
        <v>17</v>
      </c>
      <c r="C24">
        <f t="shared" si="1"/>
        <v>4.6214635352767903</v>
      </c>
      <c r="D24">
        <f t="shared" si="3"/>
        <v>78.564880099705434</v>
      </c>
      <c r="G24" s="7" t="s">
        <v>11</v>
      </c>
      <c r="H24" s="11">
        <f>H23*J15*B6</f>
        <v>14718438.003855284</v>
      </c>
    </row>
    <row r="25" spans="1:27" ht="17" thickBot="1" x14ac:dyDescent="0.25">
      <c r="A25">
        <f t="shared" si="0"/>
        <v>20</v>
      </c>
      <c r="B25">
        <v>18</v>
      </c>
      <c r="C25">
        <f t="shared" si="1"/>
        <v>4.239874803006229</v>
      </c>
      <c r="D25">
        <f t="shared" si="3"/>
        <v>76.317746454112125</v>
      </c>
      <c r="G25" s="8" t="s">
        <v>12</v>
      </c>
      <c r="H25" s="12">
        <f>H23*J16*F6</f>
        <v>24170450.885072503</v>
      </c>
    </row>
    <row r="26" spans="1:27" x14ac:dyDescent="0.2">
      <c r="A26">
        <f t="shared" si="0"/>
        <v>20</v>
      </c>
      <c r="B26">
        <v>19</v>
      </c>
      <c r="C26">
        <f t="shared" si="1"/>
        <v>3.8897933972534213</v>
      </c>
      <c r="D26">
        <f t="shared" si="3"/>
        <v>73.90607454781501</v>
      </c>
      <c r="H26" s="1">
        <f>SUM(H24:H25)</f>
        <v>38888888.888927788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>
        <f t="shared" si="0"/>
        <v>20</v>
      </c>
      <c r="B27">
        <v>20</v>
      </c>
      <c r="C27">
        <f t="shared" si="1"/>
        <v>3.5686177956453409</v>
      </c>
      <c r="D27">
        <f t="shared" si="3"/>
        <v>71.372355912906812</v>
      </c>
      <c r="K27" t="s">
        <v>19</v>
      </c>
      <c r="M27" t="s">
        <v>20</v>
      </c>
      <c r="O27" t="s">
        <v>21</v>
      </c>
    </row>
    <row r="28" spans="1:27" x14ac:dyDescent="0.2">
      <c r="A28">
        <f t="shared" si="0"/>
        <v>20</v>
      </c>
      <c r="B28">
        <v>21</v>
      </c>
      <c r="C28">
        <f t="shared" si="1"/>
        <v>3.2739612804085687</v>
      </c>
      <c r="D28">
        <f t="shared" si="3"/>
        <v>68.753186888579947</v>
      </c>
      <c r="G28" t="s">
        <v>15</v>
      </c>
      <c r="H28">
        <f>H23*J15</f>
        <v>47111.148350781536</v>
      </c>
      <c r="J28">
        <v>1</v>
      </c>
      <c r="K28" s="13">
        <f t="shared" ref="K28:K52" si="6">IF(J28&lt;$A$4,$H$28*$A$3*$H$1,$H$28*(1+$A$3)*$H$1)</f>
        <v>942222.96701563068</v>
      </c>
      <c r="M28">
        <f>IF(J28&lt;$E$4,$H$29*$E$3*$H$1,$H$29*(1+$E$3)*$H$1)</f>
        <v>2066240.3005804531</v>
      </c>
      <c r="O28">
        <f>SUM(K28:M28)</f>
        <v>3008463.2675960837</v>
      </c>
      <c r="P28">
        <f t="shared" ref="P28:P52" si="7">O28/((1+yield)^J28)</f>
        <v>2760058.0436661318</v>
      </c>
    </row>
    <row r="29" spans="1:27" x14ac:dyDescent="0.2">
      <c r="A29">
        <f t="shared" si="0"/>
        <v>20</v>
      </c>
      <c r="B29">
        <v>22</v>
      </c>
      <c r="C29">
        <f t="shared" si="1"/>
        <v>3.003634202209696</v>
      </c>
      <c r="D29">
        <f t="shared" si="3"/>
        <v>66.079952448613312</v>
      </c>
      <c r="G29" t="s">
        <v>16</v>
      </c>
      <c r="H29">
        <f>H23*J16</f>
        <v>25828.003757255661</v>
      </c>
      <c r="J29">
        <v>2</v>
      </c>
      <c r="K29" s="13">
        <f t="shared" si="6"/>
        <v>942222.96701563068</v>
      </c>
      <c r="M29">
        <f t="shared" ref="M29:M37" si="8">IF(J29&lt;$E$4,$H$29*$E$3*$H$1,$H$29*(1+$E$3)*$H$1)</f>
        <v>2066240.3005804531</v>
      </c>
      <c r="O29">
        <f t="shared" ref="O29:O52" si="9">SUM(K29:M29)</f>
        <v>3008463.2675960837</v>
      </c>
      <c r="P29">
        <f t="shared" si="7"/>
        <v>2532163.3428129647</v>
      </c>
    </row>
    <row r="30" spans="1:27" x14ac:dyDescent="0.2">
      <c r="A30">
        <f t="shared" si="0"/>
        <v>20</v>
      </c>
      <c r="B30">
        <v>23</v>
      </c>
      <c r="C30">
        <f t="shared" si="1"/>
        <v>2.7556277084492624</v>
      </c>
      <c r="D30">
        <f t="shared" si="3"/>
        <v>63.379437294333037</v>
      </c>
      <c r="J30">
        <v>3</v>
      </c>
      <c r="K30" s="13">
        <f t="shared" si="6"/>
        <v>942222.96701563068</v>
      </c>
      <c r="M30">
        <f t="shared" si="8"/>
        <v>2066240.3005804531</v>
      </c>
      <c r="O30">
        <f t="shared" si="9"/>
        <v>3008463.2675960837</v>
      </c>
      <c r="P30">
        <f t="shared" si="7"/>
        <v>2323085.6356082242</v>
      </c>
    </row>
    <row r="31" spans="1:27" x14ac:dyDescent="0.2">
      <c r="A31">
        <f t="shared" si="0"/>
        <v>20</v>
      </c>
      <c r="B31">
        <v>24</v>
      </c>
      <c r="C31">
        <f t="shared" si="1"/>
        <v>2.5280988150910662</v>
      </c>
      <c r="D31">
        <f t="shared" si="3"/>
        <v>60.674371562185584</v>
      </c>
      <c r="J31">
        <v>4</v>
      </c>
      <c r="K31" s="13">
        <f t="shared" si="6"/>
        <v>942222.96701563068</v>
      </c>
      <c r="M31">
        <f t="shared" si="8"/>
        <v>2066240.3005804531</v>
      </c>
      <c r="O31">
        <f t="shared" si="9"/>
        <v>3008463.2675960837</v>
      </c>
      <c r="P31">
        <f t="shared" si="7"/>
        <v>2131271.2253286461</v>
      </c>
    </row>
    <row r="32" spans="1:27" x14ac:dyDescent="0.2">
      <c r="A32">
        <f>$A$3*$H$1+H1</f>
        <v>1020</v>
      </c>
      <c r="B32">
        <v>25</v>
      </c>
      <c r="C32">
        <f t="shared" si="1"/>
        <v>118.28719226572878</v>
      </c>
      <c r="D32">
        <f t="shared" si="3"/>
        <v>2957.1798066432193</v>
      </c>
      <c r="J32">
        <v>5</v>
      </c>
      <c r="K32" s="13">
        <f t="shared" si="6"/>
        <v>942222.96701563068</v>
      </c>
      <c r="M32">
        <f t="shared" si="8"/>
        <v>2066240.3005804531</v>
      </c>
      <c r="O32">
        <f t="shared" si="9"/>
        <v>3008463.2675960837</v>
      </c>
      <c r="P32">
        <f t="shared" si="7"/>
        <v>1955294.7021363724</v>
      </c>
    </row>
    <row r="33" spans="3:16" x14ac:dyDescent="0.2">
      <c r="J33">
        <v>6</v>
      </c>
      <c r="K33" s="13">
        <f t="shared" si="6"/>
        <v>942222.96701563068</v>
      </c>
      <c r="M33">
        <f t="shared" si="8"/>
        <v>2066240.3005804531</v>
      </c>
      <c r="O33">
        <f t="shared" si="9"/>
        <v>3008463.2675960837</v>
      </c>
      <c r="P33">
        <f t="shared" si="7"/>
        <v>1793848.3505838278</v>
      </c>
    </row>
    <row r="34" spans="3:16" x14ac:dyDescent="0.2">
      <c r="C34">
        <f>SUM(C8:C32)</f>
        <v>312.41942765360568</v>
      </c>
      <c r="D34">
        <f>SUM(D8:D32)</f>
        <v>4634.1771956498878</v>
      </c>
      <c r="F34">
        <f>SUM(F8:F17)</f>
        <v>935.82342298840945</v>
      </c>
      <c r="G34">
        <f>SUM(G8:G17)</f>
        <v>6687.3425803403807</v>
      </c>
      <c r="J34">
        <v>7</v>
      </c>
      <c r="K34" s="13">
        <f t="shared" si="6"/>
        <v>942222.96701563068</v>
      </c>
      <c r="M34">
        <f t="shared" si="8"/>
        <v>2066240.3005804531</v>
      </c>
      <c r="O34">
        <f t="shared" si="9"/>
        <v>3008463.2675960837</v>
      </c>
      <c r="P34">
        <f t="shared" si="7"/>
        <v>1645732.4317282825</v>
      </c>
    </row>
    <row r="35" spans="3:16" x14ac:dyDescent="0.2">
      <c r="J35">
        <v>8</v>
      </c>
      <c r="K35" s="13">
        <f t="shared" si="6"/>
        <v>942222.96701563068</v>
      </c>
      <c r="M35">
        <f t="shared" si="8"/>
        <v>2066240.3005804531</v>
      </c>
      <c r="O35">
        <f t="shared" si="9"/>
        <v>3008463.2675960837</v>
      </c>
      <c r="P35">
        <f t="shared" si="7"/>
        <v>1509846.2676406261</v>
      </c>
    </row>
    <row r="36" spans="3:16" x14ac:dyDescent="0.2">
      <c r="C36" s="1">
        <f>C34/B6</f>
        <v>0.99999999999999944</v>
      </c>
      <c r="D36" s="10">
        <f>D34/B6</f>
        <v>14.833191490216858</v>
      </c>
      <c r="F36" s="3">
        <f>F34/F6</f>
        <v>0.99999999999999956</v>
      </c>
      <c r="G36" s="9">
        <f>G34/F6</f>
        <v>7.1459448610351819</v>
      </c>
      <c r="J36">
        <v>9</v>
      </c>
      <c r="K36" s="13">
        <f t="shared" si="6"/>
        <v>942222.96701563068</v>
      </c>
      <c r="M36">
        <f t="shared" si="8"/>
        <v>2066240.3005804531</v>
      </c>
      <c r="O36">
        <f t="shared" si="9"/>
        <v>3008463.2675960837</v>
      </c>
      <c r="P36">
        <f t="shared" si="7"/>
        <v>1385180.0620556201</v>
      </c>
    </row>
    <row r="37" spans="3:16" x14ac:dyDescent="0.2">
      <c r="J37">
        <v>10</v>
      </c>
      <c r="K37" s="13">
        <f t="shared" si="6"/>
        <v>942222.96701563068</v>
      </c>
      <c r="M37">
        <f t="shared" si="8"/>
        <v>27894244.057836115</v>
      </c>
      <c r="O37">
        <f t="shared" si="9"/>
        <v>28836467.024851747</v>
      </c>
      <c r="P37">
        <f t="shared" si="7"/>
        <v>12180835.303988552</v>
      </c>
    </row>
    <row r="38" spans="3:16" x14ac:dyDescent="0.2">
      <c r="J38">
        <v>11</v>
      </c>
      <c r="K38" s="13">
        <f t="shared" si="6"/>
        <v>942222.96701563068</v>
      </c>
      <c r="M38">
        <v>0</v>
      </c>
      <c r="O38">
        <f t="shared" si="9"/>
        <v>942222.96701563068</v>
      </c>
      <c r="P38">
        <f t="shared" si="7"/>
        <v>365142.35208506667</v>
      </c>
    </row>
    <row r="39" spans="3:16" x14ac:dyDescent="0.2">
      <c r="J39">
        <v>12</v>
      </c>
      <c r="K39" s="13">
        <f t="shared" si="6"/>
        <v>942222.96701563068</v>
      </c>
      <c r="M39">
        <v>0</v>
      </c>
      <c r="O39">
        <f t="shared" si="9"/>
        <v>942222.96701563068</v>
      </c>
      <c r="P39">
        <f t="shared" si="7"/>
        <v>334992.98356428137</v>
      </c>
    </row>
    <row r="40" spans="3:16" x14ac:dyDescent="0.2">
      <c r="J40">
        <v>13</v>
      </c>
      <c r="K40" s="13">
        <f t="shared" si="6"/>
        <v>942222.96701563068</v>
      </c>
      <c r="M40">
        <v>0</v>
      </c>
      <c r="O40">
        <f t="shared" si="9"/>
        <v>942222.96701563068</v>
      </c>
      <c r="P40">
        <f t="shared" si="7"/>
        <v>307333.01244429476</v>
      </c>
    </row>
    <row r="41" spans="3:16" x14ac:dyDescent="0.2">
      <c r="J41">
        <v>14</v>
      </c>
      <c r="K41" s="13">
        <f t="shared" si="6"/>
        <v>942222.96701563068</v>
      </c>
      <c r="M41">
        <v>0</v>
      </c>
      <c r="O41">
        <f t="shared" si="9"/>
        <v>942222.96701563068</v>
      </c>
      <c r="P41">
        <f t="shared" si="7"/>
        <v>281956.89215072914</v>
      </c>
    </row>
    <row r="42" spans="3:16" x14ac:dyDescent="0.2">
      <c r="J42">
        <v>15</v>
      </c>
      <c r="K42" s="13">
        <f t="shared" si="6"/>
        <v>942222.96701563068</v>
      </c>
      <c r="M42">
        <v>0</v>
      </c>
      <c r="O42">
        <f t="shared" si="9"/>
        <v>942222.96701563068</v>
      </c>
      <c r="P42">
        <f t="shared" si="7"/>
        <v>258676.04784470561</v>
      </c>
    </row>
    <row r="43" spans="3:16" x14ac:dyDescent="0.2">
      <c r="J43">
        <v>16</v>
      </c>
      <c r="K43" s="13">
        <f t="shared" si="6"/>
        <v>942222.96701563068</v>
      </c>
      <c r="M43">
        <v>0</v>
      </c>
      <c r="O43">
        <f t="shared" si="9"/>
        <v>942222.96701563068</v>
      </c>
      <c r="P43">
        <f t="shared" si="7"/>
        <v>237317.47508688588</v>
      </c>
    </row>
    <row r="44" spans="3:16" x14ac:dyDescent="0.2">
      <c r="J44">
        <v>17</v>
      </c>
      <c r="K44" s="13">
        <f t="shared" si="6"/>
        <v>942222.96701563068</v>
      </c>
      <c r="M44">
        <v>0</v>
      </c>
      <c r="O44">
        <f t="shared" si="9"/>
        <v>942222.96701563068</v>
      </c>
      <c r="P44">
        <f t="shared" si="7"/>
        <v>217722.45420815216</v>
      </c>
    </row>
    <row r="45" spans="3:16" x14ac:dyDescent="0.2">
      <c r="J45">
        <v>18</v>
      </c>
      <c r="K45" s="13">
        <f t="shared" si="6"/>
        <v>942222.96701563068</v>
      </c>
      <c r="M45">
        <v>0</v>
      </c>
      <c r="O45">
        <f t="shared" si="9"/>
        <v>942222.96701563068</v>
      </c>
      <c r="P45">
        <f t="shared" si="7"/>
        <v>199745.37083316711</v>
      </c>
    </row>
    <row r="46" spans="3:16" x14ac:dyDescent="0.2">
      <c r="J46">
        <v>19</v>
      </c>
      <c r="K46" s="13">
        <f t="shared" si="6"/>
        <v>942222.96701563068</v>
      </c>
      <c r="M46">
        <v>0</v>
      </c>
      <c r="O46">
        <f t="shared" si="9"/>
        <v>942222.96701563068</v>
      </c>
      <c r="P46">
        <f t="shared" si="7"/>
        <v>183252.63379189643</v>
      </c>
    </row>
    <row r="47" spans="3:16" x14ac:dyDescent="0.2">
      <c r="J47">
        <v>20</v>
      </c>
      <c r="K47" s="13">
        <f t="shared" si="6"/>
        <v>942222.96701563068</v>
      </c>
      <c r="M47">
        <v>0</v>
      </c>
      <c r="O47">
        <f t="shared" si="9"/>
        <v>942222.96701563068</v>
      </c>
      <c r="P47">
        <f t="shared" si="7"/>
        <v>168121.68237788664</v>
      </c>
    </row>
    <row r="48" spans="3:16" x14ac:dyDescent="0.2">
      <c r="J48">
        <v>21</v>
      </c>
      <c r="K48" s="13">
        <f t="shared" si="6"/>
        <v>942222.96701563068</v>
      </c>
      <c r="M48">
        <v>0</v>
      </c>
      <c r="O48">
        <f t="shared" si="9"/>
        <v>942222.96701563068</v>
      </c>
      <c r="P48">
        <f t="shared" si="7"/>
        <v>154240.07557604276</v>
      </c>
    </row>
    <row r="49" spans="7:16" x14ac:dyDescent="0.2">
      <c r="G49" s="13"/>
      <c r="J49">
        <v>22</v>
      </c>
      <c r="K49" s="13">
        <f t="shared" si="6"/>
        <v>942222.96701563068</v>
      </c>
      <c r="M49">
        <v>0</v>
      </c>
      <c r="O49">
        <f t="shared" si="9"/>
        <v>942222.96701563068</v>
      </c>
      <c r="P49">
        <f t="shared" si="7"/>
        <v>141504.65649178234</v>
      </c>
    </row>
    <row r="50" spans="7:16" x14ac:dyDescent="0.2">
      <c r="J50">
        <v>23</v>
      </c>
      <c r="K50" s="13">
        <f t="shared" si="6"/>
        <v>942222.96701563068</v>
      </c>
      <c r="M50">
        <v>0</v>
      </c>
      <c r="O50">
        <f t="shared" si="9"/>
        <v>942222.96701563068</v>
      </c>
      <c r="P50">
        <f t="shared" si="7"/>
        <v>129820.78577227738</v>
      </c>
    </row>
    <row r="51" spans="7:16" x14ac:dyDescent="0.2">
      <c r="J51">
        <v>24</v>
      </c>
      <c r="K51" s="13">
        <f t="shared" si="6"/>
        <v>942222.96701563068</v>
      </c>
      <c r="M51">
        <v>0</v>
      </c>
      <c r="O51">
        <f t="shared" si="9"/>
        <v>942222.96701563068</v>
      </c>
      <c r="P51">
        <f t="shared" si="7"/>
        <v>119101.63832319024</v>
      </c>
    </row>
    <row r="52" spans="7:16" x14ac:dyDescent="0.2">
      <c r="J52">
        <v>25</v>
      </c>
      <c r="K52" s="13">
        <f t="shared" si="6"/>
        <v>48053371.317797169</v>
      </c>
      <c r="M52">
        <v>0</v>
      </c>
      <c r="O52">
        <f t="shared" si="9"/>
        <v>48053371.317797169</v>
      </c>
      <c r="P52">
        <f t="shared" si="7"/>
        <v>5572645.4628281668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2017-05-09T09:07:58Z</dcterms:created>
  <dcterms:modified xsi:type="dcterms:W3CDTF">2017-05-10T11:55:25Z</dcterms:modified>
</cp:coreProperties>
</file>