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filip/Desktop/Investments/Assignments/Week 4/"/>
    </mc:Choice>
  </mc:AlternateContent>
  <bookViews>
    <workbookView xWindow="0" yWindow="460" windowWidth="25440" windowHeight="15940"/>
  </bookViews>
  <sheets>
    <sheet name="Data" sheetId="1" r:id="rId1"/>
  </sheets>
  <externalReferences>
    <externalReference r:id="rId2"/>
  </externalReferences>
  <definedNames>
    <definedName name="b0">Data!$C$96</definedName>
    <definedName name="be0">Data!$C$96</definedName>
    <definedName name="beta0">Data!$C$96</definedName>
    <definedName name="beta1">Data!$C$97</definedName>
    <definedName name="beta2">Data!$C$98</definedName>
    <definedName name="beta3">Data!$C$101</definedName>
    <definedName name="coupon">'[1]bond pricing'!$K$9</definedName>
    <definedName name="cpn">#REF!</definedName>
    <definedName name="DTC">#REF!</definedName>
    <definedName name="F">#REF!</definedName>
    <definedName name="face">Data!$B$43</definedName>
    <definedName name="FV">'[1]bond pricing'!$K$12</definedName>
    <definedName name="lamda2">Data!$C$100</definedName>
    <definedName name="N">#REF!</definedName>
    <definedName name="per">'[1]bond pricing'!$K$11</definedName>
    <definedName name="settle">Data!$B$57</definedName>
    <definedName name="solver_adj" localSheetId="0" hidden="1">Data!$C$96:$C$99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Data!$C$99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Data!$C$102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0.01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2</definedName>
    <definedName name="Tau">Data!$C$99</definedName>
    <definedName name="yield">'[1]bond pricing'!$K$10</definedName>
    <definedName name="YTM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66" i="1" l="1"/>
  <c r="AG67" i="1"/>
  <c r="AG68" i="1"/>
  <c r="AG69" i="1"/>
  <c r="AG70" i="1"/>
  <c r="AG71" i="1"/>
  <c r="AG72" i="1"/>
  <c r="AG65" i="1"/>
  <c r="AD66" i="1"/>
  <c r="AD67" i="1"/>
  <c r="AD68" i="1"/>
  <c r="AD69" i="1"/>
  <c r="AD70" i="1"/>
  <c r="AD71" i="1"/>
  <c r="AD65" i="1"/>
  <c r="AA66" i="1"/>
  <c r="AA67" i="1"/>
  <c r="AA68" i="1"/>
  <c r="AA69" i="1"/>
  <c r="AA70" i="1"/>
  <c r="AA65" i="1"/>
  <c r="W67" i="1"/>
  <c r="W68" i="1"/>
  <c r="W69" i="1"/>
  <c r="W66" i="1"/>
  <c r="W65" i="1"/>
  <c r="S68" i="1"/>
  <c r="S67" i="1"/>
  <c r="S66" i="1"/>
  <c r="S65" i="1"/>
  <c r="O67" i="1"/>
  <c r="O66" i="1"/>
  <c r="O65" i="1"/>
  <c r="K66" i="1"/>
  <c r="K65" i="1"/>
  <c r="G65" i="1"/>
  <c r="I106" i="1"/>
  <c r="B57" i="1"/>
  <c r="I46" i="1"/>
  <c r="C27" i="1"/>
  <c r="B56" i="1"/>
  <c r="B61" i="1"/>
  <c r="B58" i="1"/>
  <c r="B60" i="1"/>
  <c r="J27" i="1"/>
  <c r="J46" i="1"/>
  <c r="I47" i="1"/>
  <c r="C28" i="1"/>
  <c r="J28" i="1"/>
  <c r="J47" i="1"/>
  <c r="I48" i="1"/>
  <c r="C29" i="1"/>
  <c r="J29" i="1"/>
  <c r="J48" i="1"/>
  <c r="I49" i="1"/>
  <c r="C30" i="1"/>
  <c r="J30" i="1"/>
  <c r="J49" i="1"/>
  <c r="I50" i="1"/>
  <c r="C31" i="1"/>
  <c r="J31" i="1"/>
  <c r="J50" i="1"/>
  <c r="I51" i="1"/>
  <c r="C32" i="1"/>
  <c r="J32" i="1"/>
  <c r="J51" i="1"/>
  <c r="I52" i="1"/>
  <c r="C33" i="1"/>
  <c r="J33" i="1"/>
  <c r="J52" i="1"/>
  <c r="I45" i="1"/>
  <c r="C26" i="1"/>
  <c r="J26" i="1"/>
  <c r="J45" i="1"/>
  <c r="H27" i="1"/>
  <c r="C55" i="1"/>
  <c r="F27" i="1"/>
  <c r="I27" i="1"/>
  <c r="K27" i="1"/>
  <c r="H28" i="1"/>
  <c r="F28" i="1"/>
  <c r="I28" i="1"/>
  <c r="K28" i="1"/>
  <c r="H29" i="1"/>
  <c r="F29" i="1"/>
  <c r="I29" i="1"/>
  <c r="K29" i="1"/>
  <c r="H30" i="1"/>
  <c r="F30" i="1"/>
  <c r="I30" i="1"/>
  <c r="K30" i="1"/>
  <c r="H31" i="1"/>
  <c r="F31" i="1"/>
  <c r="I31" i="1"/>
  <c r="K31" i="1"/>
  <c r="H32" i="1"/>
  <c r="F32" i="1"/>
  <c r="I32" i="1"/>
  <c r="K32" i="1"/>
  <c r="H33" i="1"/>
  <c r="F33" i="1"/>
  <c r="I33" i="1"/>
  <c r="K33" i="1"/>
  <c r="C34" i="1"/>
  <c r="C53" i="1"/>
  <c r="J34" i="1"/>
  <c r="K34" i="1"/>
  <c r="C35" i="1"/>
  <c r="J35" i="1"/>
  <c r="K35" i="1"/>
  <c r="C36" i="1"/>
  <c r="J36" i="1"/>
  <c r="K36" i="1"/>
  <c r="C37" i="1"/>
  <c r="J37" i="1"/>
  <c r="K37" i="1"/>
  <c r="C38" i="1"/>
  <c r="J38" i="1"/>
  <c r="K38" i="1"/>
  <c r="C39" i="1"/>
  <c r="J39" i="1"/>
  <c r="K39" i="1"/>
  <c r="C40" i="1"/>
  <c r="J40" i="1"/>
  <c r="K40" i="1"/>
  <c r="C41" i="1"/>
  <c r="J41" i="1"/>
  <c r="K41" i="1"/>
  <c r="H26" i="1"/>
  <c r="F26" i="1"/>
  <c r="I26" i="1"/>
  <c r="K26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D107" i="1"/>
  <c r="D108" i="1"/>
  <c r="D109" i="1"/>
  <c r="D110" i="1"/>
  <c r="D111" i="1"/>
  <c r="D112" i="1"/>
  <c r="D113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AF65" i="1"/>
  <c r="AF66" i="1"/>
  <c r="AF67" i="1"/>
  <c r="AF68" i="1"/>
  <c r="AF69" i="1"/>
  <c r="AF70" i="1"/>
  <c r="AF71" i="1"/>
  <c r="AF72" i="1"/>
  <c r="AG73" i="1"/>
  <c r="AC65" i="1"/>
  <c r="AC66" i="1"/>
  <c r="AC67" i="1"/>
  <c r="AC68" i="1"/>
  <c r="AC69" i="1"/>
  <c r="AC70" i="1"/>
  <c r="AC71" i="1"/>
  <c r="AD72" i="1"/>
  <c r="Z65" i="1"/>
  <c r="Z66" i="1"/>
  <c r="Z67" i="1"/>
  <c r="Z68" i="1"/>
  <c r="Z69" i="1"/>
  <c r="Z70" i="1"/>
  <c r="AA71" i="1"/>
  <c r="AA74" i="1"/>
  <c r="AD74" i="1"/>
  <c r="AG74" i="1"/>
  <c r="F65" i="1"/>
  <c r="G74" i="1"/>
  <c r="J65" i="1"/>
  <c r="J66" i="1"/>
  <c r="K67" i="1"/>
  <c r="K74" i="1"/>
  <c r="N65" i="1"/>
  <c r="N66" i="1"/>
  <c r="N67" i="1"/>
  <c r="O68" i="1"/>
  <c r="O74" i="1"/>
  <c r="R65" i="1"/>
  <c r="R66" i="1"/>
  <c r="R67" i="1"/>
  <c r="R68" i="1"/>
  <c r="S69" i="1"/>
  <c r="S74" i="1"/>
  <c r="V65" i="1"/>
  <c r="V66" i="1"/>
  <c r="V67" i="1"/>
  <c r="V68" i="1"/>
  <c r="V69" i="1"/>
  <c r="W70" i="1"/>
  <c r="W74" i="1"/>
  <c r="D74" i="1"/>
  <c r="D106" i="1"/>
  <c r="E10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F106" i="1"/>
  <c r="D55" i="1"/>
  <c r="F46" i="1"/>
  <c r="E55" i="1"/>
  <c r="F57" i="1"/>
  <c r="H34" i="1"/>
  <c r="H35" i="1"/>
  <c r="H36" i="1"/>
  <c r="H37" i="1"/>
  <c r="H38" i="1"/>
  <c r="H39" i="1"/>
  <c r="H40" i="1"/>
  <c r="H41" i="1"/>
  <c r="C102" i="1"/>
</calcChain>
</file>

<file path=xl/sharedStrings.xml><?xml version="1.0" encoding="utf-8"?>
<sst xmlns="http://schemas.openxmlformats.org/spreadsheetml/2006/main" count="52" uniqueCount="41">
  <si>
    <t>coupon</t>
  </si>
  <si>
    <t>maturity</t>
  </si>
  <si>
    <t>yield</t>
  </si>
  <si>
    <t>dirty price</t>
  </si>
  <si>
    <t>clean price</t>
  </si>
  <si>
    <t>accrued interest</t>
  </si>
  <si>
    <t>aug</t>
  </si>
  <si>
    <t>days</t>
  </si>
  <si>
    <t>mar</t>
  </si>
  <si>
    <t>apr</t>
  </si>
  <si>
    <t>may</t>
  </si>
  <si>
    <t>jun</t>
  </si>
  <si>
    <t>jul</t>
  </si>
  <si>
    <t>settlement date</t>
  </si>
  <si>
    <t>maturity date</t>
  </si>
  <si>
    <t>semi-annual</t>
  </si>
  <si>
    <t>face value</t>
  </si>
  <si>
    <t>coupon semi-annual</t>
  </si>
  <si>
    <t>SSE</t>
  </si>
  <si>
    <t>Bond</t>
  </si>
  <si>
    <t>Dirty price</t>
  </si>
  <si>
    <t>Clean price</t>
  </si>
  <si>
    <t>Maturity</t>
  </si>
  <si>
    <t>Yield</t>
  </si>
  <si>
    <t>B_0</t>
  </si>
  <si>
    <t>B_1</t>
  </si>
  <si>
    <t>B_2</t>
  </si>
  <si>
    <t>tau</t>
  </si>
  <si>
    <t>Input</t>
  </si>
  <si>
    <t>R(0,T)</t>
  </si>
  <si>
    <t>T</t>
  </si>
  <si>
    <t>exp(-T/tau)</t>
  </si>
  <si>
    <t>error</t>
  </si>
  <si>
    <t>Squared Error</t>
  </si>
  <si>
    <t>Yields</t>
  </si>
  <si>
    <t>ZC Yields</t>
  </si>
  <si>
    <t>l2</t>
  </si>
  <si>
    <t>b3</t>
  </si>
  <si>
    <t>Period</t>
  </si>
  <si>
    <t>Forward Rates</t>
  </si>
  <si>
    <t>These are the clean prices, not the dirty ones.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</si>
</sst>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$&quot;#,##0.0000_);[Red]\(&quot;$&quot;#,##0.0000\)"/>
    <numFmt numFmtId="165" formatCode="0.0000%"/>
    <numFmt numFmtId="166" formatCode="0.00000"/>
    <numFmt numFmtId="167" formatCode="0.0000"/>
    <numFmt numFmtId="168" formatCode="0.00000000000"/>
    <numFmt numFmtId="169" formatCode="0.000000%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80">
    <xf numFmtId="0" fontId="0" fillId="0" borderId="0"/>
    <xf numFmtId="9" fontId="10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68">
    <xf numFmtId="0" fontId="0" fillId="0" borderId="0" xfId="0"/>
    <xf numFmtId="0" fontId="8" fillId="0" borderId="0" xfId="0" applyFont="1"/>
    <xf numFmtId="0" fontId="8" fillId="0" borderId="0" xfId="0" applyFont="1" applyFill="1"/>
    <xf numFmtId="0" fontId="8" fillId="0" borderId="0" xfId="0" applyFont="1" applyFill="1" applyAlignment="1">
      <alignment horizontal="right" wrapText="1"/>
    </xf>
    <xf numFmtId="15" fontId="8" fillId="0" borderId="0" xfId="0" applyNumberFormat="1" applyFont="1" applyFill="1" applyAlignment="1">
      <alignment horizontal="right" wrapText="1"/>
    </xf>
    <xf numFmtId="0" fontId="9" fillId="0" borderId="0" xfId="0" applyFont="1"/>
    <xf numFmtId="0" fontId="9" fillId="0" borderId="0" xfId="0" applyFont="1" applyFill="1"/>
    <xf numFmtId="2" fontId="9" fillId="0" borderId="0" xfId="0" applyNumberFormat="1" applyFont="1" applyFill="1"/>
    <xf numFmtId="2" fontId="8" fillId="0" borderId="0" xfId="0" applyNumberFormat="1" applyFont="1" applyFill="1" applyAlignment="1">
      <alignment horizontal="right" wrapText="1"/>
    </xf>
    <xf numFmtId="2" fontId="8" fillId="0" borderId="0" xfId="0" applyNumberFormat="1" applyFont="1" applyFill="1"/>
    <xf numFmtId="16" fontId="8" fillId="0" borderId="0" xfId="0" applyNumberFormat="1" applyFont="1"/>
    <xf numFmtId="16" fontId="8" fillId="0" borderId="0" xfId="0" applyNumberFormat="1" applyFont="1" applyFill="1"/>
    <xf numFmtId="0" fontId="7" fillId="0" borderId="0" xfId="0" applyFont="1" applyFill="1"/>
    <xf numFmtId="14" fontId="7" fillId="0" borderId="0" xfId="0" applyNumberFormat="1" applyFont="1" applyFill="1"/>
    <xf numFmtId="14" fontId="8" fillId="0" borderId="0" xfId="0" applyNumberFormat="1" applyFont="1" applyFill="1"/>
    <xf numFmtId="165" fontId="8" fillId="0" borderId="0" xfId="0" applyNumberFormat="1" applyFont="1"/>
    <xf numFmtId="164" fontId="8" fillId="0" borderId="0" xfId="0" applyNumberFormat="1" applyFont="1" applyFill="1"/>
    <xf numFmtId="0" fontId="6" fillId="0" borderId="0" xfId="0" applyFont="1"/>
    <xf numFmtId="0" fontId="6" fillId="0" borderId="0" xfId="0" applyFont="1" applyFill="1"/>
    <xf numFmtId="9" fontId="8" fillId="0" borderId="0" xfId="1" applyFont="1" applyFill="1"/>
    <xf numFmtId="0" fontId="11" fillId="2" borderId="0" xfId="0" applyFont="1" applyFill="1"/>
    <xf numFmtId="0" fontId="8" fillId="2" borderId="0" xfId="0" applyFont="1" applyFill="1"/>
    <xf numFmtId="0" fontId="14" fillId="0" borderId="0" xfId="0" applyFont="1"/>
    <xf numFmtId="0" fontId="5" fillId="2" borderId="0" xfId="0" applyFont="1" applyFill="1"/>
    <xf numFmtId="165" fontId="8" fillId="0" borderId="0" xfId="1" applyNumberFormat="1" applyFont="1" applyFill="1"/>
    <xf numFmtId="166" fontId="8" fillId="0" borderId="0" xfId="0" applyNumberFormat="1" applyFont="1"/>
    <xf numFmtId="167" fontId="8" fillId="0" borderId="0" xfId="0" applyNumberFormat="1" applyFont="1"/>
    <xf numFmtId="0" fontId="4" fillId="3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65" fontId="8" fillId="0" borderId="0" xfId="1" applyNumberFormat="1" applyFont="1" applyFill="1" applyAlignment="1">
      <alignment horizontal="center"/>
    </xf>
    <xf numFmtId="9" fontId="4" fillId="3" borderId="0" xfId="1" applyFont="1" applyFill="1" applyAlignment="1">
      <alignment horizontal="center"/>
    </xf>
    <xf numFmtId="0" fontId="0" fillId="4" borderId="0" xfId="0" applyFill="1"/>
    <xf numFmtId="0" fontId="15" fillId="0" borderId="3" xfId="0" applyFont="1" applyBorder="1"/>
    <xf numFmtId="0" fontId="15" fillId="0" borderId="4" xfId="0" applyFont="1" applyBorder="1"/>
    <xf numFmtId="0" fontId="15" fillId="0" borderId="0" xfId="0" applyFont="1"/>
    <xf numFmtId="10" fontId="0" fillId="5" borderId="3" xfId="0" applyNumberFormat="1" applyFill="1" applyBorder="1"/>
    <xf numFmtId="0" fontId="0" fillId="5" borderId="4" xfId="0" applyFill="1" applyBorder="1"/>
    <xf numFmtId="10" fontId="0" fillId="0" borderId="0" xfId="0" applyNumberFormat="1"/>
    <xf numFmtId="10" fontId="0" fillId="5" borderId="5" xfId="0" applyNumberFormat="1" applyFill="1" applyBorder="1"/>
    <xf numFmtId="0" fontId="0" fillId="5" borderId="6" xfId="0" applyFill="1" applyBorder="1"/>
    <xf numFmtId="2" fontId="0" fillId="5" borderId="4" xfId="0" applyNumberFormat="1" applyFill="1" applyBorder="1"/>
    <xf numFmtId="0" fontId="0" fillId="0" borderId="0" xfId="0" applyFont="1"/>
    <xf numFmtId="0" fontId="16" fillId="0" borderId="0" xfId="0" applyFont="1" applyFill="1"/>
    <xf numFmtId="0" fontId="8" fillId="0" borderId="0" xfId="0" applyNumberFormat="1" applyFont="1"/>
    <xf numFmtId="165" fontId="0" fillId="5" borderId="3" xfId="0" applyNumberFormat="1" applyFill="1" applyBorder="1"/>
    <xf numFmtId="0" fontId="3" fillId="0" borderId="0" xfId="0" applyFont="1" applyFill="1"/>
    <xf numFmtId="0" fontId="8" fillId="6" borderId="0" xfId="0" applyFont="1" applyFill="1"/>
    <xf numFmtId="0" fontId="0" fillId="4" borderId="1" xfId="0" applyFill="1" applyBorder="1"/>
    <xf numFmtId="0" fontId="8" fillId="0" borderId="2" xfId="0" applyFont="1" applyFill="1" applyBorder="1"/>
    <xf numFmtId="0" fontId="0" fillId="4" borderId="3" xfId="0" applyFill="1" applyBorder="1"/>
    <xf numFmtId="0" fontId="0" fillId="4" borderId="5" xfId="0" applyFill="1" applyBorder="1"/>
    <xf numFmtId="0" fontId="8" fillId="0" borderId="6" xfId="0" applyFont="1" applyFill="1" applyBorder="1"/>
    <xf numFmtId="0" fontId="8" fillId="3" borderId="0" xfId="0" applyFont="1" applyFill="1" applyAlignment="1">
      <alignment horizontal="center"/>
    </xf>
    <xf numFmtId="0" fontId="17" fillId="3" borderId="0" xfId="0" applyFont="1" applyFill="1" applyAlignment="1">
      <alignment horizontal="center"/>
    </xf>
    <xf numFmtId="168" fontId="8" fillId="0" borderId="0" xfId="0" applyNumberFormat="1" applyFont="1"/>
    <xf numFmtId="0" fontId="18" fillId="0" borderId="0" xfId="0" applyFont="1"/>
    <xf numFmtId="0" fontId="2" fillId="0" borderId="0" xfId="0" applyFont="1"/>
    <xf numFmtId="0" fontId="9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9" fillId="0" borderId="0" xfId="0" applyFont="1"/>
    <xf numFmtId="169" fontId="8" fillId="0" borderId="0" xfId="0" applyNumberFormat="1" applyFont="1" applyAlignment="1">
      <alignment horizontal="center"/>
    </xf>
    <xf numFmtId="169" fontId="8" fillId="0" borderId="0" xfId="0" applyNumberFormat="1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4" xfId="0" applyFont="1" applyFill="1" applyBorder="1"/>
  </cellXfs>
  <cellStyles count="8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Normal" xfId="0" builtinId="0"/>
    <cellStyle name="Percent" xfId="1" builtinId="5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00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Zero Yield Curve</a:t>
            </a:r>
            <a:endParaRPr lang="mr-IN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Data!$B$65:$B$72</c:f>
              <c:numCache>
                <c:formatCode>0.00</c:formatCode>
                <c:ptCount val="8"/>
                <c:pt idx="0">
                  <c:v>0.911111111111111</c:v>
                </c:pt>
                <c:pt idx="1">
                  <c:v>1.911111111111111</c:v>
                </c:pt>
                <c:pt idx="2">
                  <c:v>2.911111111111111</c:v>
                </c:pt>
                <c:pt idx="3">
                  <c:v>3.911111111111111</c:v>
                </c:pt>
                <c:pt idx="4">
                  <c:v>4.911111111111111</c:v>
                </c:pt>
                <c:pt idx="5">
                  <c:v>5.911111111111111</c:v>
                </c:pt>
                <c:pt idx="6">
                  <c:v>6.911111111111111</c:v>
                </c:pt>
                <c:pt idx="7">
                  <c:v>7.911111111111111</c:v>
                </c:pt>
              </c:numCache>
            </c:numRef>
          </c:xVal>
          <c:yVal>
            <c:numRef>
              <c:f>Data!$C$65:$C$72</c:f>
              <c:numCache>
                <c:formatCode>0.0000%</c:formatCode>
                <c:ptCount val="8"/>
                <c:pt idx="0">
                  <c:v>0.000300668013873323</c:v>
                </c:pt>
                <c:pt idx="1">
                  <c:v>0.000833000047779741</c:v>
                </c:pt>
                <c:pt idx="2">
                  <c:v>0.00121975888467887</c:v>
                </c:pt>
                <c:pt idx="3">
                  <c:v>0.00152554597416493</c:v>
                </c:pt>
                <c:pt idx="4">
                  <c:v>0.00183988736268164</c:v>
                </c:pt>
                <c:pt idx="5">
                  <c:v>0.00230574333926757</c:v>
                </c:pt>
                <c:pt idx="6">
                  <c:v>0.0027242465982524</c:v>
                </c:pt>
                <c:pt idx="7">
                  <c:v>0.00329698372213647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162384"/>
        <c:axId val="1360165504"/>
      </c:scatterChart>
      <c:valAx>
        <c:axId val="136016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Period (semi-annually)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165504"/>
        <c:crosses val="autoZero"/>
        <c:crossBetween val="midCat"/>
      </c:valAx>
      <c:valAx>
        <c:axId val="136016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Yield-to-maturity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16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Nelson-Siegel Yield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Data!$C$106:$C$113</c:f>
              <c:numCache>
                <c:formatCode>0.00</c:formatCode>
                <c:ptCount val="8"/>
                <c:pt idx="0">
                  <c:v>0.911111111111111</c:v>
                </c:pt>
                <c:pt idx="1">
                  <c:v>1.911111111111111</c:v>
                </c:pt>
                <c:pt idx="2">
                  <c:v>2.911111111111111</c:v>
                </c:pt>
                <c:pt idx="3">
                  <c:v>3.911111111111111</c:v>
                </c:pt>
                <c:pt idx="4">
                  <c:v>4.911111111111111</c:v>
                </c:pt>
                <c:pt idx="5">
                  <c:v>5.911111111111111</c:v>
                </c:pt>
                <c:pt idx="6">
                  <c:v>6.911111111111111</c:v>
                </c:pt>
                <c:pt idx="7">
                  <c:v>7.911111111111111</c:v>
                </c:pt>
              </c:numCache>
            </c:numRef>
          </c:xVal>
          <c:yVal>
            <c:numRef>
              <c:f>Data!$B$106:$B$113</c:f>
              <c:numCache>
                <c:formatCode>0.0000%</c:formatCode>
                <c:ptCount val="8"/>
                <c:pt idx="0">
                  <c:v>0.000300668013873323</c:v>
                </c:pt>
                <c:pt idx="1">
                  <c:v>0.000833000047779741</c:v>
                </c:pt>
                <c:pt idx="2">
                  <c:v>0.00121975888467887</c:v>
                </c:pt>
                <c:pt idx="3">
                  <c:v>0.00152554597416493</c:v>
                </c:pt>
                <c:pt idx="4">
                  <c:v>0.00183988736268164</c:v>
                </c:pt>
                <c:pt idx="5">
                  <c:v>0.00230574333926757</c:v>
                </c:pt>
                <c:pt idx="6">
                  <c:v>0.0027242465982524</c:v>
                </c:pt>
                <c:pt idx="7">
                  <c:v>0.00329698372213647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Data!$H$106:$H$266</c:f>
              <c:numCache>
                <c:formatCode>General</c:formatCode>
                <c:ptCount val="16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1.400000000000001</c:v>
                </c:pt>
                <c:pt idx="29">
                  <c:v>1.450000000000001</c:v>
                </c:pt>
                <c:pt idx="30">
                  <c:v>1.500000000000001</c:v>
                </c:pt>
                <c:pt idx="31">
                  <c:v>1.550000000000001</c:v>
                </c:pt>
                <c:pt idx="32">
                  <c:v>1.600000000000001</c:v>
                </c:pt>
                <c:pt idx="33">
                  <c:v>1.650000000000001</c:v>
                </c:pt>
                <c:pt idx="34">
                  <c:v>1.700000000000001</c:v>
                </c:pt>
                <c:pt idx="35">
                  <c:v>1.750000000000001</c:v>
                </c:pt>
                <c:pt idx="36">
                  <c:v>1.800000000000001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</c:v>
                </c:pt>
                <c:pt idx="40">
                  <c:v>2.000000000000001</c:v>
                </c:pt>
                <c:pt idx="41">
                  <c:v>2.050000000000001</c:v>
                </c:pt>
                <c:pt idx="42">
                  <c:v>2.100000000000001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2.399999999999999</c:v>
                </c:pt>
                <c:pt idx="49">
                  <c:v>2.449999999999999</c:v>
                </c:pt>
                <c:pt idx="50">
                  <c:v>2.499999999999999</c:v>
                </c:pt>
                <c:pt idx="51">
                  <c:v>2.549999999999999</c:v>
                </c:pt>
                <c:pt idx="52">
                  <c:v>2.599999999999999</c:v>
                </c:pt>
                <c:pt idx="53">
                  <c:v>2.649999999999998</c:v>
                </c:pt>
                <c:pt idx="54">
                  <c:v>2.699999999999998</c:v>
                </c:pt>
                <c:pt idx="55">
                  <c:v>2.749999999999998</c:v>
                </c:pt>
                <c:pt idx="56">
                  <c:v>2.799999999999998</c:v>
                </c:pt>
                <c:pt idx="57">
                  <c:v>2.849999999999998</c:v>
                </c:pt>
                <c:pt idx="58">
                  <c:v>2.899999999999998</c:v>
                </c:pt>
                <c:pt idx="59">
                  <c:v>2.949999999999997</c:v>
                </c:pt>
                <c:pt idx="60">
                  <c:v>2.999999999999997</c:v>
                </c:pt>
                <c:pt idx="61">
                  <c:v>3.049999999999997</c:v>
                </c:pt>
                <c:pt idx="62">
                  <c:v>3.099999999999997</c:v>
                </c:pt>
                <c:pt idx="63">
                  <c:v>3.149999999999997</c:v>
                </c:pt>
                <c:pt idx="64">
                  <c:v>3.199999999999997</c:v>
                </c:pt>
                <c:pt idx="65">
                  <c:v>3.249999999999996</c:v>
                </c:pt>
                <c:pt idx="66">
                  <c:v>3.299999999999996</c:v>
                </c:pt>
                <c:pt idx="67">
                  <c:v>3.349999999999996</c:v>
                </c:pt>
                <c:pt idx="68">
                  <c:v>3.399999999999996</c:v>
                </c:pt>
                <c:pt idx="69">
                  <c:v>3.449999999999996</c:v>
                </c:pt>
                <c:pt idx="70">
                  <c:v>3.499999999999996</c:v>
                </c:pt>
                <c:pt idx="71">
                  <c:v>3.549999999999995</c:v>
                </c:pt>
                <c:pt idx="72">
                  <c:v>3.599999999999995</c:v>
                </c:pt>
                <c:pt idx="73">
                  <c:v>3.649999999999995</c:v>
                </c:pt>
                <c:pt idx="74">
                  <c:v>3.699999999999995</c:v>
                </c:pt>
                <c:pt idx="75">
                  <c:v>3.749999999999995</c:v>
                </c:pt>
                <c:pt idx="76">
                  <c:v>3.799999999999994</c:v>
                </c:pt>
                <c:pt idx="77">
                  <c:v>3.849999999999994</c:v>
                </c:pt>
                <c:pt idx="78">
                  <c:v>3.899999999999994</c:v>
                </c:pt>
                <c:pt idx="79">
                  <c:v>3.949999999999994</c:v>
                </c:pt>
                <c:pt idx="80">
                  <c:v>3.999999999999994</c:v>
                </c:pt>
                <c:pt idx="81">
                  <c:v>4.049999999999994</c:v>
                </c:pt>
                <c:pt idx="82">
                  <c:v>4.099999999999993</c:v>
                </c:pt>
                <c:pt idx="83">
                  <c:v>4.149999999999993</c:v>
                </c:pt>
                <c:pt idx="84">
                  <c:v>4.199999999999993</c:v>
                </c:pt>
                <c:pt idx="85">
                  <c:v>4.249999999999993</c:v>
                </c:pt>
                <c:pt idx="86">
                  <c:v>4.299999999999993</c:v>
                </c:pt>
                <c:pt idx="87">
                  <c:v>4.349999999999992</c:v>
                </c:pt>
                <c:pt idx="88">
                  <c:v>4.399999999999992</c:v>
                </c:pt>
                <c:pt idx="89">
                  <c:v>4.449999999999992</c:v>
                </c:pt>
                <c:pt idx="90">
                  <c:v>4.499999999999992</c:v>
                </c:pt>
                <c:pt idx="91">
                  <c:v>4.549999999999992</c:v>
                </c:pt>
                <c:pt idx="92">
                  <c:v>4.599999999999992</c:v>
                </c:pt>
                <c:pt idx="93">
                  <c:v>4.649999999999991</c:v>
                </c:pt>
                <c:pt idx="94">
                  <c:v>4.699999999999991</c:v>
                </c:pt>
                <c:pt idx="95">
                  <c:v>4.749999999999991</c:v>
                </c:pt>
                <c:pt idx="96">
                  <c:v>4.799999999999991</c:v>
                </c:pt>
                <c:pt idx="97">
                  <c:v>4.849999999999991</c:v>
                </c:pt>
                <c:pt idx="98">
                  <c:v>4.899999999999991</c:v>
                </c:pt>
                <c:pt idx="99">
                  <c:v>4.94999999999999</c:v>
                </c:pt>
                <c:pt idx="100">
                  <c:v>4.99999999999999</c:v>
                </c:pt>
                <c:pt idx="101">
                  <c:v>5.04999999999999</c:v>
                </c:pt>
                <c:pt idx="102">
                  <c:v>5.09999999999999</c:v>
                </c:pt>
                <c:pt idx="103">
                  <c:v>5.14999999999999</c:v>
                </c:pt>
                <c:pt idx="104">
                  <c:v>5.199999999999989</c:v>
                </c:pt>
                <c:pt idx="105">
                  <c:v>5.24999999999999</c:v>
                </c:pt>
                <c:pt idx="106">
                  <c:v>5.29999999999999</c:v>
                </c:pt>
                <c:pt idx="107">
                  <c:v>5.349999999999989</c:v>
                </c:pt>
                <c:pt idx="108">
                  <c:v>5.399999999999989</c:v>
                </c:pt>
                <c:pt idx="109">
                  <c:v>5.449999999999988</c:v>
                </c:pt>
                <c:pt idx="110">
                  <c:v>5.499999999999988</c:v>
                </c:pt>
                <c:pt idx="111">
                  <c:v>5.549999999999988</c:v>
                </c:pt>
                <c:pt idx="112">
                  <c:v>5.599999999999988</c:v>
                </c:pt>
                <c:pt idx="113">
                  <c:v>5.649999999999988</c:v>
                </c:pt>
                <c:pt idx="114">
                  <c:v>5.699999999999988</c:v>
                </c:pt>
                <c:pt idx="115">
                  <c:v>5.749999999999987</c:v>
                </c:pt>
                <c:pt idx="116">
                  <c:v>5.799999999999987</c:v>
                </c:pt>
                <c:pt idx="117">
                  <c:v>5.849999999999987</c:v>
                </c:pt>
                <c:pt idx="118">
                  <c:v>5.899999999999987</c:v>
                </c:pt>
                <c:pt idx="119">
                  <c:v>5.949999999999986</c:v>
                </c:pt>
                <c:pt idx="120">
                  <c:v>5.999999999999986</c:v>
                </c:pt>
                <c:pt idx="121">
                  <c:v>6.049999999999986</c:v>
                </c:pt>
                <c:pt idx="122">
                  <c:v>6.099999999999986</c:v>
                </c:pt>
                <c:pt idx="123">
                  <c:v>6.149999999999986</c:v>
                </c:pt>
                <c:pt idx="124">
                  <c:v>6.199999999999986</c:v>
                </c:pt>
                <c:pt idx="125">
                  <c:v>6.249999999999985</c:v>
                </c:pt>
                <c:pt idx="126">
                  <c:v>6.299999999999985</c:v>
                </c:pt>
                <c:pt idx="127">
                  <c:v>6.349999999999985</c:v>
                </c:pt>
                <c:pt idx="128">
                  <c:v>6.399999999999985</c:v>
                </c:pt>
                <c:pt idx="129">
                  <c:v>6.449999999999985</c:v>
                </c:pt>
                <c:pt idx="130">
                  <c:v>6.499999999999984</c:v>
                </c:pt>
                <c:pt idx="131">
                  <c:v>6.549999999999984</c:v>
                </c:pt>
                <c:pt idx="132">
                  <c:v>6.599999999999984</c:v>
                </c:pt>
                <c:pt idx="133">
                  <c:v>6.649999999999984</c:v>
                </c:pt>
                <c:pt idx="134">
                  <c:v>6.699999999999984</c:v>
                </c:pt>
                <c:pt idx="135">
                  <c:v>6.749999999999984</c:v>
                </c:pt>
                <c:pt idx="136">
                  <c:v>6.799999999999984</c:v>
                </c:pt>
                <c:pt idx="137">
                  <c:v>6.849999999999984</c:v>
                </c:pt>
                <c:pt idx="138">
                  <c:v>6.899999999999983</c:v>
                </c:pt>
                <c:pt idx="139">
                  <c:v>6.949999999999983</c:v>
                </c:pt>
                <c:pt idx="140">
                  <c:v>6.999999999999983</c:v>
                </c:pt>
                <c:pt idx="141">
                  <c:v>7.049999999999983</c:v>
                </c:pt>
                <c:pt idx="142">
                  <c:v>7.099999999999983</c:v>
                </c:pt>
                <c:pt idx="143">
                  <c:v>7.149999999999983</c:v>
                </c:pt>
                <c:pt idx="144">
                  <c:v>7.199999999999982</c:v>
                </c:pt>
                <c:pt idx="145">
                  <c:v>7.249999999999982</c:v>
                </c:pt>
                <c:pt idx="146">
                  <c:v>7.299999999999982</c:v>
                </c:pt>
                <c:pt idx="147">
                  <c:v>7.349999999999982</c:v>
                </c:pt>
                <c:pt idx="148">
                  <c:v>7.399999999999982</c:v>
                </c:pt>
                <c:pt idx="149">
                  <c:v>7.449999999999981</c:v>
                </c:pt>
                <c:pt idx="150">
                  <c:v>7.499999999999981</c:v>
                </c:pt>
                <c:pt idx="151">
                  <c:v>7.549999999999981</c:v>
                </c:pt>
                <c:pt idx="152">
                  <c:v>7.599999999999981</c:v>
                </c:pt>
                <c:pt idx="153">
                  <c:v>7.649999999999981</c:v>
                </c:pt>
                <c:pt idx="154">
                  <c:v>7.699999999999981</c:v>
                </c:pt>
                <c:pt idx="155">
                  <c:v>7.74999999999998</c:v>
                </c:pt>
                <c:pt idx="156">
                  <c:v>7.79999999999998</c:v>
                </c:pt>
                <c:pt idx="157">
                  <c:v>7.84999999999998</c:v>
                </c:pt>
                <c:pt idx="158">
                  <c:v>7.89999999999998</c:v>
                </c:pt>
                <c:pt idx="159">
                  <c:v>7.94999999999998</c:v>
                </c:pt>
                <c:pt idx="160">
                  <c:v>7.99999999999998</c:v>
                </c:pt>
              </c:numCache>
            </c:numRef>
          </c:xVal>
          <c:yVal>
            <c:numRef>
              <c:f>Data!$J$107:$J$266</c:f>
              <c:numCache>
                <c:formatCode>General</c:formatCode>
                <c:ptCount val="160"/>
                <c:pt idx="0">
                  <c:v>6.73920150558591E-5</c:v>
                </c:pt>
                <c:pt idx="1">
                  <c:v>8.49406038724168E-5</c:v>
                </c:pt>
                <c:pt idx="2">
                  <c:v>0.000102534584455353</c:v>
                </c:pt>
                <c:pt idx="3">
                  <c:v>0.000120173589703429</c:v>
                </c:pt>
                <c:pt idx="4">
                  <c:v>0.000137857254303104</c:v>
                </c:pt>
                <c:pt idx="5">
                  <c:v>0.000155585214718942</c:v>
                </c:pt>
                <c:pt idx="6">
                  <c:v>0.000173357109185853</c:v>
                </c:pt>
                <c:pt idx="7">
                  <c:v>0.000191172577702467</c:v>
                </c:pt>
                <c:pt idx="8">
                  <c:v>0.000209031262022522</c:v>
                </c:pt>
                <c:pt idx="9">
                  <c:v>0.000226932805648384</c:v>
                </c:pt>
                <c:pt idx="10">
                  <c:v>0.000244876853822848</c:v>
                </c:pt>
                <c:pt idx="11">
                  <c:v>0.000262863053522361</c:v>
                </c:pt>
                <c:pt idx="12">
                  <c:v>0.000280891053448894</c:v>
                </c:pt>
                <c:pt idx="13">
                  <c:v>0.000298960504022932</c:v>
                </c:pt>
                <c:pt idx="14">
                  <c:v>0.000317071057376284</c:v>
                </c:pt>
                <c:pt idx="15">
                  <c:v>0.000335222367344439</c:v>
                </c:pt>
                <c:pt idx="16">
                  <c:v>0.000353414089459493</c:v>
                </c:pt>
                <c:pt idx="17">
                  <c:v>0.000371645880942756</c:v>
                </c:pt>
                <c:pt idx="18">
                  <c:v>0.000389917400697688</c:v>
                </c:pt>
                <c:pt idx="19">
                  <c:v>0.000408228309302512</c:v>
                </c:pt>
                <c:pt idx="20">
                  <c:v>0.000426578269003162</c:v>
                </c:pt>
                <c:pt idx="21">
                  <c:v>0.000444966943706148</c:v>
                </c:pt>
                <c:pt idx="22">
                  <c:v>0.000463393998971339</c:v>
                </c:pt>
                <c:pt idx="23">
                  <c:v>0.000481859102005007</c:v>
                </c:pt>
                <c:pt idx="24">
                  <c:v>0.000500361921652636</c:v>
                </c:pt>
                <c:pt idx="25">
                  <c:v>0.00051890212839205</c:v>
                </c:pt>
                <c:pt idx="26">
                  <c:v>0.00053747939432636</c:v>
                </c:pt>
                <c:pt idx="27">
                  <c:v>0.000556093393176783</c:v>
                </c:pt>
                <c:pt idx="28">
                  <c:v>0.000574743800276141</c:v>
                </c:pt>
                <c:pt idx="29">
                  <c:v>0.000593430292561419</c:v>
                </c:pt>
                <c:pt idx="30">
                  <c:v>0.000612152548567403</c:v>
                </c:pt>
                <c:pt idx="31">
                  <c:v>0.000630910248419336</c:v>
                </c:pt>
                <c:pt idx="32">
                  <c:v>0.000649703073826544</c:v>
                </c:pt>
                <c:pt idx="33">
                  <c:v>0.000668530708075224</c:v>
                </c:pt>
                <c:pt idx="34">
                  <c:v>0.000687392836021975</c:v>
                </c:pt>
                <c:pt idx="35">
                  <c:v>0.000706289144086824</c:v>
                </c:pt>
                <c:pt idx="36">
                  <c:v>0.000725219320246761</c:v>
                </c:pt>
                <c:pt idx="37">
                  <c:v>0.000744183054028684</c:v>
                </c:pt>
                <c:pt idx="38">
                  <c:v>0.000763180036503144</c:v>
                </c:pt>
                <c:pt idx="39">
                  <c:v>0.000782209960277396</c:v>
                </c:pt>
                <c:pt idx="40">
                  <c:v>0.000801272519488869</c:v>
                </c:pt>
                <c:pt idx="41">
                  <c:v>0.000820367409798714</c:v>
                </c:pt>
                <c:pt idx="42">
                  <c:v>0.00083949432838509</c:v>
                </c:pt>
                <c:pt idx="43">
                  <c:v>0.000858652973936584</c:v>
                </c:pt>
                <c:pt idx="44">
                  <c:v>0.000877843046645945</c:v>
                </c:pt>
                <c:pt idx="45">
                  <c:v>0.000897064248203389</c:v>
                </c:pt>
                <c:pt idx="46">
                  <c:v>0.000916316281790231</c:v>
                </c:pt>
                <c:pt idx="47">
                  <c:v>0.000935598852072398</c:v>
                </c:pt>
                <c:pt idx="48">
                  <c:v>0.000954911665194101</c:v>
                </c:pt>
                <c:pt idx="49">
                  <c:v>0.000974254428771499</c:v>
                </c:pt>
                <c:pt idx="50">
                  <c:v>0.000993626851886181</c:v>
                </c:pt>
                <c:pt idx="51">
                  <c:v>0.00101302864507898</c:v>
                </c:pt>
                <c:pt idx="52">
                  <c:v>0.00103245952034363</c:v>
                </c:pt>
                <c:pt idx="53">
                  <c:v>0.00105191919112053</c:v>
                </c:pt>
                <c:pt idx="54">
                  <c:v>0.00107140737229048</c:v>
                </c:pt>
                <c:pt idx="55">
                  <c:v>0.00109092378016837</c:v>
                </c:pt>
                <c:pt idx="56">
                  <c:v>0.00111046813249714</c:v>
                </c:pt>
                <c:pt idx="57">
                  <c:v>0.00113004014844147</c:v>
                </c:pt>
                <c:pt idx="58">
                  <c:v>0.00114963954858178</c:v>
                </c:pt>
                <c:pt idx="59">
                  <c:v>0.00116926605490791</c:v>
                </c:pt>
                <c:pt idx="60">
                  <c:v>0.00118891939081322</c:v>
                </c:pt>
                <c:pt idx="61">
                  <c:v>0.00120859928108844</c:v>
                </c:pt>
                <c:pt idx="62">
                  <c:v>0.00122830545191552</c:v>
                </c:pt>
                <c:pt idx="63">
                  <c:v>0.00124803763086184</c:v>
                </c:pt>
                <c:pt idx="64">
                  <c:v>0.00126779554687399</c:v>
                </c:pt>
                <c:pt idx="65">
                  <c:v>0.00128757893027189</c:v>
                </c:pt>
                <c:pt idx="66">
                  <c:v>0.00130738751274288</c:v>
                </c:pt>
                <c:pt idx="67">
                  <c:v>0.00132722102733572</c:v>
                </c:pt>
                <c:pt idx="68">
                  <c:v>0.00134707920845469</c:v>
                </c:pt>
                <c:pt idx="69">
                  <c:v>0.00136696179185378</c:v>
                </c:pt>
                <c:pt idx="70">
                  <c:v>0.0013868685146308</c:v>
                </c:pt>
                <c:pt idx="71">
                  <c:v>0.00140679911522156</c:v>
                </c:pt>
                <c:pt idx="72">
                  <c:v>0.001426753333394</c:v>
                </c:pt>
                <c:pt idx="73">
                  <c:v>0.0014467309102425</c:v>
                </c:pt>
                <c:pt idx="74">
                  <c:v>0.00146673158818208</c:v>
                </c:pt>
                <c:pt idx="75">
                  <c:v>0.00148675511094266</c:v>
                </c:pt>
                <c:pt idx="76">
                  <c:v>0.00150680122356339</c:v>
                </c:pt>
                <c:pt idx="77">
                  <c:v>0.00152686967238685</c:v>
                </c:pt>
                <c:pt idx="78">
                  <c:v>0.00154696020505356</c:v>
                </c:pt>
                <c:pt idx="79">
                  <c:v>0.00156707257049615</c:v>
                </c:pt>
                <c:pt idx="80">
                  <c:v>0.00158720651893388</c:v>
                </c:pt>
                <c:pt idx="81">
                  <c:v>0.00160736180186699</c:v>
                </c:pt>
                <c:pt idx="82">
                  <c:v>0.00162753817207114</c:v>
                </c:pt>
                <c:pt idx="83">
                  <c:v>0.0016477353835918</c:v>
                </c:pt>
                <c:pt idx="84">
                  <c:v>0.00166795319173881</c:v>
                </c:pt>
                <c:pt idx="85">
                  <c:v>0.00168819135308086</c:v>
                </c:pt>
                <c:pt idx="86">
                  <c:v>0.00170844962543991</c:v>
                </c:pt>
                <c:pt idx="87">
                  <c:v>0.00172872776788587</c:v>
                </c:pt>
                <c:pt idx="88">
                  <c:v>0.00174902554073106</c:v>
                </c:pt>
                <c:pt idx="89">
                  <c:v>0.00176934270552482</c:v>
                </c:pt>
                <c:pt idx="90">
                  <c:v>0.00178967902504813</c:v>
                </c:pt>
                <c:pt idx="91">
                  <c:v>0.00181003426330821</c:v>
                </c:pt>
                <c:pt idx="92">
                  <c:v>0.00183040818553322</c:v>
                </c:pt>
                <c:pt idx="93">
                  <c:v>0.00185080055816688</c:v>
                </c:pt>
                <c:pt idx="94">
                  <c:v>0.00187121114886319</c:v>
                </c:pt>
                <c:pt idx="95">
                  <c:v>0.00189163972648111</c:v>
                </c:pt>
                <c:pt idx="96">
                  <c:v>0.00191208606107934</c:v>
                </c:pt>
                <c:pt idx="97">
                  <c:v>0.00193254992391106</c:v>
                </c:pt>
                <c:pt idx="98">
                  <c:v>0.00195303108741871</c:v>
                </c:pt>
                <c:pt idx="99">
                  <c:v>0.00197352932522879</c:v>
                </c:pt>
                <c:pt idx="100">
                  <c:v>0.00199404441214667</c:v>
                </c:pt>
                <c:pt idx="101">
                  <c:v>0.00201457612415145</c:v>
                </c:pt>
                <c:pt idx="102">
                  <c:v>0.00203512423839078</c:v>
                </c:pt>
                <c:pt idx="103">
                  <c:v>0.00205568853317587</c:v>
                </c:pt>
                <c:pt idx="104">
                  <c:v>0.00207626878797621</c:v>
                </c:pt>
                <c:pt idx="105">
                  <c:v>0.00209686478341465</c:v>
                </c:pt>
                <c:pt idx="106">
                  <c:v>0.00211747630126226</c:v>
                </c:pt>
                <c:pt idx="107">
                  <c:v>0.00213810312443336</c:v>
                </c:pt>
                <c:pt idx="108">
                  <c:v>0.00215874503698044</c:v>
                </c:pt>
                <c:pt idx="109">
                  <c:v>0.00217940182408922</c:v>
                </c:pt>
                <c:pt idx="110">
                  <c:v>0.00220007327207367</c:v>
                </c:pt>
                <c:pt idx="111">
                  <c:v>0.00222075916837105</c:v>
                </c:pt>
                <c:pt idx="112">
                  <c:v>0.00224145930153698</c:v>
                </c:pt>
                <c:pt idx="113">
                  <c:v>0.00226217346124054</c:v>
                </c:pt>
                <c:pt idx="114">
                  <c:v>0.00228290143825935</c:v>
                </c:pt>
                <c:pt idx="115">
                  <c:v>0.00230364302447475</c:v>
                </c:pt>
                <c:pt idx="116">
                  <c:v>0.00232439801286692</c:v>
                </c:pt>
                <c:pt idx="117">
                  <c:v>0.00234516619751004</c:v>
                </c:pt>
                <c:pt idx="118">
                  <c:v>0.00236594737356749</c:v>
                </c:pt>
                <c:pt idx="119">
                  <c:v>0.00238674133728708</c:v>
                </c:pt>
                <c:pt idx="120">
                  <c:v>0.00240754788599625</c:v>
                </c:pt>
                <c:pt idx="121">
                  <c:v>0.00242836681809732</c:v>
                </c:pt>
                <c:pt idx="122">
                  <c:v>0.00244919793306278</c:v>
                </c:pt>
                <c:pt idx="123">
                  <c:v>0.00247004103143054</c:v>
                </c:pt>
                <c:pt idx="124">
                  <c:v>0.00249089591479933</c:v>
                </c:pt>
                <c:pt idx="125">
                  <c:v>0.00251176238582384</c:v>
                </c:pt>
                <c:pt idx="126">
                  <c:v>0.00253264024821029</c:v>
                </c:pt>
                <c:pt idx="127">
                  <c:v>0.00255352930671163</c:v>
                </c:pt>
                <c:pt idx="128">
                  <c:v>0.00257442936712297</c:v>
                </c:pt>
                <c:pt idx="129">
                  <c:v>0.00259534023627704</c:v>
                </c:pt>
                <c:pt idx="130">
                  <c:v>0.0026162617220395</c:v>
                </c:pt>
                <c:pt idx="131">
                  <c:v>0.00263719363330449</c:v>
                </c:pt>
                <c:pt idx="132">
                  <c:v>0.00265813577999</c:v>
                </c:pt>
                <c:pt idx="133">
                  <c:v>0.0026790879730334</c:v>
                </c:pt>
                <c:pt idx="134">
                  <c:v>0.00270005002438694</c:v>
                </c:pt>
                <c:pt idx="135">
                  <c:v>0.0027210217470132</c:v>
                </c:pt>
                <c:pt idx="136">
                  <c:v>0.00274200295488073</c:v>
                </c:pt>
                <c:pt idx="137">
                  <c:v>0.00276299346295946</c:v>
                </c:pt>
                <c:pt idx="138">
                  <c:v>0.0027839930872164</c:v>
                </c:pt>
                <c:pt idx="139">
                  <c:v>0.00280500164461118</c:v>
                </c:pt>
                <c:pt idx="140">
                  <c:v>0.0028260189530916</c:v>
                </c:pt>
                <c:pt idx="141">
                  <c:v>0.00284704483158935</c:v>
                </c:pt>
                <c:pt idx="142">
                  <c:v>0.00286807910001557</c:v>
                </c:pt>
                <c:pt idx="143">
                  <c:v>0.00288912157925656</c:v>
                </c:pt>
                <c:pt idx="144">
                  <c:v>0.00291017209116941</c:v>
                </c:pt>
                <c:pt idx="145">
                  <c:v>0.0029312304585778</c:v>
                </c:pt>
                <c:pt idx="146">
                  <c:v>0.00295229650526755</c:v>
                </c:pt>
                <c:pt idx="147">
                  <c:v>0.00297337005598245</c:v>
                </c:pt>
                <c:pt idx="148">
                  <c:v>0.00299445093642006</c:v>
                </c:pt>
                <c:pt idx="149">
                  <c:v>0.00301553897322733</c:v>
                </c:pt>
                <c:pt idx="150">
                  <c:v>0.00303663399399649</c:v>
                </c:pt>
                <c:pt idx="151">
                  <c:v>0.00305773582726086</c:v>
                </c:pt>
                <c:pt idx="152">
                  <c:v>0.00307884430249056</c:v>
                </c:pt>
                <c:pt idx="153">
                  <c:v>0.00309995925008845</c:v>
                </c:pt>
                <c:pt idx="154">
                  <c:v>0.00312108050138596</c:v>
                </c:pt>
                <c:pt idx="155">
                  <c:v>0.0031422078886389</c:v>
                </c:pt>
                <c:pt idx="156">
                  <c:v>0.00316334124502342</c:v>
                </c:pt>
                <c:pt idx="157">
                  <c:v>0.00318448040463188</c:v>
                </c:pt>
                <c:pt idx="158">
                  <c:v>0.00320562520246876</c:v>
                </c:pt>
                <c:pt idx="159">
                  <c:v>0.0032267754744466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181216"/>
        <c:axId val="1360187120"/>
      </c:scatterChart>
      <c:valAx>
        <c:axId val="136018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Period (semi-annually)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187120"/>
        <c:crosses val="autoZero"/>
        <c:crossBetween val="midCat"/>
      </c:valAx>
      <c:valAx>
        <c:axId val="1360187120"/>
        <c:scaling>
          <c:orientation val="minMax"/>
          <c:max val="0.005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Yield-to-maturity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18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78</xdr:row>
      <xdr:rowOff>139700</xdr:rowOff>
    </xdr:from>
    <xdr:to>
      <xdr:col>8</xdr:col>
      <xdr:colOff>939800</xdr:colOff>
      <xdr:row>92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393700</xdr:colOff>
      <xdr:row>127</xdr:row>
      <xdr:rowOff>114300</xdr:rowOff>
    </xdr:from>
    <xdr:to>
      <xdr:col>6</xdr:col>
      <xdr:colOff>660400</xdr:colOff>
      <xdr:row>149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wnloands/fixed%20income_M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nd pricing"/>
      <sheetName val="bond pricing between coupons"/>
      <sheetName val="duration"/>
      <sheetName val="the yield curve"/>
    </sheetNames>
    <sheetDataSet>
      <sheetData sheetId="0">
        <row r="9">
          <cell r="K9">
            <v>30</v>
          </cell>
        </row>
        <row r="10">
          <cell r="K10">
            <v>2.4999743445271543E-2</v>
          </cell>
        </row>
        <row r="11">
          <cell r="K11">
            <v>20</v>
          </cell>
        </row>
        <row r="12">
          <cell r="K12">
            <v>1000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2" name="Table2" displayName="Table2" ref="B64:C72" totalsRowShown="0" headerRowDxfId="2">
  <autoFilter ref="B64:C72"/>
  <tableColumns count="2">
    <tableColumn id="1" name="maturity" dataDxfId="1"/>
    <tableColumn id="2" name="yield" dataDxfId="0" dataCellStyle="Percent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6"/>
  <sheetViews>
    <sheetView tabSelected="1" topLeftCell="A120" workbookViewId="0">
      <selection activeCell="D98" sqref="D98"/>
    </sheetView>
  </sheetViews>
  <sheetFormatPr baseColWidth="10" defaultColWidth="8.83203125" defaultRowHeight="16" x14ac:dyDescent="0.2"/>
  <cols>
    <col min="1" max="1" width="12.83203125" style="1" customWidth="1"/>
    <col min="2" max="2" width="12" style="2" bestFit="1" customWidth="1"/>
    <col min="3" max="3" width="12" style="2" customWidth="1"/>
    <col min="4" max="4" width="21.33203125" style="2" customWidth="1"/>
    <col min="5" max="6" width="19" style="2" customWidth="1"/>
    <col min="7" max="8" width="17.5" style="2" customWidth="1"/>
    <col min="9" max="9" width="13.83203125" style="1" bestFit="1" customWidth="1"/>
    <col min="10" max="10" width="21.1640625" style="1" bestFit="1" customWidth="1"/>
    <col min="11" max="11" width="13.6640625" style="1" bestFit="1" customWidth="1"/>
    <col min="12" max="12" width="13.1640625" style="1" bestFit="1" customWidth="1"/>
    <col min="13" max="13" width="9.5" style="1" bestFit="1" customWidth="1"/>
    <col min="14" max="14" width="12.1640625" style="1" bestFit="1" customWidth="1"/>
    <col min="15" max="15" width="14.6640625" style="1" bestFit="1" customWidth="1"/>
    <col min="16" max="16" width="13.83203125" style="1" bestFit="1" customWidth="1"/>
    <col min="17" max="18" width="12.1640625" style="1" bestFit="1" customWidth="1"/>
    <col min="19" max="19" width="8.83203125" style="1"/>
    <col min="20" max="20" width="6.5" style="1" bestFit="1" customWidth="1"/>
    <col min="21" max="22" width="12.1640625" style="1" bestFit="1" customWidth="1"/>
    <col min="23" max="23" width="13.1640625" style="1" bestFit="1" customWidth="1"/>
    <col min="24" max="24" width="13.83203125" style="1" bestFit="1" customWidth="1"/>
    <col min="25" max="16384" width="8.83203125" style="1"/>
  </cols>
  <sheetData>
    <row r="1" spans="1:16" s="5" customFormat="1" ht="24" x14ac:dyDescent="0.3">
      <c r="B1" s="6" t="s">
        <v>0</v>
      </c>
      <c r="C1" s="6" t="s">
        <v>15</v>
      </c>
      <c r="D1" s="6" t="s">
        <v>1</v>
      </c>
      <c r="E1" s="7"/>
      <c r="F1" s="7"/>
      <c r="G1" s="6" t="s">
        <v>2</v>
      </c>
      <c r="H1" s="6" t="s">
        <v>15</v>
      </c>
      <c r="I1" s="62" t="s">
        <v>4</v>
      </c>
      <c r="J1" s="5" t="s">
        <v>5</v>
      </c>
      <c r="K1" s="62" t="s">
        <v>3</v>
      </c>
      <c r="L1" s="58"/>
      <c r="O1" s="60"/>
      <c r="P1" s="60"/>
    </row>
    <row r="2" spans="1:16" hidden="1" x14ac:dyDescent="0.2">
      <c r="A2" s="1">
        <v>1</v>
      </c>
      <c r="B2" s="3">
        <v>1.375</v>
      </c>
      <c r="C2" s="3"/>
      <c r="D2" s="4">
        <v>41409</v>
      </c>
      <c r="E2" s="8"/>
      <c r="F2" s="8"/>
      <c r="G2" s="3">
        <v>3.6999999999999998E-2</v>
      </c>
      <c r="H2" s="3"/>
      <c r="O2" s="28"/>
      <c r="P2" s="28"/>
    </row>
    <row r="3" spans="1:16" hidden="1" x14ac:dyDescent="0.2">
      <c r="A3" s="1">
        <v>2</v>
      </c>
      <c r="B3" s="3">
        <v>1.375</v>
      </c>
      <c r="C3" s="3"/>
      <c r="D3" s="4">
        <v>41593</v>
      </c>
      <c r="E3" s="8"/>
      <c r="F3" s="8"/>
      <c r="G3" s="3">
        <v>0.13500000000000001</v>
      </c>
      <c r="H3" s="3"/>
      <c r="O3" s="28"/>
      <c r="P3" s="28"/>
    </row>
    <row r="4" spans="1:16" hidden="1" x14ac:dyDescent="0.2">
      <c r="A4" s="1">
        <v>3</v>
      </c>
      <c r="B4" s="3">
        <v>3.625</v>
      </c>
      <c r="C4" s="3"/>
      <c r="D4" s="4">
        <v>41774</v>
      </c>
      <c r="E4" s="8"/>
      <c r="F4" s="8"/>
      <c r="G4" s="3">
        <v>0.21299999999999999</v>
      </c>
      <c r="H4" s="3"/>
      <c r="O4" s="28"/>
      <c r="P4" s="28"/>
    </row>
    <row r="5" spans="1:16" hidden="1" x14ac:dyDescent="0.2">
      <c r="A5" s="1">
        <v>4</v>
      </c>
      <c r="B5" s="3">
        <v>4.25</v>
      </c>
      <c r="C5" s="3"/>
      <c r="D5" s="4">
        <v>41958</v>
      </c>
      <c r="E5" s="8"/>
      <c r="F5" s="8"/>
      <c r="G5" s="3">
        <v>0.27300000000000002</v>
      </c>
      <c r="H5" s="3"/>
      <c r="O5" s="28"/>
      <c r="P5" s="28"/>
    </row>
    <row r="6" spans="1:16" hidden="1" x14ac:dyDescent="0.2">
      <c r="A6" s="1">
        <v>5</v>
      </c>
      <c r="B6" s="3">
        <v>1</v>
      </c>
      <c r="C6" s="3"/>
      <c r="D6" s="4">
        <v>42139</v>
      </c>
      <c r="E6" s="8"/>
      <c r="F6" s="8"/>
      <c r="G6" s="3">
        <v>0.34699999999999998</v>
      </c>
      <c r="H6" s="3"/>
      <c r="O6" s="28"/>
      <c r="P6" s="28"/>
    </row>
    <row r="7" spans="1:16" hidden="1" x14ac:dyDescent="0.2">
      <c r="A7" s="1">
        <v>6</v>
      </c>
      <c r="B7" s="3">
        <v>0.375</v>
      </c>
      <c r="C7" s="3"/>
      <c r="D7" s="4">
        <v>42323</v>
      </c>
      <c r="E7" s="8"/>
      <c r="F7" s="8"/>
      <c r="G7" s="3">
        <v>0.40300000000000002</v>
      </c>
      <c r="H7" s="3"/>
      <c r="O7" s="28"/>
      <c r="P7" s="28"/>
    </row>
    <row r="8" spans="1:16" hidden="1" x14ac:dyDescent="0.2">
      <c r="A8" s="1">
        <v>7</v>
      </c>
      <c r="B8" s="3">
        <v>4.125</v>
      </c>
      <c r="C8" s="3"/>
      <c r="D8" s="4">
        <v>42505</v>
      </c>
      <c r="E8" s="8"/>
      <c r="F8" s="8"/>
      <c r="G8" s="3">
        <v>0.49299999999999999</v>
      </c>
      <c r="H8" s="3"/>
      <c r="O8" s="28"/>
      <c r="P8" s="28"/>
    </row>
    <row r="9" spans="1:16" hidden="1" x14ac:dyDescent="0.2">
      <c r="A9" s="1">
        <v>8</v>
      </c>
      <c r="B9" s="3">
        <v>4.5</v>
      </c>
      <c r="C9" s="3"/>
      <c r="D9" s="4">
        <v>42689</v>
      </c>
      <c r="E9" s="8"/>
      <c r="F9" s="8"/>
      <c r="G9" s="3">
        <v>0.627</v>
      </c>
      <c r="H9" s="3"/>
      <c r="O9" s="28"/>
      <c r="P9" s="28"/>
    </row>
    <row r="10" spans="1:16" hidden="1" x14ac:dyDescent="0.2">
      <c r="A10" s="1">
        <v>9</v>
      </c>
      <c r="B10" s="3">
        <v>1.875</v>
      </c>
      <c r="C10" s="3"/>
      <c r="D10" s="4">
        <v>41440</v>
      </c>
      <c r="E10" s="8"/>
      <c r="F10" s="8"/>
      <c r="G10" s="3">
        <v>0.05</v>
      </c>
      <c r="H10" s="3"/>
      <c r="O10" s="28"/>
      <c r="P10" s="28"/>
    </row>
    <row r="11" spans="1:16" hidden="1" x14ac:dyDescent="0.2">
      <c r="A11" s="1">
        <v>10</v>
      </c>
      <c r="B11" s="3">
        <v>1.125</v>
      </c>
      <c r="C11" s="3"/>
      <c r="D11" s="4">
        <v>41623</v>
      </c>
      <c r="E11" s="8"/>
      <c r="F11" s="8"/>
      <c r="G11" s="3">
        <v>0.158</v>
      </c>
      <c r="H11" s="3"/>
      <c r="O11" s="28"/>
      <c r="P11" s="28"/>
    </row>
    <row r="12" spans="1:16" hidden="1" x14ac:dyDescent="0.2">
      <c r="A12" s="1">
        <v>11</v>
      </c>
      <c r="B12" s="3">
        <v>1.125</v>
      </c>
      <c r="C12" s="3"/>
      <c r="D12" s="4">
        <v>41805</v>
      </c>
      <c r="E12" s="8"/>
      <c r="F12" s="8"/>
      <c r="G12" s="3">
        <v>0.23200000000000001</v>
      </c>
      <c r="H12" s="3"/>
      <c r="O12" s="28"/>
      <c r="P12" s="28"/>
    </row>
    <row r="13" spans="1:16" hidden="1" x14ac:dyDescent="0.2">
      <c r="A13" s="1">
        <v>12</v>
      </c>
      <c r="B13" s="3">
        <v>0.75</v>
      </c>
      <c r="C13" s="3"/>
      <c r="D13" s="4">
        <v>41988</v>
      </c>
      <c r="E13" s="8"/>
      <c r="F13" s="8"/>
      <c r="G13" s="3">
        <v>0.28699999999999998</v>
      </c>
      <c r="H13" s="3"/>
      <c r="O13" s="28"/>
      <c r="P13" s="28"/>
    </row>
    <row r="14" spans="1:16" hidden="1" x14ac:dyDescent="0.2">
      <c r="A14" s="1">
        <v>13</v>
      </c>
      <c r="B14" s="3">
        <v>0.75</v>
      </c>
      <c r="C14" s="3"/>
      <c r="D14" s="4">
        <v>42170</v>
      </c>
      <c r="E14" s="8"/>
      <c r="F14" s="8"/>
      <c r="G14" s="3">
        <v>0.35599999999999998</v>
      </c>
      <c r="H14" s="3"/>
      <c r="O14" s="28"/>
      <c r="P14" s="28"/>
    </row>
    <row r="15" spans="1:16" hidden="1" x14ac:dyDescent="0.2">
      <c r="A15" s="1">
        <v>14</v>
      </c>
      <c r="B15" s="3">
        <v>2.625</v>
      </c>
      <c r="C15" s="3"/>
      <c r="D15" s="4">
        <v>42353</v>
      </c>
      <c r="E15" s="8"/>
      <c r="F15" s="8"/>
      <c r="G15" s="3">
        <v>0.44</v>
      </c>
      <c r="H15" s="3"/>
      <c r="O15" s="28"/>
      <c r="P15" s="28"/>
    </row>
    <row r="16" spans="1:16" hidden="1" x14ac:dyDescent="0.2">
      <c r="A16" s="1">
        <v>15</v>
      </c>
      <c r="B16" s="3">
        <v>1.875</v>
      </c>
      <c r="C16" s="3"/>
      <c r="D16" s="4">
        <v>42536</v>
      </c>
      <c r="E16" s="8"/>
      <c r="F16" s="8"/>
      <c r="G16" s="3">
        <v>0.55000000000000004</v>
      </c>
      <c r="H16" s="3"/>
      <c r="O16" s="28"/>
      <c r="P16" s="28"/>
    </row>
    <row r="17" spans="1:17" hidden="1" x14ac:dyDescent="0.2">
      <c r="A17" s="1">
        <v>16</v>
      </c>
      <c r="B17" s="3">
        <v>2.125</v>
      </c>
      <c r="C17" s="3"/>
      <c r="D17" s="4">
        <v>42719</v>
      </c>
      <c r="E17" s="8"/>
      <c r="F17" s="8"/>
      <c r="G17" s="3">
        <v>0.65600000000000003</v>
      </c>
      <c r="H17" s="3"/>
      <c r="O17" s="28"/>
      <c r="P17" s="28"/>
    </row>
    <row r="18" spans="1:17" hidden="1" x14ac:dyDescent="0.2">
      <c r="A18" s="1">
        <v>17</v>
      </c>
      <c r="B18" s="3">
        <v>1.5</v>
      </c>
      <c r="C18" s="3"/>
      <c r="D18" s="4">
        <v>41470</v>
      </c>
      <c r="E18" s="8"/>
      <c r="F18" s="8"/>
      <c r="G18" s="3">
        <v>6.8000000000000005E-2</v>
      </c>
      <c r="H18" s="3"/>
      <c r="O18" s="28"/>
      <c r="P18" s="28"/>
    </row>
    <row r="19" spans="1:17" hidden="1" x14ac:dyDescent="0.2">
      <c r="A19" s="1">
        <v>18</v>
      </c>
      <c r="B19" s="3">
        <v>1.375</v>
      </c>
      <c r="C19" s="3"/>
      <c r="D19" s="4">
        <v>41654</v>
      </c>
      <c r="E19" s="8"/>
      <c r="F19" s="8"/>
      <c r="G19" s="3">
        <v>0.157</v>
      </c>
      <c r="H19" s="3"/>
      <c r="O19" s="28"/>
      <c r="P19" s="28"/>
    </row>
    <row r="20" spans="1:17" hidden="1" x14ac:dyDescent="0.2">
      <c r="A20" s="1">
        <v>19</v>
      </c>
      <c r="B20" s="3">
        <v>1</v>
      </c>
      <c r="C20" s="3"/>
      <c r="D20" s="4">
        <v>41835</v>
      </c>
      <c r="E20" s="8"/>
      <c r="F20" s="8"/>
      <c r="G20" s="3">
        <v>0.23699999999999999</v>
      </c>
      <c r="H20" s="3"/>
      <c r="O20" s="28"/>
      <c r="P20" s="28"/>
    </row>
    <row r="21" spans="1:17" hidden="1" x14ac:dyDescent="0.2">
      <c r="A21" s="1">
        <v>20</v>
      </c>
      <c r="B21" s="3">
        <v>1.75</v>
      </c>
      <c r="C21" s="3"/>
      <c r="D21" s="4">
        <v>42019</v>
      </c>
      <c r="E21" s="8"/>
      <c r="F21" s="8"/>
      <c r="G21" s="3">
        <v>0.29199999999999998</v>
      </c>
      <c r="H21" s="3"/>
      <c r="O21" s="28"/>
      <c r="P21" s="28"/>
    </row>
    <row r="22" spans="1:17" hidden="1" x14ac:dyDescent="0.2">
      <c r="A22" s="1">
        <v>21</v>
      </c>
      <c r="B22" s="3">
        <v>0.625</v>
      </c>
      <c r="C22" s="3"/>
      <c r="D22" s="4">
        <v>42200</v>
      </c>
      <c r="E22" s="8"/>
      <c r="F22" s="8"/>
      <c r="G22" s="3">
        <v>0.36599999999999999</v>
      </c>
      <c r="H22" s="3"/>
      <c r="O22" s="28"/>
      <c r="P22" s="28"/>
    </row>
    <row r="23" spans="1:17" hidden="1" x14ac:dyDescent="0.2">
      <c r="A23" s="1">
        <v>22</v>
      </c>
      <c r="B23" s="3">
        <v>2.25</v>
      </c>
      <c r="C23" s="3"/>
      <c r="D23" s="4">
        <v>42384</v>
      </c>
      <c r="E23" s="8"/>
      <c r="F23" s="8"/>
      <c r="G23" s="3">
        <v>0.44500000000000001</v>
      </c>
      <c r="H23" s="3"/>
      <c r="O23" s="28"/>
      <c r="P23" s="28"/>
    </row>
    <row r="24" spans="1:17" hidden="1" x14ac:dyDescent="0.2">
      <c r="A24" s="1">
        <v>23</v>
      </c>
      <c r="B24" s="3">
        <v>1.75</v>
      </c>
      <c r="C24" s="3"/>
      <c r="D24" s="4">
        <v>42566</v>
      </c>
      <c r="E24" s="8"/>
      <c r="F24" s="8"/>
      <c r="G24" s="3">
        <v>0.56599999999999995</v>
      </c>
      <c r="H24" s="3"/>
      <c r="O24" s="28"/>
      <c r="P24" s="28"/>
    </row>
    <row r="25" spans="1:17" ht="16" hidden="1" customHeight="1" x14ac:dyDescent="0.2">
      <c r="A25" s="1">
        <v>24</v>
      </c>
      <c r="B25" s="3">
        <v>2</v>
      </c>
      <c r="C25" s="3"/>
      <c r="D25" s="4">
        <v>42750</v>
      </c>
      <c r="E25" s="8"/>
      <c r="F25" s="8"/>
      <c r="G25" s="3">
        <v>0.69099999999999995</v>
      </c>
      <c r="H25" s="3"/>
      <c r="O25" s="28"/>
      <c r="P25" s="28"/>
    </row>
    <row r="26" spans="1:17" x14ac:dyDescent="0.2">
      <c r="A26" s="1">
        <v>25</v>
      </c>
      <c r="B26" s="3">
        <v>4.375</v>
      </c>
      <c r="C26" s="3">
        <f>B26/(100*2)</f>
        <v>2.1874999999999999E-2</v>
      </c>
      <c r="D26" s="4">
        <v>41501</v>
      </c>
      <c r="E26" s="8">
        <v>1</v>
      </c>
      <c r="F26" s="8">
        <f>E26-$C$55</f>
        <v>0.91111111111111109</v>
      </c>
      <c r="G26" s="3">
        <v>6.6000000000000003E-2</v>
      </c>
      <c r="H26" s="3">
        <f>G26/(100*2)</f>
        <v>3.3E-4</v>
      </c>
      <c r="I26" s="26">
        <f>(((C26*100)/(H26))*(1-(1/((1+H26)^F26))))+(100/((1+H26)^F26))</f>
        <v>101.96237009121086</v>
      </c>
      <c r="J26" s="1">
        <f t="shared" ref="J26:J33" si="0">C26*face*$B$61/$B$60</f>
        <v>0.19444444444444445</v>
      </c>
      <c r="K26" s="26">
        <f>I26+J26</f>
        <v>102.1568145356553</v>
      </c>
      <c r="N26" s="15"/>
      <c r="O26" s="29"/>
      <c r="P26" s="29"/>
      <c r="Q26" s="15"/>
    </row>
    <row r="27" spans="1:17" x14ac:dyDescent="0.2">
      <c r="A27" s="1">
        <v>26</v>
      </c>
      <c r="B27" s="3">
        <v>1.375</v>
      </c>
      <c r="C27" s="3">
        <f t="shared" ref="C27:C33" si="1">B27/(100*2)</f>
        <v>6.875E-3</v>
      </c>
      <c r="D27" s="4">
        <v>41685</v>
      </c>
      <c r="E27" s="8">
        <v>2</v>
      </c>
      <c r="F27" s="8">
        <f t="shared" ref="F27:F33" si="2">E27-$C$55</f>
        <v>1.9111111111111112</v>
      </c>
      <c r="G27" s="3">
        <v>0.17399999999999999</v>
      </c>
      <c r="H27" s="3">
        <f t="shared" ref="H27:H33" si="3">G27/(100*2)</f>
        <v>8.699999999999999E-4</v>
      </c>
      <c r="I27" s="26">
        <f t="shared" ref="I27:I33" si="4">(((C27*100)/(H27))*(1-(1/((1+H27)^F27))))+(100/((1+H27)^F27))</f>
        <v>101.14617059652279</v>
      </c>
      <c r="J27" s="1">
        <f t="shared" si="0"/>
        <v>6.1111111111111109E-2</v>
      </c>
      <c r="K27" s="26">
        <f t="shared" ref="K27:K41" si="5">I27+J27</f>
        <v>101.20728170763391</v>
      </c>
      <c r="N27" s="15"/>
      <c r="O27" s="29"/>
      <c r="P27" s="29"/>
      <c r="Q27" s="15"/>
    </row>
    <row r="28" spans="1:17" x14ac:dyDescent="0.2">
      <c r="A28" s="1">
        <v>27</v>
      </c>
      <c r="B28" s="3">
        <v>0.75</v>
      </c>
      <c r="C28" s="3">
        <f t="shared" si="1"/>
        <v>3.7499999999999999E-3</v>
      </c>
      <c r="D28" s="4">
        <v>41866</v>
      </c>
      <c r="E28" s="8">
        <v>3</v>
      </c>
      <c r="F28" s="8">
        <f t="shared" si="2"/>
        <v>2.911111111111111</v>
      </c>
      <c r="G28" s="3">
        <v>0.251</v>
      </c>
      <c r="H28" s="3">
        <f t="shared" si="3"/>
        <v>1.255E-3</v>
      </c>
      <c r="I28" s="26">
        <f t="shared" si="4"/>
        <v>100.72454332153229</v>
      </c>
      <c r="J28" s="1">
        <f t="shared" si="0"/>
        <v>3.3333333333333333E-2</v>
      </c>
      <c r="K28" s="26">
        <f t="shared" si="5"/>
        <v>100.75787665486563</v>
      </c>
      <c r="N28" s="15"/>
      <c r="O28" s="29"/>
      <c r="P28" s="29"/>
      <c r="Q28" s="15"/>
    </row>
    <row r="29" spans="1:17" x14ac:dyDescent="0.2">
      <c r="A29" s="1">
        <v>28</v>
      </c>
      <c r="B29" s="3">
        <v>1.25</v>
      </c>
      <c r="C29" s="3">
        <f t="shared" si="1"/>
        <v>6.2500000000000003E-3</v>
      </c>
      <c r="D29" s="4">
        <v>42050</v>
      </c>
      <c r="E29" s="8">
        <v>4</v>
      </c>
      <c r="F29" s="8">
        <f t="shared" si="2"/>
        <v>3.911111111111111</v>
      </c>
      <c r="G29" s="3">
        <v>0.311</v>
      </c>
      <c r="H29" s="3">
        <f t="shared" si="3"/>
        <v>1.555E-3</v>
      </c>
      <c r="I29" s="26">
        <f t="shared" si="4"/>
        <v>101.82927651181562</v>
      </c>
      <c r="J29" s="1">
        <f t="shared" si="0"/>
        <v>5.5555555555555552E-2</v>
      </c>
      <c r="K29" s="26">
        <f t="shared" si="5"/>
        <v>101.88483206737118</v>
      </c>
      <c r="N29" s="15"/>
      <c r="O29" s="29"/>
      <c r="P29" s="29"/>
      <c r="Q29" s="15"/>
    </row>
    <row r="30" spans="1:17" x14ac:dyDescent="0.2">
      <c r="A30" s="1">
        <v>29</v>
      </c>
      <c r="B30" s="3">
        <v>0.5</v>
      </c>
      <c r="C30" s="3">
        <f t="shared" si="1"/>
        <v>2.5000000000000001E-3</v>
      </c>
      <c r="D30" s="4">
        <v>42231</v>
      </c>
      <c r="E30" s="8">
        <v>5</v>
      </c>
      <c r="F30" s="8">
        <f t="shared" si="2"/>
        <v>4.9111111111111114</v>
      </c>
      <c r="G30" s="3">
        <v>0.374</v>
      </c>
      <c r="H30" s="3">
        <f t="shared" si="3"/>
        <v>1.8699999999999999E-3</v>
      </c>
      <c r="I30" s="26">
        <f t="shared" si="4"/>
        <v>100.30769732006021</v>
      </c>
      <c r="J30" s="1">
        <f t="shared" si="0"/>
        <v>2.2222222222222223E-2</v>
      </c>
      <c r="K30" s="26">
        <f t="shared" si="5"/>
        <v>100.32991954228244</v>
      </c>
      <c r="N30" s="15"/>
      <c r="O30" s="29"/>
      <c r="P30" s="29"/>
      <c r="Q30" s="15"/>
    </row>
    <row r="31" spans="1:17" x14ac:dyDescent="0.2">
      <c r="A31" s="1">
        <v>30</v>
      </c>
      <c r="B31" s="3">
        <v>11.25</v>
      </c>
      <c r="C31" s="3">
        <f t="shared" si="1"/>
        <v>5.6250000000000001E-2</v>
      </c>
      <c r="D31" s="4">
        <v>42415</v>
      </c>
      <c r="E31" s="8">
        <v>6</v>
      </c>
      <c r="F31" s="8">
        <f t="shared" si="2"/>
        <v>5.9111111111111114</v>
      </c>
      <c r="G31" s="3">
        <v>0.44700000000000001</v>
      </c>
      <c r="H31" s="3">
        <f t="shared" si="3"/>
        <v>2.235E-3</v>
      </c>
      <c r="I31" s="26">
        <f t="shared" si="4"/>
        <v>131.68372086166659</v>
      </c>
      <c r="J31" s="1">
        <f t="shared" si="0"/>
        <v>0.5</v>
      </c>
      <c r="K31" s="26">
        <f t="shared" si="5"/>
        <v>132.18372086166659</v>
      </c>
      <c r="N31" s="15"/>
      <c r="O31" s="29"/>
      <c r="P31" s="29"/>
      <c r="Q31" s="15"/>
    </row>
    <row r="32" spans="1:17" x14ac:dyDescent="0.2">
      <c r="A32" s="1">
        <v>31</v>
      </c>
      <c r="B32" s="3">
        <v>10.625</v>
      </c>
      <c r="C32" s="3">
        <f t="shared" si="1"/>
        <v>5.3124999999999999E-2</v>
      </c>
      <c r="D32" s="4">
        <v>42597</v>
      </c>
      <c r="E32" s="8">
        <v>7</v>
      </c>
      <c r="F32" s="8">
        <f t="shared" si="2"/>
        <v>6.9111111111111114</v>
      </c>
      <c r="G32" s="3">
        <v>0.52400000000000002</v>
      </c>
      <c r="H32" s="3">
        <f t="shared" si="3"/>
        <v>2.6199999999999999E-3</v>
      </c>
      <c r="I32" s="26">
        <f t="shared" si="4"/>
        <v>134.54562823841741</v>
      </c>
      <c r="J32" s="1">
        <f t="shared" si="0"/>
        <v>0.47222222222222221</v>
      </c>
      <c r="K32" s="26">
        <f t="shared" si="5"/>
        <v>135.01785046063964</v>
      </c>
      <c r="N32" s="15"/>
      <c r="O32" s="29"/>
      <c r="P32" s="29"/>
      <c r="Q32" s="15"/>
    </row>
    <row r="33" spans="1:17" x14ac:dyDescent="0.2">
      <c r="A33" s="1">
        <v>32</v>
      </c>
      <c r="B33" s="3">
        <v>9.25</v>
      </c>
      <c r="C33" s="3">
        <f t="shared" si="1"/>
        <v>4.6249999999999999E-2</v>
      </c>
      <c r="D33" s="4">
        <v>42781</v>
      </c>
      <c r="E33" s="8">
        <v>8</v>
      </c>
      <c r="F33" s="8">
        <f t="shared" si="2"/>
        <v>7.9111111111111114</v>
      </c>
      <c r="G33" s="3">
        <v>0.63</v>
      </c>
      <c r="H33" s="3">
        <f t="shared" si="3"/>
        <v>3.15E-3</v>
      </c>
      <c r="I33" s="26">
        <f t="shared" si="4"/>
        <v>133.62327668931692</v>
      </c>
      <c r="J33" s="1">
        <f t="shared" si="0"/>
        <v>0.41111111111111109</v>
      </c>
      <c r="K33" s="26">
        <f t="shared" si="5"/>
        <v>134.03438780042802</v>
      </c>
      <c r="N33" s="15"/>
      <c r="O33" s="29"/>
      <c r="P33" s="29"/>
      <c r="Q33" s="15"/>
    </row>
    <row r="34" spans="1:17" hidden="1" x14ac:dyDescent="0.2">
      <c r="A34" s="1">
        <v>33</v>
      </c>
      <c r="B34" s="3">
        <v>1.75</v>
      </c>
      <c r="C34" s="3">
        <f t="shared" ref="C34:C41" si="6">B34/(100*2)</f>
        <v>8.7500000000000008E-3</v>
      </c>
      <c r="D34" s="4">
        <v>41379</v>
      </c>
      <c r="E34" s="8">
        <v>2</v>
      </c>
      <c r="F34" s="8"/>
      <c r="G34" s="3">
        <v>0.193</v>
      </c>
      <c r="H34" s="3">
        <f t="shared" ref="H34:H41" si="7">G34/100</f>
        <v>1.9300000000000001E-3</v>
      </c>
      <c r="J34" s="1" t="e">
        <f t="shared" ref="J34:J41" si="8">C34*100*C53/C61</f>
        <v>#DIV/0!</v>
      </c>
      <c r="K34" s="26" t="e">
        <f t="shared" si="5"/>
        <v>#DIV/0!</v>
      </c>
      <c r="N34" s="15"/>
    </row>
    <row r="35" spans="1:17" hidden="1" x14ac:dyDescent="0.2">
      <c r="A35" s="1">
        <v>34</v>
      </c>
      <c r="B35" s="3">
        <v>0.5</v>
      </c>
      <c r="C35" s="3">
        <f t="shared" si="6"/>
        <v>2.5000000000000001E-3</v>
      </c>
      <c r="D35" s="4">
        <v>41562</v>
      </c>
      <c r="E35" s="8">
        <v>2</v>
      </c>
      <c r="F35" s="8"/>
      <c r="G35" s="3">
        <v>0.27</v>
      </c>
      <c r="H35" s="3">
        <f t="shared" si="7"/>
        <v>2.7000000000000001E-3</v>
      </c>
      <c r="J35" s="1" t="e">
        <f t="shared" si="8"/>
        <v>#DIV/0!</v>
      </c>
      <c r="K35" s="26" t="e">
        <f t="shared" si="5"/>
        <v>#DIV/0!</v>
      </c>
      <c r="N35" s="15"/>
    </row>
    <row r="36" spans="1:17" hidden="1" x14ac:dyDescent="0.2">
      <c r="A36" s="1">
        <v>35</v>
      </c>
      <c r="B36" s="3">
        <v>1.25</v>
      </c>
      <c r="C36" s="3">
        <f t="shared" si="6"/>
        <v>6.2500000000000003E-3</v>
      </c>
      <c r="D36" s="4">
        <v>41744</v>
      </c>
      <c r="E36" s="8">
        <v>2</v>
      </c>
      <c r="F36" s="8"/>
      <c r="G36" s="3">
        <v>0.33300000000000002</v>
      </c>
      <c r="H36" s="3">
        <f t="shared" si="7"/>
        <v>3.3300000000000001E-3</v>
      </c>
      <c r="J36" s="1" t="e">
        <f t="shared" si="8"/>
        <v>#DIV/0!</v>
      </c>
      <c r="K36" s="26" t="e">
        <f t="shared" si="5"/>
        <v>#DIV/0!</v>
      </c>
      <c r="N36" s="15"/>
    </row>
    <row r="37" spans="1:17" hidden="1" x14ac:dyDescent="0.2">
      <c r="A37" s="1">
        <v>36</v>
      </c>
      <c r="B37" s="3">
        <v>0.5</v>
      </c>
      <c r="C37" s="3">
        <f t="shared" si="6"/>
        <v>2.5000000000000001E-3</v>
      </c>
      <c r="D37" s="4">
        <v>41927</v>
      </c>
      <c r="E37" s="8">
        <v>2</v>
      </c>
      <c r="F37" s="8"/>
      <c r="G37" s="3">
        <v>0.39200000000000002</v>
      </c>
      <c r="H37" s="3">
        <f t="shared" si="7"/>
        <v>3.9199999999999999E-3</v>
      </c>
      <c r="J37" s="1" t="e">
        <f t="shared" si="8"/>
        <v>#VALUE!</v>
      </c>
      <c r="K37" s="26" t="e">
        <f t="shared" si="5"/>
        <v>#VALUE!</v>
      </c>
      <c r="N37" s="15"/>
    </row>
    <row r="38" spans="1:17" hidden="1" x14ac:dyDescent="0.2">
      <c r="A38" s="1">
        <v>37</v>
      </c>
      <c r="B38" s="3">
        <v>2.5</v>
      </c>
      <c r="C38" s="3">
        <f t="shared" si="6"/>
        <v>1.2500000000000001E-2</v>
      </c>
      <c r="D38" s="4">
        <v>42109</v>
      </c>
      <c r="E38" s="8">
        <v>2</v>
      </c>
      <c r="F38" s="8"/>
      <c r="G38" s="3">
        <v>0.50700000000000001</v>
      </c>
      <c r="H38" s="3">
        <f t="shared" si="7"/>
        <v>5.0699999999999999E-3</v>
      </c>
      <c r="J38" s="1">
        <f t="shared" si="8"/>
        <v>0</v>
      </c>
      <c r="K38" s="26">
        <f t="shared" si="5"/>
        <v>0</v>
      </c>
      <c r="N38" s="15"/>
    </row>
    <row r="39" spans="1:17" hidden="1" x14ac:dyDescent="0.2">
      <c r="A39" s="1">
        <v>38</v>
      </c>
      <c r="B39" s="3">
        <v>1.25</v>
      </c>
      <c r="C39" s="3">
        <f t="shared" si="6"/>
        <v>6.2500000000000003E-3</v>
      </c>
      <c r="D39" s="4">
        <v>42292</v>
      </c>
      <c r="E39" s="8">
        <v>2</v>
      </c>
      <c r="F39" s="8"/>
      <c r="G39" s="3">
        <v>0.63800000000000001</v>
      </c>
      <c r="H39" s="3">
        <f t="shared" si="7"/>
        <v>6.3800000000000003E-3</v>
      </c>
      <c r="J39" s="1">
        <f t="shared" si="8"/>
        <v>0</v>
      </c>
      <c r="K39" s="26">
        <f t="shared" si="5"/>
        <v>0</v>
      </c>
      <c r="N39" s="15"/>
    </row>
    <row r="40" spans="1:17" hidden="1" x14ac:dyDescent="0.2">
      <c r="A40" s="1">
        <v>39</v>
      </c>
      <c r="B40" s="3">
        <v>2.625</v>
      </c>
      <c r="C40" s="3">
        <f t="shared" si="6"/>
        <v>1.3125E-2</v>
      </c>
      <c r="D40" s="4">
        <v>42475</v>
      </c>
      <c r="E40" s="8">
        <v>2</v>
      </c>
      <c r="F40" s="8"/>
      <c r="G40" s="3">
        <v>0.755</v>
      </c>
      <c r="H40" s="3">
        <f t="shared" si="7"/>
        <v>7.5500000000000003E-3</v>
      </c>
      <c r="J40" s="1">
        <f t="shared" si="8"/>
        <v>0</v>
      </c>
      <c r="K40" s="26">
        <f t="shared" si="5"/>
        <v>0</v>
      </c>
      <c r="N40" s="15"/>
    </row>
    <row r="41" spans="1:17" hidden="1" x14ac:dyDescent="0.2">
      <c r="A41" s="1">
        <v>40</v>
      </c>
      <c r="B41" s="3">
        <v>3.125</v>
      </c>
      <c r="C41" s="3">
        <f t="shared" si="6"/>
        <v>1.5625E-2</v>
      </c>
      <c r="D41" s="4">
        <v>42658</v>
      </c>
      <c r="E41" s="8">
        <v>2</v>
      </c>
      <c r="F41" s="8"/>
      <c r="G41" s="3">
        <v>0.90300000000000002</v>
      </c>
      <c r="H41" s="3">
        <f t="shared" si="7"/>
        <v>9.0299999999999998E-3</v>
      </c>
      <c r="J41" s="1">
        <f t="shared" si="8"/>
        <v>0</v>
      </c>
      <c r="K41" s="26">
        <f t="shared" si="5"/>
        <v>0</v>
      </c>
      <c r="N41" s="15"/>
    </row>
    <row r="42" spans="1:17" x14ac:dyDescent="0.2">
      <c r="E42" s="9"/>
      <c r="F42" s="9"/>
    </row>
    <row r="43" spans="1:17" x14ac:dyDescent="0.2">
      <c r="A43" s="17" t="s">
        <v>16</v>
      </c>
      <c r="B43" s="2">
        <v>100</v>
      </c>
      <c r="E43" s="9"/>
      <c r="F43" s="9"/>
    </row>
    <row r="44" spans="1:17" x14ac:dyDescent="0.2">
      <c r="E44" s="9"/>
      <c r="F44" s="9"/>
      <c r="I44" s="59" t="s">
        <v>40</v>
      </c>
    </row>
    <row r="45" spans="1:17" x14ac:dyDescent="0.2">
      <c r="A45" s="10">
        <v>42781</v>
      </c>
      <c r="B45" s="11">
        <v>42795</v>
      </c>
      <c r="C45" s="12">
        <v>14</v>
      </c>
      <c r="D45" s="12" t="s">
        <v>7</v>
      </c>
      <c r="E45" s="13">
        <v>41320</v>
      </c>
      <c r="I45" s="2">
        <f t="shared" ref="I45:I52" si="9">PRICE(settle,D26,B26/100,G26/100,face,2)</f>
        <v>101.9623404155743</v>
      </c>
      <c r="J45" s="26">
        <f>I45+J26</f>
        <v>102.15678486001875</v>
      </c>
    </row>
    <row r="46" spans="1:17" x14ac:dyDescent="0.2">
      <c r="B46" s="12" t="s">
        <v>8</v>
      </c>
      <c r="C46" s="2">
        <v>31</v>
      </c>
      <c r="E46" s="14">
        <v>41334</v>
      </c>
      <c r="F46" s="2">
        <f>E46-E45</f>
        <v>14</v>
      </c>
      <c r="I46" s="2">
        <f t="shared" si="9"/>
        <v>101.14614638956759</v>
      </c>
      <c r="J46" s="26">
        <f t="shared" ref="J46:J52" si="10">I46+J27</f>
        <v>101.20725750067871</v>
      </c>
    </row>
    <row r="47" spans="1:17" x14ac:dyDescent="0.2">
      <c r="B47" s="12" t="s">
        <v>9</v>
      </c>
      <c r="C47" s="2">
        <v>30</v>
      </c>
      <c r="I47" s="2">
        <f t="shared" si="9"/>
        <v>100.72452427934701</v>
      </c>
      <c r="J47" s="26">
        <f t="shared" si="10"/>
        <v>100.75785761268034</v>
      </c>
    </row>
    <row r="48" spans="1:17" x14ac:dyDescent="0.2">
      <c r="B48" s="12" t="s">
        <v>10</v>
      </c>
      <c r="C48" s="2">
        <v>31</v>
      </c>
      <c r="I48" s="2">
        <f t="shared" si="9"/>
        <v>101.82923719581801</v>
      </c>
      <c r="J48" s="26">
        <f t="shared" si="10"/>
        <v>101.88479275137357</v>
      </c>
      <c r="K48" s="27" t="s">
        <v>19</v>
      </c>
      <c r="L48" s="27" t="s">
        <v>21</v>
      </c>
      <c r="M48" s="61" t="s">
        <v>20</v>
      </c>
    </row>
    <row r="49" spans="1:31" x14ac:dyDescent="0.2">
      <c r="B49" s="12" t="s">
        <v>11</v>
      </c>
      <c r="C49" s="2">
        <v>30</v>
      </c>
      <c r="I49" s="2">
        <f t="shared" si="9"/>
        <v>100.30767841171691</v>
      </c>
      <c r="J49" s="26">
        <f t="shared" si="10"/>
        <v>100.32990063393913</v>
      </c>
      <c r="K49" s="28">
        <v>25</v>
      </c>
      <c r="L49" s="29">
        <v>101.9623404155743</v>
      </c>
      <c r="M49" s="29">
        <v>102.15678486001875</v>
      </c>
    </row>
    <row r="50" spans="1:31" x14ac:dyDescent="0.2">
      <c r="B50" s="12" t="s">
        <v>12</v>
      </c>
      <c r="C50" s="2">
        <v>31</v>
      </c>
      <c r="I50" s="2">
        <f t="shared" si="9"/>
        <v>131.68321250197783</v>
      </c>
      <c r="J50" s="26">
        <f t="shared" si="10"/>
        <v>132.18321250197783</v>
      </c>
      <c r="K50" s="28">
        <v>26</v>
      </c>
      <c r="L50" s="29">
        <v>101.14614638956759</v>
      </c>
      <c r="M50" s="29">
        <v>101.20725750067871</v>
      </c>
    </row>
    <row r="51" spans="1:31" x14ac:dyDescent="0.2">
      <c r="B51" s="12" t="s">
        <v>6</v>
      </c>
      <c r="C51" s="2">
        <v>15</v>
      </c>
      <c r="E51" s="13">
        <v>41501</v>
      </c>
      <c r="I51" s="2">
        <f t="shared" si="9"/>
        <v>134.54506555387812</v>
      </c>
      <c r="J51" s="26">
        <f t="shared" si="10"/>
        <v>135.01728777610035</v>
      </c>
      <c r="K51" s="28">
        <v>27</v>
      </c>
      <c r="L51" s="29">
        <v>100.72452427934701</v>
      </c>
      <c r="M51" s="29">
        <v>100.75785761268034</v>
      </c>
    </row>
    <row r="52" spans="1:31" x14ac:dyDescent="0.2">
      <c r="I52" s="2">
        <f t="shared" si="9"/>
        <v>133.62268792598721</v>
      </c>
      <c r="J52" s="26">
        <f t="shared" si="10"/>
        <v>134.03379903709831</v>
      </c>
      <c r="K52" s="28">
        <v>28</v>
      </c>
      <c r="L52" s="29">
        <v>101.82923719581801</v>
      </c>
      <c r="M52" s="29">
        <v>101.88479275137357</v>
      </c>
    </row>
    <row r="53" spans="1:31" x14ac:dyDescent="0.2">
      <c r="C53" s="2">
        <f>SUM(C45:C51)</f>
        <v>182</v>
      </c>
      <c r="K53" s="28">
        <v>29</v>
      </c>
      <c r="L53" s="29">
        <v>100.30767841171691</v>
      </c>
      <c r="M53" s="29">
        <v>100.32990063393913</v>
      </c>
    </row>
    <row r="54" spans="1:31" x14ac:dyDescent="0.2">
      <c r="K54" s="28">
        <v>30</v>
      </c>
      <c r="L54" s="29">
        <v>131.68321250197783</v>
      </c>
      <c r="M54" s="29">
        <v>132.18321250197783</v>
      </c>
    </row>
    <row r="55" spans="1:31" x14ac:dyDescent="0.2">
      <c r="C55" s="2">
        <f>B61/B60</f>
        <v>8.8888888888888892E-2</v>
      </c>
      <c r="D55" s="2">
        <f>B60-B61</f>
        <v>164</v>
      </c>
      <c r="E55" s="2">
        <f>D55/C53</f>
        <v>0.90109890109890112</v>
      </c>
      <c r="K55" s="28">
        <v>31</v>
      </c>
      <c r="L55" s="29">
        <v>134.54506555387812</v>
      </c>
      <c r="M55" s="29">
        <v>135.01728777610035</v>
      </c>
    </row>
    <row r="56" spans="1:31" x14ac:dyDescent="0.2">
      <c r="B56" s="14">
        <f>DATE(2013,2,15)</f>
        <v>41320</v>
      </c>
      <c r="K56" s="28">
        <v>32</v>
      </c>
      <c r="L56" s="29">
        <v>133.62268792598721</v>
      </c>
      <c r="M56" s="29">
        <v>134.03379903709831</v>
      </c>
    </row>
    <row r="57" spans="1:31" x14ac:dyDescent="0.2">
      <c r="A57" s="17" t="s">
        <v>13</v>
      </c>
      <c r="B57" s="14">
        <f>DATE(2013,3,1)</f>
        <v>41334</v>
      </c>
      <c r="F57" s="2">
        <f>E51-E45</f>
        <v>181</v>
      </c>
    </row>
    <row r="58" spans="1:31" x14ac:dyDescent="0.2">
      <c r="A58" s="17" t="s">
        <v>14</v>
      </c>
      <c r="B58" s="14">
        <f>DATE(2013,8,15)</f>
        <v>41501</v>
      </c>
    </row>
    <row r="60" spans="1:31" x14ac:dyDescent="0.2">
      <c r="B60" s="2">
        <f>DAYS360(B56,B58)</f>
        <v>180</v>
      </c>
    </row>
    <row r="61" spans="1:31" x14ac:dyDescent="0.2">
      <c r="B61" s="2">
        <f>DAYS360(B56,settle)</f>
        <v>16</v>
      </c>
    </row>
    <row r="64" spans="1:31" x14ac:dyDescent="0.2">
      <c r="B64" s="18" t="s">
        <v>1</v>
      </c>
      <c r="C64" s="18" t="s">
        <v>2</v>
      </c>
      <c r="E64" s="2">
        <v>2.1874999999999999E-2</v>
      </c>
      <c r="F64" s="18" t="s">
        <v>17</v>
      </c>
      <c r="H64" s="16"/>
      <c r="I64" s="1">
        <v>6.875E-3</v>
      </c>
      <c r="M64" s="1">
        <v>3.7499999999999999E-3</v>
      </c>
      <c r="Q64" s="1">
        <v>6.2500000000000003E-3</v>
      </c>
      <c r="U64" s="1">
        <v>2.5000000000000001E-3</v>
      </c>
      <c r="Y64" s="1">
        <v>5.6250000000000001E-2</v>
      </c>
      <c r="AB64" s="1">
        <v>5.3124999999999999E-2</v>
      </c>
      <c r="AE64" s="1">
        <v>4.6249999999999999E-2</v>
      </c>
    </row>
    <row r="65" spans="2:33" x14ac:dyDescent="0.2">
      <c r="B65" s="9">
        <v>0.91111111111111109</v>
      </c>
      <c r="C65" s="24">
        <v>3.0066801387332342E-4</v>
      </c>
      <c r="E65" s="18">
        <v>1</v>
      </c>
      <c r="F65" s="2">
        <f>(face+E64*face)</f>
        <v>102.1875</v>
      </c>
      <c r="G65" s="2">
        <f>F65/(1+C65)^E65</f>
        <v>102.15678472243383</v>
      </c>
      <c r="I65" s="1">
        <v>1</v>
      </c>
      <c r="J65" s="1">
        <f>I64*face</f>
        <v>0.6875</v>
      </c>
      <c r="K65" s="1">
        <f>J65/(1+C65)^E65</f>
        <v>0.68729335287264348</v>
      </c>
      <c r="M65" s="1">
        <v>1</v>
      </c>
      <c r="N65" s="1">
        <f>face*M64</f>
        <v>0.375</v>
      </c>
      <c r="O65" s="1">
        <f>N65/(1+$C65)^M65</f>
        <v>0.37488728338507826</v>
      </c>
      <c r="Q65" s="1">
        <v>1</v>
      </c>
      <c r="R65" s="1">
        <f>face*Q64</f>
        <v>0.625</v>
      </c>
      <c r="S65" s="1">
        <f>R65/(1+$C65)^Q65</f>
        <v>0.62481213897513044</v>
      </c>
      <c r="U65" s="1">
        <v>1</v>
      </c>
      <c r="V65" s="1">
        <f>face*$U$64</f>
        <v>0.25</v>
      </c>
      <c r="W65" s="1">
        <f>V65/(1+$C65)^U65</f>
        <v>0.24992485559005218</v>
      </c>
      <c r="Y65" s="1">
        <v>1</v>
      </c>
      <c r="Z65" s="1">
        <f>face*$Y$64</f>
        <v>5.625</v>
      </c>
      <c r="AA65" s="1">
        <f>Z65/(1+$C65)^Y65</f>
        <v>5.6233092507761739</v>
      </c>
      <c r="AB65" s="22">
        <v>1</v>
      </c>
      <c r="AC65" s="1">
        <f t="shared" ref="AC65:AC70" si="11">face*$AB$64</f>
        <v>5.3125</v>
      </c>
      <c r="AD65" s="1">
        <f>AC65/(1+$C65)^AB65</f>
        <v>5.3109031812886087</v>
      </c>
      <c r="AE65" s="22">
        <v>1</v>
      </c>
      <c r="AF65" s="1">
        <f t="shared" ref="AF65:AF71" si="12">face*$AE$64</f>
        <v>4.625</v>
      </c>
      <c r="AG65" s="1">
        <f>AF65/(1+$C65)^AE65</f>
        <v>4.6236098284159652</v>
      </c>
    </row>
    <row r="66" spans="2:33" x14ac:dyDescent="0.2">
      <c r="B66" s="9">
        <v>1.9111111111111112</v>
      </c>
      <c r="C66" s="24">
        <v>8.3300004777974129E-4</v>
      </c>
      <c r="I66" s="1">
        <v>2</v>
      </c>
      <c r="J66" s="1">
        <f>face+face*I64</f>
        <v>100.6875</v>
      </c>
      <c r="K66" s="1">
        <f>J66/(1+C66)^I66</f>
        <v>100.51996398069726</v>
      </c>
      <c r="M66" s="1">
        <v>2</v>
      </c>
      <c r="N66" s="1">
        <f>face*M64</f>
        <v>0.375</v>
      </c>
      <c r="O66" s="1">
        <f>N66/(1+$C66)^M66</f>
        <v>0.37437602972326728</v>
      </c>
      <c r="Q66" s="1">
        <v>2</v>
      </c>
      <c r="R66" s="1">
        <f>face*Q64</f>
        <v>0.625</v>
      </c>
      <c r="S66" s="1">
        <f>R66/(1+$C66)^Q66</f>
        <v>0.62396004953877882</v>
      </c>
      <c r="U66" s="1">
        <v>2</v>
      </c>
      <c r="V66" s="1">
        <f>face*$U$64</f>
        <v>0.25</v>
      </c>
      <c r="W66" s="1">
        <f>V66/(1+$C66)^U66</f>
        <v>0.24958401981551151</v>
      </c>
      <c r="Y66" s="1">
        <v>2</v>
      </c>
      <c r="Z66" s="1">
        <f>face*$Y$64</f>
        <v>5.625</v>
      </c>
      <c r="AA66" s="1">
        <f t="shared" ref="AA66:AA70" si="13">Z66/(1+$C66)^Y66</f>
        <v>5.6156404458490092</v>
      </c>
      <c r="AB66" s="22">
        <v>2</v>
      </c>
      <c r="AC66" s="1">
        <f t="shared" si="11"/>
        <v>5.3125</v>
      </c>
      <c r="AD66" s="1">
        <f t="shared" ref="AD66:AD71" si="14">AC66/(1+$C66)^AB66</f>
        <v>5.3036604210796199</v>
      </c>
      <c r="AE66" s="22">
        <v>2</v>
      </c>
      <c r="AF66" s="1">
        <f t="shared" si="12"/>
        <v>4.625</v>
      </c>
      <c r="AG66" s="1">
        <f t="shared" ref="AG66:AG72" si="15">AF66/(1+$C66)^AE66</f>
        <v>4.6173043665869633</v>
      </c>
    </row>
    <row r="67" spans="2:33" x14ac:dyDescent="0.2">
      <c r="B67" s="9">
        <v>2.911111111111111</v>
      </c>
      <c r="C67" s="24">
        <v>1.2197588846788697E-3</v>
      </c>
      <c r="K67" s="1">
        <f>SUM(K65:K66)</f>
        <v>101.2072573335699</v>
      </c>
      <c r="M67" s="1">
        <v>3</v>
      </c>
      <c r="N67" s="1">
        <f>face+face*M64</f>
        <v>100.375</v>
      </c>
      <c r="O67" s="1">
        <f>N67/(1+$C67)^M67</f>
        <v>100.00859432221968</v>
      </c>
      <c r="Q67" s="1">
        <v>3</v>
      </c>
      <c r="R67" s="1">
        <f>face*Q64</f>
        <v>0.625</v>
      </c>
      <c r="S67" s="1">
        <f>R67/(1+$C67)^Q67</f>
        <v>0.62271852006363437</v>
      </c>
      <c r="U67" s="1">
        <v>3</v>
      </c>
      <c r="V67" s="1">
        <f>face*$U$64</f>
        <v>0.25</v>
      </c>
      <c r="W67" s="1">
        <f t="shared" ref="W67:W69" si="16">V67/(1+$C67)^U67</f>
        <v>0.24908740802545376</v>
      </c>
      <c r="Y67" s="1">
        <v>3</v>
      </c>
      <c r="Z67" s="1">
        <f>face*$Y$64</f>
        <v>5.625</v>
      </c>
      <c r="AA67" s="1">
        <f t="shared" si="13"/>
        <v>5.6044666805727097</v>
      </c>
      <c r="AB67" s="22">
        <v>3</v>
      </c>
      <c r="AC67" s="1">
        <f t="shared" si="11"/>
        <v>5.3125</v>
      </c>
      <c r="AD67" s="1">
        <f t="shared" si="14"/>
        <v>5.2931074205408928</v>
      </c>
      <c r="AE67" s="22">
        <v>3</v>
      </c>
      <c r="AF67" s="1">
        <f t="shared" si="12"/>
        <v>4.625</v>
      </c>
      <c r="AG67" s="1">
        <f t="shared" si="15"/>
        <v>4.6081170484708949</v>
      </c>
    </row>
    <row r="68" spans="2:33" x14ac:dyDescent="0.2">
      <c r="B68" s="9">
        <v>3.911111111111111</v>
      </c>
      <c r="C68" s="24">
        <v>1.5255459741649342E-3</v>
      </c>
      <c r="O68" s="1">
        <f>SUM(O65:O67)</f>
        <v>100.75785763532802</v>
      </c>
      <c r="Q68" s="1">
        <v>4</v>
      </c>
      <c r="R68" s="1">
        <f>face+face*Q64</f>
        <v>100.625</v>
      </c>
      <c r="S68" s="1">
        <f>R68/(1+$C68)^Q68</f>
        <v>100.01330245535544</v>
      </c>
      <c r="U68" s="1">
        <v>4</v>
      </c>
      <c r="V68" s="1">
        <f>face*$U$64</f>
        <v>0.25</v>
      </c>
      <c r="W68" s="1">
        <f t="shared" si="16"/>
        <v>0.24848025454746694</v>
      </c>
      <c r="Y68" s="1">
        <v>4</v>
      </c>
      <c r="Z68" s="1">
        <f>face*$Y$64</f>
        <v>5.625</v>
      </c>
      <c r="AA68" s="1">
        <f t="shared" si="13"/>
        <v>5.5908057273180063</v>
      </c>
      <c r="AB68" s="22">
        <v>4</v>
      </c>
      <c r="AC68" s="1">
        <f t="shared" si="11"/>
        <v>5.3125</v>
      </c>
      <c r="AD68" s="1">
        <f t="shared" si="14"/>
        <v>5.2802054091336723</v>
      </c>
      <c r="AE68" s="22">
        <v>4</v>
      </c>
      <c r="AF68" s="1">
        <f t="shared" si="12"/>
        <v>4.625</v>
      </c>
      <c r="AG68" s="1">
        <f t="shared" si="15"/>
        <v>4.5968847091281386</v>
      </c>
    </row>
    <row r="69" spans="2:33" x14ac:dyDescent="0.2">
      <c r="B69" s="9">
        <v>4.9111111111111114</v>
      </c>
      <c r="C69" s="24">
        <v>1.8398873626816381E-3</v>
      </c>
      <c r="S69" s="1">
        <f>SUM(S65:S68)</f>
        <v>101.88479316393298</v>
      </c>
      <c r="U69" s="1">
        <v>5</v>
      </c>
      <c r="V69" s="1">
        <f>face+face*$U$64</f>
        <v>100.25</v>
      </c>
      <c r="W69" s="1">
        <f t="shared" si="16"/>
        <v>99.332825158555579</v>
      </c>
      <c r="Y69" s="1">
        <v>5</v>
      </c>
      <c r="Z69" s="1">
        <f>face*$Y$64</f>
        <v>5.625</v>
      </c>
      <c r="AA69" s="1">
        <f t="shared" si="13"/>
        <v>5.5735375712406503</v>
      </c>
      <c r="AB69" s="22">
        <v>5</v>
      </c>
      <c r="AC69" s="1">
        <f t="shared" si="11"/>
        <v>5.3125</v>
      </c>
      <c r="AD69" s="1">
        <f t="shared" si="14"/>
        <v>5.263896595060614</v>
      </c>
      <c r="AE69" s="22">
        <v>5</v>
      </c>
      <c r="AF69" s="1">
        <f t="shared" si="12"/>
        <v>4.625</v>
      </c>
      <c r="AG69" s="1">
        <f t="shared" si="15"/>
        <v>4.5826864474645346</v>
      </c>
    </row>
    <row r="70" spans="2:33" x14ac:dyDescent="0.2">
      <c r="B70" s="9">
        <v>5.9111111111111114</v>
      </c>
      <c r="C70" s="24">
        <v>2.3057433392675753E-3</v>
      </c>
      <c r="W70" s="1">
        <f>SUM(W65:W69)</f>
        <v>100.32990169653407</v>
      </c>
      <c r="Y70" s="1">
        <v>6</v>
      </c>
      <c r="Z70" s="1">
        <f>face+face*$Y$64</f>
        <v>105.625</v>
      </c>
      <c r="AA70" s="1">
        <f t="shared" si="13"/>
        <v>104.17545558075479</v>
      </c>
      <c r="AB70" s="22">
        <v>6</v>
      </c>
      <c r="AC70" s="1">
        <f t="shared" si="11"/>
        <v>5.3125</v>
      </c>
      <c r="AD70" s="1">
        <f t="shared" si="14"/>
        <v>5.2395939197421049</v>
      </c>
      <c r="AE70" s="22">
        <v>6</v>
      </c>
      <c r="AF70" s="1">
        <f t="shared" si="12"/>
        <v>4.625</v>
      </c>
      <c r="AG70" s="1">
        <f t="shared" si="15"/>
        <v>4.5615288242460679</v>
      </c>
    </row>
    <row r="71" spans="2:33" x14ac:dyDescent="0.2">
      <c r="B71" s="9">
        <v>6.9111111111111114</v>
      </c>
      <c r="C71" s="24">
        <v>2.7242465982523973E-3</v>
      </c>
      <c r="AA71" s="1">
        <f>SUM(AA65:AA70)</f>
        <v>132.18321525651135</v>
      </c>
      <c r="AB71" s="22">
        <v>7</v>
      </c>
      <c r="AC71" s="1">
        <f>face+face*$AB$64</f>
        <v>105.3125</v>
      </c>
      <c r="AD71" s="1">
        <f t="shared" si="14"/>
        <v>103.32592602348488</v>
      </c>
      <c r="AE71" s="22">
        <v>7</v>
      </c>
      <c r="AF71" s="1">
        <f t="shared" si="12"/>
        <v>4.625</v>
      </c>
      <c r="AG71" s="1">
        <f t="shared" si="15"/>
        <v>4.5377558016248551</v>
      </c>
    </row>
    <row r="72" spans="2:33" x14ac:dyDescent="0.2">
      <c r="B72" s="9">
        <v>7.9111111111111114</v>
      </c>
      <c r="C72" s="24">
        <v>3.2969837221364724E-3</v>
      </c>
      <c r="AD72" s="1">
        <f>SUM(AD65:AD71)</f>
        <v>135.0172929703304</v>
      </c>
      <c r="AE72" s="1">
        <v>8</v>
      </c>
      <c r="AF72" s="1">
        <f>face+face*$AE$64</f>
        <v>104.625</v>
      </c>
      <c r="AG72" s="1">
        <f t="shared" si="15"/>
        <v>101.90592095705541</v>
      </c>
    </row>
    <row r="73" spans="2:33" x14ac:dyDescent="0.2">
      <c r="C73" s="19"/>
      <c r="AG73" s="1">
        <f>SUM(AG65:AG72)</f>
        <v>134.03380798299284</v>
      </c>
    </row>
    <row r="74" spans="2:33" x14ac:dyDescent="0.2">
      <c r="B74" s="27" t="s">
        <v>22</v>
      </c>
      <c r="C74" s="33" t="s">
        <v>23</v>
      </c>
      <c r="D74" s="49">
        <f>G74+K74+O74+S74+W74+AA74+AD74+AG74</f>
        <v>1.1594319092180628E-10</v>
      </c>
      <c r="E74" s="2">
        <v>3.3E-4</v>
      </c>
      <c r="F74" s="29">
        <v>102.15678486001875</v>
      </c>
      <c r="G74" s="20">
        <f>(F74-G65)^2</f>
        <v>1.8929610062090303E-14</v>
      </c>
      <c r="I74" s="1">
        <v>8.699999999999999E-4</v>
      </c>
      <c r="J74" s="29">
        <v>101.20725750067871</v>
      </c>
      <c r="K74" s="21">
        <f>(J74-K67)^2</f>
        <v>2.7925353901226314E-14</v>
      </c>
      <c r="M74" s="1">
        <v>1.255E-3</v>
      </c>
      <c r="N74" s="29">
        <v>100.75785761268034</v>
      </c>
      <c r="O74" s="21">
        <f>(N74-O68)^2</f>
        <v>5.1291753803099461E-16</v>
      </c>
      <c r="Q74" s="1">
        <v>1.555E-3</v>
      </c>
      <c r="R74" s="29">
        <v>101.88479275137357</v>
      </c>
      <c r="S74" s="21">
        <f>(R74-S69)^2</f>
        <v>1.7020527169988624E-13</v>
      </c>
      <c r="U74" s="1">
        <v>1.8699999999999999E-3</v>
      </c>
      <c r="V74" s="29">
        <v>100.32990063393913</v>
      </c>
      <c r="W74" s="21">
        <f>(V74-W70)^2</f>
        <v>1.1291079914935485E-12</v>
      </c>
      <c r="Y74" s="1">
        <v>2.235E-3</v>
      </c>
      <c r="Z74" s="29">
        <v>132.18321250197783</v>
      </c>
      <c r="AA74" s="23">
        <f>(Z74-AA71)^2</f>
        <v>7.5874548660120638E-12</v>
      </c>
      <c r="AB74" s="1">
        <v>2.6199999999999999E-3</v>
      </c>
      <c r="AC74" s="29">
        <v>135.01728777610035</v>
      </c>
      <c r="AD74" s="23">
        <f>(AC74-AD72)^2</f>
        <v>2.6980025873089287E-11</v>
      </c>
      <c r="AE74" s="1">
        <v>3.15E-3</v>
      </c>
      <c r="AF74" s="29">
        <v>134.03379903709831</v>
      </c>
      <c r="AG74" s="23">
        <f>(AF74-AG73)^2</f>
        <v>8.0029029038010147E-11</v>
      </c>
    </row>
    <row r="75" spans="2:33" x14ac:dyDescent="0.2">
      <c r="B75" s="30">
        <v>0.91111111111111109</v>
      </c>
      <c r="C75" s="32">
        <v>3.0066801387332342E-4</v>
      </c>
    </row>
    <row r="76" spans="2:33" x14ac:dyDescent="0.2">
      <c r="B76" s="30">
        <v>1.9111111111111112</v>
      </c>
      <c r="C76" s="32">
        <v>8.3300004777974129E-4</v>
      </c>
    </row>
    <row r="77" spans="2:33" x14ac:dyDescent="0.2">
      <c r="B77" s="30">
        <v>2.911111111111111</v>
      </c>
      <c r="C77" s="32">
        <v>1.2197588846788697E-3</v>
      </c>
    </row>
    <row r="78" spans="2:33" x14ac:dyDescent="0.2">
      <c r="B78" s="30">
        <v>3.911111111111111</v>
      </c>
      <c r="C78" s="32">
        <v>1.5255459741649342E-3</v>
      </c>
    </row>
    <row r="79" spans="2:33" x14ac:dyDescent="0.2">
      <c r="B79" s="30">
        <v>4.9111111111111114</v>
      </c>
      <c r="C79" s="32">
        <v>1.8398873626816381E-3</v>
      </c>
    </row>
    <row r="80" spans="2:33" x14ac:dyDescent="0.2">
      <c r="B80" s="30">
        <v>5.9111111111111114</v>
      </c>
      <c r="C80" s="32">
        <v>2.3057433392675753E-3</v>
      </c>
    </row>
    <row r="81" spans="2:6" x14ac:dyDescent="0.2">
      <c r="B81" s="30">
        <v>6.9111111111111114</v>
      </c>
      <c r="C81" s="32">
        <v>2.7242465982523973E-3</v>
      </c>
    </row>
    <row r="82" spans="2:6" x14ac:dyDescent="0.2">
      <c r="B82" s="30">
        <v>7.9111111111111114</v>
      </c>
      <c r="C82" s="32">
        <v>3.2969837221364724E-3</v>
      </c>
    </row>
    <row r="83" spans="2:6" x14ac:dyDescent="0.2">
      <c r="B83" s="31"/>
      <c r="C83" s="31"/>
    </row>
    <row r="95" spans="2:6" ht="17" thickBot="1" x14ac:dyDescent="0.25"/>
    <row r="96" spans="2:6" x14ac:dyDescent="0.2">
      <c r="B96" s="50" t="s">
        <v>24</v>
      </c>
      <c r="C96" s="51">
        <v>2.9382334796006659E-2</v>
      </c>
      <c r="E96" s="55" t="s">
        <v>24</v>
      </c>
      <c r="F96" s="31">
        <v>3.0712963220564892E-2</v>
      </c>
    </row>
    <row r="97" spans="2:24" x14ac:dyDescent="0.2">
      <c r="B97" s="52" t="s">
        <v>25</v>
      </c>
      <c r="C97" s="67">
        <v>-2.9332445609109224E-2</v>
      </c>
      <c r="E97" s="55" t="s">
        <v>25</v>
      </c>
      <c r="F97" s="31">
        <v>-3.0635758209323481E-2</v>
      </c>
    </row>
    <row r="98" spans="2:24" x14ac:dyDescent="0.2">
      <c r="B98" s="52" t="s">
        <v>26</v>
      </c>
      <c r="C98" s="67">
        <v>-1.9805256634001497E-2</v>
      </c>
      <c r="E98" s="55" t="s">
        <v>26</v>
      </c>
      <c r="F98" s="31">
        <v>-2.048355040318918E-2</v>
      </c>
    </row>
    <row r="99" spans="2:24" ht="17" thickBot="1" x14ac:dyDescent="0.25">
      <c r="B99" s="53" t="s">
        <v>27</v>
      </c>
      <c r="C99" s="54">
        <v>13.625979228068678</v>
      </c>
      <c r="E99" s="55" t="s">
        <v>27</v>
      </c>
      <c r="F99" s="31">
        <v>14.304254750585919</v>
      </c>
    </row>
    <row r="100" spans="2:24" x14ac:dyDescent="0.2">
      <c r="B100" s="34" t="s">
        <v>36</v>
      </c>
      <c r="C100" s="2">
        <v>1</v>
      </c>
      <c r="E100" s="55" t="s">
        <v>18</v>
      </c>
      <c r="F100" s="31">
        <v>4.7109361577429058E-8</v>
      </c>
    </row>
    <row r="101" spans="2:24" x14ac:dyDescent="0.2">
      <c r="B101" s="48" t="s">
        <v>37</v>
      </c>
      <c r="C101" s="2">
        <v>1.0174550849141874E-2</v>
      </c>
    </row>
    <row r="102" spans="2:24" x14ac:dyDescent="0.2">
      <c r="B102" t="s">
        <v>18</v>
      </c>
      <c r="C102" s="34">
        <f>SUM(F106:F113)</f>
        <v>4.5004201127513635E-8</v>
      </c>
    </row>
    <row r="103" spans="2:24" ht="17" thickBot="1" x14ac:dyDescent="0.25"/>
    <row r="104" spans="2:24" x14ac:dyDescent="0.2">
      <c r="B104" s="65" t="s">
        <v>28</v>
      </c>
      <c r="C104" s="66"/>
      <c r="D104"/>
      <c r="E104"/>
      <c r="F104"/>
    </row>
    <row r="105" spans="2:24" x14ac:dyDescent="0.2">
      <c r="B105" s="35" t="s">
        <v>29</v>
      </c>
      <c r="C105" s="36" t="s">
        <v>30</v>
      </c>
      <c r="D105" s="37" t="s">
        <v>31</v>
      </c>
      <c r="E105" s="37" t="s">
        <v>32</v>
      </c>
      <c r="F105" s="37" t="s">
        <v>33</v>
      </c>
      <c r="H105"/>
      <c r="I105" s="45" t="s">
        <v>31</v>
      </c>
      <c r="J105" s="45" t="s">
        <v>34</v>
      </c>
      <c r="K105" s="45" t="s">
        <v>35</v>
      </c>
      <c r="T105" s="56" t="s">
        <v>38</v>
      </c>
      <c r="U105" s="56" t="s">
        <v>31</v>
      </c>
      <c r="V105" s="56" t="s">
        <v>34</v>
      </c>
      <c r="W105" s="56" t="s">
        <v>39</v>
      </c>
    </row>
    <row r="106" spans="2:24" x14ac:dyDescent="0.2">
      <c r="B106" s="47">
        <v>3.0066801387332342E-4</v>
      </c>
      <c r="C106" s="43">
        <v>0.91111111111111109</v>
      </c>
      <c r="D106">
        <f t="shared" ref="D106:D113" si="17">EXP(-C106/Tau)</f>
        <v>0.93532077409819525</v>
      </c>
      <c r="E106" s="46">
        <f t="shared" ref="E106:E113" si="18">b0+beta1*(1-D106)/(C106/Tau)+beta2*((1-D106)/(C106/Tau)-D106)-B106</f>
        <v>7.5034783461883667E-5</v>
      </c>
      <c r="F106">
        <f>E106^2</f>
        <v>5.6302187291717709E-9</v>
      </c>
      <c r="H106">
        <v>0</v>
      </c>
      <c r="I106" s="1">
        <f t="shared" ref="I106:I136" si="19">EXP(-H106/Tau)</f>
        <v>1</v>
      </c>
      <c r="J106" s="46"/>
      <c r="T106" s="28">
        <v>0</v>
      </c>
      <c r="U106" s="28"/>
      <c r="V106" s="28"/>
      <c r="W106" s="28"/>
      <c r="X106" s="57"/>
    </row>
    <row r="107" spans="2:24" x14ac:dyDescent="0.2">
      <c r="B107" s="47">
        <v>8.3300004777974129E-4</v>
      </c>
      <c r="C107" s="43">
        <v>1.9111111111111112</v>
      </c>
      <c r="D107">
        <f t="shared" si="17"/>
        <v>0.86913661593474156</v>
      </c>
      <c r="E107" s="46">
        <f t="shared" si="18"/>
        <v>-8.4598304587166434E-5</v>
      </c>
      <c r="F107">
        <f t="shared" ref="F107:F113" si="20">E107^2</f>
        <v>7.156873139022985E-9</v>
      </c>
      <c r="H107" s="44">
        <v>0.05</v>
      </c>
      <c r="I107" s="1">
        <f t="shared" si="19"/>
        <v>0.99633726319822691</v>
      </c>
      <c r="J107" s="46">
        <f t="shared" ref="J107:J137" si="21">b0+beta1*(1-I107)/(H107/Tau)+beta2*((1-I107)/(H107/Tau)-I107)</f>
        <v>6.7392015055859128E-5</v>
      </c>
      <c r="T107" s="28">
        <v>0.25</v>
      </c>
      <c r="U107" s="28">
        <v>0.98267452505613329</v>
      </c>
      <c r="V107" s="63">
        <v>1.664408382441997E-4</v>
      </c>
      <c r="W107" s="63">
        <f t="shared" ref="W107:W138" si="22">((1+V108)^T108)/((1+V107)^T107)-1</f>
        <v>8.6724552700756519E-5</v>
      </c>
    </row>
    <row r="108" spans="2:24" x14ac:dyDescent="0.2">
      <c r="B108" s="47">
        <v>1.2197588846788697E-3</v>
      </c>
      <c r="C108" s="43">
        <v>2.911111111111111</v>
      </c>
      <c r="D108">
        <f t="shared" si="17"/>
        <v>0.80763570967064668</v>
      </c>
      <c r="E108" s="46">
        <f t="shared" si="18"/>
        <v>-8.5365670709245094E-5</v>
      </c>
      <c r="F108">
        <f t="shared" si="20"/>
        <v>7.2872977356392661E-9</v>
      </c>
      <c r="H108">
        <v>0.1</v>
      </c>
      <c r="I108" s="1">
        <f t="shared" si="19"/>
        <v>0.99268794203733279</v>
      </c>
      <c r="J108" s="46">
        <f t="shared" si="21"/>
        <v>8.4940603872416762E-5</v>
      </c>
      <c r="T108" s="28">
        <v>0.49999999999999994</v>
      </c>
      <c r="U108" s="28">
        <v>0.96564922219429716</v>
      </c>
      <c r="V108" s="63">
        <v>2.5668801767283854E-4</v>
      </c>
      <c r="W108" s="63">
        <f t="shared" si="22"/>
        <v>1.325659933482104E-4</v>
      </c>
    </row>
    <row r="109" spans="2:24" x14ac:dyDescent="0.2">
      <c r="B109" s="47">
        <v>1.5255459741649342E-3</v>
      </c>
      <c r="C109" s="43">
        <v>3.911111111111111</v>
      </c>
      <c r="D109">
        <f t="shared" si="17"/>
        <v>0.75048666409445663</v>
      </c>
      <c r="E109" s="46">
        <f t="shared" si="18"/>
        <v>5.7863614162504719E-6</v>
      </c>
      <c r="F109">
        <f t="shared" si="20"/>
        <v>3.3481978439472169E-11</v>
      </c>
      <c r="H109">
        <f>H108+0.05</f>
        <v>0.15000000000000002</v>
      </c>
      <c r="I109" s="1">
        <f t="shared" si="19"/>
        <v>0.98905198737935629</v>
      </c>
      <c r="J109" s="46">
        <f t="shared" si="21"/>
        <v>1.0253458445535287E-4</v>
      </c>
      <c r="N109" s="25"/>
      <c r="T109" s="28">
        <v>0.75000000000000011</v>
      </c>
      <c r="U109" s="28">
        <v>0.94891889079060554</v>
      </c>
      <c r="V109" s="63">
        <v>3.4790683451432281E-4</v>
      </c>
      <c r="W109" s="63">
        <f t="shared" si="22"/>
        <v>1.7909298397578155E-4</v>
      </c>
    </row>
    <row r="110" spans="2:24" x14ac:dyDescent="0.2">
      <c r="B110" s="47">
        <v>1.8398873626816381E-3</v>
      </c>
      <c r="C110" s="43">
        <v>4.9111111111111114</v>
      </c>
      <c r="D110">
        <f t="shared" si="17"/>
        <v>0.69738153754161092</v>
      </c>
      <c r="E110" s="46">
        <f t="shared" si="18"/>
        <v>9.721244376631878E-5</v>
      </c>
      <c r="F110">
        <f t="shared" si="20"/>
        <v>9.4502592230196905E-9</v>
      </c>
      <c r="H110">
        <f>H109+0.05</f>
        <v>0.2</v>
      </c>
      <c r="I110" s="1">
        <f t="shared" si="19"/>
        <v>0.98542935026631506</v>
      </c>
      <c r="J110" s="46">
        <f t="shared" si="21"/>
        <v>1.2017358970342867E-4</v>
      </c>
      <c r="T110" s="28">
        <v>1.0000000000000002</v>
      </c>
      <c r="U110" s="28">
        <v>0.93247842032445116</v>
      </c>
      <c r="V110" s="63">
        <v>4.4005849280726094E-4</v>
      </c>
      <c r="W110" s="63">
        <f t="shared" si="22"/>
        <v>2.2626770797340434E-4</v>
      </c>
    </row>
    <row r="111" spans="2:24" x14ac:dyDescent="0.2">
      <c r="B111" s="47">
        <v>2.3057433392675753E-3</v>
      </c>
      <c r="C111" s="43">
        <v>5.9111111111111114</v>
      </c>
      <c r="D111">
        <f t="shared" si="17"/>
        <v>0.6480341785829391</v>
      </c>
      <c r="E111" s="46">
        <f t="shared" si="18"/>
        <v>4.4039781842177862E-5</v>
      </c>
      <c r="F111">
        <f t="shared" si="20"/>
        <v>1.9395023847066188E-9</v>
      </c>
      <c r="H111">
        <f t="shared" ref="H111:H174" si="23">H110+0.05</f>
        <v>0.25</v>
      </c>
      <c r="I111" s="1">
        <f t="shared" si="19"/>
        <v>0.98181998191954722</v>
      </c>
      <c r="J111" s="46">
        <f t="shared" si="21"/>
        <v>1.3785725430310415E-4</v>
      </c>
      <c r="T111" s="28">
        <v>1.2500000000000004</v>
      </c>
      <c r="U111" s="28">
        <v>0.91632278881742346</v>
      </c>
      <c r="V111" s="63">
        <v>5.3310509704876993E-4</v>
      </c>
      <c r="W111" s="63">
        <f t="shared" si="22"/>
        <v>2.7405345534492476E-4</v>
      </c>
      <c r="X111" s="64"/>
    </row>
    <row r="112" spans="2:24" x14ac:dyDescent="0.2">
      <c r="B112" s="47">
        <v>2.7242465982523973E-3</v>
      </c>
      <c r="C112" s="43">
        <v>6.9111111111111114</v>
      </c>
      <c r="D112">
        <f t="shared" si="17"/>
        <v>0.60217868412756392</v>
      </c>
      <c r="E112" s="46">
        <f t="shared" si="18"/>
        <v>4.3412666517401218E-5</v>
      </c>
      <c r="F112">
        <f t="shared" si="20"/>
        <v>1.884659614151089E-9</v>
      </c>
      <c r="H112">
        <f t="shared" si="23"/>
        <v>0.3</v>
      </c>
      <c r="I112" s="1">
        <f t="shared" si="19"/>
        <v>0.9782238337390543</v>
      </c>
      <c r="J112" s="46">
        <f t="shared" si="21"/>
        <v>1.5558521471894176E-4</v>
      </c>
      <c r="T112" s="28">
        <v>1.5000000000000007</v>
      </c>
      <c r="U112" s="28">
        <v>0.90044706129927321</v>
      </c>
      <c r="V112" s="63">
        <v>6.2700963395673952E-4</v>
      </c>
      <c r="W112" s="63">
        <f t="shared" si="22"/>
        <v>3.2241459586290766E-4</v>
      </c>
    </row>
    <row r="113" spans="2:23" x14ac:dyDescent="0.2">
      <c r="B113" s="47">
        <v>3.2969837221364724E-3</v>
      </c>
      <c r="C113" s="43">
        <v>7.9111111111111114</v>
      </c>
      <c r="D113">
        <f t="shared" si="17"/>
        <v>0.55956796663186237</v>
      </c>
      <c r="E113" s="46">
        <f t="shared" si="18"/>
        <v>-1.0780495500376007E-4</v>
      </c>
      <c r="F113">
        <f t="shared" si="20"/>
        <v>1.1621908323362734E-8</v>
      </c>
      <c r="H113">
        <f t="shared" si="23"/>
        <v>0.35</v>
      </c>
      <c r="I113" s="1">
        <f t="shared" si="19"/>
        <v>0.97464085730284666</v>
      </c>
      <c r="J113" s="46">
        <f t="shared" si="21"/>
        <v>1.733571091858527E-4</v>
      </c>
      <c r="T113" s="28">
        <v>1.7500000000000009</v>
      </c>
      <c r="U113" s="28">
        <v>0.88484638830045426</v>
      </c>
      <c r="V113" s="63">
        <v>7.2173595458034667E-4</v>
      </c>
      <c r="W113" s="63">
        <f t="shared" si="22"/>
        <v>3.7131655281097409E-4</v>
      </c>
    </row>
    <row r="114" spans="2:23" x14ac:dyDescent="0.2">
      <c r="B114" s="38"/>
      <c r="C114" s="39"/>
      <c r="D114"/>
      <c r="E114" s="40"/>
      <c r="F114"/>
      <c r="H114">
        <f t="shared" si="23"/>
        <v>0.39999999999999997</v>
      </c>
      <c r="I114" s="1">
        <f t="shared" si="19"/>
        <v>0.9710710043662919</v>
      </c>
      <c r="J114" s="46">
        <f t="shared" si="21"/>
        <v>1.9117257770246684E-4</v>
      </c>
      <c r="N114" s="25"/>
      <c r="T114" s="28">
        <v>2.0000000000000009</v>
      </c>
      <c r="U114" s="28">
        <v>0.8695160043707838</v>
      </c>
      <c r="V114" s="63">
        <v>8.1724875675330089E-4</v>
      </c>
      <c r="W114" s="63">
        <f t="shared" si="22"/>
        <v>4.2072577730456473E-4</v>
      </c>
    </row>
    <row r="115" spans="2:23" ht="17" thickBot="1" x14ac:dyDescent="0.25">
      <c r="B115" s="41"/>
      <c r="C115" s="42"/>
      <c r="D115"/>
      <c r="E115" s="40"/>
      <c r="F115"/>
      <c r="H115">
        <f t="shared" si="23"/>
        <v>0.44999999999999996</v>
      </c>
      <c r="I115" s="1">
        <f t="shared" si="19"/>
        <v>0.96751422686146471</v>
      </c>
      <c r="J115" s="46">
        <f t="shared" si="21"/>
        <v>2.0903126202252205E-4</v>
      </c>
      <c r="T115" s="28">
        <v>2.25</v>
      </c>
      <c r="U115" s="28">
        <v>0.85445122662376682</v>
      </c>
      <c r="V115" s="63">
        <v>9.135135678824929E-4</v>
      </c>
      <c r="W115" s="63">
        <f t="shared" si="22"/>
        <v>4.7060972316903538E-4</v>
      </c>
    </row>
    <row r="116" spans="2:23" x14ac:dyDescent="0.2">
      <c r="H116">
        <f t="shared" si="23"/>
        <v>0.49999999999999994</v>
      </c>
      <c r="I116" s="1">
        <f t="shared" si="19"/>
        <v>0.96397047689650017</v>
      </c>
      <c r="J116" s="46">
        <f t="shared" si="21"/>
        <v>2.2693280564838405E-4</v>
      </c>
      <c r="T116" s="28">
        <v>2.4999999999999991</v>
      </c>
      <c r="U116" s="28">
        <v>0.83964745330614066</v>
      </c>
      <c r="V116" s="63">
        <v>1.0104967280662276E-3</v>
      </c>
      <c r="W116" s="63">
        <f t="shared" si="22"/>
        <v>5.209368223759725E-4</v>
      </c>
    </row>
    <row r="117" spans="2:23" x14ac:dyDescent="0.2">
      <c r="H117">
        <f t="shared" si="23"/>
        <v>0.54999999999999993</v>
      </c>
      <c r="I117" s="1">
        <f t="shared" si="19"/>
        <v>0.9604397067549485</v>
      </c>
      <c r="J117" s="46">
        <f t="shared" si="21"/>
        <v>2.4487685382284803E-4</v>
      </c>
      <c r="T117" s="28">
        <v>2.7499999999999982</v>
      </c>
      <c r="U117" s="28">
        <v>0.82510016239220363</v>
      </c>
      <c r="V117" s="63">
        <v>1.1081653735361501E-3</v>
      </c>
      <c r="W117" s="63">
        <f t="shared" si="22"/>
        <v>5.7167646101996539E-4</v>
      </c>
    </row>
    <row r="118" spans="2:23" x14ac:dyDescent="0.2">
      <c r="H118">
        <f t="shared" si="23"/>
        <v>0.6</v>
      </c>
      <c r="I118" s="1">
        <f t="shared" si="19"/>
        <v>0.95692186889513298</v>
      </c>
      <c r="J118" s="46">
        <f t="shared" si="21"/>
        <v>2.6286305352236125E-4</v>
      </c>
      <c r="T118" s="28">
        <v>2.9999999999999973</v>
      </c>
      <c r="U118" s="28">
        <v>0.81080491020249723</v>
      </c>
      <c r="V118" s="63">
        <v>1.2064874204164207E-3</v>
      </c>
      <c r="W118" s="63">
        <f t="shared" si="22"/>
        <v>6.2279895581940359E-4</v>
      </c>
    </row>
    <row r="119" spans="2:23" x14ac:dyDescent="0.2">
      <c r="H119">
        <f t="shared" si="23"/>
        <v>0.65</v>
      </c>
      <c r="I119" s="1">
        <f t="shared" si="19"/>
        <v>0.95341691594950928</v>
      </c>
      <c r="J119" s="46">
        <f t="shared" si="21"/>
        <v>2.8089105344889409E-4</v>
      </c>
      <c r="N119" s="25"/>
      <c r="T119" s="28">
        <v>3.2499999999999964</v>
      </c>
      <c r="U119" s="28">
        <v>0.79675733004641991</v>
      </c>
      <c r="V119" s="63">
        <v>1.305431548794451E-3</v>
      </c>
      <c r="W119" s="63">
        <f t="shared" si="22"/>
        <v>6.7427553115062544E-4</v>
      </c>
    </row>
    <row r="120" spans="2:23" x14ac:dyDescent="0.2">
      <c r="H120">
        <f t="shared" si="23"/>
        <v>0.70000000000000007</v>
      </c>
      <c r="I120" s="1">
        <f t="shared" si="19"/>
        <v>0.94992480072402796</v>
      </c>
      <c r="J120" s="46">
        <f t="shared" si="21"/>
        <v>2.9896050402293171E-4</v>
      </c>
      <c r="T120" s="28">
        <v>3.4999999999999956</v>
      </c>
      <c r="U120" s="28">
        <v>0.78295313088835861</v>
      </c>
      <c r="V120" s="63">
        <v>1.4049671870974495E-3</v>
      </c>
      <c r="W120" s="63">
        <f t="shared" si="22"/>
        <v>7.2607829657100886E-4</v>
      </c>
    </row>
    <row r="121" spans="2:23" x14ac:dyDescent="0.2">
      <c r="H121">
        <f t="shared" si="23"/>
        <v>0.75000000000000011</v>
      </c>
      <c r="I121" s="25">
        <f t="shared" si="19"/>
        <v>0.94644547619749908</v>
      </c>
      <c r="J121" s="46">
        <f t="shared" si="21"/>
        <v>3.1707105737628367E-4</v>
      </c>
      <c r="T121" s="28">
        <v>3.7499999999999947</v>
      </c>
      <c r="U121" s="28">
        <v>0.76938809603693048</v>
      </c>
      <c r="V121" s="63">
        <v>1.5050644967691093E-3</v>
      </c>
      <c r="W121" s="63">
        <f t="shared" si="22"/>
        <v>7.7818022486164651E-4</v>
      </c>
    </row>
    <row r="122" spans="2:23" x14ac:dyDescent="0.2">
      <c r="H122">
        <f t="shared" si="23"/>
        <v>0.80000000000000016</v>
      </c>
      <c r="I122" s="1">
        <f t="shared" si="19"/>
        <v>0.94297889552095882</v>
      </c>
      <c r="J122" s="46">
        <f t="shared" si="21"/>
        <v>3.3522236734443908E-4</v>
      </c>
      <c r="T122" s="28">
        <v>3.9999999999999938</v>
      </c>
      <c r="U122" s="28">
        <v>0.75605808185693335</v>
      </c>
      <c r="V122" s="63">
        <v>1.6056943572406467E-3</v>
      </c>
      <c r="W122" s="63">
        <f t="shared" si="22"/>
        <v>8.3055513054342001E-4</v>
      </c>
    </row>
    <row r="123" spans="2:23" x14ac:dyDescent="0.2">
      <c r="H123">
        <f t="shared" si="23"/>
        <v>0.8500000000000002</v>
      </c>
      <c r="I123" s="1">
        <f t="shared" si="19"/>
        <v>0.93952501201703886</v>
      </c>
      <c r="J123" s="46">
        <f t="shared" si="21"/>
        <v>3.5341408945949334E-4</v>
      </c>
      <c r="T123" s="28">
        <v>4.2499999999999929</v>
      </c>
      <c r="U123" s="28">
        <v>0.74295901650361318</v>
      </c>
      <c r="V123" s="63">
        <v>1.7068283511910334E-3</v>
      </c>
      <c r="W123" s="63">
        <f t="shared" si="22"/>
        <v>8.8317764888046213E-4</v>
      </c>
    </row>
    <row r="124" spans="2:23" x14ac:dyDescent="0.2">
      <c r="H124">
        <f>H123+0.05</f>
        <v>0.90000000000000024</v>
      </c>
      <c r="I124" s="1">
        <f t="shared" si="19"/>
        <v>0.93608377917933772</v>
      </c>
      <c r="J124" s="46">
        <f t="shared" si="21"/>
        <v>3.7164588094275623E-4</v>
      </c>
      <c r="N124" s="25"/>
      <c r="T124" s="28">
        <v>4.499999999999992</v>
      </c>
      <c r="U124" s="28">
        <v>0.73008689867886012</v>
      </c>
      <c r="V124" s="63">
        <v>1.8084387500907281E-3</v>
      </c>
      <c r="W124" s="63">
        <f t="shared" si="22"/>
        <v>9.3602321534369537E-4</v>
      </c>
    </row>
    <row r="125" spans="2:23" x14ac:dyDescent="0.2">
      <c r="H125">
        <f>H124+0.05</f>
        <v>0.95000000000000029</v>
      </c>
      <c r="I125" s="1">
        <f t="shared" si="19"/>
        <v>0.93265515067179472</v>
      </c>
      <c r="J125" s="46">
        <f t="shared" si="21"/>
        <v>3.899174006976884E-4</v>
      </c>
      <c r="T125" s="28">
        <v>4.7499999999999911</v>
      </c>
      <c r="U125" s="28">
        <v>0.71743779640895422</v>
      </c>
      <c r="V125" s="63">
        <v>1.9104985000238006E-3</v>
      </c>
      <c r="W125" s="63">
        <f t="shared" si="22"/>
        <v>9.8906804554466099E-4</v>
      </c>
    </row>
    <row r="126" spans="2:23" x14ac:dyDescent="0.2">
      <c r="H126">
        <f t="shared" si="23"/>
        <v>1.0000000000000002</v>
      </c>
      <c r="I126" s="1">
        <f t="shared" si="19"/>
        <v>0.9292390803280659</v>
      </c>
      <c r="J126" s="46">
        <f t="shared" si="21"/>
        <v>4.0822830930251216E-4</v>
      </c>
      <c r="T126" s="28">
        <v>4.9999999999999902</v>
      </c>
      <c r="U126" s="28">
        <v>0.70500784584348797</v>
      </c>
      <c r="V126" s="63">
        <v>2.0129812077833748E-3</v>
      </c>
      <c r="W126" s="63">
        <f t="shared" si="22"/>
        <v>1.0422891156089964E-3</v>
      </c>
    </row>
    <row r="127" spans="2:23" x14ac:dyDescent="0.2">
      <c r="H127">
        <f t="shared" si="23"/>
        <v>1.0500000000000003</v>
      </c>
      <c r="I127" s="1">
        <f t="shared" si="19"/>
        <v>0.92583552215090248</v>
      </c>
      <c r="J127" s="46">
        <f t="shared" si="21"/>
        <v>4.2657826900316202E-4</v>
      </c>
      <c r="T127" s="28">
        <v>5.2499999999999893</v>
      </c>
      <c r="U127" s="28">
        <v>0.69279325007509729</v>
      </c>
      <c r="V127" s="63">
        <v>2.115861127234984E-3</v>
      </c>
      <c r="W127" s="63">
        <f t="shared" si="22"/>
        <v>1.0956641429964442E-3</v>
      </c>
    </row>
    <row r="128" spans="2:23" x14ac:dyDescent="0.2">
      <c r="H128">
        <f t="shared" si="23"/>
        <v>1.1000000000000003</v>
      </c>
      <c r="I128" s="1">
        <f t="shared" si="19"/>
        <v>0.92244443031153156</v>
      </c>
      <c r="J128" s="46">
        <f t="shared" si="21"/>
        <v>4.4496694370614804E-4</v>
      </c>
      <c r="T128" s="28">
        <v>5.4999999999999885</v>
      </c>
      <c r="U128" s="28">
        <v>0.68079027797964131</v>
      </c>
      <c r="V128" s="63">
        <v>2.2191131459430775E-3</v>
      </c>
      <c r="W128" s="63">
        <f t="shared" si="22"/>
        <v>1.1491715677487413E-3</v>
      </c>
    </row>
    <row r="129" spans="8:23" x14ac:dyDescent="0.2">
      <c r="H129">
        <f t="shared" si="23"/>
        <v>1.1500000000000004</v>
      </c>
      <c r="I129" s="1">
        <f t="shared" si="19"/>
        <v>0.91906575914903887</v>
      </c>
      <c r="J129" s="46">
        <f t="shared" si="21"/>
        <v>4.633939989713389E-4</v>
      </c>
      <c r="N129" s="25"/>
      <c r="T129" s="28">
        <v>5.7499999999999876</v>
      </c>
      <c r="U129" s="28">
        <v>0.66899526307647705</v>
      </c>
      <c r="V129" s="63">
        <v>2.3227127720558244E-3</v>
      </c>
      <c r="W129" s="63">
        <f t="shared" si="22"/>
        <v>1.202790534161613E-3</v>
      </c>
    </row>
    <row r="130" spans="8:23" x14ac:dyDescent="0.2">
      <c r="H130">
        <f t="shared" si="23"/>
        <v>1.2000000000000004</v>
      </c>
      <c r="I130" s="1">
        <f t="shared" si="19"/>
        <v>0.91569946316975415</v>
      </c>
      <c r="J130" s="46">
        <f t="shared" si="21"/>
        <v>4.8185910200500759E-4</v>
      </c>
      <c r="T130" s="28">
        <v>5.9999999999999867</v>
      </c>
      <c r="U130" s="28">
        <v>0.65740460240848009</v>
      </c>
      <c r="V130" s="63">
        <v>2.4266361214431531E-3</v>
      </c>
      <c r="W130" s="63">
        <f t="shared" si="22"/>
        <v>1.2565008728704363E-3</v>
      </c>
    </row>
    <row r="131" spans="8:23" x14ac:dyDescent="0.2">
      <c r="H131">
        <f t="shared" si="23"/>
        <v>1.2500000000000004</v>
      </c>
      <c r="I131" s="1">
        <f t="shared" si="19"/>
        <v>0.91234549704663837</v>
      </c>
      <c r="J131" s="46">
        <f t="shared" si="21"/>
        <v>5.0036192165263654E-4</v>
      </c>
      <c r="T131" s="28">
        <v>6.2499999999999858</v>
      </c>
      <c r="U131" s="28">
        <v>0.64601475544146936</v>
      </c>
      <c r="V131" s="63">
        <v>2.5308599050835323E-3</v>
      </c>
      <c r="W131" s="63">
        <f t="shared" si="22"/>
        <v>1.3102830833418011E-3</v>
      </c>
    </row>
    <row r="132" spans="8:23" x14ac:dyDescent="0.2">
      <c r="H132">
        <f t="shared" si="23"/>
        <v>1.3000000000000005</v>
      </c>
      <c r="I132" s="1">
        <f t="shared" si="19"/>
        <v>0.90900381561867361</v>
      </c>
      <c r="J132" s="46">
        <f t="shared" si="21"/>
        <v>5.1890212839205004E-4</v>
      </c>
      <c r="T132" s="28">
        <v>6.4999999999999849</v>
      </c>
      <c r="U132" s="28">
        <v>0.63482224298270007</v>
      </c>
      <c r="V132" s="63">
        <v>2.6353614166947262E-3</v>
      </c>
      <c r="W132" s="63">
        <f t="shared" si="22"/>
        <v>1.3641183167563131E-3</v>
      </c>
    </row>
    <row r="133" spans="8:23" x14ac:dyDescent="0.2">
      <c r="H133">
        <f t="shared" si="23"/>
        <v>1.3500000000000005</v>
      </c>
      <c r="I133" s="1">
        <f t="shared" si="19"/>
        <v>0.90567437389025496</v>
      </c>
      <c r="J133" s="46">
        <f t="shared" si="21"/>
        <v>5.374793943263604E-4</v>
      </c>
      <c r="T133" s="28">
        <v>6.749999999999984</v>
      </c>
      <c r="U133" s="28">
        <v>0.62382364611809404</v>
      </c>
      <c r="V133" s="63">
        <v>2.7401185206040045E-3</v>
      </c>
      <c r="W133" s="63">
        <f t="shared" si="22"/>
        <v>1.4179883592926323E-3</v>
      </c>
    </row>
    <row r="134" spans="8:23" x14ac:dyDescent="0.2">
      <c r="H134">
        <f t="shared" si="23"/>
        <v>1.4000000000000006</v>
      </c>
      <c r="I134" s="1">
        <f t="shared" si="19"/>
        <v>0.90235712703058424</v>
      </c>
      <c r="J134" s="46">
        <f t="shared" si="21"/>
        <v>5.5609339317678314E-4</v>
      </c>
      <c r="N134" s="25"/>
      <c r="T134" s="28">
        <v>6.9999999999999831</v>
      </c>
      <c r="U134" s="28">
        <v>0.61301560516788356</v>
      </c>
      <c r="V134" s="63">
        <v>2.8451096398533961E-3</v>
      </c>
      <c r="W134" s="63">
        <f t="shared" si="22"/>
        <v>1.4718756157723334E-3</v>
      </c>
    </row>
    <row r="135" spans="8:23" x14ac:dyDescent="0.2">
      <c r="H135">
        <f t="shared" si="23"/>
        <v>1.4500000000000006</v>
      </c>
      <c r="I135" s="1">
        <f t="shared" si="19"/>
        <v>0.89905203037306713</v>
      </c>
      <c r="J135" s="46">
        <f t="shared" si="21"/>
        <v>5.747438002761411E-4</v>
      </c>
      <c r="T135" s="28">
        <v>7.2499999999999822</v>
      </c>
      <c r="U135" s="28">
        <v>0.60239481866034816</v>
      </c>
      <c r="V135" s="63">
        <v>2.9503137445353873E-3</v>
      </c>
      <c r="W135" s="63">
        <f t="shared" si="22"/>
        <v>1.5257630936951205E-3</v>
      </c>
    </row>
    <row r="136" spans="8:23" x14ac:dyDescent="0.2">
      <c r="H136">
        <f t="shared" si="23"/>
        <v>1.5000000000000007</v>
      </c>
      <c r="I136" s="1">
        <f t="shared" si="19"/>
        <v>0.8957590394147108</v>
      </c>
      <c r="J136" s="46">
        <f t="shared" si="21"/>
        <v>5.9343029256141958E-4</v>
      </c>
      <c r="T136" s="28">
        <v>7.4999999999999813</v>
      </c>
      <c r="U136" s="28">
        <v>0.59195804232333316</v>
      </c>
      <c r="V136" s="63">
        <v>3.0557103403550962E-3</v>
      </c>
      <c r="W136" s="63">
        <f t="shared" si="22"/>
        <v>1.5796343876368635E-3</v>
      </c>
    </row>
    <row r="137" spans="8:23" x14ac:dyDescent="0.2">
      <c r="H137">
        <f t="shared" si="23"/>
        <v>1.5500000000000007</v>
      </c>
      <c r="I137" s="1">
        <f t="shared" ref="I137:I167" si="24">EXP(-H137/Tau)</f>
        <v>0.89247810981552567</v>
      </c>
      <c r="J137" s="46">
        <f t="shared" si="21"/>
        <v>6.121525485674028E-4</v>
      </c>
      <c r="T137" s="28">
        <v>7.7499999999999805</v>
      </c>
      <c r="U137" s="28">
        <v>0.58170208809323998</v>
      </c>
      <c r="V137" s="63">
        <v>3.1612794574143949E-3</v>
      </c>
      <c r="W137" s="63">
        <f t="shared" si="22"/>
        <v>1.6334736639842529E-3</v>
      </c>
    </row>
    <row r="138" spans="8:23" x14ac:dyDescent="0.2">
      <c r="H138">
        <f t="shared" si="23"/>
        <v>1.6000000000000008</v>
      </c>
      <c r="I138" s="1">
        <f t="shared" si="24"/>
        <v>0.88920919739792736</v>
      </c>
      <c r="J138" s="46">
        <f t="shared" ref="J138:J168" si="25">b0+beta1*(1-I138)/(H138/Tau)+beta2*((1-I138)/(H138/Tau)-I138)</f>
        <v>6.3091024841933625E-4</v>
      </c>
      <c r="T138" s="28">
        <v>7.9999999999999796</v>
      </c>
      <c r="U138" s="28">
        <v>0.57162382314118565</v>
      </c>
      <c r="V138" s="63">
        <v>3.2670016392138531E-3</v>
      </c>
      <c r="W138" s="63">
        <f t="shared" si="22"/>
        <v>-2.5755921385957392E-2</v>
      </c>
    </row>
    <row r="139" spans="8:23" x14ac:dyDescent="0.2">
      <c r="H139">
        <f t="shared" si="23"/>
        <v>1.6500000000000008</v>
      </c>
      <c r="I139" s="1">
        <f t="shared" si="24"/>
        <v>0.88595225814614287</v>
      </c>
      <c r="J139" s="46">
        <f t="shared" si="25"/>
        <v>6.4970307382654466E-4</v>
      </c>
    </row>
    <row r="140" spans="8:23" x14ac:dyDescent="0.2">
      <c r="H140">
        <f t="shared" si="23"/>
        <v>1.7000000000000008</v>
      </c>
      <c r="I140" s="1">
        <f t="shared" si="24"/>
        <v>0.88270724820561697</v>
      </c>
      <c r="J140" s="46">
        <f t="shared" si="25"/>
        <v>6.6853070807522397E-4</v>
      </c>
    </row>
    <row r="141" spans="8:23" x14ac:dyDescent="0.2">
      <c r="H141">
        <f t="shared" si="23"/>
        <v>1.7500000000000009</v>
      </c>
      <c r="I141" s="1">
        <f t="shared" si="24"/>
        <v>0.87947412388242241</v>
      </c>
      <c r="J141" s="46">
        <f t="shared" si="25"/>
        <v>6.8739283602197473E-4</v>
      </c>
    </row>
    <row r="142" spans="8:23" x14ac:dyDescent="0.2">
      <c r="H142">
        <f t="shared" si="23"/>
        <v>1.8000000000000009</v>
      </c>
      <c r="I142" s="1">
        <f t="shared" si="24"/>
        <v>0.87625284164267103</v>
      </c>
      <c r="J142" s="46">
        <f t="shared" si="25"/>
        <v>7.062891440868242E-4</v>
      </c>
    </row>
    <row r="143" spans="8:23" x14ac:dyDescent="0.2">
      <c r="H143">
        <f t="shared" si="23"/>
        <v>1.850000000000001</v>
      </c>
      <c r="I143" s="1">
        <f t="shared" si="24"/>
        <v>0.87304335811192824</v>
      </c>
      <c r="J143" s="46">
        <f t="shared" si="25"/>
        <v>7.2521932024676166E-4</v>
      </c>
    </row>
    <row r="144" spans="8:23" x14ac:dyDescent="0.2">
      <c r="H144">
        <f t="shared" si="23"/>
        <v>1.900000000000001</v>
      </c>
      <c r="I144" s="1">
        <f t="shared" si="24"/>
        <v>0.86984563007462801</v>
      </c>
      <c r="J144" s="46">
        <f t="shared" si="25"/>
        <v>7.4418305402868456E-4</v>
      </c>
    </row>
    <row r="145" spans="8:10" x14ac:dyDescent="0.2">
      <c r="H145">
        <f>H144+0.05</f>
        <v>1.9500000000000011</v>
      </c>
      <c r="I145" s="1">
        <f t="shared" si="24"/>
        <v>0.86665961447349216</v>
      </c>
      <c r="J145" s="46">
        <f t="shared" si="25"/>
        <v>7.631800365031445E-4</v>
      </c>
    </row>
    <row r="146" spans="8:10" x14ac:dyDescent="0.2">
      <c r="H146">
        <f t="shared" si="23"/>
        <v>2.0000000000000009</v>
      </c>
      <c r="I146" s="1">
        <f t="shared" si="24"/>
        <v>0.86348526840894968</v>
      </c>
      <c r="J146" s="46">
        <f t="shared" si="25"/>
        <v>7.8220996027739587E-4</v>
      </c>
    </row>
    <row r="147" spans="8:10" x14ac:dyDescent="0.2">
      <c r="H147">
        <f t="shared" si="23"/>
        <v>2.0500000000000007</v>
      </c>
      <c r="I147" s="1">
        <f t="shared" si="24"/>
        <v>0.86032254913855921</v>
      </c>
      <c r="J147" s="46">
        <f t="shared" si="25"/>
        <v>8.0127251948886968E-4</v>
      </c>
    </row>
    <row r="148" spans="8:10" x14ac:dyDescent="0.2">
      <c r="H148">
        <f t="shared" si="23"/>
        <v>2.1000000000000005</v>
      </c>
      <c r="I148" s="1">
        <f t="shared" si="24"/>
        <v>0.85717141407643416</v>
      </c>
      <c r="J148" s="46">
        <f t="shared" si="25"/>
        <v>8.2036740979871451E-4</v>
      </c>
    </row>
    <row r="149" spans="8:10" x14ac:dyDescent="0.2">
      <c r="H149">
        <f t="shared" si="23"/>
        <v>2.1500000000000004</v>
      </c>
      <c r="I149" s="1">
        <f t="shared" si="24"/>
        <v>0.85403182079266859</v>
      </c>
      <c r="J149" s="46">
        <f t="shared" si="25"/>
        <v>8.394943283850907E-4</v>
      </c>
    </row>
    <row r="150" spans="8:10" x14ac:dyDescent="0.2">
      <c r="H150">
        <f t="shared" si="23"/>
        <v>2.2000000000000002</v>
      </c>
      <c r="I150" s="1">
        <f t="shared" si="24"/>
        <v>0.85090372701276595</v>
      </c>
      <c r="J150" s="46">
        <f t="shared" si="25"/>
        <v>8.5865297393658449E-4</v>
      </c>
    </row>
    <row r="151" spans="8:10" x14ac:dyDescent="0.2">
      <c r="H151">
        <f t="shared" si="23"/>
        <v>2.25</v>
      </c>
      <c r="I151" s="1">
        <f t="shared" si="24"/>
        <v>0.84778709061707036</v>
      </c>
      <c r="J151" s="46">
        <f t="shared" si="25"/>
        <v>8.7784304664594503E-4</v>
      </c>
    </row>
    <row r="152" spans="8:10" x14ac:dyDescent="0.2">
      <c r="H152">
        <f t="shared" si="23"/>
        <v>2.2999999999999998</v>
      </c>
      <c r="I152" s="1">
        <f t="shared" si="24"/>
        <v>0.84468186964019909</v>
      </c>
      <c r="J152" s="46">
        <f t="shared" si="25"/>
        <v>8.970642482033892E-4</v>
      </c>
    </row>
    <row r="153" spans="8:10" x14ac:dyDescent="0.2">
      <c r="H153">
        <f t="shared" si="23"/>
        <v>2.3499999999999996</v>
      </c>
      <c r="I153" s="1">
        <f t="shared" si="24"/>
        <v>0.84158802227047746</v>
      </c>
      <c r="J153" s="46">
        <f t="shared" si="25"/>
        <v>9.1631628179023104E-4</v>
      </c>
    </row>
    <row r="154" spans="8:10" x14ac:dyDescent="0.2">
      <c r="H154">
        <f t="shared" si="23"/>
        <v>2.3999999999999995</v>
      </c>
      <c r="I154" s="1">
        <f t="shared" si="24"/>
        <v>0.83850550684937597</v>
      </c>
      <c r="J154" s="46">
        <f t="shared" si="25"/>
        <v>9.3559885207239826E-4</v>
      </c>
    </row>
    <row r="155" spans="8:10" x14ac:dyDescent="0.2">
      <c r="H155">
        <f t="shared" si="23"/>
        <v>2.4499999999999993</v>
      </c>
      <c r="I155" s="1">
        <f t="shared" si="24"/>
        <v>0.83543428187094926</v>
      </c>
      <c r="J155" s="46">
        <f t="shared" si="25"/>
        <v>9.5491166519410153E-4</v>
      </c>
    </row>
    <row r="156" spans="8:10" x14ac:dyDescent="0.2">
      <c r="H156">
        <f t="shared" si="23"/>
        <v>2.4999999999999991</v>
      </c>
      <c r="I156" s="1">
        <f t="shared" si="24"/>
        <v>0.83237430598127771</v>
      </c>
      <c r="J156" s="46">
        <f t="shared" si="25"/>
        <v>9.7425442877149891E-4</v>
      </c>
    </row>
    <row r="157" spans="8:10" x14ac:dyDescent="0.2">
      <c r="H157">
        <f t="shared" si="23"/>
        <v>2.5499999999999989</v>
      </c>
      <c r="I157" s="1">
        <f t="shared" si="24"/>
        <v>0.82932553797790975</v>
      </c>
      <c r="J157" s="46">
        <f t="shared" si="25"/>
        <v>9.9362685188618101E-4</v>
      </c>
    </row>
    <row r="158" spans="8:10" x14ac:dyDescent="0.2">
      <c r="H158">
        <f t="shared" si="23"/>
        <v>2.5999999999999988</v>
      </c>
      <c r="I158" s="1">
        <f t="shared" si="24"/>
        <v>0.82628793680930779</v>
      </c>
      <c r="J158" s="46">
        <f t="shared" si="25"/>
        <v>1.0130286450789768E-3</v>
      </c>
    </row>
    <row r="159" spans="8:10" x14ac:dyDescent="0.2">
      <c r="H159">
        <f t="shared" si="23"/>
        <v>2.6499999999999986</v>
      </c>
      <c r="I159" s="1">
        <f t="shared" si="24"/>
        <v>0.82326146157429514</v>
      </c>
      <c r="J159" s="46">
        <f t="shared" si="25"/>
        <v>1.032459520343634E-3</v>
      </c>
    </row>
    <row r="160" spans="8:10" x14ac:dyDescent="0.2">
      <c r="H160">
        <f t="shared" si="23"/>
        <v>2.6999999999999984</v>
      </c>
      <c r="I160" s="1">
        <f t="shared" si="24"/>
        <v>0.82024607152150542</v>
      </c>
      <c r="J160" s="46">
        <f t="shared" si="25"/>
        <v>1.0519191911205347E-3</v>
      </c>
    </row>
    <row r="161" spans="8:10" x14ac:dyDescent="0.2">
      <c r="H161">
        <f t="shared" si="23"/>
        <v>2.7499999999999982</v>
      </c>
      <c r="I161" s="1">
        <f t="shared" si="24"/>
        <v>0.81724172604883383</v>
      </c>
      <c r="J161" s="46">
        <f t="shared" si="25"/>
        <v>1.0714073722904809E-3</v>
      </c>
    </row>
    <row r="162" spans="8:10" x14ac:dyDescent="0.2">
      <c r="H162">
        <f t="shared" si="23"/>
        <v>2.799999999999998</v>
      </c>
      <c r="I162" s="1">
        <f t="shared" si="24"/>
        <v>0.81424838470289018</v>
      </c>
      <c r="J162" s="46">
        <f t="shared" si="25"/>
        <v>1.0909237801683656E-3</v>
      </c>
    </row>
    <row r="163" spans="8:10" x14ac:dyDescent="0.2">
      <c r="H163">
        <f t="shared" si="23"/>
        <v>2.8499999999999979</v>
      </c>
      <c r="I163" s="1">
        <f t="shared" si="24"/>
        <v>0.81126600717845465</v>
      </c>
      <c r="J163" s="46">
        <f t="shared" si="25"/>
        <v>1.1104681324971451E-3</v>
      </c>
    </row>
    <row r="164" spans="8:10" x14ac:dyDescent="0.2">
      <c r="H164">
        <f t="shared" si="23"/>
        <v>2.8999999999999977</v>
      </c>
      <c r="I164" s="1">
        <f t="shared" si="24"/>
        <v>0.80829455331793454</v>
      </c>
      <c r="J164" s="46">
        <f t="shared" si="25"/>
        <v>1.1300401484414658E-3</v>
      </c>
    </row>
    <row r="165" spans="8:10" x14ac:dyDescent="0.2">
      <c r="H165">
        <f t="shared" si="23"/>
        <v>2.9499999999999975</v>
      </c>
      <c r="I165" s="1">
        <f t="shared" si="24"/>
        <v>0.80533398311082427</v>
      </c>
      <c r="J165" s="46">
        <f t="shared" si="25"/>
        <v>1.1496395485817812E-3</v>
      </c>
    </row>
    <row r="166" spans="8:10" x14ac:dyDescent="0.2">
      <c r="H166">
        <f t="shared" si="23"/>
        <v>2.9999999999999973</v>
      </c>
      <c r="I166" s="1">
        <f t="shared" si="24"/>
        <v>0.80238425669316571</v>
      </c>
      <c r="J166" s="46">
        <f t="shared" si="25"/>
        <v>1.1692660549079063E-3</v>
      </c>
    </row>
    <row r="167" spans="8:10" x14ac:dyDescent="0.2">
      <c r="H167">
        <f t="shared" si="23"/>
        <v>3.0499999999999972</v>
      </c>
      <c r="I167" s="1">
        <f t="shared" si="24"/>
        <v>0.79944533434701226</v>
      </c>
      <c r="J167" s="46">
        <f t="shared" si="25"/>
        <v>1.1889193908132167E-3</v>
      </c>
    </row>
    <row r="168" spans="8:10" x14ac:dyDescent="0.2">
      <c r="H168">
        <f t="shared" si="23"/>
        <v>3.099999999999997</v>
      </c>
      <c r="I168" s="1">
        <f t="shared" ref="I168:I199" si="26">EXP(-H168/Tau)</f>
        <v>0.79651717649989373</v>
      </c>
      <c r="J168" s="46">
        <f t="shared" si="25"/>
        <v>1.2085992810884363E-3</v>
      </c>
    </row>
    <row r="169" spans="8:10" x14ac:dyDescent="0.2">
      <c r="H169">
        <f t="shared" si="23"/>
        <v>3.1499999999999968</v>
      </c>
      <c r="I169" s="1">
        <f t="shared" si="26"/>
        <v>0.7935997437242831</v>
      </c>
      <c r="J169" s="46">
        <f t="shared" ref="J169:J200" si="27">b0+beta1*(1-I169)/(H169/Tau)+beta2*((1-I169)/(H169/Tau)-I169)</f>
        <v>1.2283054519155239E-3</v>
      </c>
    </row>
    <row r="170" spans="8:10" x14ac:dyDescent="0.2">
      <c r="H170">
        <f t="shared" si="23"/>
        <v>3.1999999999999966</v>
      </c>
      <c r="I170" s="1">
        <f t="shared" si="26"/>
        <v>0.7906929967370665</v>
      </c>
      <c r="J170" s="46">
        <f t="shared" si="27"/>
        <v>1.2480376308618446E-3</v>
      </c>
    </row>
    <row r="171" spans="8:10" x14ac:dyDescent="0.2">
      <c r="H171">
        <f t="shared" si="23"/>
        <v>3.2499999999999964</v>
      </c>
      <c r="I171" s="1">
        <f t="shared" si="26"/>
        <v>0.7877968963990134</v>
      </c>
      <c r="J171" s="46">
        <f t="shared" si="27"/>
        <v>1.2677955468739953E-3</v>
      </c>
    </row>
    <row r="172" spans="8:10" x14ac:dyDescent="0.2">
      <c r="H172">
        <f t="shared" si="23"/>
        <v>3.2999999999999963</v>
      </c>
      <c r="I172" s="1">
        <f t="shared" si="26"/>
        <v>0.78491140371425006</v>
      </c>
      <c r="J172" s="46">
        <f t="shared" si="27"/>
        <v>1.2875789302718944E-3</v>
      </c>
    </row>
    <row r="173" spans="8:10" x14ac:dyDescent="0.2">
      <c r="H173">
        <f t="shared" si="23"/>
        <v>3.3499999999999961</v>
      </c>
      <c r="I173" s="1">
        <f t="shared" si="26"/>
        <v>0.78203647982973445</v>
      </c>
      <c r="J173" s="46">
        <f t="shared" si="27"/>
        <v>1.3073875127428756E-3</v>
      </c>
    </row>
    <row r="174" spans="8:10" x14ac:dyDescent="0.2">
      <c r="H174">
        <f t="shared" si="23"/>
        <v>3.3999999999999959</v>
      </c>
      <c r="I174" s="1">
        <f t="shared" si="26"/>
        <v>0.77917208603473309</v>
      </c>
      <c r="J174" s="46">
        <f t="shared" si="27"/>
        <v>1.3272210273357174E-3</v>
      </c>
    </row>
    <row r="175" spans="8:10" x14ac:dyDescent="0.2">
      <c r="H175">
        <f t="shared" ref="H175:H238" si="28">H174+0.05</f>
        <v>3.4499999999999957</v>
      </c>
      <c r="I175" s="1">
        <f t="shared" si="26"/>
        <v>0.77631818376029937</v>
      </c>
      <c r="J175" s="46">
        <f t="shared" si="27"/>
        <v>1.3470792084546907E-3</v>
      </c>
    </row>
    <row r="176" spans="8:10" x14ac:dyDescent="0.2">
      <c r="H176">
        <f t="shared" si="28"/>
        <v>3.4999999999999956</v>
      </c>
      <c r="I176" s="1">
        <f t="shared" si="26"/>
        <v>0.77347473457875482</v>
      </c>
      <c r="J176" s="46">
        <f t="shared" si="27"/>
        <v>1.3669617918537803E-3</v>
      </c>
    </row>
    <row r="177" spans="8:10" x14ac:dyDescent="0.2">
      <c r="H177">
        <f t="shared" si="28"/>
        <v>3.5499999999999954</v>
      </c>
      <c r="I177" s="1">
        <f t="shared" si="26"/>
        <v>0.77064170020317146</v>
      </c>
      <c r="J177" s="46">
        <f t="shared" si="27"/>
        <v>1.386868514630797E-3</v>
      </c>
    </row>
    <row r="178" spans="8:10" x14ac:dyDescent="0.2">
      <c r="H178">
        <f t="shared" si="28"/>
        <v>3.5999999999999952</v>
      </c>
      <c r="I178" s="1">
        <f t="shared" si="26"/>
        <v>0.7678190424868564</v>
      </c>
      <c r="J178" s="46">
        <f t="shared" si="27"/>
        <v>1.4067991152215647E-3</v>
      </c>
    </row>
    <row r="179" spans="8:10" x14ac:dyDescent="0.2">
      <c r="H179">
        <f t="shared" si="28"/>
        <v>3.649999999999995</v>
      </c>
      <c r="I179" s="1">
        <f t="shared" si="26"/>
        <v>0.7650067234228376</v>
      </c>
      <c r="J179" s="46">
        <f t="shared" si="27"/>
        <v>1.4267533333939958E-3</v>
      </c>
    </row>
    <row r="180" spans="8:10" x14ac:dyDescent="0.2">
      <c r="H180">
        <f t="shared" si="28"/>
        <v>3.6999999999999948</v>
      </c>
      <c r="I180" s="1">
        <f t="shared" si="26"/>
        <v>0.76220470514335292</v>
      </c>
      <c r="J180" s="46">
        <f t="shared" si="27"/>
        <v>1.4467309102425005E-3</v>
      </c>
    </row>
    <row r="181" spans="8:10" x14ac:dyDescent="0.2">
      <c r="H181">
        <f t="shared" si="28"/>
        <v>3.7499999999999947</v>
      </c>
      <c r="I181" s="1">
        <f t="shared" si="26"/>
        <v>0.75941294991933972</v>
      </c>
      <c r="J181" s="46">
        <f t="shared" si="27"/>
        <v>1.4667315881820809E-3</v>
      </c>
    </row>
    <row r="182" spans="8:10" x14ac:dyDescent="0.2">
      <c r="H182">
        <f t="shared" si="28"/>
        <v>3.7999999999999945</v>
      </c>
      <c r="I182" s="1">
        <f t="shared" si="26"/>
        <v>0.75663142015992702</v>
      </c>
      <c r="J182" s="46">
        <f t="shared" si="27"/>
        <v>1.4867551109426641E-3</v>
      </c>
    </row>
    <row r="183" spans="8:10" x14ac:dyDescent="0.2">
      <c r="H183">
        <f t="shared" si="28"/>
        <v>3.8499999999999943</v>
      </c>
      <c r="I183" s="1">
        <f t="shared" si="26"/>
        <v>0.75386007841192948</v>
      </c>
      <c r="J183" s="46">
        <f t="shared" si="27"/>
        <v>1.5068012235633895E-3</v>
      </c>
    </row>
    <row r="184" spans="8:10" x14ac:dyDescent="0.2">
      <c r="H184">
        <f t="shared" si="28"/>
        <v>3.8999999999999941</v>
      </c>
      <c r="I184" s="1">
        <f t="shared" si="26"/>
        <v>0.75109888735934249</v>
      </c>
      <c r="J184" s="46">
        <f t="shared" si="27"/>
        <v>1.5268696723868495E-3</v>
      </c>
    </row>
    <row r="185" spans="8:10" x14ac:dyDescent="0.2">
      <c r="H185">
        <f t="shared" si="28"/>
        <v>3.949999999999994</v>
      </c>
      <c r="I185" s="1">
        <f t="shared" si="26"/>
        <v>0.74834780982284066</v>
      </c>
      <c r="J185" s="46">
        <f t="shared" si="27"/>
        <v>1.5469602050535596E-3</v>
      </c>
    </row>
    <row r="186" spans="8:10" x14ac:dyDescent="0.2">
      <c r="H186">
        <f t="shared" si="28"/>
        <v>3.9999999999999938</v>
      </c>
      <c r="I186" s="1">
        <f t="shared" si="26"/>
        <v>0.74560680875927621</v>
      </c>
      <c r="J186" s="46">
        <f t="shared" si="27"/>
        <v>1.5670725704961456E-3</v>
      </c>
    </row>
    <row r="187" spans="8:10" x14ac:dyDescent="0.2">
      <c r="H187">
        <f t="shared" si="28"/>
        <v>4.0499999999999936</v>
      </c>
      <c r="I187" s="1">
        <f t="shared" si="26"/>
        <v>0.74287584726118105</v>
      </c>
      <c r="J187" s="46">
        <f t="shared" si="27"/>
        <v>1.5872065189338853E-3</v>
      </c>
    </row>
    <row r="188" spans="8:10" x14ac:dyDescent="0.2">
      <c r="H188">
        <f t="shared" si="28"/>
        <v>4.0999999999999934</v>
      </c>
      <c r="I188" s="1">
        <f t="shared" si="26"/>
        <v>0.7401548885562691</v>
      </c>
      <c r="J188" s="46">
        <f t="shared" si="27"/>
        <v>1.6073618018669898E-3</v>
      </c>
    </row>
    <row r="189" spans="8:10" x14ac:dyDescent="0.2">
      <c r="H189">
        <f t="shared" si="28"/>
        <v>4.1499999999999932</v>
      </c>
      <c r="I189" s="1">
        <f t="shared" si="26"/>
        <v>0.73744389600694182</v>
      </c>
      <c r="J189" s="46">
        <f t="shared" si="27"/>
        <v>1.627538172071136E-3</v>
      </c>
    </row>
    <row r="190" spans="8:10" x14ac:dyDescent="0.2">
      <c r="H190">
        <f t="shared" si="28"/>
        <v>4.1999999999999931</v>
      </c>
      <c r="I190" s="1">
        <f t="shared" si="26"/>
        <v>0.73474283310979427</v>
      </c>
      <c r="J190" s="46">
        <f t="shared" si="27"/>
        <v>1.6477353835917994E-3</v>
      </c>
    </row>
    <row r="191" spans="8:10" x14ac:dyDescent="0.2">
      <c r="H191">
        <f t="shared" si="28"/>
        <v>4.2499999999999929</v>
      </c>
      <c r="I191" s="1">
        <f t="shared" si="26"/>
        <v>0.73205166349512396</v>
      </c>
      <c r="J191" s="46">
        <f t="shared" si="27"/>
        <v>1.6679531917388087E-3</v>
      </c>
    </row>
    <row r="192" spans="8:10" x14ac:dyDescent="0.2">
      <c r="H192">
        <f t="shared" si="28"/>
        <v>4.2999999999999927</v>
      </c>
      <c r="I192" s="1">
        <f t="shared" si="26"/>
        <v>0.7293703509264412</v>
      </c>
      <c r="J192" s="46">
        <f t="shared" si="27"/>
        <v>1.6881913530808626E-3</v>
      </c>
    </row>
    <row r="193" spans="8:10" x14ac:dyDescent="0.2">
      <c r="H193">
        <f t="shared" si="28"/>
        <v>4.3499999999999925</v>
      </c>
      <c r="I193" s="1">
        <f t="shared" si="26"/>
        <v>0.72669885929998068</v>
      </c>
      <c r="J193" s="46">
        <f t="shared" si="27"/>
        <v>1.7084496254399129E-3</v>
      </c>
    </row>
    <row r="194" spans="8:10" x14ac:dyDescent="0.2">
      <c r="H194">
        <f t="shared" si="28"/>
        <v>4.3999999999999924</v>
      </c>
      <c r="I194" s="1">
        <f t="shared" si="26"/>
        <v>0.72403715264421609</v>
      </c>
      <c r="J194" s="46">
        <f t="shared" si="27"/>
        <v>1.7287277678858719E-3</v>
      </c>
    </row>
    <row r="195" spans="8:10" x14ac:dyDescent="0.2">
      <c r="H195">
        <f t="shared" si="28"/>
        <v>4.4499999999999922</v>
      </c>
      <c r="I195" s="1">
        <f t="shared" si="26"/>
        <v>0.72138519511937516</v>
      </c>
      <c r="J195" s="46">
        <f t="shared" si="27"/>
        <v>1.7490255407310628E-3</v>
      </c>
    </row>
    <row r="196" spans="8:10" x14ac:dyDescent="0.2">
      <c r="H196">
        <f t="shared" si="28"/>
        <v>4.499999999999992</v>
      </c>
      <c r="I196" s="1">
        <f t="shared" si="26"/>
        <v>0.71874295101695718</v>
      </c>
      <c r="J196" s="46">
        <f t="shared" si="27"/>
        <v>1.7693427055248223E-3</v>
      </c>
    </row>
    <row r="197" spans="8:10" x14ac:dyDescent="0.2">
      <c r="H197">
        <f t="shared" si="28"/>
        <v>4.5499999999999918</v>
      </c>
      <c r="I197" s="1">
        <f t="shared" si="26"/>
        <v>0.71611038475925237</v>
      </c>
      <c r="J197" s="46">
        <f t="shared" si="27"/>
        <v>1.7896790250481309E-3</v>
      </c>
    </row>
    <row r="198" spans="8:10" x14ac:dyDescent="0.2">
      <c r="H198">
        <f t="shared" si="28"/>
        <v>4.5999999999999917</v>
      </c>
      <c r="I198" s="1">
        <f t="shared" si="26"/>
        <v>0.71348746089886272</v>
      </c>
      <c r="J198" s="46">
        <f t="shared" si="27"/>
        <v>1.8100342633082128E-3</v>
      </c>
    </row>
    <row r="199" spans="8:10" x14ac:dyDescent="0.2">
      <c r="H199">
        <f t="shared" si="28"/>
        <v>4.6499999999999915</v>
      </c>
      <c r="I199" s="1">
        <f t="shared" si="26"/>
        <v>0.7108741441182248</v>
      </c>
      <c r="J199" s="46">
        <f t="shared" si="27"/>
        <v>1.8304081855332194E-3</v>
      </c>
    </row>
    <row r="200" spans="8:10" x14ac:dyDescent="0.2">
      <c r="H200">
        <f t="shared" si="28"/>
        <v>4.6999999999999913</v>
      </c>
      <c r="I200" s="1">
        <f t="shared" ref="I200:I231" si="29">EXP(-H200/Tau)</f>
        <v>0.70827039922913404</v>
      </c>
      <c r="J200" s="46">
        <f t="shared" si="27"/>
        <v>1.8508005581668826E-3</v>
      </c>
    </row>
    <row r="201" spans="8:10" x14ac:dyDescent="0.2">
      <c r="H201">
        <f t="shared" si="28"/>
        <v>4.7499999999999911</v>
      </c>
      <c r="I201" s="1">
        <f t="shared" si="29"/>
        <v>0.70567619117227098</v>
      </c>
      <c r="J201" s="46">
        <f t="shared" ref="J201:J232" si="30">b0+beta1*(1-I201)/(H201/Tau)+beta2*((1-I201)/(H201/Tau)-I201)</f>
        <v>1.8712111488631915E-3</v>
      </c>
    </row>
    <row r="202" spans="8:10" x14ac:dyDescent="0.2">
      <c r="H202">
        <f t="shared" si="28"/>
        <v>4.7999999999999909</v>
      </c>
      <c r="I202" s="1">
        <f t="shared" si="29"/>
        <v>0.70309148501672925</v>
      </c>
      <c r="J202" s="46">
        <f t="shared" si="30"/>
        <v>1.8916397264811128E-3</v>
      </c>
    </row>
    <row r="203" spans="8:10" x14ac:dyDescent="0.2">
      <c r="H203">
        <f t="shared" si="28"/>
        <v>4.8499999999999908</v>
      </c>
      <c r="I203" s="1">
        <f t="shared" si="29"/>
        <v>0.7005162459595452</v>
      </c>
      <c r="J203" s="46">
        <f t="shared" si="30"/>
        <v>1.9120860610793429E-3</v>
      </c>
    </row>
    <row r="204" spans="8:10" x14ac:dyDescent="0.2">
      <c r="H204">
        <f t="shared" si="28"/>
        <v>4.8999999999999906</v>
      </c>
      <c r="I204" s="1">
        <f t="shared" si="29"/>
        <v>0.69795043932522915</v>
      </c>
      <c r="J204" s="46">
        <f t="shared" si="30"/>
        <v>1.9325499239110583E-3</v>
      </c>
    </row>
    <row r="205" spans="8:10" x14ac:dyDescent="0.2">
      <c r="H205">
        <f t="shared" si="28"/>
        <v>4.9499999999999904</v>
      </c>
      <c r="I205" s="1">
        <f t="shared" si="29"/>
        <v>0.69539403056529892</v>
      </c>
      <c r="J205" s="46">
        <f t="shared" si="30"/>
        <v>1.9530310874187116E-3</v>
      </c>
    </row>
    <row r="206" spans="8:10" x14ac:dyDescent="0.2">
      <c r="H206">
        <f t="shared" si="28"/>
        <v>4.9999999999999902</v>
      </c>
      <c r="I206" s="1">
        <f t="shared" si="29"/>
        <v>0.69284698525781407</v>
      </c>
      <c r="J206" s="46">
        <f t="shared" si="30"/>
        <v>1.973529325228787E-3</v>
      </c>
    </row>
    <row r="207" spans="8:10" x14ac:dyDescent="0.2">
      <c r="H207">
        <f t="shared" si="28"/>
        <v>5.0499999999999901</v>
      </c>
      <c r="I207" s="1">
        <f t="shared" si="29"/>
        <v>0.69030926910691282</v>
      </c>
      <c r="J207" s="46">
        <f t="shared" si="30"/>
        <v>1.9940444121466709E-3</v>
      </c>
    </row>
    <row r="208" spans="8:10" x14ac:dyDescent="0.2">
      <c r="H208">
        <f t="shared" si="28"/>
        <v>5.0999999999999899</v>
      </c>
      <c r="I208" s="1">
        <f t="shared" si="29"/>
        <v>0.68778084794234984</v>
      </c>
      <c r="J208" s="46">
        <f t="shared" si="30"/>
        <v>2.0145761241514466E-3</v>
      </c>
    </row>
    <row r="209" spans="8:10" x14ac:dyDescent="0.2">
      <c r="H209">
        <f t="shared" si="28"/>
        <v>5.1499999999999897</v>
      </c>
      <c r="I209" s="1">
        <f t="shared" si="29"/>
        <v>0.68526168771903662</v>
      </c>
      <c r="J209" s="46">
        <f t="shared" si="30"/>
        <v>2.0351242383907825E-3</v>
      </c>
    </row>
    <row r="210" spans="8:10" x14ac:dyDescent="0.2">
      <c r="H210">
        <f t="shared" si="28"/>
        <v>5.1999999999999895</v>
      </c>
      <c r="I210" s="1">
        <f t="shared" si="29"/>
        <v>0.68275175451658299</v>
      </c>
      <c r="J210" s="46">
        <f t="shared" si="30"/>
        <v>2.0556885331758702E-3</v>
      </c>
    </row>
    <row r="211" spans="8:10" x14ac:dyDescent="0.2">
      <c r="H211">
        <f t="shared" si="28"/>
        <v>5.2499999999999893</v>
      </c>
      <c r="I211" s="1">
        <f t="shared" si="29"/>
        <v>0.68025101453883996</v>
      </c>
      <c r="J211" s="46">
        <f t="shared" si="30"/>
        <v>2.0762687879762112E-3</v>
      </c>
    </row>
    <row r="212" spans="8:10" x14ac:dyDescent="0.2">
      <c r="H212">
        <f t="shared" si="28"/>
        <v>5.2999999999999892</v>
      </c>
      <c r="I212" s="1">
        <f t="shared" si="29"/>
        <v>0.67775943411344508</v>
      </c>
      <c r="J212" s="46">
        <f t="shared" si="30"/>
        <v>2.096864783414653E-3</v>
      </c>
    </row>
    <row r="213" spans="8:10" x14ac:dyDescent="0.2">
      <c r="H213">
        <f t="shared" si="28"/>
        <v>5.349999999999989</v>
      </c>
      <c r="I213" s="1">
        <f t="shared" si="29"/>
        <v>0.67527697969136879</v>
      </c>
      <c r="J213" s="46">
        <f t="shared" si="30"/>
        <v>2.1174763012622626E-3</v>
      </c>
    </row>
    <row r="214" spans="8:10" x14ac:dyDescent="0.2">
      <c r="H214">
        <f t="shared" si="28"/>
        <v>5.3999999999999888</v>
      </c>
      <c r="I214" s="1">
        <f t="shared" si="29"/>
        <v>0.67280361784646303</v>
      </c>
      <c r="J214" s="46">
        <f t="shared" si="30"/>
        <v>2.1381031244333592E-3</v>
      </c>
    </row>
    <row r="215" spans="8:10" x14ac:dyDescent="0.2">
      <c r="H215">
        <f t="shared" si="28"/>
        <v>5.4499999999999886</v>
      </c>
      <c r="I215" s="1">
        <f t="shared" si="29"/>
        <v>0.67033931527501078</v>
      </c>
      <c r="J215" s="46">
        <f t="shared" si="30"/>
        <v>2.1587450369804427E-3</v>
      </c>
    </row>
    <row r="216" spans="8:10" x14ac:dyDescent="0.2">
      <c r="H216">
        <f t="shared" si="28"/>
        <v>5.4999999999999885</v>
      </c>
      <c r="I216" s="1">
        <f t="shared" si="29"/>
        <v>0.66788403879527758</v>
      </c>
      <c r="J216" s="46">
        <f t="shared" si="30"/>
        <v>2.1794018240892184E-3</v>
      </c>
    </row>
    <row r="217" spans="8:10" x14ac:dyDescent="0.2">
      <c r="H217">
        <f t="shared" si="28"/>
        <v>5.5499999999999883</v>
      </c>
      <c r="I217" s="1">
        <f t="shared" si="29"/>
        <v>0.66543775534706529</v>
      </c>
      <c r="J217" s="46">
        <f t="shared" si="30"/>
        <v>2.2000732720736738E-3</v>
      </c>
    </row>
    <row r="218" spans="8:10" x14ac:dyDescent="0.2">
      <c r="H218">
        <f t="shared" si="28"/>
        <v>5.5999999999999881</v>
      </c>
      <c r="I218" s="1">
        <f t="shared" si="29"/>
        <v>0.66300043199126624</v>
      </c>
      <c r="J218" s="46">
        <f t="shared" si="30"/>
        <v>2.220759168371049E-3</v>
      </c>
    </row>
    <row r="219" spans="8:10" x14ac:dyDescent="0.2">
      <c r="H219">
        <f t="shared" si="28"/>
        <v>5.6499999999999879</v>
      </c>
      <c r="I219" s="1">
        <f t="shared" si="29"/>
        <v>0.66057203590942037</v>
      </c>
      <c r="J219" s="46">
        <f t="shared" si="30"/>
        <v>2.2414593015369793E-3</v>
      </c>
    </row>
    <row r="220" spans="8:10" x14ac:dyDescent="0.2">
      <c r="H220">
        <f t="shared" si="28"/>
        <v>5.6999999999999877</v>
      </c>
      <c r="I220" s="1">
        <f t="shared" si="29"/>
        <v>0.65815253440327282</v>
      </c>
      <c r="J220" s="46">
        <f t="shared" si="30"/>
        <v>2.2621734612405424E-3</v>
      </c>
    </row>
    <row r="221" spans="8:10" x14ac:dyDescent="0.2">
      <c r="H221">
        <f t="shared" si="28"/>
        <v>5.7499999999999876</v>
      </c>
      <c r="I221" s="1">
        <f t="shared" si="29"/>
        <v>0.65574189489433365</v>
      </c>
      <c r="J221" s="46">
        <f t="shared" si="30"/>
        <v>2.2829014382593498E-3</v>
      </c>
    </row>
    <row r="222" spans="8:10" x14ac:dyDescent="0.2">
      <c r="H222">
        <f t="shared" si="28"/>
        <v>5.7999999999999874</v>
      </c>
      <c r="I222" s="1">
        <f t="shared" si="29"/>
        <v>0.65334008492343976</v>
      </c>
      <c r="J222" s="46">
        <f t="shared" si="30"/>
        <v>2.3036430244747544E-3</v>
      </c>
    </row>
    <row r="223" spans="8:10" x14ac:dyDescent="0.2">
      <c r="H223">
        <f t="shared" si="28"/>
        <v>5.8499999999999872</v>
      </c>
      <c r="I223" s="1">
        <f t="shared" si="29"/>
        <v>0.65094707215031711</v>
      </c>
      <c r="J223" s="46">
        <f t="shared" si="30"/>
        <v>2.3243980128669164E-3</v>
      </c>
    </row>
    <row r="224" spans="8:10" x14ac:dyDescent="0.2">
      <c r="H224">
        <f t="shared" si="28"/>
        <v>5.899999999999987</v>
      </c>
      <c r="I224" s="1">
        <f t="shared" si="29"/>
        <v>0.64856282435314572</v>
      </c>
      <c r="J224" s="46">
        <f t="shared" si="30"/>
        <v>2.3451661975100362E-3</v>
      </c>
    </row>
    <row r="225" spans="8:10" x14ac:dyDescent="0.2">
      <c r="H225">
        <f t="shared" si="28"/>
        <v>5.9499999999999869</v>
      </c>
      <c r="I225" s="1">
        <f t="shared" si="29"/>
        <v>0.64618730942812552</v>
      </c>
      <c r="J225" s="46">
        <f t="shared" si="30"/>
        <v>2.3659473735674875E-3</v>
      </c>
    </row>
    <row r="226" spans="8:10" x14ac:dyDescent="0.2">
      <c r="H226">
        <f t="shared" si="28"/>
        <v>5.9999999999999867</v>
      </c>
      <c r="I226" s="1">
        <f t="shared" si="29"/>
        <v>0.6438204953890444</v>
      </c>
      <c r="J226" s="46">
        <f t="shared" si="30"/>
        <v>2.3867413372870806E-3</v>
      </c>
    </row>
    <row r="227" spans="8:10" x14ac:dyDescent="0.2">
      <c r="H227">
        <f t="shared" si="28"/>
        <v>6.0499999999999865</v>
      </c>
      <c r="I227" s="1">
        <f t="shared" si="29"/>
        <v>0.64146235036684718</v>
      </c>
      <c r="J227" s="46">
        <f t="shared" si="30"/>
        <v>2.4075478859962463E-3</v>
      </c>
    </row>
    <row r="228" spans="8:10" x14ac:dyDescent="0.2">
      <c r="H228">
        <f t="shared" si="28"/>
        <v>6.0999999999999863</v>
      </c>
      <c r="I228" s="1">
        <f t="shared" si="29"/>
        <v>0.63911284260920664</v>
      </c>
      <c r="J228" s="46">
        <f t="shared" si="30"/>
        <v>2.4283668180973164E-3</v>
      </c>
    </row>
    <row r="229" spans="8:10" x14ac:dyDescent="0.2">
      <c r="H229">
        <f t="shared" si="28"/>
        <v>6.1499999999999861</v>
      </c>
      <c r="I229" s="1">
        <f t="shared" si="29"/>
        <v>0.63677194048009611</v>
      </c>
      <c r="J229" s="46">
        <f t="shared" si="30"/>
        <v>2.4491979330627783E-3</v>
      </c>
    </row>
    <row r="230" spans="8:10" x14ac:dyDescent="0.2">
      <c r="H230">
        <f t="shared" si="28"/>
        <v>6.199999999999986</v>
      </c>
      <c r="I230" s="1">
        <f t="shared" si="29"/>
        <v>0.63443961245936309</v>
      </c>
      <c r="J230" s="46">
        <f t="shared" si="30"/>
        <v>2.470041031430541E-3</v>
      </c>
    </row>
    <row r="231" spans="8:10" x14ac:dyDescent="0.2">
      <c r="H231">
        <f t="shared" si="28"/>
        <v>6.2499999999999858</v>
      </c>
      <c r="I231" s="1">
        <f t="shared" si="29"/>
        <v>0.63211582714230563</v>
      </c>
      <c r="J231" s="46">
        <f t="shared" si="30"/>
        <v>2.4908959147993278E-3</v>
      </c>
    </row>
    <row r="232" spans="8:10" x14ac:dyDescent="0.2">
      <c r="H232">
        <f t="shared" si="28"/>
        <v>6.2999999999999856</v>
      </c>
      <c r="I232" s="1">
        <f t="shared" ref="I232:I263" si="31">EXP(-H232/Tau)</f>
        <v>0.62980055323924822</v>
      </c>
      <c r="J232" s="46">
        <f t="shared" si="30"/>
        <v>2.5117623858238423E-3</v>
      </c>
    </row>
    <row r="233" spans="8:10" x14ac:dyDescent="0.2">
      <c r="H233">
        <f t="shared" si="28"/>
        <v>6.3499999999999854</v>
      </c>
      <c r="I233" s="1">
        <f t="shared" si="31"/>
        <v>0.62749375957512177</v>
      </c>
      <c r="J233" s="46">
        <f t="shared" ref="J233:J264" si="32">b0+beta1*(1-I233)/(H233/Tau)+beta2*((1-I233)/(H233/Tau)-I233)</f>
        <v>2.532640248210294E-3</v>
      </c>
    </row>
    <row r="234" spans="8:10" x14ac:dyDescent="0.2">
      <c r="H234">
        <f t="shared" si="28"/>
        <v>6.3999999999999853</v>
      </c>
      <c r="I234" s="1">
        <f t="shared" si="31"/>
        <v>0.62519541508904297</v>
      </c>
      <c r="J234" s="46">
        <f t="shared" si="32"/>
        <v>2.553529306711628E-3</v>
      </c>
    </row>
    <row r="235" spans="8:10" x14ac:dyDescent="0.2">
      <c r="H235">
        <f t="shared" si="28"/>
        <v>6.4499999999999851</v>
      </c>
      <c r="I235" s="1">
        <f t="shared" si="31"/>
        <v>0.62290548883389651</v>
      </c>
      <c r="J235" s="46">
        <f t="shared" si="32"/>
        <v>2.5744293671229714E-3</v>
      </c>
    </row>
    <row r="236" spans="8:10" x14ac:dyDescent="0.2">
      <c r="H236">
        <f t="shared" si="28"/>
        <v>6.4999999999999849</v>
      </c>
      <c r="I236" s="1">
        <f t="shared" si="31"/>
        <v>0.62062394997591819</v>
      </c>
      <c r="J236" s="46">
        <f t="shared" si="32"/>
        <v>2.5953402362770433E-3</v>
      </c>
    </row>
    <row r="237" spans="8:10" x14ac:dyDescent="0.2">
      <c r="H237">
        <f t="shared" si="28"/>
        <v>6.5499999999999847</v>
      </c>
      <c r="I237" s="1">
        <f t="shared" si="31"/>
        <v>0.61835076779427955</v>
      </c>
      <c r="J237" s="46">
        <f t="shared" si="32"/>
        <v>2.6162617220395006E-3</v>
      </c>
    </row>
    <row r="238" spans="8:10" x14ac:dyDescent="0.2">
      <c r="H238">
        <f t="shared" si="28"/>
        <v>6.5999999999999845</v>
      </c>
      <c r="I238" s="1">
        <f t="shared" si="31"/>
        <v>0.61608591168067484</v>
      </c>
      <c r="J238" s="46">
        <f t="shared" si="32"/>
        <v>2.6371936333044934E-3</v>
      </c>
    </row>
    <row r="239" spans="8:10" x14ac:dyDescent="0.2">
      <c r="H239">
        <f t="shared" ref="H239:H266" si="33">H238+0.05</f>
        <v>6.6499999999999844</v>
      </c>
      <c r="I239" s="1">
        <f t="shared" si="31"/>
        <v>0.61382935113890813</v>
      </c>
      <c r="J239" s="46">
        <f t="shared" si="32"/>
        <v>2.6581357799900021E-3</v>
      </c>
    </row>
    <row r="240" spans="8:10" x14ac:dyDescent="0.2">
      <c r="H240">
        <f t="shared" si="33"/>
        <v>6.6999999999999842</v>
      </c>
      <c r="I240" s="1">
        <f t="shared" si="31"/>
        <v>0.61158105578448307</v>
      </c>
      <c r="J240" s="46">
        <f t="shared" si="32"/>
        <v>2.6790879730333992E-3</v>
      </c>
    </row>
    <row r="241" spans="8:10" x14ac:dyDescent="0.2">
      <c r="H241">
        <f t="shared" si="33"/>
        <v>6.749999999999984</v>
      </c>
      <c r="I241" s="1">
        <f t="shared" si="31"/>
        <v>0.60934099534419406</v>
      </c>
      <c r="J241" s="46">
        <f t="shared" si="32"/>
        <v>2.7000500243869441E-3</v>
      </c>
    </row>
    <row r="242" spans="8:10" x14ac:dyDescent="0.2">
      <c r="H242">
        <f t="shared" si="33"/>
        <v>6.7999999999999838</v>
      </c>
      <c r="I242" s="1">
        <f t="shared" si="31"/>
        <v>0.60710913965571778</v>
      </c>
      <c r="J242" s="46">
        <f t="shared" si="32"/>
        <v>2.7210217470132036E-3</v>
      </c>
    </row>
    <row r="243" spans="8:10" x14ac:dyDescent="0.2">
      <c r="H243">
        <f t="shared" si="33"/>
        <v>6.8499999999999837</v>
      </c>
      <c r="I243" s="1">
        <f t="shared" si="31"/>
        <v>0.604885458667208</v>
      </c>
      <c r="J243" s="46">
        <f t="shared" si="32"/>
        <v>2.7420029548807295E-3</v>
      </c>
    </row>
    <row r="244" spans="8:10" x14ac:dyDescent="0.2">
      <c r="H244">
        <f t="shared" si="33"/>
        <v>6.8999999999999835</v>
      </c>
      <c r="I244" s="1">
        <f t="shared" si="31"/>
        <v>0.60266992243689022</v>
      </c>
      <c r="J244" s="46">
        <f t="shared" si="32"/>
        <v>2.7629934629594586E-3</v>
      </c>
    </row>
    <row r="245" spans="8:10" x14ac:dyDescent="0.2">
      <c r="H245">
        <f t="shared" si="33"/>
        <v>6.9499999999999833</v>
      </c>
      <c r="I245" s="1">
        <f t="shared" si="31"/>
        <v>0.60046250113265887</v>
      </c>
      <c r="J245" s="46">
        <f t="shared" si="32"/>
        <v>2.7839930872164023E-3</v>
      </c>
    </row>
    <row r="246" spans="8:10" x14ac:dyDescent="0.2">
      <c r="H246">
        <f t="shared" si="33"/>
        <v>6.9999999999999831</v>
      </c>
      <c r="I246" s="1">
        <f t="shared" si="31"/>
        <v>0.59826316503167554</v>
      </c>
      <c r="J246" s="46">
        <f t="shared" si="32"/>
        <v>2.8050016446111809E-3</v>
      </c>
    </row>
    <row r="247" spans="8:10" x14ac:dyDescent="0.2">
      <c r="H247">
        <f t="shared" si="33"/>
        <v>7.0499999999999829</v>
      </c>
      <c r="I247" s="1">
        <f t="shared" si="31"/>
        <v>0.59607188451996873</v>
      </c>
      <c r="J247" s="46">
        <f t="shared" si="32"/>
        <v>2.8260189530916E-3</v>
      </c>
    </row>
    <row r="248" spans="8:10" x14ac:dyDescent="0.2">
      <c r="H248">
        <f t="shared" si="33"/>
        <v>7.0999999999999828</v>
      </c>
      <c r="I248" s="1">
        <f t="shared" si="31"/>
        <v>0.5938886300920353</v>
      </c>
      <c r="J248" s="46">
        <f t="shared" si="32"/>
        <v>2.8470448315893499E-3</v>
      </c>
    </row>
    <row r="249" spans="8:10" x14ac:dyDescent="0.2">
      <c r="H249">
        <f t="shared" si="33"/>
        <v>7.1499999999999826</v>
      </c>
      <c r="I249" s="1">
        <f t="shared" si="31"/>
        <v>0.59171337235044252</v>
      </c>
      <c r="J249" s="46">
        <f t="shared" si="32"/>
        <v>2.8680791000155696E-3</v>
      </c>
    </row>
    <row r="250" spans="8:10" x14ac:dyDescent="0.2">
      <c r="H250">
        <f t="shared" si="33"/>
        <v>7.1999999999999824</v>
      </c>
      <c r="I250" s="1">
        <f t="shared" si="31"/>
        <v>0.58954608200543335</v>
      </c>
      <c r="J250" s="46">
        <f t="shared" si="32"/>
        <v>2.8891215792565569E-3</v>
      </c>
    </row>
    <row r="251" spans="8:10" x14ac:dyDescent="0.2">
      <c r="H251">
        <f t="shared" si="33"/>
        <v>7.2499999999999822</v>
      </c>
      <c r="I251" s="1">
        <f t="shared" si="31"/>
        <v>0.58738672987453078</v>
      </c>
      <c r="J251" s="46">
        <f t="shared" si="32"/>
        <v>2.9101720911694148E-3</v>
      </c>
    </row>
    <row r="252" spans="8:10" x14ac:dyDescent="0.2">
      <c r="H252">
        <f t="shared" si="33"/>
        <v>7.2999999999999821</v>
      </c>
      <c r="I252" s="1">
        <f t="shared" si="31"/>
        <v>0.58523528688214621</v>
      </c>
      <c r="J252" s="46">
        <f t="shared" si="32"/>
        <v>2.9312304585777959E-3</v>
      </c>
    </row>
    <row r="253" spans="8:10" x14ac:dyDescent="0.2">
      <c r="H253">
        <f t="shared" si="33"/>
        <v>7.3499999999999819</v>
      </c>
      <c r="I253" s="1">
        <f t="shared" si="31"/>
        <v>0.58309172405918686</v>
      </c>
      <c r="J253" s="46">
        <f t="shared" si="32"/>
        <v>2.9522965052675479E-3</v>
      </c>
    </row>
    <row r="254" spans="8:10" x14ac:dyDescent="0.2">
      <c r="H254">
        <f t="shared" si="33"/>
        <v>7.3999999999999817</v>
      </c>
      <c r="I254" s="1">
        <f t="shared" si="31"/>
        <v>0.58095601254266582</v>
      </c>
      <c r="J254" s="46">
        <f t="shared" si="32"/>
        <v>2.9733700559824508E-3</v>
      </c>
    </row>
    <row r="255" spans="8:10" x14ac:dyDescent="0.2">
      <c r="H255">
        <f t="shared" si="33"/>
        <v>7.4499999999999815</v>
      </c>
      <c r="I255" s="1">
        <f t="shared" si="31"/>
        <v>0.57882812357531455</v>
      </c>
      <c r="J255" s="46">
        <f t="shared" si="32"/>
        <v>2.99445093642006E-3</v>
      </c>
    </row>
    <row r="256" spans="8:10" x14ac:dyDescent="0.2">
      <c r="H256">
        <f t="shared" si="33"/>
        <v>7.4999999999999813</v>
      </c>
      <c r="I256" s="1">
        <f t="shared" si="31"/>
        <v>0.57670802850519398</v>
      </c>
      <c r="J256" s="46">
        <f t="shared" si="32"/>
        <v>3.0155389732273268E-3</v>
      </c>
    </row>
    <row r="257" spans="8:10" x14ac:dyDescent="0.2">
      <c r="H257">
        <f t="shared" si="33"/>
        <v>7.5499999999999812</v>
      </c>
      <c r="I257" s="1">
        <f t="shared" si="31"/>
        <v>0.57459569878530992</v>
      </c>
      <c r="J257" s="46">
        <f t="shared" si="32"/>
        <v>3.0366339939964936E-3</v>
      </c>
    </row>
    <row r="258" spans="8:10" x14ac:dyDescent="0.2">
      <c r="H258">
        <f t="shared" si="33"/>
        <v>7.599999999999981</v>
      </c>
      <c r="I258" s="1">
        <f t="shared" si="31"/>
        <v>0.5724911059732285</v>
      </c>
      <c r="J258" s="46">
        <f t="shared" si="32"/>
        <v>3.0577358272608577E-3</v>
      </c>
    </row>
    <row r="259" spans="8:10" x14ac:dyDescent="0.2">
      <c r="H259">
        <f t="shared" si="33"/>
        <v>7.6499999999999808</v>
      </c>
      <c r="I259" s="1">
        <f t="shared" si="31"/>
        <v>0.57039422173069254</v>
      </c>
      <c r="J259" s="46">
        <f t="shared" si="32"/>
        <v>3.0788443024905576E-3</v>
      </c>
    </row>
    <row r="260" spans="8:10" x14ac:dyDescent="0.2">
      <c r="H260">
        <f t="shared" si="33"/>
        <v>7.6999999999999806</v>
      </c>
      <c r="I260" s="1">
        <f t="shared" si="31"/>
        <v>0.56830501782324083</v>
      </c>
      <c r="J260" s="46">
        <f t="shared" si="32"/>
        <v>3.0999592500884558E-3</v>
      </c>
    </row>
    <row r="261" spans="8:10" x14ac:dyDescent="0.2">
      <c r="H261">
        <f t="shared" si="33"/>
        <v>7.7499999999999805</v>
      </c>
      <c r="I261" s="1">
        <f t="shared" si="31"/>
        <v>0.56622346611982732</v>
      </c>
      <c r="J261" s="46">
        <f t="shared" si="32"/>
        <v>3.1210805013859575E-3</v>
      </c>
    </row>
    <row r="262" spans="8:10" x14ac:dyDescent="0.2">
      <c r="H262">
        <f t="shared" si="33"/>
        <v>7.7999999999999803</v>
      </c>
      <c r="I262" s="1">
        <f t="shared" si="31"/>
        <v>0.56414953859244266</v>
      </c>
      <c r="J262" s="46">
        <f t="shared" si="32"/>
        <v>3.1422078886388996E-3</v>
      </c>
    </row>
    <row r="263" spans="8:10" x14ac:dyDescent="0.2">
      <c r="H263">
        <f t="shared" si="33"/>
        <v>7.8499999999999801</v>
      </c>
      <c r="I263" s="1">
        <f t="shared" si="31"/>
        <v>0.5620832073157368</v>
      </c>
      <c r="J263" s="46">
        <f t="shared" si="32"/>
        <v>3.1633412450234226E-3</v>
      </c>
    </row>
    <row r="264" spans="8:10" x14ac:dyDescent="0.2">
      <c r="H264">
        <f t="shared" si="33"/>
        <v>7.8999999999999799</v>
      </c>
      <c r="I264" s="1">
        <f t="shared" ref="I264:I266" si="34">EXP(-H264/Tau)</f>
        <v>0.56002444446664279</v>
      </c>
      <c r="J264" s="46">
        <f t="shared" si="32"/>
        <v>3.18448040463188E-3</v>
      </c>
    </row>
    <row r="265" spans="8:10" x14ac:dyDescent="0.2">
      <c r="H265">
        <f t="shared" si="33"/>
        <v>7.9499999999999797</v>
      </c>
      <c r="I265" s="1">
        <f t="shared" si="34"/>
        <v>0.55797322232400226</v>
      </c>
      <c r="J265" s="46">
        <f t="shared" ref="J265:J266" si="35">b0+beta1*(1-I265)/(H265/Tau)+beta2*((1-I265)/(H265/Tau)-I265)</f>
        <v>3.2056252024687589E-3</v>
      </c>
    </row>
    <row r="266" spans="8:10" x14ac:dyDescent="0.2">
      <c r="H266">
        <f t="shared" si="33"/>
        <v>7.9999999999999796</v>
      </c>
      <c r="I266" s="1">
        <f t="shared" si="34"/>
        <v>0.55592951326819229</v>
      </c>
      <c r="J266" s="46">
        <f t="shared" si="35"/>
        <v>3.2267754744466047E-3</v>
      </c>
    </row>
  </sheetData>
  <mergeCells count="1">
    <mergeCell ref="B104:C104"/>
  </mergeCells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Microsoft Office User</cp:lastModifiedBy>
  <dcterms:created xsi:type="dcterms:W3CDTF">2013-03-03T11:39:03Z</dcterms:created>
  <dcterms:modified xsi:type="dcterms:W3CDTF">2017-05-10T08:11:26Z</dcterms:modified>
</cp:coreProperties>
</file>