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8580" windowHeight="16320" tabRatio="500"/>
  </bookViews>
  <sheets>
    <sheet name="4001" sheetId="1" r:id="rId1"/>
  </sheets>
  <definedNames>
    <definedName name="_xlnm._FilterDatabase" localSheetId="0" hidden="1">'4001'!$A$9:$M$31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6" i="1" l="1"/>
  <c r="M26" i="1"/>
  <c r="L26" i="1"/>
  <c r="K26" i="1"/>
  <c r="G22" i="1"/>
  <c r="E22" i="1"/>
  <c r="J22" i="1"/>
  <c r="M22" i="1"/>
  <c r="L22" i="1"/>
  <c r="K22" i="1"/>
  <c r="H23" i="1"/>
  <c r="J23" i="1"/>
  <c r="M23" i="1"/>
  <c r="L23" i="1"/>
  <c r="K23" i="1"/>
  <c r="F24" i="1"/>
  <c r="G24" i="1"/>
  <c r="H24" i="1"/>
  <c r="J24" i="1"/>
  <c r="M24" i="1"/>
  <c r="L24" i="1"/>
  <c r="K24" i="1"/>
  <c r="H25" i="1"/>
  <c r="J25" i="1"/>
  <c r="M25" i="1"/>
  <c r="L25" i="1"/>
  <c r="K25" i="1"/>
  <c r="G10" i="1"/>
  <c r="E10" i="1"/>
  <c r="J10" i="1"/>
  <c r="M10" i="1"/>
  <c r="L10" i="1"/>
  <c r="K10" i="1"/>
  <c r="H11" i="1"/>
  <c r="J11" i="1"/>
  <c r="M11" i="1"/>
  <c r="L11" i="1"/>
  <c r="K11" i="1"/>
  <c r="F12" i="1"/>
  <c r="G12" i="1"/>
  <c r="H12" i="1"/>
  <c r="J12" i="1"/>
  <c r="M12" i="1"/>
  <c r="L12" i="1"/>
  <c r="K12" i="1"/>
  <c r="H16" i="1"/>
  <c r="G16" i="1"/>
  <c r="F16" i="1"/>
  <c r="H33" i="1"/>
  <c r="G33" i="1"/>
  <c r="H29" i="1"/>
  <c r="G29" i="1"/>
  <c r="F33" i="1"/>
  <c r="F29" i="1"/>
  <c r="F28" i="1"/>
  <c r="G28" i="1"/>
  <c r="H28" i="1"/>
  <c r="J28" i="1"/>
  <c r="K28" i="1"/>
  <c r="L28" i="1"/>
  <c r="M28" i="1"/>
  <c r="F32" i="1"/>
  <c r="G32" i="1"/>
  <c r="H32" i="1"/>
  <c r="J32" i="1"/>
  <c r="K32" i="1"/>
  <c r="L32" i="1"/>
  <c r="M32" i="1"/>
  <c r="J29" i="1"/>
  <c r="K29" i="1"/>
  <c r="L29" i="1"/>
  <c r="G18" i="1"/>
  <c r="E18" i="1"/>
  <c r="J18" i="1"/>
  <c r="M18" i="1"/>
  <c r="J33" i="1"/>
  <c r="K33" i="1"/>
  <c r="L33" i="1"/>
  <c r="H21" i="1"/>
  <c r="J21" i="1"/>
  <c r="M21" i="1"/>
  <c r="H19" i="1"/>
  <c r="J19" i="1"/>
  <c r="M19" i="1"/>
  <c r="L21" i="1"/>
  <c r="K21" i="1"/>
  <c r="F20" i="1"/>
  <c r="H20" i="1"/>
  <c r="G20" i="1"/>
  <c r="J20" i="1"/>
  <c r="M20" i="1"/>
  <c r="L20" i="1"/>
  <c r="K20" i="1"/>
  <c r="F34" i="1"/>
  <c r="H34" i="1"/>
  <c r="G34" i="1"/>
  <c r="J34" i="1"/>
  <c r="M34" i="1"/>
  <c r="F30" i="1"/>
  <c r="H30" i="1"/>
  <c r="G30" i="1"/>
  <c r="J30" i="1"/>
  <c r="M30" i="1"/>
  <c r="M29" i="1"/>
  <c r="M33" i="1"/>
  <c r="H15" i="1"/>
  <c r="J15" i="1"/>
  <c r="M15" i="1"/>
  <c r="E14" i="1"/>
  <c r="G14" i="1"/>
  <c r="J14" i="1"/>
  <c r="M14" i="1"/>
  <c r="J16" i="1"/>
  <c r="M16" i="1"/>
  <c r="H17" i="1"/>
  <c r="J17" i="1"/>
  <c r="M17" i="1"/>
  <c r="F27" i="1"/>
  <c r="H27" i="1"/>
  <c r="G27" i="1"/>
  <c r="J27" i="1"/>
  <c r="M27" i="1"/>
  <c r="F31" i="1"/>
  <c r="H31" i="1"/>
  <c r="G31" i="1"/>
  <c r="J31" i="1"/>
  <c r="M31" i="1"/>
  <c r="H13" i="1"/>
  <c r="J13" i="1"/>
  <c r="M13" i="1"/>
  <c r="F35" i="1"/>
  <c r="H35" i="1"/>
  <c r="G35" i="1"/>
  <c r="J35" i="1"/>
  <c r="M35" i="1"/>
  <c r="L31" i="1"/>
  <c r="K31" i="1"/>
  <c r="L27" i="1"/>
  <c r="K27" i="1"/>
  <c r="K16" i="1"/>
  <c r="L13" i="1"/>
  <c r="K13" i="1"/>
  <c r="L14" i="1"/>
  <c r="L15" i="1"/>
  <c r="L17" i="1"/>
  <c r="L19" i="1"/>
  <c r="L18" i="1"/>
  <c r="L30" i="1"/>
  <c r="L34" i="1"/>
  <c r="L35" i="1"/>
  <c r="K14" i="1"/>
  <c r="K15" i="1"/>
  <c r="K17" i="1"/>
  <c r="K19" i="1"/>
  <c r="K18" i="1"/>
  <c r="K34" i="1"/>
  <c r="K35" i="1"/>
  <c r="K30" i="1"/>
  <c r="L16" i="1"/>
</calcChain>
</file>

<file path=xl/sharedStrings.xml><?xml version="1.0" encoding="utf-8"?>
<sst xmlns="http://schemas.openxmlformats.org/spreadsheetml/2006/main" count="72" uniqueCount="53">
  <si>
    <t>Capacity (kVA)</t>
  </si>
  <si>
    <t>Off-peak load (kW)</t>
  </si>
  <si>
    <t>Off-peak hours/week</t>
  </si>
  <si>
    <t>Peak-time load (kW)</t>
  </si>
  <si>
    <t>Peak-time hours/week</t>
  </si>
  <si>
    <t>Load at other times (kW)</t>
  </si>
  <si>
    <t>Tariff selection</t>
  </si>
  <si>
    <t>^(?:LV|LV Sub|HV|LDNO .*) HH Metered$</t>
  </si>
  <si>
    <t>Total kWh/year</t>
  </si>
  <si>
    <t>Rate 2 kWh/year</t>
  </si>
  <si>
    <t>Load factor (kW/kVA)</t>
  </si>
  <si>
    <t>^(?:|LDNO .*)HV HH Metered$</t>
  </si>
  <si>
    <t>Electric home</t>
  </si>
  <si>
    <t>Peak to average load ratio</t>
  </si>
  <si>
    <t>Standard home</t>
  </si>
  <si>
    <t>Business kVA</t>
  </si>
  <si>
    <t>Assumptions within this workbook</t>
  </si>
  <si>
    <t>4001. Consumption assumptions for illustrative customers</t>
  </si>
  <si>
    <t>Peak kW</t>
  </si>
  <si>
    <t>Off-peak kW</t>
  </si>
  <si>
    <t>Other kW</t>
  </si>
  <si>
    <t>Order</t>
  </si>
  <si>
    <t>^(?:Small|LV).*(?:Non[- ]Domestic(?: [UT]|$)|HH Metered$)</t>
  </si>
  <si>
    <t>^(?:Small|LV).*Non[- ]Domestic(?: [UT]|$)</t>
  </si>
  <si>
    <t>^(?:Small|LV).*(?:Non[- ]Domestic [UT]|HH Metered$)</t>
  </si>
  <si>
    <t>(?:^|: |Network)Domestic [UT]</t>
  </si>
  <si>
    <t>^HV.*Gener</t>
  </si>
  <si>
    <t>Large windmill</t>
  </si>
  <si>
    <t>Size XL Off-peak</t>
  </si>
  <si>
    <t>Size XL Intermittent</t>
  </si>
  <si>
    <t>Size XL Peaky</t>
  </si>
  <si>
    <t>Size XL Continuous</t>
  </si>
  <si>
    <t>Size L Off-peak</t>
  </si>
  <si>
    <t>Size L Intermittent</t>
  </si>
  <si>
    <t>Size L Peaky</t>
  </si>
  <si>
    <t>Size L Continuous</t>
  </si>
  <si>
    <t>Size M Off-peak</t>
  </si>
  <si>
    <t>Size M Intermittent</t>
  </si>
  <si>
    <t>Size M Peaky</t>
  </si>
  <si>
    <t>Size M Continuous</t>
  </si>
  <si>
    <t>Size S Off-peak</t>
  </si>
  <si>
    <t>Size S Intermittent</t>
  </si>
  <si>
    <t>Size S Peaky</t>
  </si>
  <si>
    <t>Size S Continuous</t>
  </si>
  <si>
    <t>Size XL Homes electric</t>
  </si>
  <si>
    <t>Size L Homes electric</t>
  </si>
  <si>
    <t>Size M Homes electric</t>
  </si>
  <si>
    <t>Home electric heat</t>
  </si>
  <si>
    <t>Size XL Homes standard</t>
  </si>
  <si>
    <t>Size L Homes standard</t>
  </si>
  <si>
    <t>Size M Homes standard</t>
  </si>
  <si>
    <t>Home standard</t>
  </si>
  <si>
    <t>Home low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</si>
</sst>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\ _(???,???,??0_);[Red]\ \(???,???,??0\);;@"/>
    <numFmt numFmtId="165" formatCode="_-* #,##0.0_-;\-* #,##0.0_-;_-* &quot;-&quot;??_-;_-@_-"/>
    <numFmt numFmtId="166" formatCode="_-* #,##0.000_-;\-* #,##0.000_-;_-* &quot;-&quot;??_-;_-@_-"/>
    <numFmt numFmtId="167" formatCode="??0.0%"/>
    <numFmt numFmtId="168" formatCode="0.0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scheme val="minor"/>
    </font>
    <font>
      <i/>
      <sz val="12"/>
      <color theme="1"/>
      <name val="Calibri"/>
      <scheme val="minor"/>
    </font>
    <font>
      <b/>
      <i/>
      <sz val="15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EDD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EDDFF"/>
        <bgColor rgb="FF000000"/>
      </patternFill>
    </fill>
  </fills>
  <borders count="1">
    <border>
      <left/>
      <right/>
      <top/>
      <bottom/>
      <diagonal/>
    </border>
  </borders>
  <cellStyleXfs count="369">
    <xf numFmtId="0" fontId="0" fillId="0" borderId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49" fontId="3" fillId="0" borderId="0" xfId="0" applyNumberFormat="1" applyFont="1" applyAlignment="1">
      <alignment horizontal="left"/>
    </xf>
    <xf numFmtId="49" fontId="4" fillId="2" borderId="0" xfId="0" applyNumberFormat="1" applyFont="1" applyFill="1" applyAlignment="1">
      <alignment horizontal="center" vertical="center" wrapText="1"/>
    </xf>
    <xf numFmtId="0" fontId="4" fillId="2" borderId="0" xfId="0" applyNumberFormat="1" applyFont="1" applyFill="1" applyAlignment="1">
      <alignment horizontal="left" vertical="center" wrapText="1"/>
    </xf>
    <xf numFmtId="0" fontId="0" fillId="0" borderId="0" xfId="0" applyAlignment="1">
      <alignment wrapText="1"/>
    </xf>
    <xf numFmtId="165" fontId="0" fillId="3" borderId="0" xfId="1" applyNumberFormat="1" applyFont="1" applyFill="1" applyAlignment="1" applyProtection="1">
      <alignment horizontal="center" vertical="center" wrapText="1"/>
      <protection locked="0"/>
    </xf>
    <xf numFmtId="166" fontId="0" fillId="3" borderId="0" xfId="1" applyNumberFormat="1" applyFont="1" applyFill="1" applyAlignment="1" applyProtection="1">
      <alignment horizontal="center" vertical="center" wrapText="1"/>
      <protection locked="0"/>
    </xf>
    <xf numFmtId="164" fontId="0" fillId="3" borderId="0" xfId="0" applyNumberFormat="1" applyFill="1" applyAlignment="1" applyProtection="1">
      <alignment horizontal="center" vertical="center" wrapText="1"/>
      <protection locked="0"/>
    </xf>
    <xf numFmtId="164" fontId="0" fillId="3" borderId="0" xfId="0" applyNumberFormat="1" applyFill="1" applyAlignment="1" applyProtection="1">
      <alignment horizontal="left" vertical="center" wrapText="1"/>
      <protection locked="0"/>
    </xf>
    <xf numFmtId="164" fontId="0" fillId="4" borderId="0" xfId="0" applyNumberFormat="1" applyFill="1" applyAlignment="1">
      <alignment horizontal="center" vertical="center"/>
    </xf>
    <xf numFmtId="167" fontId="0" fillId="4" borderId="0" xfId="132" applyNumberFormat="1" applyFont="1" applyFill="1" applyAlignment="1">
      <alignment horizontal="center" vertical="center"/>
    </xf>
    <xf numFmtId="168" fontId="0" fillId="4" borderId="0" xfId="132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left" vertical="center" wrapText="1"/>
    </xf>
    <xf numFmtId="164" fontId="0" fillId="0" borderId="0" xfId="0" applyNumberFormat="1" applyAlignment="1">
      <alignment wrapText="1"/>
    </xf>
    <xf numFmtId="49" fontId="8" fillId="0" borderId="0" xfId="0" applyNumberFormat="1" applyFont="1" applyAlignment="1">
      <alignment horizontal="centerContinuous"/>
    </xf>
    <xf numFmtId="0" fontId="9" fillId="0" borderId="0" xfId="0" applyFont="1" applyAlignment="1">
      <alignment horizontal="centerContinuous" wrapText="1"/>
    </xf>
    <xf numFmtId="49" fontId="10" fillId="0" borderId="0" xfId="0" applyNumberFormat="1" applyFont="1" applyAlignment="1">
      <alignment horizontal="centerContinuous"/>
    </xf>
  </cellXfs>
  <cellStyles count="369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Normal" xfId="0" builtinId="0"/>
    <cellStyle name="Percent" xfId="13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showGridLines="0" tabSelected="1" workbookViewId="0">
      <selection activeCell="A10" sqref="A10:A35"/>
    </sheetView>
  </sheetViews>
  <sheetFormatPr baseColWidth="10" defaultColWidth="14.1640625" defaultRowHeight="15" x14ac:dyDescent="0"/>
  <cols>
    <col min="1" max="1" width="29.33203125" style="4" customWidth="1"/>
    <col min="2" max="2" width="11" style="4" bestFit="1" customWidth="1"/>
    <col min="3" max="3" width="50.5" style="4" customWidth="1"/>
    <col min="4" max="9" width="13.83203125" style="4" customWidth="1"/>
    <col min="10" max="16384" width="14.1640625" style="4"/>
  </cols>
  <sheetData>
    <row r="1" spans="1:13" ht="19">
      <c r="A1" s="1"/>
      <c r="B1" s="1"/>
      <c r="C1" s="1"/>
      <c r="D1" s="1"/>
      <c r="E1" s="1"/>
      <c r="F1" s="14" t="s">
        <v>16</v>
      </c>
      <c r="G1" s="15"/>
      <c r="H1" s="16"/>
      <c r="I1" s="1"/>
    </row>
    <row r="2" spans="1:13">
      <c r="F2" s="2" t="s">
        <v>18</v>
      </c>
      <c r="G2" s="2" t="s">
        <v>19</v>
      </c>
      <c r="H2" s="2" t="s">
        <v>20</v>
      </c>
    </row>
    <row r="3" spans="1:13">
      <c r="E3" s="3" t="s">
        <v>14</v>
      </c>
      <c r="F3" s="6">
        <v>0.8</v>
      </c>
      <c r="G3" s="6">
        <v>0.25</v>
      </c>
      <c r="H3" s="6">
        <v>0.38841324200913252</v>
      </c>
    </row>
    <row r="4" spans="1:13">
      <c r="E4" s="3" t="s">
        <v>12</v>
      </c>
      <c r="F4" s="6">
        <v>1.1000000000000001</v>
      </c>
      <c r="G4" s="6">
        <v>1.6</v>
      </c>
      <c r="H4" s="6">
        <v>0.43481735159817364</v>
      </c>
    </row>
    <row r="5" spans="1:13" ht="19">
      <c r="A5" s="1"/>
      <c r="B5" s="1"/>
      <c r="E5" s="3" t="s">
        <v>15</v>
      </c>
      <c r="F5" s="6">
        <v>0.7</v>
      </c>
      <c r="G5" s="6">
        <v>0.2</v>
      </c>
      <c r="H5" s="6">
        <v>0.224</v>
      </c>
    </row>
    <row r="6" spans="1:13" ht="19">
      <c r="A6" s="1"/>
      <c r="B6" s="1"/>
      <c r="C6" s="1"/>
      <c r="D6" s="1"/>
      <c r="E6" s="1"/>
      <c r="F6" s="1"/>
      <c r="G6" s="1"/>
      <c r="H6" s="1"/>
      <c r="I6" s="1"/>
    </row>
    <row r="7" spans="1:13" ht="19">
      <c r="A7" s="1" t="s">
        <v>17</v>
      </c>
      <c r="B7" s="1"/>
      <c r="C7" s="1"/>
      <c r="D7" s="1"/>
      <c r="E7" s="1"/>
      <c r="F7" s="1"/>
      <c r="G7" s="1"/>
      <c r="H7" s="1"/>
      <c r="I7" s="1"/>
    </row>
    <row r="9" spans="1:13" ht="28">
      <c r="B9" s="2" t="s">
        <v>21</v>
      </c>
      <c r="C9" s="2" t="s">
        <v>6</v>
      </c>
      <c r="D9" s="2" t="s">
        <v>4</v>
      </c>
      <c r="E9" s="2" t="s">
        <v>2</v>
      </c>
      <c r="F9" s="2" t="s">
        <v>3</v>
      </c>
      <c r="G9" s="2" t="s">
        <v>1</v>
      </c>
      <c r="H9" s="2" t="s">
        <v>5</v>
      </c>
      <c r="I9" s="2" t="s">
        <v>0</v>
      </c>
      <c r="J9" s="2" t="s">
        <v>8</v>
      </c>
      <c r="K9" s="2" t="s">
        <v>9</v>
      </c>
      <c r="L9" s="2" t="s">
        <v>10</v>
      </c>
      <c r="M9" s="2" t="s">
        <v>13</v>
      </c>
    </row>
    <row r="10" spans="1:13">
      <c r="A10" s="3" t="s">
        <v>28</v>
      </c>
      <c r="B10" s="8">
        <v>102</v>
      </c>
      <c r="C10" s="8" t="s">
        <v>11</v>
      </c>
      <c r="D10" s="5"/>
      <c r="E10" s="5">
        <f>0.4*168/0.9</f>
        <v>74.666666666666671</v>
      </c>
      <c r="F10" s="6"/>
      <c r="G10" s="6">
        <f>0.9*I10</f>
        <v>4500</v>
      </c>
      <c r="H10" s="6"/>
      <c r="I10" s="7">
        <v>5000</v>
      </c>
      <c r="J10" s="9">
        <f>(D10*F10+E10*G10+(168-D10-E10)*H10)*365/7</f>
        <v>17520000</v>
      </c>
      <c r="K10" s="9">
        <f>E10*G10*365/7</f>
        <v>17520000</v>
      </c>
      <c r="L10" s="10">
        <f>J10/365/24/I10</f>
        <v>0.4</v>
      </c>
      <c r="M10" s="11">
        <f>MAX(F10,H10)/J10*365*24</f>
        <v>0</v>
      </c>
    </row>
    <row r="11" spans="1:13">
      <c r="A11" s="3" t="s">
        <v>29</v>
      </c>
      <c r="B11" s="8">
        <v>103</v>
      </c>
      <c r="C11" s="8" t="s">
        <v>11</v>
      </c>
      <c r="D11" s="5"/>
      <c r="E11" s="5"/>
      <c r="F11" s="6"/>
      <c r="G11" s="6"/>
      <c r="H11" s="6">
        <f>0.4*I11</f>
        <v>2000</v>
      </c>
      <c r="I11" s="7">
        <v>5000</v>
      </c>
      <c r="J11" s="9">
        <f>(D11*F11+E11*G11+(168-D11-E11)*H11)*365/7</f>
        <v>17520000</v>
      </c>
      <c r="K11" s="9">
        <f>E11*G11*365/7</f>
        <v>0</v>
      </c>
      <c r="L11" s="10">
        <f>J11/365/24/I11</f>
        <v>0.4</v>
      </c>
      <c r="M11" s="11">
        <f>MAX(F11,H11)/J11*365*24</f>
        <v>1</v>
      </c>
    </row>
    <row r="12" spans="1:13">
      <c r="A12" s="3" t="s">
        <v>30</v>
      </c>
      <c r="B12" s="8">
        <v>104</v>
      </c>
      <c r="C12" s="8" t="s">
        <v>11</v>
      </c>
      <c r="D12" s="5">
        <v>66</v>
      </c>
      <c r="E12" s="5">
        <v>77</v>
      </c>
      <c r="F12" s="6">
        <f>F$5*$I12</f>
        <v>3500</v>
      </c>
      <c r="G12" s="6">
        <f>G$5*$I12</f>
        <v>1000</v>
      </c>
      <c r="H12" s="6">
        <f>H$5*$I12</f>
        <v>1120</v>
      </c>
      <c r="I12" s="7">
        <v>5000</v>
      </c>
      <c r="J12" s="9">
        <f>(D12*F12+E12*G12+(168-D12-E12)*H12)*365/7</f>
        <v>17520000</v>
      </c>
      <c r="K12" s="9">
        <f>E12*G12*365/7</f>
        <v>4015000</v>
      </c>
      <c r="L12" s="10">
        <f>J12/365/24/I12</f>
        <v>0.4</v>
      </c>
      <c r="M12" s="11">
        <f>MAX(F12,H12)/J12*365*24</f>
        <v>1.75</v>
      </c>
    </row>
    <row r="13" spans="1:13">
      <c r="A13" s="3" t="s">
        <v>31</v>
      </c>
      <c r="B13" s="8">
        <v>105</v>
      </c>
      <c r="C13" s="8" t="s">
        <v>11</v>
      </c>
      <c r="D13" s="5"/>
      <c r="E13" s="5"/>
      <c r="F13" s="6"/>
      <c r="G13" s="6"/>
      <c r="H13" s="6">
        <f>0.9*I13</f>
        <v>4500</v>
      </c>
      <c r="I13" s="7">
        <v>5000</v>
      </c>
      <c r="J13" s="9">
        <f>(D13*F13+E13*G13+(168-D13-E13)*H13)*365/7</f>
        <v>39420000</v>
      </c>
      <c r="K13" s="9">
        <f>E13*G13*365/7</f>
        <v>0</v>
      </c>
      <c r="L13" s="10">
        <f>J13/365/24/I13</f>
        <v>0.9</v>
      </c>
      <c r="M13" s="11">
        <f>MAX(F13,H13)/J13*365*24</f>
        <v>1</v>
      </c>
    </row>
    <row r="14" spans="1:13">
      <c r="A14" s="12" t="s">
        <v>32</v>
      </c>
      <c r="B14" s="8">
        <v>202</v>
      </c>
      <c r="C14" s="8" t="s">
        <v>7</v>
      </c>
      <c r="D14" s="5"/>
      <c r="E14" s="5">
        <f>0.4*168/0.9</f>
        <v>74.666666666666671</v>
      </c>
      <c r="F14" s="6"/>
      <c r="G14" s="6">
        <f>0.9*I14</f>
        <v>450</v>
      </c>
      <c r="H14" s="6"/>
      <c r="I14" s="7">
        <v>500</v>
      </c>
      <c r="J14" s="9">
        <f>(D14*F14+E14*G14+(168-D14-E14)*H14)*365/7</f>
        <v>1752000</v>
      </c>
      <c r="K14" s="9">
        <f>E14*G14*365/7</f>
        <v>1752000</v>
      </c>
      <c r="L14" s="10">
        <f>J14/365/24/I14</f>
        <v>0.4</v>
      </c>
      <c r="M14" s="11">
        <f>MAX(F14,H14)/J14*365*24</f>
        <v>0</v>
      </c>
    </row>
    <row r="15" spans="1:13">
      <c r="A15" s="3" t="s">
        <v>33</v>
      </c>
      <c r="B15" s="8">
        <v>203</v>
      </c>
      <c r="C15" s="8" t="s">
        <v>7</v>
      </c>
      <c r="D15" s="5"/>
      <c r="E15" s="5"/>
      <c r="F15" s="6"/>
      <c r="G15" s="6"/>
      <c r="H15" s="6">
        <f>0.4*I15</f>
        <v>200</v>
      </c>
      <c r="I15" s="7">
        <v>500</v>
      </c>
      <c r="J15" s="9">
        <f>(D15*F15+E15*G15+(168-D15-E15)*H15)*365/7</f>
        <v>1752000</v>
      </c>
      <c r="K15" s="9">
        <f>E15*G15*365/7</f>
        <v>0</v>
      </c>
      <c r="L15" s="10">
        <f>J15/365/24/I15</f>
        <v>0.4</v>
      </c>
      <c r="M15" s="11">
        <f>MAX(F15,H15)/J15*365*24</f>
        <v>1</v>
      </c>
    </row>
    <row r="16" spans="1:13">
      <c r="A16" s="3" t="s">
        <v>34</v>
      </c>
      <c r="B16" s="8">
        <v>204</v>
      </c>
      <c r="C16" s="8" t="s">
        <v>7</v>
      </c>
      <c r="D16" s="5">
        <v>66</v>
      </c>
      <c r="E16" s="5">
        <v>77</v>
      </c>
      <c r="F16" s="6">
        <f>F$5*$I16</f>
        <v>350</v>
      </c>
      <c r="G16" s="6">
        <f>G$5*$I16</f>
        <v>100</v>
      </c>
      <c r="H16" s="6">
        <f>H$5*$I16</f>
        <v>112</v>
      </c>
      <c r="I16" s="7">
        <v>500</v>
      </c>
      <c r="J16" s="9">
        <f>(D16*F16+E16*G16+(168-D16-E16)*H16)*365/7</f>
        <v>1752000</v>
      </c>
      <c r="K16" s="9">
        <f>E16*G16*365/7</f>
        <v>401500</v>
      </c>
      <c r="L16" s="10">
        <f>J16/365/24/I16</f>
        <v>0.4</v>
      </c>
      <c r="M16" s="11">
        <f>MAX(F16,H16)/J16*365*24</f>
        <v>1.75</v>
      </c>
    </row>
    <row r="17" spans="1:13">
      <c r="A17" s="3" t="s">
        <v>35</v>
      </c>
      <c r="B17" s="8">
        <v>205</v>
      </c>
      <c r="C17" s="8" t="s">
        <v>7</v>
      </c>
      <c r="D17" s="5"/>
      <c r="E17" s="5"/>
      <c r="F17" s="6"/>
      <c r="G17" s="6"/>
      <c r="H17" s="6">
        <f>0.9*I17</f>
        <v>450</v>
      </c>
      <c r="I17" s="7">
        <v>500</v>
      </c>
      <c r="J17" s="9">
        <f>(D17*F17+E17*G17+(168-D17-E17)*H17)*365/7</f>
        <v>3942000</v>
      </c>
      <c r="K17" s="9">
        <f>E17*G17*365/7</f>
        <v>0</v>
      </c>
      <c r="L17" s="10">
        <f>J17/365/24/I17</f>
        <v>0.9</v>
      </c>
      <c r="M17" s="11">
        <f>MAX(F17,H17)/J17*365*24</f>
        <v>1</v>
      </c>
    </row>
    <row r="18" spans="1:13">
      <c r="A18" s="3" t="s">
        <v>36</v>
      </c>
      <c r="B18" s="8">
        <v>302</v>
      </c>
      <c r="C18" s="8" t="s">
        <v>22</v>
      </c>
      <c r="D18" s="5"/>
      <c r="E18" s="5">
        <f>0.4*168/0.9</f>
        <v>74.666666666666671</v>
      </c>
      <c r="F18" s="6"/>
      <c r="G18" s="6">
        <f>0.9*I18</f>
        <v>62.1</v>
      </c>
      <c r="H18" s="6"/>
      <c r="I18" s="7">
        <v>69</v>
      </c>
      <c r="J18" s="9">
        <f>(D18*F18+E18*G18+(168-D18-E18)*H18)*365/7</f>
        <v>241776</v>
      </c>
      <c r="K18" s="9">
        <f>E18*G18*365/7</f>
        <v>241776</v>
      </c>
      <c r="L18" s="10">
        <f>J18/365/24/I18</f>
        <v>0.39999999999999997</v>
      </c>
      <c r="M18" s="11">
        <f>MAX(F18,H18)/J18*365*24</f>
        <v>0</v>
      </c>
    </row>
    <row r="19" spans="1:13">
      <c r="A19" s="3" t="s">
        <v>37</v>
      </c>
      <c r="B19" s="8">
        <v>303</v>
      </c>
      <c r="C19" s="8" t="s">
        <v>22</v>
      </c>
      <c r="D19" s="5"/>
      <c r="E19" s="5"/>
      <c r="F19" s="6"/>
      <c r="G19" s="6"/>
      <c r="H19" s="6">
        <f>0.4*I19</f>
        <v>27.6</v>
      </c>
      <c r="I19" s="7">
        <v>69</v>
      </c>
      <c r="J19" s="9">
        <f>(D19*F19+E19*G19+(168-D19-E19)*H19)*365/7</f>
        <v>241776</v>
      </c>
      <c r="K19" s="9">
        <f>E19*G19*365/7</f>
        <v>0</v>
      </c>
      <c r="L19" s="10">
        <f>J19/365/24/I19</f>
        <v>0.39999999999999997</v>
      </c>
      <c r="M19" s="11">
        <f>MAX(F19,H19)/J19*365*24</f>
        <v>1</v>
      </c>
    </row>
    <row r="20" spans="1:13">
      <c r="A20" s="3" t="s">
        <v>38</v>
      </c>
      <c r="B20" s="8">
        <v>304</v>
      </c>
      <c r="C20" s="8" t="s">
        <v>22</v>
      </c>
      <c r="D20" s="5">
        <v>66</v>
      </c>
      <c r="E20" s="5">
        <v>77</v>
      </c>
      <c r="F20" s="6">
        <f>F$5*$I20</f>
        <v>48.3</v>
      </c>
      <c r="G20" s="6">
        <f>G$5*$I20</f>
        <v>13.8</v>
      </c>
      <c r="H20" s="6">
        <f>H$5*$I20</f>
        <v>15.456</v>
      </c>
      <c r="I20" s="7">
        <v>69</v>
      </c>
      <c r="J20" s="9">
        <f>(D20*F20+E20*G20+(168-D20-E20)*H20)*365/7</f>
        <v>241775.99999999997</v>
      </c>
      <c r="K20" s="9">
        <f>E20*G20*365/7</f>
        <v>55407.000000000007</v>
      </c>
      <c r="L20" s="10">
        <f>J20/365/24/I20</f>
        <v>0.39999999999999991</v>
      </c>
      <c r="M20" s="11">
        <f>MAX(F20,H20)/J20*365*24</f>
        <v>1.75</v>
      </c>
    </row>
    <row r="21" spans="1:13">
      <c r="A21" s="3" t="s">
        <v>39</v>
      </c>
      <c r="B21" s="8">
        <v>305</v>
      </c>
      <c r="C21" s="8" t="s">
        <v>22</v>
      </c>
      <c r="D21" s="5"/>
      <c r="E21" s="5"/>
      <c r="F21" s="6"/>
      <c r="G21" s="6"/>
      <c r="H21" s="6">
        <f>0.9*I21</f>
        <v>62.1</v>
      </c>
      <c r="I21" s="7">
        <v>69</v>
      </c>
      <c r="J21" s="9">
        <f>(D21*F21+E21*G21+(168-D21-E21)*H21)*365/7</f>
        <v>543996.00000000012</v>
      </c>
      <c r="K21" s="9">
        <f>E21*G21*365/7</f>
        <v>0</v>
      </c>
      <c r="L21" s="10">
        <f>J21/365/24/I21</f>
        <v>0.90000000000000024</v>
      </c>
      <c r="M21" s="11">
        <f>MAX(F21,H21)/J21*365*24</f>
        <v>0.99999999999999978</v>
      </c>
    </row>
    <row r="22" spans="1:13">
      <c r="A22" s="3" t="s">
        <v>40</v>
      </c>
      <c r="B22" s="8">
        <v>402</v>
      </c>
      <c r="C22" s="8" t="s">
        <v>23</v>
      </c>
      <c r="D22" s="5"/>
      <c r="E22" s="5">
        <f>0.4*168/0.9</f>
        <v>74.666666666666671</v>
      </c>
      <c r="F22" s="6"/>
      <c r="G22" s="6">
        <f>0.9*I22</f>
        <v>20.7</v>
      </c>
      <c r="H22" s="6"/>
      <c r="I22" s="7">
        <v>23</v>
      </c>
      <c r="J22" s="9">
        <f>(D22*F22+E22*G22+(168-D22-E22)*H22)*365/7</f>
        <v>80592</v>
      </c>
      <c r="K22" s="9">
        <f>E22*G22*365/7</f>
        <v>80592</v>
      </c>
      <c r="L22" s="10">
        <f>J22/365/24/I22</f>
        <v>0.4</v>
      </c>
      <c r="M22" s="11">
        <f>MAX(F22,H22)/J22*365*24</f>
        <v>0</v>
      </c>
    </row>
    <row r="23" spans="1:13">
      <c r="A23" s="3" t="s">
        <v>41</v>
      </c>
      <c r="B23" s="8">
        <v>403</v>
      </c>
      <c r="C23" s="8" t="s">
        <v>23</v>
      </c>
      <c r="D23" s="5"/>
      <c r="E23" s="5"/>
      <c r="F23" s="6"/>
      <c r="G23" s="6"/>
      <c r="H23" s="6">
        <f>0.4*I23</f>
        <v>9.2000000000000011</v>
      </c>
      <c r="I23" s="7">
        <v>23</v>
      </c>
      <c r="J23" s="9">
        <f>(D23*F23+E23*G23+(168-D23-E23)*H23)*365/7</f>
        <v>80592</v>
      </c>
      <c r="K23" s="9">
        <f>E23*G23*365/7</f>
        <v>0</v>
      </c>
      <c r="L23" s="10">
        <f>J23/365/24/I23</f>
        <v>0.4</v>
      </c>
      <c r="M23" s="11">
        <f>MAX(F23,H23)/J23*365*24</f>
        <v>1</v>
      </c>
    </row>
    <row r="24" spans="1:13">
      <c r="A24" s="3" t="s">
        <v>42</v>
      </c>
      <c r="B24" s="8">
        <v>404</v>
      </c>
      <c r="C24" s="8" t="s">
        <v>23</v>
      </c>
      <c r="D24" s="5">
        <v>66</v>
      </c>
      <c r="E24" s="5">
        <v>77</v>
      </c>
      <c r="F24" s="6">
        <f>F$5*$I24</f>
        <v>16.099999999999998</v>
      </c>
      <c r="G24" s="6">
        <f>G$5*$I24</f>
        <v>4.6000000000000005</v>
      </c>
      <c r="H24" s="6">
        <f>H$5*$I24</f>
        <v>5.1520000000000001</v>
      </c>
      <c r="I24" s="7">
        <v>23</v>
      </c>
      <c r="J24" s="9">
        <f>(D24*F24+E24*G24+(168-D24-E24)*H24)*365/7</f>
        <v>80592</v>
      </c>
      <c r="K24" s="9">
        <f>E24*G24*365/7</f>
        <v>18469.000000000004</v>
      </c>
      <c r="L24" s="10">
        <f>J24/365/24/I24</f>
        <v>0.4</v>
      </c>
      <c r="M24" s="11">
        <f>MAX(F24,H24)/J24*365*24</f>
        <v>1.7499999999999998</v>
      </c>
    </row>
    <row r="25" spans="1:13">
      <c r="A25" s="3" t="s">
        <v>43</v>
      </c>
      <c r="B25" s="8">
        <v>405</v>
      </c>
      <c r="C25" s="8" t="s">
        <v>23</v>
      </c>
      <c r="D25" s="5"/>
      <c r="E25" s="5"/>
      <c r="F25" s="6"/>
      <c r="G25" s="6"/>
      <c r="H25" s="6">
        <f>0.9*I25</f>
        <v>20.7</v>
      </c>
      <c r="I25" s="7">
        <v>23</v>
      </c>
      <c r="J25" s="9">
        <f>(D25*F25+E25*G25+(168-D25-E25)*H25)*365/7</f>
        <v>181332</v>
      </c>
      <c r="K25" s="9">
        <f>E25*G25*365/7</f>
        <v>0</v>
      </c>
      <c r="L25" s="10">
        <f>J25/365/24/I25</f>
        <v>0.9</v>
      </c>
      <c r="M25" s="11">
        <f>MAX(F25,H25)/J25*365*24</f>
        <v>1</v>
      </c>
    </row>
    <row r="26" spans="1:13">
      <c r="A26" s="3" t="s">
        <v>27</v>
      </c>
      <c r="B26" s="8">
        <v>500</v>
      </c>
      <c r="C26" s="8" t="s">
        <v>26</v>
      </c>
      <c r="D26" s="5"/>
      <c r="E26" s="5"/>
      <c r="F26" s="6"/>
      <c r="G26" s="6"/>
      <c r="H26" s="6">
        <v>500</v>
      </c>
      <c r="I26" s="7">
        <v>1500</v>
      </c>
      <c r="J26" s="9">
        <f>(D26*F26+E26*G26+(168-D26-E26)*H26)*365/7</f>
        <v>4380000</v>
      </c>
      <c r="K26" s="9">
        <f>E26*G26*365/7</f>
        <v>0</v>
      </c>
      <c r="L26" s="10">
        <f>J26/365/24/I26</f>
        <v>0.33333333333333331</v>
      </c>
      <c r="M26" s="11">
        <f>MAX(F26,H26)/J26*365*24</f>
        <v>1</v>
      </c>
    </row>
    <row r="27" spans="1:13">
      <c r="A27" s="3" t="s">
        <v>44</v>
      </c>
      <c r="B27" s="8">
        <v>762</v>
      </c>
      <c r="C27" s="8" t="s">
        <v>11</v>
      </c>
      <c r="D27" s="5">
        <v>35</v>
      </c>
      <c r="E27" s="5">
        <v>49</v>
      </c>
      <c r="F27" s="6">
        <f>1000*F$4</f>
        <v>1100</v>
      </c>
      <c r="G27" s="6">
        <f>1000*G$4</f>
        <v>1600</v>
      </c>
      <c r="H27" s="6">
        <f>1000*H$4</f>
        <v>434.81735159817362</v>
      </c>
      <c r="I27" s="7">
        <v>5000</v>
      </c>
      <c r="J27" s="9">
        <f>(D27*F27+E27*G27+(168-D27-E27)*H27)*365/7</f>
        <v>8000000</v>
      </c>
      <c r="K27" s="9">
        <f>E27*G27*365/7</f>
        <v>4088000</v>
      </c>
      <c r="L27" s="10">
        <f>J27/365/24/I27</f>
        <v>0.18264840182648401</v>
      </c>
      <c r="M27" s="11">
        <f>MAX(F27,H27)/J27*365*24</f>
        <v>1.2045000000000001</v>
      </c>
    </row>
    <row r="28" spans="1:13">
      <c r="A28" s="12" t="s">
        <v>45</v>
      </c>
      <c r="B28" s="8">
        <v>763</v>
      </c>
      <c r="C28" s="8" t="s">
        <v>7</v>
      </c>
      <c r="D28" s="5">
        <v>35</v>
      </c>
      <c r="E28" s="5">
        <v>49</v>
      </c>
      <c r="F28" s="6">
        <f>100*F$4</f>
        <v>110.00000000000001</v>
      </c>
      <c r="G28" s="6">
        <f>100*G$4</f>
        <v>160</v>
      </c>
      <c r="H28" s="6">
        <f>100*H$4</f>
        <v>43.481735159817362</v>
      </c>
      <c r="I28" s="7">
        <v>500</v>
      </c>
      <c r="J28" s="9">
        <f>(D28*F28+E28*G28+(168-D28-E28)*H28)*365/7</f>
        <v>800000</v>
      </c>
      <c r="K28" s="9">
        <f>E28*G28*365/7</f>
        <v>408800</v>
      </c>
      <c r="L28" s="10">
        <f>J28/365/24/I28</f>
        <v>0.18264840182648401</v>
      </c>
      <c r="M28" s="11">
        <f>MAX(F28,H28)/J28*365*24</f>
        <v>1.2045000000000001</v>
      </c>
    </row>
    <row r="29" spans="1:13">
      <c r="A29" s="3" t="s">
        <v>46</v>
      </c>
      <c r="B29" s="8">
        <v>764</v>
      </c>
      <c r="C29" s="8" t="s">
        <v>24</v>
      </c>
      <c r="D29" s="5">
        <v>35</v>
      </c>
      <c r="E29" s="5">
        <v>49</v>
      </c>
      <c r="F29" s="6">
        <f>10*F$4</f>
        <v>11</v>
      </c>
      <c r="G29" s="6">
        <f>10*G$4</f>
        <v>16</v>
      </c>
      <c r="H29" s="6">
        <f>10*H$4</f>
        <v>4.3481735159817365</v>
      </c>
      <c r="I29" s="7">
        <v>69</v>
      </c>
      <c r="J29" s="9">
        <f>(D29*F29+E29*G29+(168-D29-E29)*H29)*365/7</f>
        <v>80000</v>
      </c>
      <c r="K29" s="9">
        <f>E29*G29*365/7</f>
        <v>40880</v>
      </c>
      <c r="L29" s="10">
        <f>J29/365/24/I29</f>
        <v>0.13235391436701741</v>
      </c>
      <c r="M29" s="11">
        <f>MAX(F29,H29)/J29*365*24</f>
        <v>1.2045000000000001</v>
      </c>
    </row>
    <row r="30" spans="1:13">
      <c r="A30" s="3" t="s">
        <v>47</v>
      </c>
      <c r="B30" s="8">
        <v>765</v>
      </c>
      <c r="C30" s="8" t="s">
        <v>25</v>
      </c>
      <c r="D30" s="5">
        <v>35</v>
      </c>
      <c r="E30" s="5">
        <v>49</v>
      </c>
      <c r="F30" s="6">
        <f>F$4</f>
        <v>1.1000000000000001</v>
      </c>
      <c r="G30" s="6">
        <f>G$4</f>
        <v>1.6</v>
      </c>
      <c r="H30" s="6">
        <f>H$4</f>
        <v>0.43481735159817364</v>
      </c>
      <c r="I30" s="7">
        <v>18</v>
      </c>
      <c r="J30" s="9">
        <f>(D30*F30+E30*G30+(168-D30-E30)*H30)*365/7</f>
        <v>8000.0000000000009</v>
      </c>
      <c r="K30" s="9">
        <f>E30*G30*365/7</f>
        <v>4088.0000000000005</v>
      </c>
      <c r="L30" s="10">
        <f>J30/365/24/I30</f>
        <v>5.0735667174023343E-2</v>
      </c>
      <c r="M30" s="11">
        <f>MAX(F30,H30)/J30*365*24</f>
        <v>1.2045000000000001</v>
      </c>
    </row>
    <row r="31" spans="1:13">
      <c r="A31" s="12" t="s">
        <v>48</v>
      </c>
      <c r="B31" s="8">
        <v>772</v>
      </c>
      <c r="C31" s="8" t="s">
        <v>11</v>
      </c>
      <c r="D31" s="5">
        <v>35</v>
      </c>
      <c r="E31" s="5">
        <v>49</v>
      </c>
      <c r="F31" s="6">
        <f>2500*F$3</f>
        <v>2000</v>
      </c>
      <c r="G31" s="6">
        <f>2500*G$3</f>
        <v>625</v>
      </c>
      <c r="H31" s="6">
        <f>2500*H$3</f>
        <v>971.03310502283125</v>
      </c>
      <c r="I31" s="7">
        <v>5000</v>
      </c>
      <c r="J31" s="9">
        <f>(D31*F31+E31*G31+(168-D31-E31)*H31)*365/7</f>
        <v>9500000</v>
      </c>
      <c r="K31" s="9">
        <f>E31*G31*365/7</f>
        <v>1596875</v>
      </c>
      <c r="L31" s="10">
        <f>J31/365/24/I31</f>
        <v>0.21689497716894979</v>
      </c>
      <c r="M31" s="11">
        <f>MAX(F31,H31)/J31*365*24</f>
        <v>1.8442105263157895</v>
      </c>
    </row>
    <row r="32" spans="1:13">
      <c r="A32" s="3" t="s">
        <v>49</v>
      </c>
      <c r="B32" s="8">
        <v>773</v>
      </c>
      <c r="C32" s="8" t="s">
        <v>7</v>
      </c>
      <c r="D32" s="5">
        <v>35</v>
      </c>
      <c r="E32" s="5">
        <v>49</v>
      </c>
      <c r="F32" s="6">
        <f>250*F$3</f>
        <v>200</v>
      </c>
      <c r="G32" s="6">
        <f>250*G$3</f>
        <v>62.5</v>
      </c>
      <c r="H32" s="6">
        <f>250*H$3</f>
        <v>97.103310502283136</v>
      </c>
      <c r="I32" s="7">
        <v>500</v>
      </c>
      <c r="J32" s="9">
        <f>(D32*F32+E32*G32+(168-D32-E32)*H32)*365/7</f>
        <v>950000.00000000023</v>
      </c>
      <c r="K32" s="9">
        <f>E32*G32*365/7</f>
        <v>159687.5</v>
      </c>
      <c r="L32" s="10">
        <f>J32/365/24/I32</f>
        <v>0.21689497716894982</v>
      </c>
      <c r="M32" s="11">
        <f>MAX(F32,H32)/J32*365*24</f>
        <v>1.8442105263157891</v>
      </c>
    </row>
    <row r="33" spans="1:13">
      <c r="A33" s="3" t="s">
        <v>50</v>
      </c>
      <c r="B33" s="8">
        <v>774</v>
      </c>
      <c r="C33" s="8" t="s">
        <v>24</v>
      </c>
      <c r="D33" s="5">
        <v>35</v>
      </c>
      <c r="E33" s="5">
        <v>49</v>
      </c>
      <c r="F33" s="6">
        <f>25*F$3</f>
        <v>20</v>
      </c>
      <c r="G33" s="6">
        <f>25*G$3</f>
        <v>6.25</v>
      </c>
      <c r="H33" s="6">
        <f>25*H$3</f>
        <v>9.7103310502283122</v>
      </c>
      <c r="I33" s="7">
        <v>69</v>
      </c>
      <c r="J33" s="9">
        <f>(D33*F33+E33*G33+(168-D33-E33)*H33)*365/7</f>
        <v>95000.000000000015</v>
      </c>
      <c r="K33" s="9">
        <f>E33*G33*365/7</f>
        <v>15968.75</v>
      </c>
      <c r="L33" s="10">
        <f>J33/365/24/I33</f>
        <v>0.15717027331083319</v>
      </c>
      <c r="M33" s="11">
        <f>MAX(F33,H33)/J33*365*24</f>
        <v>1.8442105263157891</v>
      </c>
    </row>
    <row r="34" spans="1:13">
      <c r="A34" s="3" t="s">
        <v>51</v>
      </c>
      <c r="B34" s="8">
        <v>802</v>
      </c>
      <c r="C34" s="8" t="s">
        <v>25</v>
      </c>
      <c r="D34" s="5">
        <v>35</v>
      </c>
      <c r="E34" s="5">
        <v>49</v>
      </c>
      <c r="F34" s="6">
        <f>F$3</f>
        <v>0.8</v>
      </c>
      <c r="G34" s="6">
        <f>G$3</f>
        <v>0.25</v>
      </c>
      <c r="H34" s="6">
        <f>H$3</f>
        <v>0.38841324200913252</v>
      </c>
      <c r="I34" s="7">
        <v>9</v>
      </c>
      <c r="J34" s="9">
        <f>(D34*F34+E34*G34+(168-D34-E34)*H34)*365/7</f>
        <v>3800</v>
      </c>
      <c r="K34" s="9">
        <f>E34*G34*365/7</f>
        <v>638.75</v>
      </c>
      <c r="L34" s="10">
        <f>J34/365/24/I34</f>
        <v>4.8198883815322176E-2</v>
      </c>
      <c r="M34" s="11">
        <f>MAX(F34,H34)/J34*365*24</f>
        <v>1.8442105263157895</v>
      </c>
    </row>
    <row r="35" spans="1:13">
      <c r="A35" s="3" t="s">
        <v>52</v>
      </c>
      <c r="B35" s="8">
        <v>803</v>
      </c>
      <c r="C35" s="8" t="s">
        <v>25</v>
      </c>
      <c r="D35" s="5">
        <v>35</v>
      </c>
      <c r="E35" s="5">
        <v>49</v>
      </c>
      <c r="F35" s="6">
        <f>F$3/2</f>
        <v>0.4</v>
      </c>
      <c r="G35" s="6">
        <f>G$3/2</f>
        <v>0.125</v>
      </c>
      <c r="H35" s="6">
        <f>H$3/2</f>
        <v>0.19420662100456626</v>
      </c>
      <c r="I35" s="7">
        <v>6</v>
      </c>
      <c r="J35" s="9">
        <f>(D35*F35+E35*G35+(168-D35-E35)*H35)*365/7</f>
        <v>1900</v>
      </c>
      <c r="K35" s="9">
        <f>E35*G35*365/7</f>
        <v>319.375</v>
      </c>
      <c r="L35" s="10">
        <f>J35/365/24/I35</f>
        <v>3.6149162861491634E-2</v>
      </c>
      <c r="M35" s="11">
        <f>MAX(F35,H35)/J35*365*24</f>
        <v>1.8442105263157895</v>
      </c>
    </row>
    <row r="36" spans="1:13">
      <c r="B36" s="13"/>
    </row>
  </sheetData>
  <autoFilter ref="A9:M31">
    <sortState ref="A10:M35">
      <sortCondition ref="B9:B35"/>
    </sortState>
  </autoFilter>
  <sortState ref="A5:L23">
    <sortCondition ref="A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4001</vt:lpstr>
    </vt:vector>
  </TitlesOfParts>
  <Manager/>
  <Company>Reckon LLP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Franck Latrémolière (Reckon)</dc:creator>
  <cp:keywords/>
  <dc:description/>
  <cp:lastModifiedBy>Franck Latrémolière (Reckon)</cp:lastModifiedBy>
  <dcterms:created xsi:type="dcterms:W3CDTF">2014-09-01T23:34:21Z</dcterms:created>
  <dcterms:modified xsi:type="dcterms:W3CDTF">2014-11-04T00:30:37Z</dcterms:modified>
  <cp:category/>
</cp:coreProperties>
</file>