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460" windowWidth="28580" windowHeight="16320" tabRatio="500"/>
  </bookViews>
  <sheets>
    <sheet name="1202" sheetId="1" r:id="rId1"/>
  </sheets>
  <definedNames>
    <definedName name="_xlnm._FilterDatabase" localSheetId="0" hidden="1">'1202'!$A$13:$M$40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G17" i="1"/>
  <c r="H17" i="1"/>
  <c r="F16" i="1"/>
  <c r="G16" i="1"/>
  <c r="H16" i="1"/>
  <c r="F15" i="1"/>
  <c r="G15" i="1"/>
  <c r="H15" i="1"/>
  <c r="F14" i="1"/>
  <c r="G14" i="1"/>
  <c r="H14" i="1"/>
  <c r="J39" i="1"/>
  <c r="M39" i="1"/>
  <c r="L39" i="1"/>
  <c r="K39" i="1"/>
  <c r="D15" i="1"/>
  <c r="E15" i="1"/>
  <c r="J15" i="1"/>
  <c r="L15" i="1"/>
  <c r="M15" i="1"/>
  <c r="D16" i="1"/>
  <c r="E16" i="1"/>
  <c r="J16" i="1"/>
  <c r="L16" i="1"/>
  <c r="M16" i="1"/>
  <c r="D17" i="1"/>
  <c r="E17" i="1"/>
  <c r="J17" i="1"/>
  <c r="L17" i="1"/>
  <c r="M17" i="1"/>
  <c r="D18" i="1"/>
  <c r="F18" i="1"/>
  <c r="E18" i="1"/>
  <c r="G18" i="1"/>
  <c r="H18" i="1"/>
  <c r="J18" i="1"/>
  <c r="L18" i="1"/>
  <c r="M18" i="1"/>
  <c r="D19" i="1"/>
  <c r="F19" i="1"/>
  <c r="E19" i="1"/>
  <c r="G19" i="1"/>
  <c r="H19" i="1"/>
  <c r="J19" i="1"/>
  <c r="L19" i="1"/>
  <c r="M19" i="1"/>
  <c r="D20" i="1"/>
  <c r="F20" i="1"/>
  <c r="E20" i="1"/>
  <c r="G20" i="1"/>
  <c r="H20" i="1"/>
  <c r="J20" i="1"/>
  <c r="L20" i="1"/>
  <c r="M20" i="1"/>
  <c r="D21" i="1"/>
  <c r="F21" i="1"/>
  <c r="E21" i="1"/>
  <c r="G21" i="1"/>
  <c r="H21" i="1"/>
  <c r="J21" i="1"/>
  <c r="L21" i="1"/>
  <c r="M21" i="1"/>
  <c r="D22" i="1"/>
  <c r="F22" i="1"/>
  <c r="E22" i="1"/>
  <c r="G22" i="1"/>
  <c r="H22" i="1"/>
  <c r="J22" i="1"/>
  <c r="L22" i="1"/>
  <c r="M22" i="1"/>
  <c r="D23" i="1"/>
  <c r="F23" i="1"/>
  <c r="E23" i="1"/>
  <c r="G23" i="1"/>
  <c r="H23" i="1"/>
  <c r="J23" i="1"/>
  <c r="L23" i="1"/>
  <c r="M23" i="1"/>
  <c r="D24" i="1"/>
  <c r="F24" i="1"/>
  <c r="E24" i="1"/>
  <c r="G24" i="1"/>
  <c r="H24" i="1"/>
  <c r="J24" i="1"/>
  <c r="L24" i="1"/>
  <c r="M24" i="1"/>
  <c r="D25" i="1"/>
  <c r="F25" i="1"/>
  <c r="E25" i="1"/>
  <c r="G25" i="1"/>
  <c r="H25" i="1"/>
  <c r="J25" i="1"/>
  <c r="L25" i="1"/>
  <c r="M25" i="1"/>
  <c r="D26" i="1"/>
  <c r="F26" i="1"/>
  <c r="E26" i="1"/>
  <c r="G26" i="1"/>
  <c r="H26" i="1"/>
  <c r="J26" i="1"/>
  <c r="L26" i="1"/>
  <c r="M26" i="1"/>
  <c r="D27" i="1"/>
  <c r="F27" i="1"/>
  <c r="E27" i="1"/>
  <c r="G27" i="1"/>
  <c r="H27" i="1"/>
  <c r="J27" i="1"/>
  <c r="L27" i="1"/>
  <c r="M27" i="1"/>
  <c r="D28" i="1"/>
  <c r="F28" i="1"/>
  <c r="E28" i="1"/>
  <c r="G28" i="1"/>
  <c r="H28" i="1"/>
  <c r="J28" i="1"/>
  <c r="L28" i="1"/>
  <c r="M28" i="1"/>
  <c r="D29" i="1"/>
  <c r="F29" i="1"/>
  <c r="E29" i="1"/>
  <c r="G29" i="1"/>
  <c r="H29" i="1"/>
  <c r="J29" i="1"/>
  <c r="L29" i="1"/>
  <c r="M29" i="1"/>
  <c r="D30" i="1"/>
  <c r="F30" i="1"/>
  <c r="E30" i="1"/>
  <c r="G30" i="1"/>
  <c r="H30" i="1"/>
  <c r="J30" i="1"/>
  <c r="L30" i="1"/>
  <c r="M30" i="1"/>
  <c r="D31" i="1"/>
  <c r="F31" i="1"/>
  <c r="E31" i="1"/>
  <c r="G31" i="1"/>
  <c r="H31" i="1"/>
  <c r="J31" i="1"/>
  <c r="L31" i="1"/>
  <c r="M31" i="1"/>
  <c r="D32" i="1"/>
  <c r="F32" i="1"/>
  <c r="E32" i="1"/>
  <c r="G32" i="1"/>
  <c r="H32" i="1"/>
  <c r="J32" i="1"/>
  <c r="L32" i="1"/>
  <c r="M32" i="1"/>
  <c r="D33" i="1"/>
  <c r="F33" i="1"/>
  <c r="E33" i="1"/>
  <c r="G33" i="1"/>
  <c r="H33" i="1"/>
  <c r="J33" i="1"/>
  <c r="L33" i="1"/>
  <c r="M33" i="1"/>
  <c r="D34" i="1"/>
  <c r="F34" i="1"/>
  <c r="E34" i="1"/>
  <c r="G34" i="1"/>
  <c r="H34" i="1"/>
  <c r="J34" i="1"/>
  <c r="L34" i="1"/>
  <c r="M34" i="1"/>
  <c r="D35" i="1"/>
  <c r="F35" i="1"/>
  <c r="E35" i="1"/>
  <c r="G35" i="1"/>
  <c r="H35" i="1"/>
  <c r="J35" i="1"/>
  <c r="L35" i="1"/>
  <c r="M35" i="1"/>
  <c r="D36" i="1"/>
  <c r="F36" i="1"/>
  <c r="E36" i="1"/>
  <c r="G36" i="1"/>
  <c r="H36" i="1"/>
  <c r="J36" i="1"/>
  <c r="L36" i="1"/>
  <c r="M36" i="1"/>
  <c r="D37" i="1"/>
  <c r="F37" i="1"/>
  <c r="E37" i="1"/>
  <c r="G37" i="1"/>
  <c r="H37" i="1"/>
  <c r="J37" i="1"/>
  <c r="L37" i="1"/>
  <c r="M37" i="1"/>
  <c r="D38" i="1"/>
  <c r="F38" i="1"/>
  <c r="E38" i="1"/>
  <c r="G38" i="1"/>
  <c r="H38" i="1"/>
  <c r="J38" i="1"/>
  <c r="L38" i="1"/>
  <c r="M38" i="1"/>
  <c r="J40" i="1"/>
  <c r="L40" i="1"/>
  <c r="M40" i="1"/>
  <c r="J41" i="1"/>
  <c r="L41" i="1"/>
  <c r="M41" i="1"/>
  <c r="D14" i="1"/>
  <c r="E14" i="1"/>
  <c r="J14" i="1"/>
  <c r="M14" i="1"/>
  <c r="L14" i="1"/>
  <c r="K41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14" i="1"/>
  <c r="B29" i="1"/>
  <c r="B35" i="1"/>
  <c r="B28" i="1"/>
  <c r="B34" i="1"/>
  <c r="B19" i="1"/>
  <c r="B25" i="1"/>
  <c r="B31" i="1"/>
  <c r="B18" i="1"/>
  <c r="B24" i="1"/>
  <c r="B30" i="1"/>
  <c r="B21" i="1"/>
  <c r="B27" i="1"/>
  <c r="B33" i="1"/>
  <c r="B20" i="1"/>
  <c r="B26" i="1"/>
  <c r="B32" i="1"/>
</calcChain>
</file>

<file path=xl/sharedStrings.xml><?xml version="1.0" encoding="utf-8"?>
<sst xmlns="http://schemas.openxmlformats.org/spreadsheetml/2006/main" count="94" uniqueCount="69">
  <si>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</si>
  <si>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</si>
  <si>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</si>
  <si>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</si>
  <si>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</si>
  <si>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</si>
  <si>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</si>
  <si>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Load factor (kW/kVA)</t>
  </si>
  <si>
    <t>Electric home</t>
  </si>
  <si>
    <t>Peak to average load ratio</t>
  </si>
  <si>
    <t>Standard home</t>
  </si>
  <si>
    <t>Business kVA</t>
  </si>
  <si>
    <t>Peak kW</t>
  </si>
  <si>
    <t>Off-peak kW</t>
  </si>
  <si>
    <t>Other kW</t>
  </si>
  <si>
    <t>Order</t>
  </si>
  <si>
    <t>Peak hours</t>
  </si>
  <si>
    <t>Off-peak hours</t>
  </si>
  <si>
    <t>(?:^|: |Network )Domestic [UT]</t>
  </si>
  <si>
    <t>Off-peak kVA</t>
  </si>
  <si>
    <t>Continuous kVA</t>
  </si>
  <si>
    <t>Intermittent</t>
  </si>
  <si>
    <t>XL</t>
  </si>
  <si>
    <t>Gener</t>
  </si>
  <si>
    <t>Domestic</t>
  </si>
  <si>
    <t>Large</t>
  </si>
  <si>
    <t>Medium</t>
  </si>
  <si>
    <t>Small</t>
  </si>
  <si>
    <t>Regular expression</t>
  </si>
  <si>
    <t>Gen</t>
  </si>
  <si>
    <t>Small off-peak</t>
  </si>
  <si>
    <t>Small continuous</t>
  </si>
  <si>
    <t>Small business</t>
  </si>
  <si>
    <t>Small intermittent</t>
  </si>
  <si>
    <t>Medium off-peak</t>
  </si>
  <si>
    <t>Medium intermittent</t>
  </si>
  <si>
    <t>Medium business</t>
  </si>
  <si>
    <t>Medium continuous</t>
  </si>
  <si>
    <t>Large off-peak</t>
  </si>
  <si>
    <t>Large intermittent</t>
  </si>
  <si>
    <t>Large business</t>
  </si>
  <si>
    <t>Large continuous</t>
  </si>
  <si>
    <t>XL off-peak</t>
  </si>
  <si>
    <t>XL intermittent</t>
  </si>
  <si>
    <t>XL business</t>
  </si>
  <si>
    <t>XL continuous</t>
  </si>
  <si>
    <t>Domestic low use</t>
  </si>
  <si>
    <t>Domestic electric heat</t>
  </si>
  <si>
    <t>Medium housing electric</t>
  </si>
  <si>
    <t>Medium housing standard</t>
  </si>
  <si>
    <t>Large housing electric</t>
  </si>
  <si>
    <t>Large housing standard</t>
  </si>
  <si>
    <t>XL housing electric</t>
  </si>
  <si>
    <t>XL housing standard</t>
  </si>
  <si>
    <t>(?:^|: )(?:LV Network Domestic|Domestic [UT])</t>
  </si>
  <si>
    <t>Average kWh/year</t>
  </si>
  <si>
    <t>Average rate 2 kWh/year</t>
  </si>
  <si>
    <t>All-the-way generation</t>
  </si>
  <si>
    <t>^(?:|LDNO .*: )HV HH Metered$</t>
  </si>
  <si>
    <t>^(?:LV|LV Sub|HV|LDNO .*:) HH Metered$</t>
  </si>
  <si>
    <t>All-the-way demand</t>
  </si>
  <si>
    <t>1202. Consumption assumptions for illustrative customers</t>
  </si>
  <si>
    <t>^(?:Small|LV).*Non[- ]Domestic(?: [UTN]|$)</t>
  </si>
  <si>
    <t>^(?:Small|LV).*(?:Non[- ]Domestic(?: [UTN]|$)|HH Metered$)</t>
  </si>
  <si>
    <t>^(?:LV|LV Sub|HV|HV Sub|LDNO .*:) HH Metered$</t>
  </si>
  <si>
    <t>Custom demand</t>
  </si>
  <si>
    <t>Custom demand 2</t>
  </si>
  <si>
    <t>Custom generation</t>
  </si>
  <si>
    <t>(control tables)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</si>
</sst>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  <numFmt numFmtId="169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07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165" fontId="0" fillId="7" borderId="0" xfId="1" applyNumberFormat="1" applyFont="1" applyFill="1" applyAlignment="1" applyProtection="1">
      <alignment horizontal="center" vertical="center" wrapText="1"/>
      <protection locked="0"/>
    </xf>
    <xf numFmtId="166" fontId="0" fillId="7" borderId="0" xfId="1" applyNumberFormat="1" applyFont="1" applyFill="1" applyAlignment="1" applyProtection="1">
      <alignment horizontal="center" vertical="center" wrapText="1"/>
      <protection locked="0"/>
    </xf>
    <xf numFmtId="169" fontId="0" fillId="3" borderId="0" xfId="1" applyNumberFormat="1" applyFont="1" applyFill="1" applyAlignment="1" applyProtection="1">
      <alignment horizontal="center" vertical="center" wrapText="1"/>
      <protection locked="0"/>
    </xf>
    <xf numFmtId="169" fontId="0" fillId="4" borderId="0" xfId="1" applyNumberFormat="1" applyFont="1" applyFill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164" fontId="0" fillId="6" borderId="0" xfId="0" applyNumberFormat="1" applyFill="1" applyBorder="1" applyAlignment="1" applyProtection="1">
      <alignment horizontal="left" vertical="center" wrapText="1"/>
      <protection locked="0"/>
    </xf>
  </cellXfs>
  <cellStyles count="507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Normal" xfId="0" builtinId="0"/>
    <cellStyle name="Percent" xfId="13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workbookViewId="0">
      <selection activeCell="A3" sqref="A3"/>
    </sheetView>
  </sheetViews>
  <sheetFormatPr baseColWidth="10" defaultColWidth="14.1640625" defaultRowHeight="15" x14ac:dyDescent="0"/>
  <cols>
    <col min="1" max="1" width="23.33203125" style="4" customWidth="1"/>
    <col min="2" max="2" width="11" style="4" bestFit="1" customWidth="1"/>
    <col min="3" max="3" width="53.1640625" style="4" customWidth="1"/>
    <col min="4" max="9" width="13.83203125" style="4" customWidth="1"/>
    <col min="10" max="16384" width="14.1640625" style="4"/>
  </cols>
  <sheetData>
    <row r="1" spans="1:13" ht="19">
      <c r="A1" s="1" t="s">
        <v>68</v>
      </c>
    </row>
    <row r="2" spans="1:13" ht="15" customHeight="1">
      <c r="B2" s="11"/>
    </row>
    <row r="3" spans="1:13" ht="15" customHeight="1">
      <c r="C3" s="16" t="s">
        <v>28</v>
      </c>
      <c r="D3" s="2" t="s">
        <v>16</v>
      </c>
      <c r="E3" s="2" t="s">
        <v>17</v>
      </c>
      <c r="F3" s="2" t="s">
        <v>12</v>
      </c>
      <c r="G3" s="2" t="s">
        <v>13</v>
      </c>
      <c r="H3" s="2" t="s">
        <v>14</v>
      </c>
    </row>
    <row r="4" spans="1:13" ht="15" customHeight="1">
      <c r="B4" s="3" t="s">
        <v>24</v>
      </c>
      <c r="C4" s="17" t="s">
        <v>18</v>
      </c>
      <c r="D4" s="12">
        <v>35</v>
      </c>
      <c r="E4" s="12">
        <v>49</v>
      </c>
      <c r="F4" s="13">
        <v>0.7</v>
      </c>
      <c r="G4" s="13">
        <v>0.2</v>
      </c>
      <c r="H4" s="13">
        <v>0.35</v>
      </c>
      <c r="I4" s="3" t="s">
        <v>10</v>
      </c>
    </row>
    <row r="5" spans="1:13" ht="15" customHeight="1">
      <c r="B5" s="3" t="s">
        <v>25</v>
      </c>
      <c r="C5" s="17" t="s">
        <v>64</v>
      </c>
      <c r="D5" s="12">
        <v>35</v>
      </c>
      <c r="E5" s="12">
        <v>49</v>
      </c>
      <c r="F5" s="13">
        <v>1</v>
      </c>
      <c r="G5" s="13">
        <v>1.2</v>
      </c>
      <c r="H5" s="13">
        <v>0.5</v>
      </c>
      <c r="I5" s="3" t="s">
        <v>8</v>
      </c>
    </row>
    <row r="6" spans="1:13" ht="15" customHeight="1">
      <c r="A6" s="1"/>
      <c r="B6" s="3" t="s">
        <v>26</v>
      </c>
      <c r="C6" s="17" t="s">
        <v>63</v>
      </c>
      <c r="D6" s="12">
        <v>62</v>
      </c>
      <c r="E6" s="12">
        <v>49</v>
      </c>
      <c r="F6" s="13">
        <v>0.7</v>
      </c>
      <c r="G6" s="13">
        <v>0.22500000000000001</v>
      </c>
      <c r="H6" s="13">
        <v>0.22500000000000001</v>
      </c>
      <c r="I6" s="3" t="s">
        <v>11</v>
      </c>
    </row>
    <row r="7" spans="1:13" ht="15" customHeight="1">
      <c r="A7" s="1"/>
      <c r="B7" s="3" t="s">
        <v>27</v>
      </c>
      <c r="C7" s="17" t="s">
        <v>62</v>
      </c>
      <c r="D7" s="12">
        <v>93.4</v>
      </c>
      <c r="E7" s="12">
        <v>49</v>
      </c>
      <c r="F7" s="13">
        <v>0</v>
      </c>
      <c r="G7" s="13">
        <v>0.9</v>
      </c>
      <c r="H7" s="13">
        <v>0.9</v>
      </c>
      <c r="I7" s="3" t="s">
        <v>19</v>
      </c>
    </row>
    <row r="8" spans="1:13" ht="15" customHeight="1">
      <c r="A8" s="1"/>
      <c r="B8" s="3" t="s">
        <v>22</v>
      </c>
      <c r="C8" s="17" t="s">
        <v>58</v>
      </c>
      <c r="D8" s="12">
        <v>0</v>
      </c>
      <c r="E8" s="12">
        <v>49</v>
      </c>
      <c r="F8" s="13">
        <v>0.9</v>
      </c>
      <c r="G8" s="13">
        <v>0.9</v>
      </c>
      <c r="H8" s="13">
        <v>0.9</v>
      </c>
      <c r="I8" s="3" t="s">
        <v>20</v>
      </c>
    </row>
    <row r="9" spans="1:13" ht="15" customHeight="1">
      <c r="A9" s="1"/>
      <c r="B9" s="3" t="s">
        <v>29</v>
      </c>
      <c r="C9" s="17" t="s">
        <v>23</v>
      </c>
      <c r="D9" s="12">
        <v>0</v>
      </c>
      <c r="E9" s="12">
        <v>49</v>
      </c>
      <c r="F9" s="13">
        <v>0.4</v>
      </c>
      <c r="G9" s="13">
        <v>0.4</v>
      </c>
      <c r="H9" s="13">
        <v>0.4</v>
      </c>
      <c r="I9" s="3" t="s">
        <v>21</v>
      </c>
    </row>
    <row r="10" spans="1:13" ht="1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13" ht="19">
      <c r="A11" s="1" t="s">
        <v>61</v>
      </c>
      <c r="B11" s="1"/>
      <c r="C11" s="1"/>
      <c r="D11" s="1"/>
      <c r="E11" s="1"/>
      <c r="F11" s="1"/>
      <c r="G11" s="1"/>
      <c r="H11" s="1"/>
      <c r="I11" s="1"/>
    </row>
    <row r="13" spans="1:13" ht="28">
      <c r="B13" s="2" t="s">
        <v>15</v>
      </c>
      <c r="C13" s="2" t="s">
        <v>6</v>
      </c>
      <c r="D13" s="2" t="s">
        <v>4</v>
      </c>
      <c r="E13" s="2" t="s">
        <v>2</v>
      </c>
      <c r="F13" s="2" t="s">
        <v>3</v>
      </c>
      <c r="G13" s="2" t="s">
        <v>1</v>
      </c>
      <c r="H13" s="2" t="s">
        <v>5</v>
      </c>
      <c r="I13" s="2" t="s">
        <v>0</v>
      </c>
      <c r="J13" s="2" t="s">
        <v>55</v>
      </c>
      <c r="K13" s="2" t="s">
        <v>56</v>
      </c>
      <c r="L13" s="2" t="s">
        <v>7</v>
      </c>
      <c r="M13" s="2" t="s">
        <v>9</v>
      </c>
    </row>
    <row r="14" spans="1:13">
      <c r="A14" s="3" t="s">
        <v>32</v>
      </c>
      <c r="B14" s="7">
        <v>110</v>
      </c>
      <c r="C14" s="7" t="s">
        <v>62</v>
      </c>
      <c r="D14" s="5">
        <f>D$6</f>
        <v>62</v>
      </c>
      <c r="E14" s="5">
        <f>E$6</f>
        <v>49</v>
      </c>
      <c r="F14" s="6">
        <f t="shared" ref="F14:H14" si="0">F$6*$I14*0.3</f>
        <v>4.8299999999999992</v>
      </c>
      <c r="G14" s="6">
        <f t="shared" si="0"/>
        <v>1.5525</v>
      </c>
      <c r="H14" s="6">
        <f t="shared" si="0"/>
        <v>1.5525</v>
      </c>
      <c r="I14" s="14">
        <v>23</v>
      </c>
      <c r="J14" s="15">
        <f>(D14*F14+E14*G14+(168-D14-E14)*H14)*365.25/7</f>
        <v>24212.161607142854</v>
      </c>
      <c r="K14" s="15">
        <f>E14*G14*365.25/7</f>
        <v>3969.3543749999999</v>
      </c>
      <c r="L14" s="8">
        <f>J14/365.25/24/I14</f>
        <v>0.12008928571428572</v>
      </c>
      <c r="M14" s="9">
        <f>MAX(F14,H14)/J14*365.25*24</f>
        <v>1.7486988847583642</v>
      </c>
    </row>
    <row r="15" spans="1:13">
      <c r="A15" s="3" t="s">
        <v>31</v>
      </c>
      <c r="B15" s="7">
        <v>125</v>
      </c>
      <c r="C15" s="7" t="s">
        <v>62</v>
      </c>
      <c r="D15" s="5">
        <f>D$8</f>
        <v>0</v>
      </c>
      <c r="E15" s="5">
        <f>E$8</f>
        <v>49</v>
      </c>
      <c r="F15" s="6">
        <f>F$8*$I15</f>
        <v>20.7</v>
      </c>
      <c r="G15" s="6">
        <f>G$8*$I15</f>
        <v>20.7</v>
      </c>
      <c r="H15" s="6">
        <f>H$8*$I15</f>
        <v>20.7</v>
      </c>
      <c r="I15" s="14">
        <v>23</v>
      </c>
      <c r="J15" s="15">
        <f t="shared" ref="J15:J40" si="1">(D15*F15+E15*G15+(168-D15-E15)*H15)*365.25/7</f>
        <v>181456.19999999998</v>
      </c>
      <c r="K15" s="15">
        <f t="shared" ref="K15:K40" si="2">E15*G15*365.25/7</f>
        <v>52924.724999999999</v>
      </c>
      <c r="L15" s="8">
        <f t="shared" ref="L15:L41" si="3">J15/365.25/24/I15</f>
        <v>0.9</v>
      </c>
      <c r="M15" s="9">
        <f t="shared" ref="M15:M41" si="4">MAX(F15,H15)/J15*365.25*24</f>
        <v>1</v>
      </c>
    </row>
    <row r="16" spans="1:13">
      <c r="A16" s="3" t="s">
        <v>30</v>
      </c>
      <c r="B16" s="7">
        <v>135</v>
      </c>
      <c r="C16" s="7" t="s">
        <v>62</v>
      </c>
      <c r="D16" s="5">
        <f>D$7</f>
        <v>93.4</v>
      </c>
      <c r="E16" s="5">
        <f>E$7</f>
        <v>49</v>
      </c>
      <c r="F16" s="6">
        <f t="shared" ref="F16:H16" si="5">F$7*$I16*0.3</f>
        <v>0</v>
      </c>
      <c r="G16" s="6">
        <f t="shared" si="5"/>
        <v>6.21</v>
      </c>
      <c r="H16" s="6">
        <f t="shared" si="5"/>
        <v>6.21</v>
      </c>
      <c r="I16" s="14">
        <v>23</v>
      </c>
      <c r="J16" s="15">
        <f t="shared" si="1"/>
        <v>24172.558071428568</v>
      </c>
      <c r="K16" s="15">
        <f t="shared" si="2"/>
        <v>15877.4175</v>
      </c>
      <c r="L16" s="8">
        <f t="shared" si="3"/>
        <v>0.11989285714285713</v>
      </c>
      <c r="M16" s="9">
        <f t="shared" si="4"/>
        <v>2.25201072386059</v>
      </c>
    </row>
    <row r="17" spans="1:13">
      <c r="A17" s="3" t="s">
        <v>33</v>
      </c>
      <c r="B17" s="7">
        <v>145</v>
      </c>
      <c r="C17" s="7" t="s">
        <v>62</v>
      </c>
      <c r="D17" s="5">
        <f>D$9</f>
        <v>0</v>
      </c>
      <c r="E17" s="5">
        <f>E$9</f>
        <v>49</v>
      </c>
      <c r="F17" s="6">
        <f t="shared" ref="F17:H17" si="6">F$9*$I17*0.3</f>
        <v>2.7600000000000002</v>
      </c>
      <c r="G17" s="6">
        <f t="shared" si="6"/>
        <v>2.7600000000000002</v>
      </c>
      <c r="H17" s="6">
        <f t="shared" si="6"/>
        <v>2.7600000000000002</v>
      </c>
      <c r="I17" s="14">
        <v>23</v>
      </c>
      <c r="J17" s="15">
        <f t="shared" si="1"/>
        <v>24194.160000000003</v>
      </c>
      <c r="K17" s="15">
        <f t="shared" si="2"/>
        <v>7056.63</v>
      </c>
      <c r="L17" s="8">
        <f t="shared" si="3"/>
        <v>0.12000000000000001</v>
      </c>
      <c r="M17" s="9">
        <f t="shared" si="4"/>
        <v>1</v>
      </c>
    </row>
    <row r="18" spans="1:13">
      <c r="A18" s="3" t="s">
        <v>36</v>
      </c>
      <c r="B18" s="7">
        <f>100+B14</f>
        <v>210</v>
      </c>
      <c r="C18" s="7" t="s">
        <v>63</v>
      </c>
      <c r="D18" s="5">
        <f>D$6</f>
        <v>62</v>
      </c>
      <c r="E18" s="5">
        <f>E$6</f>
        <v>49</v>
      </c>
      <c r="F18" s="6">
        <f>F$6*$I18</f>
        <v>48.3</v>
      </c>
      <c r="G18" s="6">
        <f>G$6*$I18</f>
        <v>15.525</v>
      </c>
      <c r="H18" s="6">
        <f>H$6*$I18</f>
        <v>15.525</v>
      </c>
      <c r="I18" s="14">
        <v>69</v>
      </c>
      <c r="J18" s="15">
        <f t="shared" si="1"/>
        <v>242121.61607142858</v>
      </c>
      <c r="K18" s="15">
        <f t="shared" si="2"/>
        <v>39693.543750000004</v>
      </c>
      <c r="L18" s="8">
        <f t="shared" si="3"/>
        <v>0.40029761904761901</v>
      </c>
      <c r="M18" s="9">
        <f t="shared" si="4"/>
        <v>1.7486988847583642</v>
      </c>
    </row>
    <row r="19" spans="1:13">
      <c r="A19" s="3" t="s">
        <v>37</v>
      </c>
      <c r="B19" s="7">
        <f>100+B15</f>
        <v>225</v>
      </c>
      <c r="C19" s="7" t="s">
        <v>63</v>
      </c>
      <c r="D19" s="5">
        <f>D$8</f>
        <v>0</v>
      </c>
      <c r="E19" s="5">
        <f>E$8</f>
        <v>49</v>
      </c>
      <c r="F19" s="6">
        <f>F$8*$I19</f>
        <v>62.1</v>
      </c>
      <c r="G19" s="6">
        <f>G$8*$I19</f>
        <v>62.1</v>
      </c>
      <c r="H19" s="6">
        <f>H$8*$I19</f>
        <v>62.1</v>
      </c>
      <c r="I19" s="14">
        <v>69</v>
      </c>
      <c r="J19" s="15">
        <f t="shared" si="1"/>
        <v>544368.6</v>
      </c>
      <c r="K19" s="15">
        <f t="shared" si="2"/>
        <v>158774.17500000002</v>
      </c>
      <c r="L19" s="8">
        <f t="shared" si="3"/>
        <v>0.89999999999999991</v>
      </c>
      <c r="M19" s="9">
        <f t="shared" si="4"/>
        <v>1</v>
      </c>
    </row>
    <row r="20" spans="1:13">
      <c r="A20" s="3" t="s">
        <v>34</v>
      </c>
      <c r="B20" s="7">
        <f>100+B16</f>
        <v>235</v>
      </c>
      <c r="C20" s="7" t="s">
        <v>63</v>
      </c>
      <c r="D20" s="5">
        <f>D$7</f>
        <v>93.4</v>
      </c>
      <c r="E20" s="5">
        <f>E$7</f>
        <v>49</v>
      </c>
      <c r="F20" s="6">
        <f>F$7*$I20</f>
        <v>0</v>
      </c>
      <c r="G20" s="6">
        <f>G$7*$I20</f>
        <v>62.1</v>
      </c>
      <c r="H20" s="6">
        <f>H$7*$I20</f>
        <v>62.1</v>
      </c>
      <c r="I20" s="14">
        <v>69</v>
      </c>
      <c r="J20" s="15">
        <f t="shared" si="1"/>
        <v>241725.58071428569</v>
      </c>
      <c r="K20" s="15">
        <f t="shared" si="2"/>
        <v>158774.17500000002</v>
      </c>
      <c r="L20" s="8">
        <f t="shared" si="3"/>
        <v>0.39964285714285708</v>
      </c>
      <c r="M20" s="9">
        <f t="shared" si="4"/>
        <v>2.25201072386059</v>
      </c>
    </row>
    <row r="21" spans="1:13">
      <c r="A21" s="3" t="s">
        <v>35</v>
      </c>
      <c r="B21" s="7">
        <f>100+B17</f>
        <v>245</v>
      </c>
      <c r="C21" s="7" t="s">
        <v>63</v>
      </c>
      <c r="D21" s="5">
        <f>D$9</f>
        <v>0</v>
      </c>
      <c r="E21" s="5">
        <f>E$9</f>
        <v>49</v>
      </c>
      <c r="F21" s="6">
        <f>F$9*$I21</f>
        <v>27.6</v>
      </c>
      <c r="G21" s="6">
        <f>G$9*$I21</f>
        <v>27.6</v>
      </c>
      <c r="H21" s="6">
        <f>H$9*$I21</f>
        <v>27.6</v>
      </c>
      <c r="I21" s="14">
        <v>69</v>
      </c>
      <c r="J21" s="15">
        <f t="shared" si="1"/>
        <v>241941.6</v>
      </c>
      <c r="K21" s="15">
        <f t="shared" si="2"/>
        <v>70566.3</v>
      </c>
      <c r="L21" s="8">
        <f t="shared" si="3"/>
        <v>0.39999999999999997</v>
      </c>
      <c r="M21" s="9">
        <f t="shared" si="4"/>
        <v>1</v>
      </c>
    </row>
    <row r="22" spans="1:13">
      <c r="A22" s="3" t="s">
        <v>48</v>
      </c>
      <c r="B22" s="7">
        <v>255</v>
      </c>
      <c r="C22" s="7" t="s">
        <v>63</v>
      </c>
      <c r="D22" s="5">
        <f>D$5</f>
        <v>35</v>
      </c>
      <c r="E22" s="5">
        <f>E$5</f>
        <v>49</v>
      </c>
      <c r="F22" s="6">
        <f>10*F$5</f>
        <v>10</v>
      </c>
      <c r="G22" s="6">
        <f>10*G$5</f>
        <v>12</v>
      </c>
      <c r="H22" s="6">
        <f>10*H$5</f>
        <v>5</v>
      </c>
      <c r="I22" s="14">
        <v>69</v>
      </c>
      <c r="J22" s="15">
        <f t="shared" si="1"/>
        <v>70858.5</v>
      </c>
      <c r="K22" s="15">
        <f t="shared" si="2"/>
        <v>30681</v>
      </c>
      <c r="L22" s="8">
        <f t="shared" si="3"/>
        <v>0.11714975845410629</v>
      </c>
      <c r="M22" s="9">
        <f t="shared" si="4"/>
        <v>1.2371134020618557</v>
      </c>
    </row>
    <row r="23" spans="1:13">
      <c r="A23" s="3" t="s">
        <v>49</v>
      </c>
      <c r="B23" s="7">
        <v>265</v>
      </c>
      <c r="C23" s="7" t="s">
        <v>63</v>
      </c>
      <c r="D23" s="5">
        <f>D$4</f>
        <v>35</v>
      </c>
      <c r="E23" s="5">
        <f>E$4</f>
        <v>49</v>
      </c>
      <c r="F23" s="6">
        <f>25*F$4</f>
        <v>17.5</v>
      </c>
      <c r="G23" s="6">
        <f>25*G$4</f>
        <v>5</v>
      </c>
      <c r="H23" s="6">
        <f>25*H$4</f>
        <v>8.75</v>
      </c>
      <c r="I23" s="14">
        <v>69</v>
      </c>
      <c r="J23" s="15">
        <f t="shared" si="1"/>
        <v>83094.375</v>
      </c>
      <c r="K23" s="15">
        <f t="shared" si="2"/>
        <v>12783.75</v>
      </c>
      <c r="L23" s="8">
        <f t="shared" si="3"/>
        <v>0.1373792270531401</v>
      </c>
      <c r="M23" s="9">
        <f t="shared" si="4"/>
        <v>1.8461538461538463</v>
      </c>
    </row>
    <row r="24" spans="1:13">
      <c r="A24" s="3" t="s">
        <v>40</v>
      </c>
      <c r="B24" s="7">
        <f t="shared" ref="B24:B35" si="7">B18+100</f>
        <v>310</v>
      </c>
      <c r="C24" s="7" t="s">
        <v>59</v>
      </c>
      <c r="D24" s="5">
        <f>D$6</f>
        <v>62</v>
      </c>
      <c r="E24" s="5">
        <f>E$6</f>
        <v>49</v>
      </c>
      <c r="F24" s="6">
        <f>F$6*$I24</f>
        <v>482.99999999999994</v>
      </c>
      <c r="G24" s="6">
        <f>G$6*$I24</f>
        <v>155.25</v>
      </c>
      <c r="H24" s="6">
        <f>H$6*$I24</f>
        <v>155.25</v>
      </c>
      <c r="I24" s="14">
        <v>690</v>
      </c>
      <c r="J24" s="15">
        <f t="shared" si="1"/>
        <v>2421216.1607142859</v>
      </c>
      <c r="K24" s="15">
        <f t="shared" si="2"/>
        <v>396935.4375</v>
      </c>
      <c r="L24" s="8">
        <f t="shared" si="3"/>
        <v>0.40029761904761907</v>
      </c>
      <c r="M24" s="9">
        <f t="shared" si="4"/>
        <v>1.748698884758364</v>
      </c>
    </row>
    <row r="25" spans="1:13">
      <c r="A25" s="3" t="s">
        <v>41</v>
      </c>
      <c r="B25" s="7">
        <f t="shared" si="7"/>
        <v>325</v>
      </c>
      <c r="C25" s="7" t="s">
        <v>59</v>
      </c>
      <c r="D25" s="5">
        <f>D$8</f>
        <v>0</v>
      </c>
      <c r="E25" s="5">
        <f>E$8</f>
        <v>49</v>
      </c>
      <c r="F25" s="6">
        <f>F$8*$I25</f>
        <v>621</v>
      </c>
      <c r="G25" s="6">
        <f>G$8*$I25</f>
        <v>621</v>
      </c>
      <c r="H25" s="6">
        <f>H$8*$I25</f>
        <v>621</v>
      </c>
      <c r="I25" s="14">
        <v>690</v>
      </c>
      <c r="J25" s="15">
        <f t="shared" si="1"/>
        <v>5443686</v>
      </c>
      <c r="K25" s="15">
        <f t="shared" si="2"/>
        <v>1587741.75</v>
      </c>
      <c r="L25" s="8">
        <f t="shared" si="3"/>
        <v>0.9</v>
      </c>
      <c r="M25" s="9">
        <f t="shared" si="4"/>
        <v>1</v>
      </c>
    </row>
    <row r="26" spans="1:13">
      <c r="A26" s="10" t="s">
        <v>38</v>
      </c>
      <c r="B26" s="7">
        <f t="shared" si="7"/>
        <v>335</v>
      </c>
      <c r="C26" s="7" t="s">
        <v>59</v>
      </c>
      <c r="D26" s="5">
        <f>D$7</f>
        <v>93.4</v>
      </c>
      <c r="E26" s="5">
        <f>E$7</f>
        <v>49</v>
      </c>
      <c r="F26" s="6">
        <f>F$7*$I26</f>
        <v>0</v>
      </c>
      <c r="G26" s="6">
        <f>G$7*$I26</f>
        <v>621</v>
      </c>
      <c r="H26" s="6">
        <f>H$7*$I26</f>
        <v>621</v>
      </c>
      <c r="I26" s="14">
        <v>690</v>
      </c>
      <c r="J26" s="15">
        <f t="shared" si="1"/>
        <v>2417255.807142857</v>
      </c>
      <c r="K26" s="15">
        <f t="shared" si="2"/>
        <v>1587741.75</v>
      </c>
      <c r="L26" s="8">
        <f t="shared" si="3"/>
        <v>0.39964285714285713</v>
      </c>
      <c r="M26" s="9">
        <f t="shared" si="4"/>
        <v>2.25201072386059</v>
      </c>
    </row>
    <row r="27" spans="1:13">
      <c r="A27" s="3" t="s">
        <v>39</v>
      </c>
      <c r="B27" s="7">
        <f t="shared" si="7"/>
        <v>345</v>
      </c>
      <c r="C27" s="7" t="s">
        <v>59</v>
      </c>
      <c r="D27" s="5">
        <f>D$9</f>
        <v>0</v>
      </c>
      <c r="E27" s="5">
        <f>E$9</f>
        <v>49</v>
      </c>
      <c r="F27" s="6">
        <f>F$9*$I27</f>
        <v>276</v>
      </c>
      <c r="G27" s="6">
        <f>G$9*$I27</f>
        <v>276</v>
      </c>
      <c r="H27" s="6">
        <f>H$9*$I27</f>
        <v>276</v>
      </c>
      <c r="I27" s="14">
        <v>690</v>
      </c>
      <c r="J27" s="15">
        <f t="shared" si="1"/>
        <v>2419416</v>
      </c>
      <c r="K27" s="15">
        <f t="shared" si="2"/>
        <v>705663</v>
      </c>
      <c r="L27" s="8">
        <f t="shared" si="3"/>
        <v>0.4</v>
      </c>
      <c r="M27" s="9">
        <f t="shared" si="4"/>
        <v>1</v>
      </c>
    </row>
    <row r="28" spans="1:13">
      <c r="A28" s="10" t="s">
        <v>50</v>
      </c>
      <c r="B28" s="7">
        <f t="shared" si="7"/>
        <v>355</v>
      </c>
      <c r="C28" s="7" t="s">
        <v>59</v>
      </c>
      <c r="D28" s="5">
        <f>D$5</f>
        <v>35</v>
      </c>
      <c r="E28" s="5">
        <f>E$5</f>
        <v>49</v>
      </c>
      <c r="F28" s="6">
        <f>100*F$5</f>
        <v>100</v>
      </c>
      <c r="G28" s="6">
        <f>100*G$5</f>
        <v>120</v>
      </c>
      <c r="H28" s="6">
        <f>100*H$5</f>
        <v>50</v>
      </c>
      <c r="I28" s="14">
        <v>690</v>
      </c>
      <c r="J28" s="15">
        <f t="shared" si="1"/>
        <v>708585</v>
      </c>
      <c r="K28" s="15">
        <f t="shared" si="2"/>
        <v>306810</v>
      </c>
      <c r="L28" s="8">
        <f t="shared" si="3"/>
        <v>0.11714975845410627</v>
      </c>
      <c r="M28" s="9">
        <f t="shared" si="4"/>
        <v>1.2371134020618557</v>
      </c>
    </row>
    <row r="29" spans="1:13">
      <c r="A29" s="3" t="s">
        <v>51</v>
      </c>
      <c r="B29" s="7">
        <f t="shared" si="7"/>
        <v>365</v>
      </c>
      <c r="C29" s="7" t="s">
        <v>59</v>
      </c>
      <c r="D29" s="5">
        <f>D$4</f>
        <v>35</v>
      </c>
      <c r="E29" s="5">
        <f>E$4</f>
        <v>49</v>
      </c>
      <c r="F29" s="6">
        <f>250*F$4</f>
        <v>175</v>
      </c>
      <c r="G29" s="6">
        <f>250*G$4</f>
        <v>50</v>
      </c>
      <c r="H29" s="6">
        <f>250*H$4</f>
        <v>87.5</v>
      </c>
      <c r="I29" s="14">
        <v>690</v>
      </c>
      <c r="J29" s="15">
        <f t="shared" si="1"/>
        <v>830943.75</v>
      </c>
      <c r="K29" s="15">
        <f t="shared" si="2"/>
        <v>127837.5</v>
      </c>
      <c r="L29" s="8">
        <f t="shared" si="3"/>
        <v>0.1373792270531401</v>
      </c>
      <c r="M29" s="9">
        <f t="shared" si="4"/>
        <v>1.8461538461538463</v>
      </c>
    </row>
    <row r="30" spans="1:13">
      <c r="A30" s="3" t="s">
        <v>44</v>
      </c>
      <c r="B30" s="7">
        <f t="shared" si="7"/>
        <v>410</v>
      </c>
      <c r="C30" s="7" t="s">
        <v>58</v>
      </c>
      <c r="D30" s="5">
        <f>D$6</f>
        <v>62</v>
      </c>
      <c r="E30" s="5">
        <f>E$6</f>
        <v>49</v>
      </c>
      <c r="F30" s="6">
        <f>F$6*$I30</f>
        <v>3500</v>
      </c>
      <c r="G30" s="6">
        <f>G$6*$I30</f>
        <v>1125</v>
      </c>
      <c r="H30" s="6">
        <f>H$6*$I30</f>
        <v>1125</v>
      </c>
      <c r="I30" s="14">
        <v>5000</v>
      </c>
      <c r="J30" s="15">
        <f t="shared" si="1"/>
        <v>17545044.642857142</v>
      </c>
      <c r="K30" s="15">
        <f t="shared" si="2"/>
        <v>2876343.75</v>
      </c>
      <c r="L30" s="8">
        <f t="shared" si="3"/>
        <v>0.40029761904761901</v>
      </c>
      <c r="M30" s="9">
        <f t="shared" si="4"/>
        <v>1.7486988847583644</v>
      </c>
    </row>
    <row r="31" spans="1:13">
      <c r="A31" s="3" t="s">
        <v>45</v>
      </c>
      <c r="B31" s="7">
        <f t="shared" si="7"/>
        <v>425</v>
      </c>
      <c r="C31" s="7" t="s">
        <v>58</v>
      </c>
      <c r="D31" s="5">
        <f>D$8</f>
        <v>0</v>
      </c>
      <c r="E31" s="5">
        <f>E$8</f>
        <v>49</v>
      </c>
      <c r="F31" s="6">
        <f>F$8*$I31</f>
        <v>4500</v>
      </c>
      <c r="G31" s="6">
        <f>G$8*$I31</f>
        <v>4500</v>
      </c>
      <c r="H31" s="6">
        <f>H$8*$I31</f>
        <v>4500</v>
      </c>
      <c r="I31" s="14">
        <v>5000</v>
      </c>
      <c r="J31" s="15">
        <f t="shared" si="1"/>
        <v>39447000</v>
      </c>
      <c r="K31" s="15">
        <f t="shared" si="2"/>
        <v>11505375</v>
      </c>
      <c r="L31" s="8">
        <f t="shared" si="3"/>
        <v>0.9</v>
      </c>
      <c r="M31" s="9">
        <f t="shared" si="4"/>
        <v>1</v>
      </c>
    </row>
    <row r="32" spans="1:13">
      <c r="A32" s="3" t="s">
        <v>42</v>
      </c>
      <c r="B32" s="7">
        <f t="shared" si="7"/>
        <v>435</v>
      </c>
      <c r="C32" s="7" t="s">
        <v>58</v>
      </c>
      <c r="D32" s="5">
        <f>D$7</f>
        <v>93.4</v>
      </c>
      <c r="E32" s="5">
        <f>E$7</f>
        <v>49</v>
      </c>
      <c r="F32" s="6">
        <f>F$7*$I32</f>
        <v>0</v>
      </c>
      <c r="G32" s="6">
        <f>G$7*$I32</f>
        <v>4500</v>
      </c>
      <c r="H32" s="6">
        <f>H$7*$I32</f>
        <v>4500</v>
      </c>
      <c r="I32" s="14">
        <v>5000</v>
      </c>
      <c r="J32" s="15">
        <f t="shared" si="1"/>
        <v>17516346.428571429</v>
      </c>
      <c r="K32" s="15">
        <f t="shared" si="2"/>
        <v>11505375</v>
      </c>
      <c r="L32" s="8">
        <f t="shared" si="3"/>
        <v>0.39964285714285713</v>
      </c>
      <c r="M32" s="9">
        <f t="shared" si="4"/>
        <v>2.2520107238605895</v>
      </c>
    </row>
    <row r="33" spans="1:13">
      <c r="A33" s="3" t="s">
        <v>43</v>
      </c>
      <c r="B33" s="7">
        <f t="shared" si="7"/>
        <v>445</v>
      </c>
      <c r="C33" s="7" t="s">
        <v>58</v>
      </c>
      <c r="D33" s="5">
        <f>D$9</f>
        <v>0</v>
      </c>
      <c r="E33" s="5">
        <f>E$9</f>
        <v>49</v>
      </c>
      <c r="F33" s="6">
        <f>F$9*$I33</f>
        <v>2000</v>
      </c>
      <c r="G33" s="6">
        <f>G$9*$I33</f>
        <v>2000</v>
      </c>
      <c r="H33" s="6">
        <f>H$9*$I33</f>
        <v>2000</v>
      </c>
      <c r="I33" s="14">
        <v>5000</v>
      </c>
      <c r="J33" s="15">
        <f t="shared" si="1"/>
        <v>17532000</v>
      </c>
      <c r="K33" s="15">
        <f t="shared" si="2"/>
        <v>5113500</v>
      </c>
      <c r="L33" s="8">
        <f t="shared" si="3"/>
        <v>0.4</v>
      </c>
      <c r="M33" s="9">
        <f t="shared" si="4"/>
        <v>1</v>
      </c>
    </row>
    <row r="34" spans="1:13">
      <c r="A34" s="3" t="s">
        <v>52</v>
      </c>
      <c r="B34" s="7">
        <f t="shared" si="7"/>
        <v>455</v>
      </c>
      <c r="C34" s="7" t="s">
        <v>58</v>
      </c>
      <c r="D34" s="5">
        <f>D$5</f>
        <v>35</v>
      </c>
      <c r="E34" s="5">
        <f>E$5</f>
        <v>49</v>
      </c>
      <c r="F34" s="6">
        <f>1000*F$5</f>
        <v>1000</v>
      </c>
      <c r="G34" s="6">
        <f>1000*G$5</f>
        <v>1200</v>
      </c>
      <c r="H34" s="6">
        <f>1000*H$5</f>
        <v>500</v>
      </c>
      <c r="I34" s="14">
        <v>5000</v>
      </c>
      <c r="J34" s="15">
        <f t="shared" si="1"/>
        <v>7085850</v>
      </c>
      <c r="K34" s="15">
        <f t="shared" si="2"/>
        <v>3068100</v>
      </c>
      <c r="L34" s="8">
        <f t="shared" si="3"/>
        <v>0.16166666666666668</v>
      </c>
      <c r="M34" s="9">
        <f t="shared" si="4"/>
        <v>1.2371134020618557</v>
      </c>
    </row>
    <row r="35" spans="1:13">
      <c r="A35" s="10" t="s">
        <v>53</v>
      </c>
      <c r="B35" s="7">
        <f t="shared" si="7"/>
        <v>465</v>
      </c>
      <c r="C35" s="7" t="s">
        <v>58</v>
      </c>
      <c r="D35" s="5">
        <f t="shared" ref="D35:E37" si="8">D$4</f>
        <v>35</v>
      </c>
      <c r="E35" s="5">
        <f t="shared" si="8"/>
        <v>49</v>
      </c>
      <c r="F35" s="6">
        <f>2500*F$4</f>
        <v>1750</v>
      </c>
      <c r="G35" s="6">
        <f>2500*G$4</f>
        <v>500</v>
      </c>
      <c r="H35" s="6">
        <f>2500*H$4</f>
        <v>875</v>
      </c>
      <c r="I35" s="14">
        <v>5000</v>
      </c>
      <c r="J35" s="15">
        <f t="shared" si="1"/>
        <v>8309437.5</v>
      </c>
      <c r="K35" s="15">
        <f t="shared" si="2"/>
        <v>1278375</v>
      </c>
      <c r="L35" s="8">
        <f t="shared" si="3"/>
        <v>0.18958333333333333</v>
      </c>
      <c r="M35" s="9">
        <f t="shared" si="4"/>
        <v>1.8461538461538463</v>
      </c>
    </row>
    <row r="36" spans="1:13">
      <c r="A36" s="3" t="s">
        <v>46</v>
      </c>
      <c r="B36" s="7">
        <v>705</v>
      </c>
      <c r="C36" s="7" t="s">
        <v>54</v>
      </c>
      <c r="D36" s="5">
        <f t="shared" si="8"/>
        <v>35</v>
      </c>
      <c r="E36" s="5">
        <f t="shared" si="8"/>
        <v>49</v>
      </c>
      <c r="F36" s="6">
        <f>F$4/2</f>
        <v>0.35</v>
      </c>
      <c r="G36" s="6">
        <f>G$4/2</f>
        <v>0.1</v>
      </c>
      <c r="H36" s="6">
        <f>H$4/2</f>
        <v>0.17499999999999999</v>
      </c>
      <c r="I36" s="14">
        <v>6</v>
      </c>
      <c r="J36" s="15">
        <f t="shared" si="1"/>
        <v>1661.8875</v>
      </c>
      <c r="K36" s="15">
        <f t="shared" si="2"/>
        <v>255.67500000000001</v>
      </c>
      <c r="L36" s="8">
        <f t="shared" si="3"/>
        <v>3.1597222222222221E-2</v>
      </c>
      <c r="M36" s="9">
        <f t="shared" si="4"/>
        <v>1.8461538461538458</v>
      </c>
    </row>
    <row r="37" spans="1:13">
      <c r="A37" s="3" t="s">
        <v>24</v>
      </c>
      <c r="B37" s="7">
        <v>720</v>
      </c>
      <c r="C37" s="7" t="s">
        <v>54</v>
      </c>
      <c r="D37" s="5">
        <f t="shared" si="8"/>
        <v>35</v>
      </c>
      <c r="E37" s="5">
        <f t="shared" si="8"/>
        <v>49</v>
      </c>
      <c r="F37" s="6">
        <f>F$4</f>
        <v>0.7</v>
      </c>
      <c r="G37" s="6">
        <f>G$4</f>
        <v>0.2</v>
      </c>
      <c r="H37" s="6">
        <f>H$4</f>
        <v>0.35</v>
      </c>
      <c r="I37" s="14">
        <v>9</v>
      </c>
      <c r="J37" s="15">
        <f t="shared" si="1"/>
        <v>3323.7750000000001</v>
      </c>
      <c r="K37" s="15">
        <f t="shared" si="2"/>
        <v>511.35</v>
      </c>
      <c r="L37" s="8">
        <f t="shared" si="3"/>
        <v>4.2129629629629628E-2</v>
      </c>
      <c r="M37" s="9">
        <f t="shared" si="4"/>
        <v>1.8461538461538458</v>
      </c>
    </row>
    <row r="38" spans="1:13">
      <c r="A38" s="10" t="s">
        <v>47</v>
      </c>
      <c r="B38" s="7">
        <v>745</v>
      </c>
      <c r="C38" s="7" t="s">
        <v>54</v>
      </c>
      <c r="D38" s="5">
        <f>D$5</f>
        <v>35</v>
      </c>
      <c r="E38" s="5">
        <f>E$5</f>
        <v>49</v>
      </c>
      <c r="F38" s="6">
        <f>F$5</f>
        <v>1</v>
      </c>
      <c r="G38" s="6">
        <f>G$5</f>
        <v>1.2</v>
      </c>
      <c r="H38" s="6">
        <f>H$5</f>
        <v>0.5</v>
      </c>
      <c r="I38" s="14">
        <v>18</v>
      </c>
      <c r="J38" s="15">
        <f t="shared" si="1"/>
        <v>7085.85</v>
      </c>
      <c r="K38" s="15">
        <f t="shared" si="2"/>
        <v>3068.1</v>
      </c>
      <c r="L38" s="8">
        <f t="shared" si="3"/>
        <v>4.4907407407407417E-2</v>
      </c>
      <c r="M38" s="9">
        <f t="shared" si="4"/>
        <v>1.2371134020618557</v>
      </c>
    </row>
    <row r="39" spans="1:13">
      <c r="A39" s="3" t="s">
        <v>65</v>
      </c>
      <c r="B39" s="7">
        <v>810</v>
      </c>
      <c r="C39" s="7" t="s">
        <v>60</v>
      </c>
      <c r="D39" s="5"/>
      <c r="E39" s="5"/>
      <c r="F39" s="6"/>
      <c r="G39" s="6"/>
      <c r="H39" s="6"/>
      <c r="I39" s="14"/>
      <c r="J39" s="15">
        <f t="shared" ref="J39" si="9">(D39*F39+E39*G39+(168-D39-E39)*H39)*365.25/7</f>
        <v>0</v>
      </c>
      <c r="K39" s="15">
        <f t="shared" ref="K39" si="10">E39*G39*365.25/7</f>
        <v>0</v>
      </c>
      <c r="L39" s="8" t="e">
        <f t="shared" ref="L39" si="11">J39/365.25/24/I39</f>
        <v>#DIV/0!</v>
      </c>
      <c r="M39" s="9" t="e">
        <f t="shared" ref="M39" si="12">MAX(F39,H39)/J39*365.25*24</f>
        <v>#DIV/0!</v>
      </c>
    </row>
    <row r="40" spans="1:13">
      <c r="A40" s="3" t="s">
        <v>66</v>
      </c>
      <c r="B40" s="7">
        <v>825</v>
      </c>
      <c r="C40" s="7" t="s">
        <v>60</v>
      </c>
      <c r="D40" s="5"/>
      <c r="E40" s="5"/>
      <c r="F40" s="6"/>
      <c r="G40" s="6"/>
      <c r="H40" s="6"/>
      <c r="I40" s="14"/>
      <c r="J40" s="15">
        <f t="shared" si="1"/>
        <v>0</v>
      </c>
      <c r="K40" s="15">
        <f t="shared" si="2"/>
        <v>0</v>
      </c>
      <c r="L40" s="8" t="e">
        <f t="shared" si="3"/>
        <v>#DIV/0!</v>
      </c>
      <c r="M40" s="9" t="e">
        <f t="shared" si="4"/>
        <v>#DIV/0!</v>
      </c>
    </row>
    <row r="41" spans="1:13">
      <c r="A41" s="3" t="s">
        <v>67</v>
      </c>
      <c r="B41" s="7">
        <v>830</v>
      </c>
      <c r="C41" s="7" t="s">
        <v>57</v>
      </c>
      <c r="D41" s="5"/>
      <c r="E41" s="5"/>
      <c r="F41" s="6"/>
      <c r="G41" s="6"/>
      <c r="H41" s="6"/>
      <c r="I41" s="14"/>
      <c r="J41" s="15">
        <f t="shared" ref="J41" si="13">(D41*F41+E41*G41+(168-D41-E41)*H41)*365.25/7</f>
        <v>0</v>
      </c>
      <c r="K41" s="15">
        <f t="shared" ref="K41" si="14">E41*G41*365.25/7</f>
        <v>0</v>
      </c>
      <c r="L41" s="8" t="e">
        <f t="shared" si="3"/>
        <v>#DIV/0!</v>
      </c>
      <c r="M41" s="9" t="e">
        <f t="shared" si="4"/>
        <v>#DIV/0!</v>
      </c>
    </row>
  </sheetData>
  <autoFilter ref="A13:M40">
    <sortState ref="A4:M29">
      <sortCondition ref="B3:B29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1202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2015-07-25T00:06:06Z</dcterms:modified>
  <cp:category/>
</cp:coreProperties>
</file>