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460" windowWidth="28580" windowHeight="16320" tabRatio="500"/>
  </bookViews>
  <sheets>
    <sheet name="Sheet1" sheetId="1" r:id="rId1"/>
  </sheets>
  <definedNames>
    <definedName name="_xlnm._FilterDatabase" localSheetId="0" hidden="1">Sheet1!$A$13:$N$35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5" i="1" l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H35" i="1"/>
  <c r="G35" i="1"/>
  <c r="F35" i="1"/>
  <c r="E35" i="1"/>
  <c r="D35" i="1"/>
  <c r="H34" i="1"/>
  <c r="G34" i="1"/>
  <c r="F34" i="1"/>
  <c r="E34" i="1"/>
  <c r="D34" i="1"/>
  <c r="F14" i="1"/>
  <c r="G14" i="1"/>
  <c r="H14" i="1"/>
  <c r="J34" i="1"/>
  <c r="M34" i="1"/>
  <c r="L34" i="1"/>
  <c r="K34" i="1"/>
  <c r="D15" i="1"/>
  <c r="F15" i="1"/>
  <c r="E15" i="1"/>
  <c r="G15" i="1"/>
  <c r="H15" i="1"/>
  <c r="J15" i="1"/>
  <c r="L15" i="1"/>
  <c r="M15" i="1"/>
  <c r="D16" i="1"/>
  <c r="F16" i="1"/>
  <c r="E16" i="1"/>
  <c r="G16" i="1"/>
  <c r="H16" i="1"/>
  <c r="J16" i="1"/>
  <c r="L16" i="1"/>
  <c r="M16" i="1"/>
  <c r="D17" i="1"/>
  <c r="F17" i="1"/>
  <c r="E17" i="1"/>
  <c r="G17" i="1"/>
  <c r="H17" i="1"/>
  <c r="J17" i="1"/>
  <c r="L17" i="1"/>
  <c r="M17" i="1"/>
  <c r="D18" i="1"/>
  <c r="F18" i="1"/>
  <c r="E18" i="1"/>
  <c r="G18" i="1"/>
  <c r="H18" i="1"/>
  <c r="J18" i="1"/>
  <c r="L18" i="1"/>
  <c r="M18" i="1"/>
  <c r="D19" i="1"/>
  <c r="F19" i="1"/>
  <c r="E19" i="1"/>
  <c r="G19" i="1"/>
  <c r="H19" i="1"/>
  <c r="J19" i="1"/>
  <c r="L19" i="1"/>
  <c r="M19" i="1"/>
  <c r="D20" i="1"/>
  <c r="F20" i="1"/>
  <c r="E20" i="1"/>
  <c r="G20" i="1"/>
  <c r="H20" i="1"/>
  <c r="J20" i="1"/>
  <c r="L20" i="1"/>
  <c r="M20" i="1"/>
  <c r="D21" i="1"/>
  <c r="F21" i="1"/>
  <c r="E21" i="1"/>
  <c r="G21" i="1"/>
  <c r="H21" i="1"/>
  <c r="J21" i="1"/>
  <c r="L21" i="1"/>
  <c r="M21" i="1"/>
  <c r="D22" i="1"/>
  <c r="F22" i="1"/>
  <c r="E22" i="1"/>
  <c r="G22" i="1"/>
  <c r="H22" i="1"/>
  <c r="J22" i="1"/>
  <c r="L22" i="1"/>
  <c r="M22" i="1"/>
  <c r="D23" i="1"/>
  <c r="F23" i="1"/>
  <c r="E23" i="1"/>
  <c r="G23" i="1"/>
  <c r="H23" i="1"/>
  <c r="J23" i="1"/>
  <c r="L23" i="1"/>
  <c r="M23" i="1"/>
  <c r="D24" i="1"/>
  <c r="F24" i="1"/>
  <c r="E24" i="1"/>
  <c r="G24" i="1"/>
  <c r="H24" i="1"/>
  <c r="J24" i="1"/>
  <c r="L24" i="1"/>
  <c r="M24" i="1"/>
  <c r="D25" i="1"/>
  <c r="F25" i="1"/>
  <c r="E25" i="1"/>
  <c r="G25" i="1"/>
  <c r="H25" i="1"/>
  <c r="J25" i="1"/>
  <c r="L25" i="1"/>
  <c r="M25" i="1"/>
  <c r="D26" i="1"/>
  <c r="F26" i="1"/>
  <c r="G26" i="1"/>
  <c r="H26" i="1"/>
  <c r="J26" i="1"/>
  <c r="L26" i="1"/>
  <c r="M26" i="1"/>
  <c r="D27" i="1"/>
  <c r="F27" i="1"/>
  <c r="E27" i="1"/>
  <c r="G27" i="1"/>
  <c r="H27" i="1"/>
  <c r="J27" i="1"/>
  <c r="L27" i="1"/>
  <c r="M27" i="1"/>
  <c r="D28" i="1"/>
  <c r="F28" i="1"/>
  <c r="E28" i="1"/>
  <c r="G28" i="1"/>
  <c r="H28" i="1"/>
  <c r="J28" i="1"/>
  <c r="L28" i="1"/>
  <c r="M28" i="1"/>
  <c r="D29" i="1"/>
  <c r="F29" i="1"/>
  <c r="E29" i="1"/>
  <c r="G29" i="1"/>
  <c r="H29" i="1"/>
  <c r="J29" i="1"/>
  <c r="L29" i="1"/>
  <c r="M29" i="1"/>
  <c r="D30" i="1"/>
  <c r="F30" i="1"/>
  <c r="E30" i="1"/>
  <c r="G30" i="1"/>
  <c r="H30" i="1"/>
  <c r="J30" i="1"/>
  <c r="L30" i="1"/>
  <c r="M30" i="1"/>
  <c r="D31" i="1"/>
  <c r="F31" i="1"/>
  <c r="E31" i="1"/>
  <c r="G31" i="1"/>
  <c r="H31" i="1"/>
  <c r="J31" i="1"/>
  <c r="L31" i="1"/>
  <c r="M31" i="1"/>
  <c r="D32" i="1"/>
  <c r="F32" i="1"/>
  <c r="E32" i="1"/>
  <c r="G32" i="1"/>
  <c r="H32" i="1"/>
  <c r="J32" i="1"/>
  <c r="L32" i="1"/>
  <c r="M32" i="1"/>
  <c r="D33" i="1"/>
  <c r="F33" i="1"/>
  <c r="E33" i="1"/>
  <c r="G33" i="1"/>
  <c r="H33" i="1"/>
  <c r="J33" i="1"/>
  <c r="L33" i="1"/>
  <c r="M33" i="1"/>
  <c r="J35" i="1"/>
  <c r="L35" i="1"/>
  <c r="M35" i="1"/>
  <c r="D14" i="1"/>
  <c r="E14" i="1"/>
  <c r="J14" i="1"/>
  <c r="M14" i="1"/>
  <c r="L14" i="1"/>
  <c r="K35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14" i="1"/>
</calcChain>
</file>

<file path=xl/sharedStrings.xml><?xml version="1.0" encoding="utf-8"?>
<sst xmlns="http://schemas.openxmlformats.org/spreadsheetml/2006/main" count="70" uniqueCount="55">
  <si>
    <t>Capacity (kVA)</t>
  </si>
  <si>
    <t>Off-peak load (kW)</t>
  </si>
  <si>
    <t>Off-peak hours/week</t>
  </si>
  <si>
    <t>Peak-time load (kW)</t>
  </si>
  <si>
    <t>Peak-time hours/week</t>
  </si>
  <si>
    <t>Load at other times (kW)</t>
  </si>
  <si>
    <t>Tariff selection</t>
  </si>
  <si>
    <t>Load factor (kW/kVA)</t>
  </si>
  <si>
    <t>Peak to average load ratio</t>
  </si>
  <si>
    <t>Peak kW</t>
  </si>
  <si>
    <t>Off-peak kW</t>
  </si>
  <si>
    <t>Other kW</t>
  </si>
  <si>
    <t>Order</t>
  </si>
  <si>
    <t>Peak hours</t>
  </si>
  <si>
    <t>Off-peak hours</t>
  </si>
  <si>
    <t>Small business</t>
  </si>
  <si>
    <t>Medium off-peak</t>
  </si>
  <si>
    <t>Medium intermittent</t>
  </si>
  <si>
    <t>Medium business</t>
  </si>
  <si>
    <t>Medium continuous</t>
  </si>
  <si>
    <t>Large off-peak</t>
  </si>
  <si>
    <t>Large intermittent</t>
  </si>
  <si>
    <t>Large business</t>
  </si>
  <si>
    <t>Large continuous</t>
  </si>
  <si>
    <t>XL off-peak</t>
  </si>
  <si>
    <t>XL intermittent</t>
  </si>
  <si>
    <t>XL business</t>
  </si>
  <si>
    <t>XL continuous</t>
  </si>
  <si>
    <t>Large housing electric</t>
  </si>
  <si>
    <t>Large housing standard</t>
  </si>
  <si>
    <t>XL housing electric</t>
  </si>
  <si>
    <t>XL housing standard</t>
  </si>
  <si>
    <t>Average kWh/year</t>
  </si>
  <si>
    <t>Average rate 2 kWh/year</t>
  </si>
  <si>
    <t>All-the-way generation</t>
  </si>
  <si>
    <t>All-the-way demand</t>
  </si>
  <si>
    <t>1202. Consumption assumptions for illustrative customers</t>
  </si>
  <si>
    <t>^(?:Small|LV).*Non[- ]Domestic(?: [UTN]|$)</t>
  </si>
  <si>
    <t>^(?:Small|LV).*(?:Non[- ]Domestic(?: [UTN]|$)|HH Metered)</t>
  </si>
  <si>
    <t>Business (per kVA)</t>
  </si>
  <si>
    <t>Off-peak (per kVA)</t>
  </si>
  <si>
    <t>Continuous (per kVA)</t>
  </si>
  <si>
    <t>Intermittent (per KVA)</t>
  </si>
  <si>
    <t>Consumption patterns</t>
  </si>
  <si>
    <t>Standard home (3.1MWh)</t>
  </si>
  <si>
    <t>Other demand</t>
  </si>
  <si>
    <t>Other generation</t>
  </si>
  <si>
    <t>Modulo 10</t>
  </si>
  <si>
    <t>(?:^|: )(?:LV Network Domestic Disabled|Domestic [UT])</t>
  </si>
  <si>
    <t>Economy 7 electric heat (8.4MWh 50% night)</t>
  </si>
  <si>
    <t>Domestic 8400</t>
  </si>
  <si>
    <t>Domestic 3100</t>
  </si>
  <si>
    <t>Domestic 1550</t>
  </si>
  <si>
    <t>^(?:|(?:LD|Q)NO .*: )(?:LV|LV Sub|HV) HH Metered</t>
  </si>
  <si>
    <t>^(?:|(?:LD|Q)NO .*: )(?:Demand Category|HV.*HH)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</si>
</sst>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\ _(???,???,??0_);[Red]\ \(???,???,??0\);;@"/>
    <numFmt numFmtId="166" formatCode="_-* #,##0.0_-;\-* #,##0.0_-;_-* &quot;-&quot;??_-;_-@_-"/>
    <numFmt numFmtId="167" formatCode="_-* #,##0.000_-;\-* #,##0.000_-;_-* &quot;-&quot;??_-;_-@_-"/>
    <numFmt numFmtId="168" formatCode="??0.0%"/>
    <numFmt numFmtId="169" formatCode="0.000"/>
    <numFmt numFmtId="170" formatCode="_-* #,##0_-;\-* #,##0_-;_-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EDD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EDDFF"/>
        <bgColor rgb="FF000000"/>
      </patternFill>
    </fill>
  </fills>
  <borders count="1">
    <border>
      <left/>
      <right/>
      <top/>
      <bottom/>
      <diagonal/>
    </border>
  </borders>
  <cellStyleXfs count="551">
    <xf numFmtId="0" fontId="0" fillId="0" borderId="0"/>
    <xf numFmtId="16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49" fontId="3" fillId="0" borderId="0" xfId="0" applyNumberFormat="1" applyFont="1" applyAlignment="1">
      <alignment horizontal="left"/>
    </xf>
    <xf numFmtId="49" fontId="4" fillId="2" borderId="0" xfId="0" applyNumberFormat="1" applyFont="1" applyFill="1" applyAlignment="1">
      <alignment horizontal="center" vertical="center" wrapText="1"/>
    </xf>
    <xf numFmtId="0" fontId="4" fillId="2" borderId="0" xfId="0" applyNumberFormat="1" applyFont="1" applyFill="1" applyAlignment="1">
      <alignment horizontal="left" vertical="center" wrapText="1"/>
    </xf>
    <xf numFmtId="0" fontId="0" fillId="0" borderId="0" xfId="0" applyAlignment="1">
      <alignment wrapText="1"/>
    </xf>
    <xf numFmtId="166" fontId="0" fillId="3" borderId="0" xfId="1" applyNumberFormat="1" applyFont="1" applyFill="1" applyAlignment="1" applyProtection="1">
      <alignment horizontal="center" vertical="center" wrapText="1"/>
      <protection locked="0"/>
    </xf>
    <xf numFmtId="167" fontId="0" fillId="3" borderId="0" xfId="1" applyNumberFormat="1" applyFont="1" applyFill="1" applyAlignment="1" applyProtection="1">
      <alignment horizontal="center" vertical="center" wrapText="1"/>
      <protection locked="0"/>
    </xf>
    <xf numFmtId="165" fontId="0" fillId="3" borderId="0" xfId="0" applyNumberFormat="1" applyFill="1" applyAlignment="1" applyProtection="1">
      <alignment horizontal="left" vertical="center" wrapText="1"/>
      <protection locked="0"/>
    </xf>
    <xf numFmtId="168" fontId="0" fillId="4" borderId="0" xfId="132" applyNumberFormat="1" applyFont="1" applyFill="1" applyAlignment="1">
      <alignment horizontal="center" vertical="center"/>
    </xf>
    <xf numFmtId="169" fontId="0" fillId="4" borderId="0" xfId="132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left" vertical="center" wrapText="1"/>
    </xf>
    <xf numFmtId="165" fontId="0" fillId="0" borderId="0" xfId="0" applyNumberFormat="1" applyAlignment="1">
      <alignment wrapText="1"/>
    </xf>
    <xf numFmtId="170" fontId="0" fillId="3" borderId="0" xfId="1" applyNumberFormat="1" applyFont="1" applyFill="1" applyAlignment="1" applyProtection="1">
      <alignment horizontal="center" vertical="center" wrapText="1"/>
      <protection locked="0"/>
    </xf>
    <xf numFmtId="170" fontId="0" fillId="4" borderId="0" xfId="1" applyNumberFormat="1" applyFont="1" applyFill="1" applyAlignment="1">
      <alignment horizontal="center" vertical="center"/>
    </xf>
  </cellXfs>
  <cellStyles count="551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Normal" xfId="0" builtinId="0"/>
    <cellStyle name="Percent" xfId="13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showGridLines="0" tabSelected="1" workbookViewId="0">
      <selection activeCell="A12" sqref="A12"/>
    </sheetView>
  </sheetViews>
  <sheetFormatPr baseColWidth="10" defaultColWidth="14.1640625" defaultRowHeight="15" x14ac:dyDescent="0"/>
  <cols>
    <col min="1" max="1" width="23.33203125" style="4" customWidth="1"/>
    <col min="2" max="2" width="11" style="4" bestFit="1" customWidth="1"/>
    <col min="3" max="3" width="53.1640625" style="4" customWidth="1"/>
    <col min="4" max="9" width="13.83203125" style="4" customWidth="1"/>
    <col min="10" max="16384" width="14.1640625" style="4"/>
  </cols>
  <sheetData>
    <row r="1" spans="1:14" ht="19">
      <c r="C1" s="1" t="s">
        <v>43</v>
      </c>
    </row>
    <row r="2" spans="1:14" ht="15" customHeight="1">
      <c r="B2" s="11"/>
    </row>
    <row r="3" spans="1:14" ht="15" customHeight="1">
      <c r="D3" s="2" t="s">
        <v>13</v>
      </c>
      <c r="E3" s="2" t="s">
        <v>14</v>
      </c>
      <c r="F3" s="2" t="s">
        <v>9</v>
      </c>
      <c r="G3" s="2" t="s">
        <v>10</v>
      </c>
      <c r="H3" s="2" t="s">
        <v>11</v>
      </c>
    </row>
    <row r="4" spans="1:14" ht="15" customHeight="1">
      <c r="C4" s="3" t="s">
        <v>44</v>
      </c>
      <c r="D4" s="5">
        <v>35</v>
      </c>
      <c r="E4" s="5">
        <v>49</v>
      </c>
      <c r="F4" s="6">
        <v>0.64900000000000002</v>
      </c>
      <c r="G4" s="6">
        <v>0.17799999999999999</v>
      </c>
      <c r="H4" s="6">
        <v>0.33300000000000002</v>
      </c>
    </row>
    <row r="5" spans="1:14" ht="15" customHeight="1">
      <c r="C5" s="3" t="s">
        <v>49</v>
      </c>
      <c r="D5" s="5">
        <v>35</v>
      </c>
      <c r="E5" s="5">
        <v>49</v>
      </c>
      <c r="F5" s="6">
        <v>1.2</v>
      </c>
      <c r="G5" s="6">
        <v>1.4</v>
      </c>
      <c r="H5" s="6">
        <v>0.6</v>
      </c>
    </row>
    <row r="6" spans="1:14" ht="15" customHeight="1">
      <c r="A6" s="1"/>
      <c r="C6" s="3" t="s">
        <v>39</v>
      </c>
      <c r="D6" s="5">
        <v>62</v>
      </c>
      <c r="E6" s="5">
        <v>49</v>
      </c>
      <c r="F6" s="6">
        <v>0.7</v>
      </c>
      <c r="G6" s="6">
        <v>0.22500000000000001</v>
      </c>
      <c r="H6" s="6">
        <v>0.22500000000000001</v>
      </c>
    </row>
    <row r="7" spans="1:14" ht="15" customHeight="1">
      <c r="A7" s="1"/>
      <c r="C7" s="3" t="s">
        <v>40</v>
      </c>
      <c r="D7" s="5">
        <v>93.4</v>
      </c>
      <c r="E7" s="5">
        <v>49</v>
      </c>
      <c r="F7" s="6">
        <v>0</v>
      </c>
      <c r="G7" s="6">
        <v>0.9</v>
      </c>
      <c r="H7" s="6">
        <v>0.9</v>
      </c>
    </row>
    <row r="8" spans="1:14" ht="15" customHeight="1">
      <c r="A8" s="1"/>
      <c r="C8" s="3" t="s">
        <v>41</v>
      </c>
      <c r="D8" s="5">
        <v>0</v>
      </c>
      <c r="E8" s="5">
        <v>49</v>
      </c>
      <c r="F8" s="6">
        <v>0.9</v>
      </c>
      <c r="G8" s="6">
        <v>0.9</v>
      </c>
      <c r="H8" s="6">
        <v>0.9</v>
      </c>
    </row>
    <row r="9" spans="1:14" ht="15" customHeight="1">
      <c r="A9" s="1"/>
      <c r="C9" s="3" t="s">
        <v>42</v>
      </c>
      <c r="D9" s="5">
        <v>0</v>
      </c>
      <c r="E9" s="5">
        <v>49</v>
      </c>
      <c r="F9" s="6">
        <v>0.4</v>
      </c>
      <c r="G9" s="6">
        <v>0.4</v>
      </c>
      <c r="H9" s="6">
        <v>0.4</v>
      </c>
    </row>
    <row r="10" spans="1:14" ht="15" customHeight="1">
      <c r="A10" s="1"/>
      <c r="B10" s="1"/>
      <c r="C10" s="1"/>
      <c r="D10" s="1"/>
      <c r="E10" s="1"/>
      <c r="F10" s="1"/>
      <c r="G10" s="1"/>
      <c r="H10" s="1"/>
    </row>
    <row r="11" spans="1:14" ht="19">
      <c r="A11" s="1" t="s">
        <v>36</v>
      </c>
      <c r="B11" s="1"/>
      <c r="C11" s="1"/>
      <c r="D11" s="1"/>
      <c r="E11" s="1"/>
      <c r="F11" s="1"/>
      <c r="G11" s="1"/>
      <c r="H11" s="1"/>
      <c r="I11" s="1"/>
    </row>
    <row r="13" spans="1:14" ht="28">
      <c r="B13" s="2" t="s">
        <v>12</v>
      </c>
      <c r="C13" s="2" t="s">
        <v>6</v>
      </c>
      <c r="D13" s="2" t="s">
        <v>4</v>
      </c>
      <c r="E13" s="2" t="s">
        <v>2</v>
      </c>
      <c r="F13" s="2" t="s">
        <v>3</v>
      </c>
      <c r="G13" s="2" t="s">
        <v>1</v>
      </c>
      <c r="H13" s="2" t="s">
        <v>5</v>
      </c>
      <c r="I13" s="2" t="s">
        <v>0</v>
      </c>
      <c r="J13" s="2" t="s">
        <v>32</v>
      </c>
      <c r="K13" s="2" t="s">
        <v>33</v>
      </c>
      <c r="L13" s="2" t="s">
        <v>7</v>
      </c>
      <c r="M13" s="2" t="s">
        <v>8</v>
      </c>
      <c r="N13" s="2" t="s">
        <v>47</v>
      </c>
    </row>
    <row r="14" spans="1:14">
      <c r="A14" s="3" t="s">
        <v>15</v>
      </c>
      <c r="B14" s="7">
        <v>110</v>
      </c>
      <c r="C14" s="7" t="s">
        <v>37</v>
      </c>
      <c r="D14" s="5">
        <f>D$6</f>
        <v>62</v>
      </c>
      <c r="E14" s="5">
        <f>E$6</f>
        <v>49</v>
      </c>
      <c r="F14" s="6">
        <f>F$6*$I14*0.3</f>
        <v>4.8299999999999992</v>
      </c>
      <c r="G14" s="6">
        <f>G$6*$I14*0.3</f>
        <v>1.5525</v>
      </c>
      <c r="H14" s="6">
        <f>H$6*$I14*0.3</f>
        <v>1.5525</v>
      </c>
      <c r="I14" s="12">
        <v>23</v>
      </c>
      <c r="J14" s="13">
        <f t="shared" ref="J14:J35" si="0">(D14*F14+E14*G14+(168-D14-E14)*H14)*365.25/7</f>
        <v>24212.161607142854</v>
      </c>
      <c r="K14" s="13">
        <f t="shared" ref="K14:K35" si="1">E14*G14*365.25/7</f>
        <v>3969.3543749999999</v>
      </c>
      <c r="L14" s="8">
        <f t="shared" ref="L14:L35" si="2">J14/365.25/24/I14</f>
        <v>0.12008928571428572</v>
      </c>
      <c r="M14" s="9">
        <f t="shared" ref="M14:M35" si="3">MAX(F14,H14)/J14*365.25*24</f>
        <v>1.7486988847583642</v>
      </c>
      <c r="N14" s="13">
        <f t="shared" ref="N14:N35" si="4">MOD(B14,10)</f>
        <v>0</v>
      </c>
    </row>
    <row r="15" spans="1:14">
      <c r="A15" s="3" t="s">
        <v>18</v>
      </c>
      <c r="B15" s="7">
        <v>210</v>
      </c>
      <c r="C15" s="7" t="s">
        <v>38</v>
      </c>
      <c r="D15" s="5">
        <f>D$6</f>
        <v>62</v>
      </c>
      <c r="E15" s="5">
        <f>E$6</f>
        <v>49</v>
      </c>
      <c r="F15" s="6">
        <f>F$6*$I15</f>
        <v>48.3</v>
      </c>
      <c r="G15" s="6">
        <f>G$6*$I15</f>
        <v>15.525</v>
      </c>
      <c r="H15" s="6">
        <f>H$6*$I15</f>
        <v>15.525</v>
      </c>
      <c r="I15" s="12">
        <v>69</v>
      </c>
      <c r="J15" s="13">
        <f t="shared" si="0"/>
        <v>242121.61607142858</v>
      </c>
      <c r="K15" s="13">
        <f t="shared" si="1"/>
        <v>39693.543750000004</v>
      </c>
      <c r="L15" s="8">
        <f t="shared" si="2"/>
        <v>0.40029761904761901</v>
      </c>
      <c r="M15" s="9">
        <f t="shared" si="3"/>
        <v>1.7486988847583642</v>
      </c>
      <c r="N15" s="13">
        <f t="shared" si="4"/>
        <v>0</v>
      </c>
    </row>
    <row r="16" spans="1:14">
      <c r="A16" s="3" t="s">
        <v>19</v>
      </c>
      <c r="B16" s="7">
        <v>225</v>
      </c>
      <c r="C16" s="7" t="s">
        <v>38</v>
      </c>
      <c r="D16" s="5">
        <f>D$8</f>
        <v>0</v>
      </c>
      <c r="E16" s="5">
        <f>E$8</f>
        <v>49</v>
      </c>
      <c r="F16" s="6">
        <f>F$8*$I16</f>
        <v>62.1</v>
      </c>
      <c r="G16" s="6">
        <f>G$8*$I16</f>
        <v>62.1</v>
      </c>
      <c r="H16" s="6">
        <f>H$8*$I16</f>
        <v>62.1</v>
      </c>
      <c r="I16" s="12">
        <v>69</v>
      </c>
      <c r="J16" s="13">
        <f t="shared" si="0"/>
        <v>544368.6</v>
      </c>
      <c r="K16" s="13">
        <f t="shared" si="1"/>
        <v>158774.17500000002</v>
      </c>
      <c r="L16" s="8">
        <f t="shared" si="2"/>
        <v>0.89999999999999991</v>
      </c>
      <c r="M16" s="9">
        <f t="shared" si="3"/>
        <v>1</v>
      </c>
      <c r="N16" s="13">
        <f t="shared" si="4"/>
        <v>5</v>
      </c>
    </row>
    <row r="17" spans="1:14">
      <c r="A17" s="3" t="s">
        <v>16</v>
      </c>
      <c r="B17" s="7">
        <v>235</v>
      </c>
      <c r="C17" s="7" t="s">
        <v>38</v>
      </c>
      <c r="D17" s="5">
        <f>D$7</f>
        <v>93.4</v>
      </c>
      <c r="E17" s="5">
        <f>E$7</f>
        <v>49</v>
      </c>
      <c r="F17" s="6">
        <f>F$7*$I17</f>
        <v>0</v>
      </c>
      <c r="G17" s="6">
        <f>G$7*$I17</f>
        <v>62.1</v>
      </c>
      <c r="H17" s="6">
        <f>H$7*$I17</f>
        <v>62.1</v>
      </c>
      <c r="I17" s="12">
        <v>69</v>
      </c>
      <c r="J17" s="13">
        <f t="shared" si="0"/>
        <v>241725.58071428569</v>
      </c>
      <c r="K17" s="13">
        <f t="shared" si="1"/>
        <v>158774.17500000002</v>
      </c>
      <c r="L17" s="8">
        <f t="shared" si="2"/>
        <v>0.39964285714285708</v>
      </c>
      <c r="M17" s="9">
        <f t="shared" si="3"/>
        <v>2.25201072386059</v>
      </c>
      <c r="N17" s="13">
        <f t="shared" si="4"/>
        <v>5</v>
      </c>
    </row>
    <row r="18" spans="1:14">
      <c r="A18" s="3" t="s">
        <v>17</v>
      </c>
      <c r="B18" s="7">
        <v>245</v>
      </c>
      <c r="C18" s="7" t="s">
        <v>38</v>
      </c>
      <c r="D18" s="5">
        <f>D$9</f>
        <v>0</v>
      </c>
      <c r="E18" s="5">
        <f>E$9</f>
        <v>49</v>
      </c>
      <c r="F18" s="6">
        <f>F$9*$I18</f>
        <v>27.6</v>
      </c>
      <c r="G18" s="6">
        <f>G$9*$I18</f>
        <v>27.6</v>
      </c>
      <c r="H18" s="6">
        <f>H$9*$I18</f>
        <v>27.6</v>
      </c>
      <c r="I18" s="12">
        <v>69</v>
      </c>
      <c r="J18" s="13">
        <f t="shared" si="0"/>
        <v>241941.6</v>
      </c>
      <c r="K18" s="13">
        <f t="shared" si="1"/>
        <v>70566.3</v>
      </c>
      <c r="L18" s="8">
        <f t="shared" si="2"/>
        <v>0.39999999999999997</v>
      </c>
      <c r="M18" s="9">
        <f t="shared" si="3"/>
        <v>1</v>
      </c>
      <c r="N18" s="13">
        <f t="shared" si="4"/>
        <v>5</v>
      </c>
    </row>
    <row r="19" spans="1:14">
      <c r="A19" s="3" t="s">
        <v>22</v>
      </c>
      <c r="B19" s="7">
        <v>310</v>
      </c>
      <c r="C19" s="7" t="s">
        <v>53</v>
      </c>
      <c r="D19" s="5">
        <f>D$6</f>
        <v>62</v>
      </c>
      <c r="E19" s="5">
        <f>E$6</f>
        <v>49</v>
      </c>
      <c r="F19" s="6">
        <f>F$6*$I19</f>
        <v>482.99999999999994</v>
      </c>
      <c r="G19" s="6">
        <f>G$6*$I19</f>
        <v>155.25</v>
      </c>
      <c r="H19" s="6">
        <f>H$6*$I19</f>
        <v>155.25</v>
      </c>
      <c r="I19" s="12">
        <v>690</v>
      </c>
      <c r="J19" s="13">
        <f t="shared" si="0"/>
        <v>2421216.1607142859</v>
      </c>
      <c r="K19" s="13">
        <f t="shared" si="1"/>
        <v>396935.4375</v>
      </c>
      <c r="L19" s="8">
        <f t="shared" si="2"/>
        <v>0.40029761904761907</v>
      </c>
      <c r="M19" s="9">
        <f t="shared" si="3"/>
        <v>1.748698884758364</v>
      </c>
      <c r="N19" s="13">
        <f t="shared" si="4"/>
        <v>0</v>
      </c>
    </row>
    <row r="20" spans="1:14">
      <c r="A20" s="3" t="s">
        <v>23</v>
      </c>
      <c r="B20" s="7">
        <v>320</v>
      </c>
      <c r="C20" s="7" t="s">
        <v>53</v>
      </c>
      <c r="D20" s="5">
        <f>D$8</f>
        <v>0</v>
      </c>
      <c r="E20" s="5">
        <f>E$8</f>
        <v>49</v>
      </c>
      <c r="F20" s="6">
        <f>F$8*$I20</f>
        <v>621</v>
      </c>
      <c r="G20" s="6">
        <f>G$8*$I20</f>
        <v>621</v>
      </c>
      <c r="H20" s="6">
        <f>H$8*$I20</f>
        <v>621</v>
      </c>
      <c r="I20" s="12">
        <v>690</v>
      </c>
      <c r="J20" s="13">
        <f t="shared" si="0"/>
        <v>5443686</v>
      </c>
      <c r="K20" s="13">
        <f t="shared" si="1"/>
        <v>1587741.75</v>
      </c>
      <c r="L20" s="8">
        <f t="shared" si="2"/>
        <v>0.9</v>
      </c>
      <c r="M20" s="9">
        <f t="shared" si="3"/>
        <v>1</v>
      </c>
      <c r="N20" s="13">
        <f t="shared" si="4"/>
        <v>0</v>
      </c>
    </row>
    <row r="21" spans="1:14">
      <c r="A21" s="10" t="s">
        <v>20</v>
      </c>
      <c r="B21" s="7">
        <v>330</v>
      </c>
      <c r="C21" s="7" t="s">
        <v>53</v>
      </c>
      <c r="D21" s="5">
        <f>D$7</f>
        <v>93.4</v>
      </c>
      <c r="E21" s="5">
        <f>E$7</f>
        <v>49</v>
      </c>
      <c r="F21" s="6">
        <f>F$7*$I21</f>
        <v>0</v>
      </c>
      <c r="G21" s="6">
        <f>G$7*$I21</f>
        <v>621</v>
      </c>
      <c r="H21" s="6">
        <f>H$7*$I21</f>
        <v>621</v>
      </c>
      <c r="I21" s="12">
        <v>690</v>
      </c>
      <c r="J21" s="13">
        <f t="shared" si="0"/>
        <v>2417255.807142857</v>
      </c>
      <c r="K21" s="13">
        <f t="shared" si="1"/>
        <v>1587741.75</v>
      </c>
      <c r="L21" s="8">
        <f t="shared" si="2"/>
        <v>0.39964285714285713</v>
      </c>
      <c r="M21" s="9">
        <f t="shared" si="3"/>
        <v>2.25201072386059</v>
      </c>
      <c r="N21" s="13">
        <f t="shared" si="4"/>
        <v>0</v>
      </c>
    </row>
    <row r="22" spans="1:14">
      <c r="A22" s="3" t="s">
        <v>21</v>
      </c>
      <c r="B22" s="7">
        <v>340</v>
      </c>
      <c r="C22" s="7" t="s">
        <v>53</v>
      </c>
      <c r="D22" s="5">
        <f>D$9</f>
        <v>0</v>
      </c>
      <c r="E22" s="5">
        <f>E$9</f>
        <v>49</v>
      </c>
      <c r="F22" s="6">
        <f>F$9*$I22</f>
        <v>276</v>
      </c>
      <c r="G22" s="6">
        <f>G$9*$I22</f>
        <v>276</v>
      </c>
      <c r="H22" s="6">
        <f>H$9*$I22</f>
        <v>276</v>
      </c>
      <c r="I22" s="12">
        <v>690</v>
      </c>
      <c r="J22" s="13">
        <f t="shared" si="0"/>
        <v>2419416</v>
      </c>
      <c r="K22" s="13">
        <f t="shared" si="1"/>
        <v>705663</v>
      </c>
      <c r="L22" s="8">
        <f t="shared" si="2"/>
        <v>0.4</v>
      </c>
      <c r="M22" s="9">
        <f t="shared" si="3"/>
        <v>1</v>
      </c>
      <c r="N22" s="13">
        <f t="shared" si="4"/>
        <v>0</v>
      </c>
    </row>
    <row r="23" spans="1:14">
      <c r="A23" s="10" t="s">
        <v>28</v>
      </c>
      <c r="B23" s="7">
        <v>355</v>
      </c>
      <c r="C23" s="7" t="s">
        <v>53</v>
      </c>
      <c r="D23" s="5">
        <f>D$5</f>
        <v>35</v>
      </c>
      <c r="E23" s="5">
        <f>E$5</f>
        <v>49</v>
      </c>
      <c r="F23" s="6">
        <f>100*F$5</f>
        <v>120</v>
      </c>
      <c r="G23" s="6">
        <f>100*G$5</f>
        <v>140</v>
      </c>
      <c r="H23" s="6">
        <f>100*H$5</f>
        <v>60</v>
      </c>
      <c r="I23" s="12">
        <v>690</v>
      </c>
      <c r="J23" s="13">
        <f t="shared" si="0"/>
        <v>840075</v>
      </c>
      <c r="K23" s="13">
        <f t="shared" si="1"/>
        <v>357945</v>
      </c>
      <c r="L23" s="8">
        <f t="shared" si="2"/>
        <v>0.1388888888888889</v>
      </c>
      <c r="M23" s="9">
        <f t="shared" si="3"/>
        <v>1.2521739130434781</v>
      </c>
      <c r="N23" s="13">
        <f t="shared" si="4"/>
        <v>5</v>
      </c>
    </row>
    <row r="24" spans="1:14">
      <c r="A24" s="3" t="s">
        <v>29</v>
      </c>
      <c r="B24" s="7">
        <v>365</v>
      </c>
      <c r="C24" s="7" t="s">
        <v>53</v>
      </c>
      <c r="D24" s="5">
        <f>D$4</f>
        <v>35</v>
      </c>
      <c r="E24" s="5">
        <f>E$4</f>
        <v>49</v>
      </c>
      <c r="F24" s="6">
        <f>250*F$4</f>
        <v>162.25</v>
      </c>
      <c r="G24" s="6">
        <f>250*G$4</f>
        <v>44.5</v>
      </c>
      <c r="H24" s="6">
        <f>250*H$4</f>
        <v>83.25</v>
      </c>
      <c r="I24" s="12">
        <v>690</v>
      </c>
      <c r="J24" s="13">
        <f t="shared" si="0"/>
        <v>774969.1875</v>
      </c>
      <c r="K24" s="13">
        <f t="shared" si="1"/>
        <v>113775.375</v>
      </c>
      <c r="L24" s="8">
        <f t="shared" si="2"/>
        <v>0.12812499999999999</v>
      </c>
      <c r="M24" s="9">
        <f t="shared" si="3"/>
        <v>1.8352774832096148</v>
      </c>
      <c r="N24" s="13">
        <f t="shared" si="4"/>
        <v>5</v>
      </c>
    </row>
    <row r="25" spans="1:14">
      <c r="A25" s="3" t="s">
        <v>26</v>
      </c>
      <c r="B25" s="7">
        <v>410</v>
      </c>
      <c r="C25" s="7" t="s">
        <v>54</v>
      </c>
      <c r="D25" s="5">
        <f>D$6</f>
        <v>62</v>
      </c>
      <c r="E25" s="5">
        <f>E$6</f>
        <v>49</v>
      </c>
      <c r="F25" s="6">
        <f>F$6*$I25</f>
        <v>3500</v>
      </c>
      <c r="G25" s="6">
        <f>G$6*$I25</f>
        <v>1125</v>
      </c>
      <c r="H25" s="6">
        <f>H$6*$I25</f>
        <v>1125</v>
      </c>
      <c r="I25" s="12">
        <v>5000</v>
      </c>
      <c r="J25" s="13">
        <f t="shared" si="0"/>
        <v>17545044.642857142</v>
      </c>
      <c r="K25" s="13">
        <f t="shared" si="1"/>
        <v>2876343.75</v>
      </c>
      <c r="L25" s="8">
        <f t="shared" si="2"/>
        <v>0.40029761904761901</v>
      </c>
      <c r="M25" s="9">
        <f t="shared" si="3"/>
        <v>1.7486988847583644</v>
      </c>
      <c r="N25" s="13">
        <f t="shared" si="4"/>
        <v>0</v>
      </c>
    </row>
    <row r="26" spans="1:14">
      <c r="A26" s="3" t="s">
        <v>27</v>
      </c>
      <c r="B26" s="7">
        <v>420</v>
      </c>
      <c r="C26" s="7" t="s">
        <v>54</v>
      </c>
      <c r="D26" s="5">
        <f>D$8</f>
        <v>0</v>
      </c>
      <c r="E26" s="5">
        <v>49</v>
      </c>
      <c r="F26" s="6">
        <f>F$8*$I26</f>
        <v>4500</v>
      </c>
      <c r="G26" s="6">
        <f>G$8*$I26</f>
        <v>4500</v>
      </c>
      <c r="H26" s="6">
        <f>H$8*$I26</f>
        <v>4500</v>
      </c>
      <c r="I26" s="12">
        <v>5000</v>
      </c>
      <c r="J26" s="13">
        <f t="shared" si="0"/>
        <v>39447000</v>
      </c>
      <c r="K26" s="13">
        <f t="shared" si="1"/>
        <v>11505375</v>
      </c>
      <c r="L26" s="8">
        <f t="shared" si="2"/>
        <v>0.9</v>
      </c>
      <c r="M26" s="9">
        <f t="shared" si="3"/>
        <v>1</v>
      </c>
      <c r="N26" s="13">
        <f t="shared" si="4"/>
        <v>0</v>
      </c>
    </row>
    <row r="27" spans="1:14">
      <c r="A27" s="3" t="s">
        <v>24</v>
      </c>
      <c r="B27" s="7">
        <v>430</v>
      </c>
      <c r="C27" s="7" t="s">
        <v>54</v>
      </c>
      <c r="D27" s="5">
        <f>D$7</f>
        <v>93.4</v>
      </c>
      <c r="E27" s="5">
        <f>E$7</f>
        <v>49</v>
      </c>
      <c r="F27" s="6">
        <f>F$7*$I27</f>
        <v>0</v>
      </c>
      <c r="G27" s="6">
        <f>G$7*$I27</f>
        <v>4500</v>
      </c>
      <c r="H27" s="6">
        <f>H$7*$I27</f>
        <v>4500</v>
      </c>
      <c r="I27" s="12">
        <v>5000</v>
      </c>
      <c r="J27" s="13">
        <f t="shared" si="0"/>
        <v>17516346.428571429</v>
      </c>
      <c r="K27" s="13">
        <f t="shared" si="1"/>
        <v>11505375</v>
      </c>
      <c r="L27" s="8">
        <f t="shared" si="2"/>
        <v>0.39964285714285713</v>
      </c>
      <c r="M27" s="9">
        <f t="shared" si="3"/>
        <v>2.2520107238605895</v>
      </c>
      <c r="N27" s="13">
        <f t="shared" si="4"/>
        <v>0</v>
      </c>
    </row>
    <row r="28" spans="1:14">
      <c r="A28" s="3" t="s">
        <v>25</v>
      </c>
      <c r="B28" s="7">
        <v>440</v>
      </c>
      <c r="C28" s="7" t="s">
        <v>54</v>
      </c>
      <c r="D28" s="5">
        <f>D$9</f>
        <v>0</v>
      </c>
      <c r="E28" s="5">
        <f>E$9</f>
        <v>49</v>
      </c>
      <c r="F28" s="6">
        <f>F$9*$I28</f>
        <v>2000</v>
      </c>
      <c r="G28" s="6">
        <f>G$9*$I28</f>
        <v>2000</v>
      </c>
      <c r="H28" s="6">
        <f>H$9*$I28</f>
        <v>2000</v>
      </c>
      <c r="I28" s="12">
        <v>5000</v>
      </c>
      <c r="J28" s="13">
        <f t="shared" si="0"/>
        <v>17532000</v>
      </c>
      <c r="K28" s="13">
        <f t="shared" si="1"/>
        <v>5113500</v>
      </c>
      <c r="L28" s="8">
        <f t="shared" si="2"/>
        <v>0.4</v>
      </c>
      <c r="M28" s="9">
        <f t="shared" si="3"/>
        <v>1</v>
      </c>
      <c r="N28" s="13">
        <f t="shared" si="4"/>
        <v>0</v>
      </c>
    </row>
    <row r="29" spans="1:14">
      <c r="A29" s="3" t="s">
        <v>30</v>
      </c>
      <c r="B29" s="7">
        <v>455</v>
      </c>
      <c r="C29" s="7" t="s">
        <v>54</v>
      </c>
      <c r="D29" s="5">
        <f>D$5</f>
        <v>35</v>
      </c>
      <c r="E29" s="5">
        <f>E$5</f>
        <v>49</v>
      </c>
      <c r="F29" s="6">
        <f>1000*F$5</f>
        <v>1200</v>
      </c>
      <c r="G29" s="6">
        <f>1000*G$5</f>
        <v>1400</v>
      </c>
      <c r="H29" s="6">
        <f>1000*H$5</f>
        <v>600</v>
      </c>
      <c r="I29" s="12">
        <v>5000</v>
      </c>
      <c r="J29" s="13">
        <f t="shared" si="0"/>
        <v>8400750</v>
      </c>
      <c r="K29" s="13">
        <f t="shared" si="1"/>
        <v>3579450</v>
      </c>
      <c r="L29" s="8">
        <f t="shared" si="2"/>
        <v>0.19166666666666668</v>
      </c>
      <c r="M29" s="9">
        <f t="shared" si="3"/>
        <v>1.2521739130434781</v>
      </c>
      <c r="N29" s="13">
        <f t="shared" si="4"/>
        <v>5</v>
      </c>
    </row>
    <row r="30" spans="1:14">
      <c r="A30" s="10" t="s">
        <v>31</v>
      </c>
      <c r="B30" s="7">
        <v>465</v>
      </c>
      <c r="C30" s="7" t="s">
        <v>54</v>
      </c>
      <c r="D30" s="5">
        <f t="shared" ref="D30:E32" si="5">D$4</f>
        <v>35</v>
      </c>
      <c r="E30" s="5">
        <f t="shared" si="5"/>
        <v>49</v>
      </c>
      <c r="F30" s="6">
        <f>2500*F$4</f>
        <v>1622.5</v>
      </c>
      <c r="G30" s="6">
        <f>2500*G$4</f>
        <v>445</v>
      </c>
      <c r="H30" s="6">
        <f>2500*H$4</f>
        <v>832.5</v>
      </c>
      <c r="I30" s="12">
        <v>5000</v>
      </c>
      <c r="J30" s="13">
        <f t="shared" si="0"/>
        <v>7749691.875</v>
      </c>
      <c r="K30" s="13">
        <f t="shared" si="1"/>
        <v>1137753.75</v>
      </c>
      <c r="L30" s="8">
        <f t="shared" si="2"/>
        <v>0.17681250000000001</v>
      </c>
      <c r="M30" s="9">
        <f t="shared" si="3"/>
        <v>1.8352774832096148</v>
      </c>
      <c r="N30" s="13">
        <f t="shared" si="4"/>
        <v>5</v>
      </c>
    </row>
    <row r="31" spans="1:14">
      <c r="A31" s="3" t="s">
        <v>52</v>
      </c>
      <c r="B31" s="7">
        <v>710</v>
      </c>
      <c r="C31" s="7" t="s">
        <v>48</v>
      </c>
      <c r="D31" s="5">
        <f t="shared" si="5"/>
        <v>35</v>
      </c>
      <c r="E31" s="5">
        <f t="shared" si="5"/>
        <v>49</v>
      </c>
      <c r="F31" s="6">
        <f>F$4/2</f>
        <v>0.32450000000000001</v>
      </c>
      <c r="G31" s="6">
        <f>G$4/2</f>
        <v>8.8999999999999996E-2</v>
      </c>
      <c r="H31" s="6">
        <f>H$4/2</f>
        <v>0.16650000000000001</v>
      </c>
      <c r="I31" s="12">
        <v>6</v>
      </c>
      <c r="J31" s="13">
        <f t="shared" si="0"/>
        <v>1549.938375</v>
      </c>
      <c r="K31" s="13">
        <f t="shared" si="1"/>
        <v>227.55074999999997</v>
      </c>
      <c r="L31" s="8">
        <f t="shared" si="2"/>
        <v>2.9468750000000002E-2</v>
      </c>
      <c r="M31" s="9">
        <f t="shared" si="3"/>
        <v>1.8352774832096148</v>
      </c>
      <c r="N31" s="13">
        <f t="shared" si="4"/>
        <v>0</v>
      </c>
    </row>
    <row r="32" spans="1:14">
      <c r="A32" s="3" t="s">
        <v>51</v>
      </c>
      <c r="B32" s="7">
        <v>720</v>
      </c>
      <c r="C32" s="7" t="s">
        <v>48</v>
      </c>
      <c r="D32" s="5">
        <f t="shared" si="5"/>
        <v>35</v>
      </c>
      <c r="E32" s="5">
        <f t="shared" si="5"/>
        <v>49</v>
      </c>
      <c r="F32" s="6">
        <f>F$4</f>
        <v>0.64900000000000002</v>
      </c>
      <c r="G32" s="6">
        <f>G$4</f>
        <v>0.17799999999999999</v>
      </c>
      <c r="H32" s="6">
        <f>H$4</f>
        <v>0.33300000000000002</v>
      </c>
      <c r="I32" s="12">
        <v>9</v>
      </c>
      <c r="J32" s="13">
        <f t="shared" si="0"/>
        <v>3099.8767499999999</v>
      </c>
      <c r="K32" s="13">
        <f t="shared" si="1"/>
        <v>455.10149999999993</v>
      </c>
      <c r="L32" s="8">
        <f t="shared" si="2"/>
        <v>3.9291666666666669E-2</v>
      </c>
      <c r="M32" s="9">
        <f t="shared" si="3"/>
        <v>1.8352774832096148</v>
      </c>
      <c r="N32" s="13">
        <f t="shared" si="4"/>
        <v>0</v>
      </c>
    </row>
    <row r="33" spans="1:14">
      <c r="A33" s="10" t="s">
        <v>50</v>
      </c>
      <c r="B33" s="7">
        <v>740</v>
      </c>
      <c r="C33" s="7" t="s">
        <v>48</v>
      </c>
      <c r="D33" s="5">
        <f>D$5</f>
        <v>35</v>
      </c>
      <c r="E33" s="5">
        <f>E$5</f>
        <v>49</v>
      </c>
      <c r="F33" s="6">
        <f>F$5</f>
        <v>1.2</v>
      </c>
      <c r="G33" s="6">
        <f>G$5</f>
        <v>1.4</v>
      </c>
      <c r="H33" s="6">
        <f>H$5</f>
        <v>0.6</v>
      </c>
      <c r="I33" s="12">
        <v>18</v>
      </c>
      <c r="J33" s="13">
        <f t="shared" si="0"/>
        <v>8400.75</v>
      </c>
      <c r="K33" s="13">
        <f t="shared" si="1"/>
        <v>3579.45</v>
      </c>
      <c r="L33" s="8">
        <f t="shared" si="2"/>
        <v>5.3240740740740741E-2</v>
      </c>
      <c r="M33" s="9">
        <f t="shared" si="3"/>
        <v>1.2521739130434781</v>
      </c>
      <c r="N33" s="13">
        <f t="shared" si="4"/>
        <v>0</v>
      </c>
    </row>
    <row r="34" spans="1:14">
      <c r="A34" s="3" t="s">
        <v>45</v>
      </c>
      <c r="B34" s="7">
        <v>810</v>
      </c>
      <c r="C34" s="7" t="s">
        <v>35</v>
      </c>
      <c r="D34" s="5">
        <f>D$8</f>
        <v>0</v>
      </c>
      <c r="E34" s="5">
        <f>E$8</f>
        <v>49</v>
      </c>
      <c r="F34" s="6">
        <f t="shared" ref="F34:H35" si="6">F$8*$I34</f>
        <v>450</v>
      </c>
      <c r="G34" s="6">
        <f t="shared" si="6"/>
        <v>450</v>
      </c>
      <c r="H34" s="6">
        <f t="shared" si="6"/>
        <v>450</v>
      </c>
      <c r="I34" s="12">
        <v>500</v>
      </c>
      <c r="J34" s="13">
        <f t="shared" si="0"/>
        <v>3944700</v>
      </c>
      <c r="K34" s="13">
        <f t="shared" si="1"/>
        <v>1150537.5</v>
      </c>
      <c r="L34" s="8">
        <f t="shared" si="2"/>
        <v>0.9</v>
      </c>
      <c r="M34" s="9">
        <f t="shared" si="3"/>
        <v>1</v>
      </c>
      <c r="N34" s="13">
        <f t="shared" si="4"/>
        <v>0</v>
      </c>
    </row>
    <row r="35" spans="1:14">
      <c r="A35" s="3" t="s">
        <v>46</v>
      </c>
      <c r="B35" s="7">
        <v>830</v>
      </c>
      <c r="C35" s="7" t="s">
        <v>34</v>
      </c>
      <c r="D35" s="5">
        <f>D$8</f>
        <v>0</v>
      </c>
      <c r="E35" s="5">
        <f>E$8</f>
        <v>49</v>
      </c>
      <c r="F35" s="6">
        <f t="shared" si="6"/>
        <v>450</v>
      </c>
      <c r="G35" s="6">
        <f t="shared" si="6"/>
        <v>450</v>
      </c>
      <c r="H35" s="6">
        <f t="shared" si="6"/>
        <v>450</v>
      </c>
      <c r="I35" s="12">
        <v>500</v>
      </c>
      <c r="J35" s="13">
        <f t="shared" si="0"/>
        <v>3944700</v>
      </c>
      <c r="K35" s="13">
        <f t="shared" si="1"/>
        <v>1150537.5</v>
      </c>
      <c r="L35" s="8">
        <f t="shared" si="2"/>
        <v>0.9</v>
      </c>
      <c r="M35" s="9">
        <f t="shared" si="3"/>
        <v>1</v>
      </c>
      <c r="N35" s="13">
        <f t="shared" si="4"/>
        <v>0</v>
      </c>
    </row>
  </sheetData>
  <autoFilter ref="A13:N35">
    <sortState ref="A14:N35">
      <sortCondition ref="B13:B35"/>
    </sortState>
  </autoFilter>
  <sortState ref="A5:L23">
    <sortCondition ref="A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Reckon LLP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Franck Latrémolière (Reckon)</dc:creator>
  <cp:keywords/>
  <dc:description/>
  <cp:lastModifiedBy>Franck Latrémolière</cp:lastModifiedBy>
  <dcterms:created xsi:type="dcterms:W3CDTF">2014-09-01T23:34:21Z</dcterms:created>
  <dcterms:modified xsi:type="dcterms:W3CDTF">2017-01-25T17:06:17Z</dcterms:modified>
  <cp:category/>
</cp:coreProperties>
</file>