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1 WG05" sheetId="1" r:id="rId3"/>
    <sheet state="visible" name="T1 WG06" sheetId="2" r:id="rId4"/>
  </sheets>
  <definedNames>
    <definedName localSheetId="1" name="k">'T1 WG06'!$K$17</definedName>
    <definedName localSheetId="0" name="k">'T1 WG05'!$K$17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2.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sharedStrings.xml><?xml version="1.0" encoding="utf-8"?>
<sst xmlns="http://schemas.openxmlformats.org/spreadsheetml/2006/main" count="1620" uniqueCount="465">
  <si>
    <t>FECHA</t>
  </si>
  <si>
    <t>AUTOR</t>
  </si>
  <si>
    <t>DESCRIPCION</t>
  </si>
  <si>
    <t>HORA</t>
  </si>
  <si>
    <t>MENSAJE</t>
  </si>
  <si>
    <t>Patrón Comunicación</t>
  </si>
  <si>
    <t>ATRIBUTO</t>
  </si>
  <si>
    <t>CONDUCTA</t>
  </si>
  <si>
    <t>Conducta (Descripción)</t>
  </si>
  <si>
    <t># interacc.</t>
  </si>
  <si>
    <t>% del equipo</t>
  </si>
  <si>
    <t>Problemas Grupales</t>
  </si>
  <si>
    <t>Ind de interac intragrupal</t>
  </si>
  <si>
    <t>totales &gt;&gt;</t>
  </si>
  <si>
    <t>Conflicto</t>
  </si>
  <si>
    <t>Conducta</t>
  </si>
  <si>
    <t>limi. Sup</t>
  </si>
  <si>
    <t>lim. Inf.</t>
  </si>
  <si>
    <t>IPA</t>
  </si>
  <si>
    <t>% por sub-h</t>
  </si>
  <si>
    <t>Rodrigo Beltracchi</t>
  </si>
  <si>
    <t>Alberto el jueves a las 10 nos conectamos todos para ver bien que ponemos en cada inciso y discutir acerca de las respuestas.</t>
  </si>
  <si>
    <t>Hay que hacer lo siguiente…</t>
  </si>
  <si>
    <t>Muestra solidaridad</t>
  </si>
  <si>
    <t>Comunicación</t>
  </si>
  <si>
    <t>c6</t>
  </si>
  <si>
    <t>.</t>
  </si>
  <si>
    <t>Rodrigo Beltracchi ha salido del chat de grupo.</t>
  </si>
  <si>
    <t>Muestra relajamiento o moderación</t>
  </si>
  <si>
    <t>c7</t>
  </si>
  <si>
    <t>Antonella Palacios</t>
  </si>
  <si>
    <t>Hola, una pregunta, no soy muy experta con google docs. En este momento en el chat estamos solo dos, si yo hablo por acá les llega a todos?</t>
  </si>
  <si>
    <t>Preguntemos al profesor…</t>
  </si>
  <si>
    <t>Muestra acuerdo o aprueba</t>
  </si>
  <si>
    <t>Evaluación</t>
  </si>
  <si>
    <t>c5</t>
  </si>
  <si>
    <t>Antonella Palacios ha salido del chat de grupo.</t>
  </si>
  <si>
    <t>Da sugerencia u orientación</t>
  </si>
  <si>
    <t>c8</t>
  </si>
  <si>
    <t>Da opiniones</t>
  </si>
  <si>
    <t>Control</t>
  </si>
  <si>
    <t>c4</t>
  </si>
  <si>
    <t>Da información</t>
  </si>
  <si>
    <t>c9</t>
  </si>
  <si>
    <t>Pide información</t>
  </si>
  <si>
    <t>Decisión</t>
  </si>
  <si>
    <t>c3</t>
  </si>
  <si>
    <t>estaba viendo en el grupo al que nos agregaron y somos 6</t>
  </si>
  <si>
    <t>Por favor, expliqueme…</t>
  </si>
  <si>
    <t>Pide opinión</t>
  </si>
  <si>
    <t>c10</t>
  </si>
  <si>
    <t>Mariano Cocirio</t>
  </si>
  <si>
    <t>21:01 Ayer</t>
  </si>
  <si>
    <t>Resolver</t>
  </si>
  <si>
    <t>problema !!!</t>
  </si>
  <si>
    <t>yo pense que eramos nosotros 4 nada mas</t>
  </si>
  <si>
    <t>Pide sugerencias u orientación</t>
  </si>
  <si>
    <t>Reducción de tensión</t>
  </si>
  <si>
    <t>c2</t>
  </si>
  <si>
    <t>Yo puedo también después de las 18 sin problemas, cuanto antes mejor, y disculpa Antonela, flashie que decía "responder", y era "resolver", no me deja el undo de la acción</t>
  </si>
  <si>
    <t>Discúlpenme…</t>
  </si>
  <si>
    <t>Muestra desacuerdo o desaprobación</t>
  </si>
  <si>
    <t>c11</t>
  </si>
  <si>
    <t>Muestra tensión o molestia</t>
  </si>
  <si>
    <t>Reintegración</t>
  </si>
  <si>
    <t>c1</t>
  </si>
  <si>
    <t>Lautaro Valenzuela</t>
  </si>
  <si>
    <t>Que raro.. igual ponele creo que somos 5, en el correo en cc hay 4 correos ademas del mio</t>
  </si>
  <si>
    <t>No estoy seguro…</t>
  </si>
  <si>
    <t>Muestra antagonismo o agresividad</t>
  </si>
  <si>
    <t>c12</t>
  </si>
  <si>
    <t>Renzo Toscani</t>
  </si>
  <si>
    <t>21:38 Ayer</t>
  </si>
  <si>
    <t>Cuando seria la juntada? Yo no tengo problemas..</t>
  </si>
  <si>
    <t>Por favor, muestreme…</t>
  </si>
  <si>
    <t xml:space="preserve"> % de interacción por atributo</t>
  </si>
  <si>
    <t>si pero por lo visto agregaron a alguien mas</t>
  </si>
  <si>
    <t>Alumno: &gt;&gt;&gt;&gt;&gt;</t>
  </si>
  <si>
    <t>&gt;&gt;&gt;</t>
  </si>
  <si>
    <t>Nicolas Legui</t>
  </si>
  <si>
    <t>Nicolas</t>
  </si>
  <si>
    <t>Nicolas Legui se ha unido al chat de grupo.</t>
  </si>
  <si>
    <t>Interacciones de :</t>
  </si>
  <si>
    <t>Renzo</t>
  </si>
  <si>
    <t>Antonella</t>
  </si>
  <si>
    <t>0:55 Hoy</t>
  </si>
  <si>
    <t>Che, ahi en el grupo de CUYS pusieron que les dijeron que toda la comunicacion debe ser por el doc, asi que, mañana les pinta estar todos online 18.30hs?</t>
  </si>
  <si>
    <t>¿Están de acuerdo...?</t>
  </si>
  <si>
    <t>Rodrigo</t>
  </si>
  <si>
    <t>Mariano</t>
  </si>
  <si>
    <t>buenas!</t>
  </si>
  <si>
    <t>Lautaro</t>
  </si>
  <si>
    <t>10:33 Hoy</t>
  </si>
  <si>
    <t>Bueno, porque creo que la idea es que hagamos todos todo, no deberíamos asignarnos uno a cada uno. Capaz estaría bueno que todos tengamos ya alguna idea de lo que nos preguntan así cuando nos juntamos a responder no estemos en la nada jaja.</t>
  </si>
  <si>
    <t>holaa</t>
  </si>
  <si>
    <t>Continuemos…</t>
  </si>
  <si>
    <t># del equipo</t>
  </si>
  <si>
    <t xml:space="preserve"> # individuo</t>
  </si>
  <si>
    <t>% individuo</t>
  </si>
  <si>
    <t>% ind X % grupal</t>
  </si>
  <si>
    <t>SUB HABILIDAD</t>
  </si>
  <si>
    <t>RESULTADOS</t>
  </si>
  <si>
    <t>Interacciones &gt;&gt;</t>
  </si>
  <si>
    <t>&gt;&gt;&gt;&gt;&gt;</t>
  </si>
  <si>
    <t>Patrón de comunicación</t>
  </si>
  <si>
    <t>Atributo (Descripción)</t>
  </si>
  <si>
    <t>Sub-Habilidad</t>
  </si>
  <si>
    <t xml:space="preserve">% individual </t>
  </si>
  <si>
    <t>% equipo</t>
  </si>
  <si>
    <t xml:space="preserve">% </t>
  </si>
  <si>
    <t>sub-habilidad</t>
  </si>
  <si>
    <t>% parcial x atributo y sub habilidad</t>
  </si>
  <si>
    <t>PROBLEMA</t>
  </si>
  <si>
    <t>SITUACION</t>
  </si>
  <si>
    <t>ESTRATEGIA</t>
  </si>
  <si>
    <t>Hola!</t>
  </si>
  <si>
    <t>10:56 Hoy</t>
  </si>
  <si>
    <t>Sep, intentemos tener una idea todos de mas o menos lo que trata, alguno pudo ir a la teoria de esto? asi tenemos tambien algo asi como su punto de vista</t>
  </si>
  <si>
    <t>Intentemos…</t>
  </si>
  <si>
    <t>Atributo</t>
  </si>
  <si>
    <t>Mediación docente</t>
  </si>
  <si>
    <t>Mediación</t>
  </si>
  <si>
    <t>Comunicacióm</t>
  </si>
  <si>
    <t>Informar</t>
  </si>
  <si>
    <t>Estudiante requiere entrenamiento de subhabilidad Informar</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</si>
  <si>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t>
  </si>
  <si>
    <t>Che y con los que no aparecieron que hacemos?</t>
  </si>
  <si>
    <t>¿Qué hacemos ahora?...</t>
  </si>
  <si>
    <t>Todas las posturas son válidas..</t>
  </si>
  <si>
    <t>Conciliar</t>
  </si>
  <si>
    <t>Argumentación</t>
  </si>
  <si>
    <t>Tarea</t>
  </si>
  <si>
    <t>Estudiante requiere entrenamiento de subhabilidad Tarea</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</si>
  <si>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t>
  </si>
  <si>
    <t>A mi me parece bien…</t>
  </si>
  <si>
    <t>Concertar</t>
  </si>
  <si>
    <t>Requerir</t>
  </si>
  <si>
    <t>Estudiante requiere entrenamiento de subhabilidad Requerir</t>
  </si>
  <si>
    <t>Entrenar al estudiante, solicitándole que formule un requerimiento al grupo manifestando la subhabilidad Requerir. Dado que esta subhabilidad se relaciona con tres atributos, Información, Clarificación e Ilustración, se muestran tres alternativas de respuesta. El estudiante puede optar por hacer su contribución en alguna de ellas.
• Primera alternativa: vinculada con el atributo Información. Contribución comienza con la oración de apertura “¿Qué falta considerar... ?”.
• Segunda alternativa: vinculada con el atributo Clarificación. Contribución comienza con la oración de apertura “Por favor, explíquenme…”.
• Tercera alternativa: vinculada con el atributo Ilustración. Contribución comienza con la oración de apertura “Por favor, muéstrenme…”</t>
  </si>
  <si>
    <t>Discrepar…</t>
  </si>
  <si>
    <t>Discrepar</t>
  </si>
  <si>
    <t>Estudiante requiere entrenamiento de subhabilidad Argumentación</t>
  </si>
  <si>
    <t>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t>
  </si>
  <si>
    <t>faltaria uno de los chicos que dijo que podia no?</t>
  </si>
  <si>
    <t>En lugar de eso podríamos…</t>
  </si>
  <si>
    <t>Ofrecer alternativa</t>
  </si>
  <si>
    <t>ya estoy</t>
  </si>
  <si>
    <t>Estudiante requiere entrenamiento de subhabilidad Mediar</t>
  </si>
  <si>
    <t>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t>
  </si>
  <si>
    <t>Entonces…</t>
  </si>
  <si>
    <t>Inferir</t>
  </si>
  <si>
    <t xml:space="preserve">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t>
  </si>
  <si>
    <t>Supongamos que…</t>
  </si>
  <si>
    <t>Suponer</t>
  </si>
  <si>
    <t>Motivar</t>
  </si>
  <si>
    <t>Estudiante requiere entrenamiento de subhabilidad Motivar</t>
  </si>
  <si>
    <t>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t>
  </si>
  <si>
    <t>Me refieron a esa 5ta persona</t>
  </si>
  <si>
    <t>Pero podría ocurrir que…</t>
  </si>
  <si>
    <t>Proponer excepciones</t>
  </si>
  <si>
    <t>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t>
  </si>
  <si>
    <t>yo tambien</t>
  </si>
  <si>
    <t>la nueva que decis vos</t>
  </si>
  <si>
    <t>Dudar</t>
  </si>
  <si>
    <t>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t>
  </si>
  <si>
    <t>buenas, como va?</t>
  </si>
  <si>
    <t>¡Vamos por buen camino!…</t>
  </si>
  <si>
    <t>Animar</t>
  </si>
  <si>
    <t>Mantenimiento</t>
  </si>
  <si>
    <t>Estudiante requiere entrenamiento de subhabilidad Mantenimiento</t>
  </si>
  <si>
    <t>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t>
  </si>
  <si>
    <t>¡Esto va bien! Sigamos…</t>
  </si>
  <si>
    <t>Reforzar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</si>
  <si>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t>
  </si>
  <si>
    <t>en el grupo que hicieron ellos estamos, Alberto Luti, Cristian del Moral, Ignacio Rezola, Lautaro, Nicolas y yo</t>
  </si>
  <si>
    <t>Resumiendo,…</t>
  </si>
  <si>
    <t>En otras palabras…</t>
  </si>
  <si>
    <t>Parafrasear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</si>
  <si>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t>
  </si>
  <si>
    <t>bien vos? esperamos a antonela un toque?</t>
  </si>
  <si>
    <t>Guiar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</si>
  <si>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t>
  </si>
  <si>
    <t>Yo pienso que…</t>
  </si>
  <si>
    <t>Sugerir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</si>
  <si>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t>
  </si>
  <si>
    <t>vieron lo de hangouts?, nos agregaron a un grupo</t>
  </si>
  <si>
    <t>Elaborar</t>
  </si>
  <si>
    <t xml:space="preserve"> Entrenar al estudiante, solicitándole que formule un requerimiento al grupo manifestando la subhabilidad Requerir. Dado que esta subhabilidad se relaciona con el atributo Elaboración, el estudiante no posee alternativas para responder, debe hacer su contribución a continuación de la oración de apertura “¿Qué hacemos ahora…?”.</t>
  </si>
  <si>
    <t>Yo lo explicaría así…</t>
  </si>
  <si>
    <t>Explicar/Clarificar</t>
  </si>
  <si>
    <t>Reconocimiento</t>
  </si>
  <si>
    <t>XXXX</t>
  </si>
  <si>
    <t>todo bien tambien, dale, esperamos un toque, al parecer vamos a ser 3, jaja</t>
  </si>
  <si>
    <t>Yo creo que… porque…</t>
  </si>
  <si>
    <t>Justificar</t>
  </si>
  <si>
    <t>alberto e Ignacio no aparecieron nunca</t>
  </si>
  <si>
    <t>Yo lo dejaría así…</t>
  </si>
  <si>
    <t>Afirmar</t>
  </si>
  <si>
    <t>Estudiante requiere entrenamiento de subhabilidad Reconocimiento</t>
  </si>
  <si>
    <t xml:space="preserve">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t>
  </si>
  <si>
    <t>sii, igual es un poco incomodo hablar por ahi no?</t>
  </si>
  <si>
    <t>¿Qué falta considerar?...</t>
  </si>
  <si>
    <t>Información</t>
  </si>
  <si>
    <t xml:space="preserve">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t>
  </si>
  <si>
    <t>Elaboración</t>
  </si>
  <si>
    <t>Puesto que la conducta “Muestra tensión” es calificada por (Bales, 1950) como una conducta negativa, no se considera conveniente entrenar al grupo para que la manifieste.</t>
  </si>
  <si>
    <t>jaja si, igual no me parece raro sabiendo lo que pasa siempre en trabajos grupales jaja</t>
  </si>
  <si>
    <t>Clarificación</t>
  </si>
  <si>
    <t>De ultima en el email que mandemos con el trabajo le explicamos la situacion de que no se contactaron</t>
  </si>
  <si>
    <t>Yo creo que debemos intentar…</t>
  </si>
  <si>
    <t>¿Por qué…?</t>
  </si>
  <si>
    <t>Justificación</t>
  </si>
  <si>
    <t xml:space="preserve">Estudiante requiere entrenamiento de subhabilidad Motivar </t>
  </si>
  <si>
    <t xml:space="preserve">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t>
  </si>
  <si>
    <t>¿Se puede…?</t>
  </si>
  <si>
    <t>Opinión</t>
  </si>
  <si>
    <t xml:space="preserve">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t>
  </si>
  <si>
    <t>jue. 10:22</t>
  </si>
  <si>
    <t>Yo por lo que estuve viendo, no hay mucho para decir en la definición, osea mas que estudiar programas que aprenden para mejorar los resultados no se que podría</t>
  </si>
  <si>
    <t>Ilustración</t>
  </si>
  <si>
    <t xml:space="preserve">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t>
  </si>
  <si>
    <t>jajaja, seh, somos mas de la mitad del grupo, 3/5 es un buen numero, jaja</t>
  </si>
  <si>
    <t>Gracias amigos…</t>
  </si>
  <si>
    <t>Apreciación</t>
  </si>
  <si>
    <t>Puesto que la conducta “Muestra antagonismo” es calificada por (Bales, 1950) como una conducta negativa, no se considera conveniente entrenar al grupo para que la manifieste.</t>
  </si>
  <si>
    <t>•</t>
  </si>
  <si>
    <t>Si, estoy de acuerdo…</t>
  </si>
  <si>
    <t>Aceptación/Confirmación</t>
  </si>
  <si>
    <t>R (MEJORADO)</t>
  </si>
  <si>
    <t>No</t>
  </si>
  <si>
    <t>Rechazo</t>
  </si>
  <si>
    <t>Estudiante a requiere entrenamiento de subhabilidad Informar</t>
  </si>
  <si>
    <t>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t>
  </si>
  <si>
    <t>jue. 10:23</t>
  </si>
  <si>
    <t>aca estamos</t>
  </si>
  <si>
    <t>hay que responder las preguntas en este mismo documento no?</t>
  </si>
  <si>
    <t>No entiendo, ¿alguien puede...?</t>
  </si>
  <si>
    <t>Requerir atención</t>
  </si>
  <si>
    <t>Estudiante a requiere entrenamiento de subhabilidad Tarea</t>
  </si>
  <si>
    <t>Debe indicarle que cuando se efectúen un pedido de información, que realice una contribución a continuación de la oración de apertura “Resumiendo,…”.</t>
  </si>
  <si>
    <t>Sugerir acción</t>
  </si>
  <si>
    <t>Estudiante a requiere entrenamiento de subhabilidad Requerir</t>
  </si>
  <si>
    <t>Indicar que en un futuro debe formular al menos un requerimiento al grupo. El estudiante puede optar por: 
• Primera alternativa: La contribución comienza con la oración de apertura “¿Qué falta considerar... ?”.
• Segunda alternativa: La contribución comienza con la oración de apertura “Por favor, explíquenme…”.
• Tercera alternativa: La contribución comienza con la oración de apertura “Por favor, muéstrenme…”</t>
  </si>
  <si>
    <t>Requerir confirmación</t>
  </si>
  <si>
    <t>Estudiante a requiere entrenamiento de subhabilidad Argumentación</t>
  </si>
  <si>
    <t>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t>
  </si>
  <si>
    <t>Te explico….</t>
  </si>
  <si>
    <t>Atender</t>
  </si>
  <si>
    <t>Estudiante a requiere entrenamiento de subhabilidad Mediar</t>
  </si>
  <si>
    <t>Indicar que en un futuro debe formular al menos un requerimiento al grupo. El estudiante debe hacer su contribución a continuación de la oración de apertura “Preguntemos al profesor...”.</t>
  </si>
  <si>
    <t>jue. 10:29</t>
  </si>
  <si>
    <t>A lautaro no le aparece la invitación al grupo</t>
  </si>
  <si>
    <t>Disculparse</t>
  </si>
  <si>
    <t xml:space="preserve">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t>
  </si>
  <si>
    <t>Coordinar procesos grupales</t>
  </si>
  <si>
    <t>Estudiante a requiere entrenamiento de subhabilidad Motivar</t>
  </si>
  <si>
    <t>Indicar que en un futuro debe formular al menos un requerimiento al grupo. El estudiante debe hacer su contribución a continuación de la oración de apertura “¡Esto va bien! Sigamos…”.</t>
  </si>
  <si>
    <t>aaah hoy era? yo pensé que mañana</t>
  </si>
  <si>
    <t>En vez de… Probemos…</t>
  </si>
  <si>
    <t>Requerir cambio de enfoque</t>
  </si>
  <si>
    <t>Indicar que en un futuro debe formular al menos un requerimiento al grupo. El estudiante debe hacer su contribución a continuación de la oración de apertura “Continuemos…”.</t>
  </si>
  <si>
    <t>porque mañana rindo y quería estudiar un poco, si no les jode</t>
  </si>
  <si>
    <t>Resumir información</t>
  </si>
  <si>
    <t>Indicar que en un futuro debe formular al menos un requerimiento al grupo.El estudiante puede optar por: 
• Primera alternativa: La contribución comienza con la oración de apertura “¿Por qué... ?”.
• Segunda alternativa: La contribución comienza con la oración de apertura “¿Se puede…?”.</t>
  </si>
  <si>
    <t>claro mas que nada de estudiar programas que aprendan por su cuenta, osea analicen mucha informacion o ejemplos y a partir de eso poder decidir</t>
  </si>
  <si>
    <t>¡Hasta la próxima!</t>
  </si>
  <si>
    <t>Finalizar participación</t>
  </si>
  <si>
    <t>Estudiante a requiere entrenamiento de subhabilidad Mantenimiento</t>
  </si>
  <si>
    <t>Indicar que en un futuro debe formular al menos un requerimiento al grupo. El estudiante debe hacer su contribución a continuación de la oración de apertura “¿Están de acuerdo…?”.</t>
  </si>
  <si>
    <t xml:space="preserve">Debe indicarle que cuando se efectúen un pedido de sugerencia u orientación, que realice una contribución a continuación de la oración de apertura “En lugar de eso podríamos…”.
</t>
  </si>
  <si>
    <t>ah, como quieras, si quieren mañana no me molesta a mi</t>
  </si>
  <si>
    <t xml:space="preserve">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t>
  </si>
  <si>
    <t xml:space="preserve">Debe indicarle que cuando se efectúen un pedido de sugerencia u orientación, que realice una contribución a continuación de la oración de apertura “Yo creo que debemos intentar…”.
</t>
  </si>
  <si>
    <t>jue. 10:32</t>
  </si>
  <si>
    <t>Claro ejemplos y resultados anteriores también</t>
  </si>
  <si>
    <t xml:space="preserve">Debe indicarle que cuando se efectúen un pedido de sugerencia u orientación, que realice una contribución a continuación de la oración de apertura “En vez de… probemos…”.
</t>
  </si>
  <si>
    <t>Indicar que en un futuro debe formular al menos un requerimiento al grupo. El estudiante debe hacer su contribución a continuación de la oración de apertura “¿Qué hacemos ahora…?”.</t>
  </si>
  <si>
    <t>jue. 10:39</t>
  </si>
  <si>
    <t>no tengo drama yo.. hoy estuve buscando info y redacte dos lineas locas, si quieren las pego aca</t>
  </si>
  <si>
    <t>Fijate lo que escribí, está sin signos ni nada es para hacernos la idea</t>
  </si>
  <si>
    <t>Estudiante a requiere entrenamiento de subhabilidad Reconocimiento</t>
  </si>
  <si>
    <t>Indicar que en un futuro debe formular al menos una muestra de aprobación al grupo. El estudiante debe hacer su contribución a continuación de la oración de apertura “Sí, estoy de acuerdo…”.</t>
  </si>
  <si>
    <t>o en el doc</t>
  </si>
  <si>
    <t>Indicar que en un futuro debe formular al menos una muestra de relajamiento al grupo. El estudiante debe hacer su contribución a continuación de la oración de apertura “Gracias amigos,…”.</t>
  </si>
  <si>
    <t>para el punto uno</t>
  </si>
  <si>
    <t>Puesto que la conducta “Muestra tensión” es calificada como una conducta negativa, no se considera conveniente entrenarla.</t>
  </si>
  <si>
    <t>jue. 11:46</t>
  </si>
  <si>
    <t>Logre hacerlo andar!! jaja habia que actualizar una cosa del chat que tenia viejo</t>
  </si>
  <si>
    <t>y si, en el mismo documento, creo que lo mejor va a ser ir charlando aca, y que uno solo edite, cosa que no se haga quilombo</t>
  </si>
  <si>
    <t xml:space="preserve">Estudiante a requiere entrenamiento de subhabilidad Motivar </t>
  </si>
  <si>
    <t>Indicar que en un futuro debe formular al menos una muestra de solidaridad al grupo. El estudiante debe hacer su contribución a continuación de la oración de apertura “¡vamos por buen camino!...”.</t>
  </si>
  <si>
    <t>Me respondieron rapidisimo los de la catedra</t>
  </si>
  <si>
    <t>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t>
  </si>
  <si>
    <t>Indicar que en un futuro debe formular al menos una muestra de solidaridad al grupo. El estudiante debe hacer su contribución a continuación de la oración de apertura “¡Hasta la próxima!...”.</t>
  </si>
  <si>
    <t>sí, por ahí es mejor</t>
  </si>
  <si>
    <t>Puesto que la conducta “Muestra antagonismo” es calificada como una conducta negativa, no se considera conveniente entrenarla.</t>
  </si>
  <si>
    <t>jajajaj</t>
  </si>
  <si>
    <t>bien</t>
  </si>
  <si>
    <t>ah, bien, yo estuve leyendo para el punto 1 y 3, para el 3 encontre unas cosas de la universidad nacional de nuevo mexico, que edecian porque decidian utilizar Prolog para machine learning</t>
  </si>
  <si>
    <t>http://www.cs.unm.edu/~luger/ai-final2/CH7_Machine%20Learning%20Algorithms%20in%20Prolog.pdf</t>
  </si>
  <si>
    <t>Ahhh no lo ibas a encontrar nunca jajaja</t>
  </si>
  <si>
    <t>ahi en el primer parrafo lo dicen</t>
  </si>
  <si>
    <t>lo dejo por si quieren ver, y mañana redactamos tranquilos</t>
  </si>
  <si>
    <t>creo que ahí estariamos con las aplicaciones</t>
  </si>
  <si>
    <t>piola!</t>
  </si>
  <si>
    <t>bueno mañana a la misma hora nos conectamos..</t>
  </si>
  <si>
    <t>jue. 11:47</t>
  </si>
  <si>
    <t>Dejamos 3 entonces nada mas?</t>
  </si>
  <si>
    <t>dale, mañana a las 18.30 nos vemos  ahi pongo en un comentario el horario que nos vemos y el link ese, cosa que no se pierda</t>
  </si>
  <si>
    <t>de ultima agreguemos 2 mas</t>
  </si>
  <si>
    <t>dale dale</t>
  </si>
  <si>
    <t>ahi esta</t>
  </si>
  <si>
    <t>Asi si andamos medios flojos en algun punto con eso remontamos</t>
  </si>
  <si>
    <t>joya, pego la definicion que arme? o mañana tiramos algo?</t>
  </si>
  <si>
    <t>dale, pegala cosa que quede</t>
  </si>
  <si>
    <t>y mañana ya tenemos algo sobre que trabajar</t>
  </si>
  <si>
    <t>bueno, suerte gente, y exitos Antonella rindiendo (Y)</t>
  </si>
  <si>
    <t>jue. 11:58</t>
  </si>
  <si>
    <t>Y ahora?</t>
  </si>
  <si>
    <t>nos vemos</t>
  </si>
  <si>
    <t>igualmente</t>
  </si>
  <si>
    <t>jue. 11:59</t>
  </si>
  <si>
    <t>viene lo mas dificil, el 3 jaja</t>
  </si>
  <si>
    <t>ahi estoy leyendo el segundo papper que pasaron</t>
  </si>
  <si>
    <t>machine</t>
  </si>
  <si>
    <t>Hola, estaría bueno si nos ponemos de acuerdo en algún horario, no? yo puedo todos los días después de las 18hs.</t>
  </si>
  <si>
    <t>jue. 12:03</t>
  </si>
  <si>
    <t>jajaj va a estar discutido el 3</t>
  </si>
  <si>
    <t>habian dicho, algo que de usar se puede usar creo.. pero como que al manejar mucha cantidad datos</t>
  </si>
  <si>
    <t>hace que el backtracking no sea eficiente</t>
  </si>
  <si>
    <t>creeeeeo jajaja</t>
  </si>
  <si>
    <t>jue. 12:04</t>
  </si>
  <si>
    <t>Es buena, podemos agregarle a esa idea que por mas que se hagan podas y demas nunca se llega a un sistema optimo cuando se manejan gran volumen de datos</t>
  </si>
  <si>
    <t>jue. 12:05</t>
  </si>
  <si>
    <t>claro, ademas en la mayoria de los lugares leí que estos algoritmos usan gran cantidad de datos</t>
  </si>
  <si>
    <t>Bueno, porque creo que la idea es que hagamos todo, todos, no deberíamos asignarnos uno a cada uno. Capaz estaría bueno que todos tengamos ya alguna idea de lo que nos preguntan así cuando nos juntamos a responder no estamos en la nada jaja.</t>
  </si>
  <si>
    <t>jue. 12:06</t>
  </si>
  <si>
    <t>Bueno, si el resto esta de acuerdo le mandamos nomas</t>
  </si>
  <si>
    <t>Dale dale, en un rato me pongo a investigar. Yo no soy de esta cursada, no se si lo habran dado antes, o si lo dieron no me acuerdo..</t>
  </si>
  <si>
    <t>Una pregunta, si se habla por el chat en vez de por aca, se mantienen las conversaciones? Nunca use el drive para esto..</t>
  </si>
  <si>
    <t>jue. 12:11</t>
  </si>
  <si>
    <t>dale, vemos como lo armamos mas o menos</t>
  </si>
  <si>
    <t>Se mantienen mientras no te desconectes, son por login y entre los que estan en el momento, calculo que por eso esta SIEMPRE el usuario de exploratoria, para poder ir viendo todo lo que pase por el chat tambien</t>
  </si>
  <si>
    <t>Alguno de ustedes conoce a Lucas? o seremos solo nosotros 3?</t>
  </si>
  <si>
    <t>No lo conozco..</t>
  </si>
  <si>
    <t>Ni idea quien es</t>
  </si>
  <si>
    <t>Cuando esten avisen :)</t>
  </si>
  <si>
    <t>Describan</t>
  </si>
  <si>
    <t>19/11 a las 18.30 nos conectamos, dejo lo del punto 3 que dije en el chat, leer algo para el resto si pueden</t>
  </si>
  <si>
    <t>mié. 18:45</t>
  </si>
  <si>
    <t>probando (?)</t>
  </si>
  <si>
    <t>mié. 18:48</t>
  </si>
  <si>
    <t>hola holaa</t>
  </si>
  <si>
    <t>mié. 18:49</t>
  </si>
  <si>
    <t>bien, faltaria Antonella nomas</t>
  </si>
  <si>
    <t>mié. 18:54</t>
  </si>
  <si>
    <t>ahora si</t>
  </si>
  <si>
    <t>joya</t>
  </si>
  <si>
    <t>mié. 18:55</t>
  </si>
  <si>
    <t>lesto :B</t>
  </si>
  <si>
    <t>mié. 18:56</t>
  </si>
  <si>
    <t>miraron algo del enlace que subio mariano?</t>
  </si>
  <si>
    <t>yo un poco nomas 😛</t>
  </si>
  <si>
    <t>sì, algo</t>
  </si>
  <si>
    <t>no pude leerlo todo</t>
  </si>
  <si>
    <t>lo imporatante era el primer parrafo igual 😛</t>
  </si>
  <si>
    <t>también encontré algunos ejemplos como para el 2</t>
  </si>
  <si>
    <t>mié. 18:57</t>
  </si>
  <si>
    <t>che, estaba leyendo la definicion de Renzo, me gusto, le agregaria algo sobre como a partir de un conjunto de input hacen predicciones y decisiones</t>
  </si>
  <si>
    <t>mié. 18:58</t>
  </si>
  <si>
    <t>joya!</t>
  </si>
  <si>
    <t>editala cuanto quieras, a mi no se me ocurrio mucho mas</t>
  </si>
  <si>
    <t>que quede claro que no siempre bajo el mismo input dan el mismo output, o eso entendi yo al menos</t>
  </si>
  <si>
    <t>mié. 19:00</t>
  </si>
  <si>
    <t>eso es porque a medida que va obteniendo mas entradas, las salidas son mas especificas?</t>
  </si>
  <si>
    <t>mié. 19:01</t>
  </si>
  <si>
    <t>claro, eso es lo que habia entendido yo, que va como "aprendiendo" de experiencias pasadas para dar predicciones o decisiones mas acertadas and shit</t>
  </si>
  <si>
    <t>mié. 19:02</t>
  </si>
  <si>
    <t>sisi, yo entendi lo mismo, asi que somos 3, algo así debe ser jaja</t>
  </si>
  <si>
    <t>jaja, good</t>
  </si>
  <si>
    <t>mié. 19:03</t>
  </si>
  <si>
    <t>joya, editala nomas 😛</t>
  </si>
  <si>
    <t>anto, para el punto 2 tenes todos los ejemplos?</t>
  </si>
  <si>
    <t>te digo anto para no escribir tanto jaja</t>
  </si>
  <si>
    <t>mié. 19:04</t>
  </si>
  <si>
    <t>sí, encontré unos cuantos</t>
  </si>
  <si>
    <t>http://machinelearningmastery.com/practical-machine-learning-problems/</t>
  </si>
  <si>
    <t>10 ejemplos</t>
  </si>
  <si>
    <t>mié. 19:05</t>
  </si>
  <si>
    <t>bien, cuantos le ponemos? pide al menos 3, le tiramos los 10?</t>
  </si>
  <si>
    <t>jaja</t>
  </si>
  <si>
    <t>y si, ya que los tenemos jaja</t>
  </si>
  <si>
    <t>o de ultima los mas relevantes</t>
  </si>
  <si>
    <t>o conocidos</t>
  </si>
  <si>
    <t>mié. 19:06</t>
  </si>
  <si>
    <t>claro, se los ponemos y de ultima vamos descartando.. hay que nombrarlos y describirlos no?</t>
  </si>
  <si>
    <t>mié. 19:07</t>
  </si>
  <si>
    <t>si</t>
  </si>
  <si>
    <t>si quieren que lo vaya haciendo?</t>
  </si>
  <si>
    <t>yo ahi agregue al 1 lo que deciamos</t>
  </si>
  <si>
    <t>mié. 19:08</t>
  </si>
  <si>
    <t>si queres nos distribuimos los ejemplos</t>
  </si>
  <si>
    <t>asi paralelizamos 😛</t>
  </si>
  <si>
    <t>jajaj bueno</t>
  </si>
  <si>
    <t>concurrencia a full 😛</t>
  </si>
  <si>
    <t>jajaja</t>
  </si>
  <si>
    <t>mié. 19:09</t>
  </si>
  <si>
    <t>mal jaja, bueno, agarro los ultimos 4</t>
  </si>
  <si>
    <t>mié. 19:10</t>
  </si>
  <si>
    <t>yo los 3 del medio</t>
  </si>
  <si>
    <t>mié. 19:12</t>
  </si>
  <si>
    <t>bueno, los que faltan</t>
  </si>
  <si>
    <t>por ahí de todos los que ponemos deberíamos elegir 3 para especificarlos más, por ahí. porque están todos brevemente explicados</t>
  </si>
  <si>
    <t>mié. 19:13</t>
  </si>
  <si>
    <t>agarramos y detallamos mas uno cada uno?</t>
  </si>
  <si>
    <t>de los que nos tocaron?</t>
  </si>
  <si>
    <t>queda justito</t>
  </si>
  <si>
    <t>dale</t>
  </si>
  <si>
    <t>mié. 19:56</t>
  </si>
  <si>
    <t>creo que faltaria el 3, no?</t>
  </si>
  <si>
    <t>mié. 19:57</t>
  </si>
  <si>
    <t>ahi puse un poco mas de data sobre Face Detection</t>
  </si>
  <si>
    <t>mié. 19:58</t>
  </si>
  <si>
    <t>si, yo tengo que agregar unas cosas mas de info al de medicina que me parecio interesante..</t>
  </si>
  <si>
    <t>yo busqué de Spam Detection</t>
  </si>
  <si>
    <t>bueno, veo si encuentro algo mas para agregarle</t>
  </si>
  <si>
    <t>mié. 19:59</t>
  </si>
  <si>
    <t>redacto algo para el 3 y lo tiro ahi abajo?</t>
  </si>
  <si>
    <t>mié. 20:00</t>
  </si>
  <si>
    <t>dale, así de última podemos ir opinando y completando</t>
  </si>
  <si>
    <t>mié. 20:08</t>
  </si>
  <si>
    <t>ahi deje algo escrito</t>
  </si>
  <si>
    <t>mié. 20:11</t>
  </si>
  <si>
    <t>buenísimo, ahora me fijo si le puedo agregar algo</t>
  </si>
  <si>
    <t>mié. 20:12</t>
  </si>
  <si>
    <t>che, ahi vengo, tengo que ir a hacer un mandado</t>
  </si>
  <si>
    <t>me disculpan un toque?</t>
  </si>
  <si>
    <t>mié. 20:15</t>
  </si>
  <si>
    <t>no hay drama</t>
  </si>
  <si>
    <t>mié. 20:16</t>
  </si>
  <si>
    <t>sisi no hay problema</t>
  </si>
  <si>
    <t>listo, ahi vengo 😃</t>
  </si>
  <si>
    <t>mié. 20:41</t>
  </si>
  <si>
    <t>quedo bastante bien todo</t>
  </si>
  <si>
    <t>alguien es bueno dando formato al texto?</t>
  </si>
  <si>
    <t>mié. 20:43</t>
  </si>
  <si>
    <t>si quieren yo después le doy un poco de formato, no sé que más poner en la 3</t>
  </si>
  <si>
    <t>no se me ocurre</t>
  </si>
  <si>
    <t>a mi tampoco jaja</t>
  </si>
  <si>
    <t>mié. 20:44</t>
  </si>
  <si>
    <t>ahora vengo yo, tengo que ir a hacer un mandando también</t>
  </si>
  <si>
    <t>mié. 20:46</t>
  </si>
  <si>
    <t>okas</t>
  </si>
  <si>
    <t>mié. 20:51</t>
  </si>
  <si>
    <t>ahi le di un poquito de formato..</t>
  </si>
  <si>
    <t>mié. 21:20</t>
  </si>
  <si>
    <t>bueno gente, yo me voy yendo, ya me tengo que ir a cenar.. mañana entro de nuevo por si hay algo pendiente para hacer, pero me parece que con lo que tenemos es suficiente.. Saludos!</t>
  </si>
  <si>
    <t>mié. 21:52</t>
  </si>
  <si>
    <t>acabo de llegar, disculpen la demora</t>
  </si>
  <si>
    <t>ahi lo miro</t>
  </si>
  <si>
    <t>me gusto como quedo la parte del punto 2, capaz qeu lo unico que quedo medio crudo fue la parte que puse en el 3, pero no se que mas poner, mañana le pegamos la ultima mirada y entregamos?</t>
  </si>
  <si>
    <t>mié. 22:28</t>
  </si>
  <si>
    <t>Dale, si. De paso veo si encuentro algo mas... Pero la verdad que no se que más ponerle al 3</t>
  </si>
  <si>
    <t>mié. 22:33</t>
  </si>
  <si>
    <t>claro, pasa eso, no veo mas nada yo tampoco xD</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</si>
</sst>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rgb="FF000000"/>
      <name val="Calibri"/>
    </font>
    <font>
      <sz val="8.0"/>
      <color rgb="FF000000"/>
      <name val="Calibri"/>
    </font>
    <font>
      <color rgb="FF000000"/>
    </font>
    <font>
      <b/>
      <sz val="11.0"/>
      <color rgb="FF000000"/>
      <name val="Calibri"/>
    </font>
    <font>
      <b/>
      <sz val="8.0"/>
      <color rgb="FF000000"/>
      <name val="Calibri"/>
    </font>
    <font>
      <sz val="10.0"/>
    </font>
    <font>
      <sz val="11.0"/>
    </font>
    <font>
      <b/>
      <sz val="10.0"/>
      <color rgb="FF222222"/>
    </font>
    <font>
      <sz val="8.0"/>
      <color rgb="FF777777"/>
    </font>
    <font>
      <sz val="10.0"/>
      <color rgb="FF222222"/>
    </font>
    <font>
      <sz val="10.0"/>
      <color rgb="FF333333"/>
    </font>
    <font>
      <b/>
      <sz val="12.0"/>
      <color rgb="FFFF0000"/>
    </font>
    <font>
      <sz val="8.0"/>
    </font>
    <font>
      <sz val="10.0"/>
      <color rgb="FF262626"/>
    </font>
    <font>
      <sz val="11.0"/>
      <color rgb="FF000000"/>
      <name val="Arial"/>
    </font>
    <font/>
    <font>
      <sz val="10.0"/>
      <color rgb="FF888888"/>
    </font>
  </fonts>
  <fills count="12">
    <fill>
      <patternFill patternType="none"/>
    </fill>
    <fill>
      <patternFill patternType="lightGray"/>
    </fill>
    <fill>
      <patternFill patternType="solid">
        <fgColor rgb="FF000000"/>
        <bgColor rgb="FF000000"/>
      </patternFill>
    </fill>
    <fill>
      <patternFill patternType="solid">
        <fgColor rgb="FFF2F2F2"/>
        <bgColor rgb="FFF2F2F2"/>
      </patternFill>
    </fill>
    <fill>
      <patternFill patternType="solid">
        <fgColor rgb="FFD8D8D8"/>
        <bgColor rgb="FFD8D8D8"/>
      </patternFill>
    </fill>
    <fill>
      <patternFill patternType="solid">
        <fgColor rgb="FF595959"/>
        <bgColor rgb="FF595959"/>
      </patternFill>
    </fill>
    <fill>
      <patternFill patternType="solid">
        <fgColor rgb="FFFFFFFF"/>
        <bgColor rgb="FFFFFFFF"/>
      </patternFill>
    </fill>
    <fill>
      <patternFill patternType="solid">
        <fgColor rgb="FFFFC000"/>
        <bgColor rgb="FFFFC000"/>
      </patternFill>
    </fill>
    <fill>
      <patternFill patternType="solid">
        <fgColor rgb="FFF5F5F5"/>
        <bgColor rgb="FFF5F5F5"/>
      </patternFill>
    </fill>
    <fill>
      <patternFill patternType="solid">
        <fgColor rgb="FFFF0000"/>
        <bgColor rgb="FFFF0000"/>
      </patternFill>
    </fill>
    <fill>
      <patternFill patternType="solid">
        <fgColor rgb="FFD6E3BC"/>
        <bgColor rgb="FFD6E3BC"/>
      </patternFill>
    </fill>
    <fill>
      <patternFill patternType="solid">
        <fgColor rgb="FFC2D69B"/>
        <bgColor rgb="FFC2D69B"/>
      </patternFill>
    </fill>
  </fills>
  <borders count="1">
    <border>
      <left/>
      <right/>
      <top/>
      <bottom/>
    </border>
  </borders>
  <cellStyleXfs count="1">
    <xf borderId="0" fillId="0" fontId="0" numFmtId="0" applyAlignment="1" applyFont="1"/>
  </cellStyleXfs>
  <cellXfs count="70">
    <xf borderId="0" fillId="0" fontId="0" numFmtId="0" xfId="0" applyAlignment="1" applyFont="1">
      <alignment/>
    </xf>
    <xf borderId="0" fillId="0" fontId="0" numFmtId="0" xfId="0" applyFont="1"/>
    <xf borderId="0" fillId="2" fontId="0" numFmtId="0" xfId="0" applyBorder="1" applyFill="1" applyFont="1"/>
    <xf borderId="0" fillId="0" fontId="1" numFmtId="0" xfId="0" applyFont="1"/>
    <xf borderId="0" fillId="3" fontId="0" numFmtId="0" xfId="0" applyBorder="1" applyFill="1" applyFont="1"/>
    <xf borderId="0" fillId="4" fontId="0" numFmtId="0" xfId="0" applyBorder="1" applyFill="1" applyFont="1"/>
    <xf borderId="0" fillId="5" fontId="0" numFmtId="0" xfId="0" applyBorder="1" applyFill="1" applyFont="1"/>
    <xf borderId="0" fillId="2" fontId="0" numFmtId="0" xfId="0" applyBorder="1" applyFont="1"/>
    <xf borderId="0" fillId="6" fontId="0" numFmtId="0" xfId="0" applyFill="1" applyFont="1"/>
    <xf borderId="0" fillId="0" fontId="2" numFmtId="0" xfId="0" applyFont="1"/>
    <xf borderId="0" fillId="7" fontId="3" numFmtId="0" xfId="0" applyBorder="1" applyFill="1" applyFont="1"/>
    <xf borderId="0" fillId="2" fontId="3" numFmtId="0" xfId="0" applyBorder="1" applyFont="1"/>
    <xf borderId="0" fillId="7" fontId="4" numFmtId="0" xfId="0" applyBorder="1" applyFont="1"/>
    <xf borderId="0" fillId="3" fontId="3" numFmtId="0" xfId="0" applyBorder="1" applyFont="1"/>
    <xf borderId="0" fillId="4" fontId="3" numFmtId="0" xfId="0" applyBorder="1" applyFont="1"/>
    <xf borderId="0" fillId="5" fontId="3" numFmtId="0" xfId="0" applyBorder="1" applyFont="1"/>
    <xf borderId="0" fillId="2" fontId="3" numFmtId="0" xfId="0" applyBorder="1" applyFont="1"/>
    <xf borderId="0" fillId="6" fontId="3" numFmtId="0" xfId="0" applyFont="1"/>
    <xf borderId="0" fillId="0" fontId="3" numFmtId="0" xfId="0" applyFont="1"/>
    <xf borderId="0" fillId="0" fontId="5" numFmtId="14" xfId="0" applyAlignment="1" applyFont="1" applyNumberFormat="1">
      <alignment/>
    </xf>
    <xf borderId="0" fillId="0" fontId="5" numFmtId="14" xfId="0" applyAlignment="1" applyFont="1" applyNumberFormat="1">
      <alignment horizontal="right"/>
    </xf>
    <xf borderId="0" fillId="0" fontId="5" numFmtId="0" xfId="0" applyAlignment="1" applyFont="1">
      <alignment/>
    </xf>
    <xf borderId="0" fillId="6" fontId="6" numFmtId="0" xfId="0" applyFont="1"/>
    <xf borderId="0" fillId="6" fontId="6" numFmtId="20" xfId="0" applyFont="1" applyNumberFormat="1"/>
    <xf borderId="0" fillId="0" fontId="5" numFmtId="20" xfId="0" applyAlignment="1" applyFont="1" applyNumberFormat="1">
      <alignment/>
    </xf>
    <xf borderId="0" fillId="6" fontId="7" numFmtId="20" xfId="0" applyAlignment="1" applyFont="1" applyNumberFormat="1">
      <alignment horizontal="left"/>
    </xf>
    <xf borderId="0" fillId="0" fontId="5" numFmtId="0" xfId="0" applyFont="1"/>
    <xf borderId="0" fillId="6" fontId="8" numFmtId="20" xfId="0" applyAlignment="1" applyFont="1" applyNumberFormat="1">
      <alignment horizontal="right"/>
    </xf>
    <xf borderId="0" fillId="6" fontId="9" numFmtId="0" xfId="0" applyAlignment="1" applyFont="1">
      <alignment/>
    </xf>
    <xf borderId="0" fillId="0" fontId="0" numFmtId="0" xfId="0" applyAlignment="1" applyFont="1">
      <alignment/>
    </xf>
    <xf borderId="0" fillId="6" fontId="8" numFmtId="0" xfId="0" applyAlignment="1" applyFont="1">
      <alignment/>
    </xf>
    <xf borderId="0" fillId="8" fontId="5" numFmtId="20" xfId="0" applyAlignment="1" applyFill="1" applyFont="1" applyNumberFormat="1">
      <alignment/>
    </xf>
    <xf borderId="0" fillId="0" fontId="7" numFmtId="20" xfId="0" applyAlignment="1" applyFont="1" applyNumberFormat="1">
      <alignment horizontal="left"/>
    </xf>
    <xf borderId="0" fillId="0" fontId="8" numFmtId="20" xfId="0" applyAlignment="1" applyFont="1" applyNumberFormat="1">
      <alignment horizontal="right"/>
    </xf>
    <xf borderId="0" fillId="0" fontId="9" numFmtId="0" xfId="0" applyAlignment="1" applyFont="1">
      <alignment/>
    </xf>
    <xf borderId="0" fillId="0" fontId="10" numFmtId="20" xfId="0" applyAlignment="1" applyFont="1" applyNumberFormat="1">
      <alignment horizontal="left"/>
    </xf>
    <xf borderId="0" fillId="0" fontId="7" numFmtId="0" xfId="0" applyAlignment="1" applyFont="1">
      <alignment horizontal="left"/>
    </xf>
    <xf borderId="0" fillId="6" fontId="6" numFmtId="14" xfId="0" applyFont="1" applyNumberFormat="1"/>
    <xf borderId="0" fillId="6" fontId="0" numFmtId="0" xfId="0" applyAlignment="1" applyFont="1">
      <alignment/>
    </xf>
    <xf borderId="0" fillId="0" fontId="8" numFmtId="0" xfId="0" applyAlignment="1" applyFont="1">
      <alignment/>
    </xf>
    <xf borderId="0" fillId="6" fontId="0" numFmtId="0" xfId="0" applyBorder="1" applyFont="1"/>
    <xf borderId="0" fillId="6" fontId="0" numFmtId="0" xfId="0" applyAlignment="1" applyBorder="1" applyFont="1">
      <alignment/>
    </xf>
    <xf borderId="0" fillId="0" fontId="5" numFmtId="22" xfId="0" applyAlignment="1" applyFont="1" applyNumberFormat="1">
      <alignment/>
    </xf>
    <xf borderId="0" fillId="6" fontId="6" numFmtId="22" xfId="0" applyFont="1" applyNumberFormat="1"/>
    <xf borderId="0" fillId="0" fontId="7" numFmtId="22" xfId="0" applyAlignment="1" applyFont="1" applyNumberFormat="1">
      <alignment horizontal="left"/>
    </xf>
    <xf borderId="0" fillId="9" fontId="0" numFmtId="0" xfId="0" applyFill="1" applyFont="1"/>
    <xf borderId="0" fillId="0" fontId="0" numFmtId="0" xfId="0" applyFont="1"/>
    <xf borderId="0" fillId="7" fontId="0" numFmtId="0" xfId="0" applyFont="1"/>
    <xf borderId="0" fillId="7" fontId="3" numFmtId="0" xfId="0" applyFont="1"/>
    <xf borderId="0" fillId="10" fontId="0" numFmtId="0" xfId="0" applyFill="1" applyFont="1"/>
    <xf borderId="0" fillId="10" fontId="3" numFmtId="0" xfId="0" applyFont="1"/>
    <xf borderId="0" fillId="11" fontId="3" numFmtId="0" xfId="0" applyFill="1" applyFont="1"/>
    <xf borderId="0" fillId="6" fontId="0" numFmtId="0" xfId="0" applyAlignment="1" applyFont="1">
      <alignment wrapText="1"/>
    </xf>
    <xf borderId="0" fillId="6" fontId="7" numFmtId="22" xfId="0" applyAlignment="1" applyFont="1" applyNumberFormat="1">
      <alignment horizontal="left"/>
    </xf>
    <xf borderId="0" fillId="0" fontId="11" numFmtId="0" xfId="0" applyAlignment="1" applyFont="1">
      <alignment/>
    </xf>
    <xf borderId="0" fillId="6" fontId="5" numFmtId="0" xfId="0" applyAlignment="1" applyFont="1">
      <alignment/>
    </xf>
    <xf borderId="0" fillId="0" fontId="12" numFmtId="22" xfId="0" applyAlignment="1" applyFont="1" applyNumberFormat="1">
      <alignment/>
    </xf>
    <xf borderId="0" fillId="0" fontId="12" numFmtId="0" xfId="0" applyAlignment="1" applyFont="1">
      <alignment/>
    </xf>
    <xf borderId="0" fillId="0" fontId="13" numFmtId="0" xfId="0" applyAlignment="1" applyFont="1">
      <alignment/>
    </xf>
    <xf borderId="0" fillId="0" fontId="12" numFmtId="0" xfId="0" applyAlignment="1" applyFont="1">
      <alignment vertical="top"/>
    </xf>
    <xf borderId="0" fillId="6" fontId="5" numFmtId="20" xfId="0" applyAlignment="1" applyFont="1" applyNumberFormat="1">
      <alignment/>
    </xf>
    <xf borderId="0" fillId="5" fontId="14" numFmtId="0" xfId="0" applyBorder="1" applyFont="1"/>
    <xf borderId="0" fillId="2" fontId="14" numFmtId="0" xfId="0" applyBorder="1" applyFont="1"/>
    <xf borderId="0" fillId="6" fontId="7" numFmtId="0" xfId="0" applyAlignment="1" applyFont="1">
      <alignment horizontal="left"/>
    </xf>
    <xf borderId="0" fillId="6" fontId="5" numFmtId="0" xfId="0" applyFont="1"/>
    <xf borderId="0" fillId="0" fontId="15" numFmtId="0" xfId="0" applyAlignment="1" applyFont="1">
      <alignment/>
    </xf>
    <xf borderId="0" fillId="6" fontId="16" numFmtId="0" xfId="0" applyAlignment="1" applyFont="1">
      <alignment horizontal="left"/>
    </xf>
    <xf borderId="0" fillId="0" fontId="5" numFmtId="20" xfId="0" applyAlignment="1" applyFont="1" applyNumberFormat="1">
      <alignment horizontal="right"/>
    </xf>
    <xf borderId="0" fillId="6" fontId="9" numFmtId="0" xfId="0" applyAlignment="1" applyFont="1">
      <alignment horizontal="left"/>
    </xf>
    <xf borderId="0" fillId="6" fontId="5"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drawing2.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1.88"/>
    <col customWidth="1" min="2" max="2" width="2.38"/>
    <col customWidth="1" min="3" max="3" width="12.0"/>
    <col customWidth="1" min="4" max="4" width="2.13"/>
    <col customWidth="1" min="5" max="5" width="12.75"/>
    <col customWidth="1" min="6" max="6" width="1.25"/>
    <col customWidth="1" min="7" max="7" width="46.25"/>
    <col customWidth="1" min="8" max="8" width="2.38"/>
    <col customWidth="1" min="9" max="9" width="32.1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20.63"/>
    <col customWidth="1" min="39" max="39" width="56.13"/>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1"/>
      <c r="G1" s="3"/>
      <c r="H1" s="2"/>
      <c r="I1" s="1"/>
      <c r="J1" s="4"/>
      <c r="K1" s="5"/>
      <c r="L1" s="6"/>
      <c r="M1" s="7"/>
      <c r="N1" s="8"/>
      <c r="O1" s="8"/>
      <c r="P1" s="8"/>
      <c r="Q1" s="8"/>
      <c r="R1" s="8"/>
      <c r="S1" s="8"/>
      <c r="T1" s="8"/>
      <c r="U1" s="8"/>
      <c r="V1" s="8"/>
      <c r="W1" s="8"/>
      <c r="X1" s="8"/>
      <c r="Y1" s="8"/>
      <c r="Z1" s="8"/>
      <c r="AA1" s="8"/>
      <c r="AB1" s="8"/>
      <c r="AC1" s="8"/>
      <c r="AD1" s="8"/>
      <c r="AE1" s="8"/>
      <c r="AF1" s="8"/>
      <c r="AG1" s="8"/>
      <c r="AH1" s="8"/>
      <c r="AI1" s="8"/>
      <c r="AJ1" s="1"/>
      <c r="AK1" s="1"/>
      <c r="AL1" s="1"/>
      <c r="AM1" s="1"/>
      <c r="AN1" s="1"/>
      <c r="AO1" s="1"/>
      <c r="AP1" s="1"/>
      <c r="AQ1" s="1"/>
      <c r="AR1" s="9"/>
    </row>
    <row r="2" ht="18.0" customHeight="1">
      <c r="A2" s="10" t="s">
        <v>0</v>
      </c>
      <c r="B2" s="10" t="s">
        <v>1</v>
      </c>
      <c r="C2" s="10" t="s">
        <v>2</v>
      </c>
      <c r="D2" s="11"/>
      <c r="E2" s="10" t="s">
        <v>1</v>
      </c>
      <c r="F2" s="10" t="s">
        <v>3</v>
      </c>
      <c r="G2" s="12" t="s">
        <v>4</v>
      </c>
      <c r="H2" s="11"/>
      <c r="I2" s="10" t="s">
        <v>5</v>
      </c>
      <c r="J2" s="13" t="s">
        <v>6</v>
      </c>
      <c r="K2" s="14" t="s">
        <v>7</v>
      </c>
      <c r="L2" s="15"/>
      <c r="M2" s="16"/>
      <c r="N2" s="17" t="s">
        <v>8</v>
      </c>
      <c r="O2" s="17"/>
      <c r="P2" s="17" t="s">
        <v>9</v>
      </c>
      <c r="Q2" s="17" t="s">
        <v>10</v>
      </c>
      <c r="R2" s="17"/>
      <c r="S2" s="17" t="s">
        <v>11</v>
      </c>
      <c r="T2" s="17"/>
      <c r="U2" s="17"/>
      <c r="V2" s="17"/>
      <c r="W2" s="17" t="s">
        <v>12</v>
      </c>
      <c r="X2" s="17"/>
      <c r="Y2" s="17"/>
      <c r="Z2" s="17"/>
      <c r="AA2" s="17"/>
      <c r="AB2" s="17"/>
      <c r="AC2" s="17"/>
      <c r="AD2" s="17"/>
      <c r="AE2" s="17"/>
      <c r="AF2" s="17"/>
      <c r="AG2" s="17"/>
      <c r="AH2" s="17"/>
      <c r="AI2" s="17"/>
      <c r="AJ2" s="18"/>
      <c r="AK2" s="18"/>
      <c r="AL2" s="18"/>
      <c r="AM2" s="18"/>
      <c r="AN2" s="18"/>
      <c r="AO2" s="18"/>
      <c r="AP2" s="18"/>
      <c r="AQ2" s="18"/>
      <c r="AR2" s="18"/>
    </row>
    <row r="3" ht="18.75" customHeight="1">
      <c r="A3" s="1"/>
      <c r="B3" s="1"/>
      <c r="C3" s="1"/>
      <c r="D3" s="2"/>
      <c r="E3" s="19"/>
      <c r="F3" s="20">
        <v>41961.0</v>
      </c>
      <c r="G3" s="21"/>
      <c r="H3" s="2"/>
      <c r="I3" s="1"/>
      <c r="J3" s="4">
        <f t="shared" ref="J3:J96"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5">
        <f t="shared" ref="K3:K96"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6"/>
      <c r="M3" s="7"/>
      <c r="N3" s="17"/>
      <c r="O3" s="17" t="s">
        <v>13</v>
      </c>
      <c r="P3" s="8">
        <f>COUNTIFS(K$3:K$130,"&gt;0")</f>
        <v>23</v>
      </c>
      <c r="Q3" s="8">
        <f t="shared" ref="Q3:Q15" si="3">(P3/P$3)*100</f>
        <v>100</v>
      </c>
      <c r="R3" s="8"/>
      <c r="S3" s="8"/>
      <c r="T3" s="8"/>
      <c r="U3" s="8"/>
      <c r="V3" s="8"/>
      <c r="W3" s="17" t="s">
        <v>14</v>
      </c>
      <c r="X3" s="17" t="s">
        <v>15</v>
      </c>
      <c r="Y3" s="17" t="s">
        <v>16</v>
      </c>
      <c r="Z3" s="17" t="s">
        <v>17</v>
      </c>
      <c r="AA3" s="8"/>
      <c r="AB3" s="17" t="s">
        <v>18</v>
      </c>
      <c r="AC3" s="17" t="s">
        <v>19</v>
      </c>
      <c r="AD3" s="8"/>
      <c r="AE3" s="8"/>
      <c r="AF3" s="8"/>
      <c r="AG3" s="8"/>
      <c r="AH3" s="8"/>
      <c r="AI3" s="8"/>
      <c r="AJ3" s="1"/>
      <c r="AK3" s="1"/>
      <c r="AL3" s="1"/>
      <c r="AM3" s="1"/>
      <c r="AN3" s="1"/>
      <c r="AO3" s="1"/>
      <c r="AP3" s="1"/>
      <c r="AQ3" s="1"/>
      <c r="AR3" s="9"/>
    </row>
    <row r="4" ht="16.5" customHeight="1">
      <c r="A4" s="1"/>
      <c r="B4" s="1"/>
      <c r="C4" s="23" t="str">
        <f t="shared" ref="C4:C130" si="4">IF(E4="",C3,E4)</f>
        <v>Rodrigo Beltracchi</v>
      </c>
      <c r="D4" s="2"/>
      <c r="E4" s="25" t="s">
        <v>20</v>
      </c>
      <c r="F4" s="27">
        <v>0.7951388888888888</v>
      </c>
      <c r="G4" s="28" t="s">
        <v>21</v>
      </c>
      <c r="H4" s="2"/>
      <c r="I4" s="29" t="s">
        <v>22</v>
      </c>
      <c r="J4" s="4">
        <f t="shared" si="1"/>
        <v>15</v>
      </c>
      <c r="K4" s="5">
        <f t="shared" si="2"/>
        <v>4</v>
      </c>
      <c r="L4" s="6"/>
      <c r="M4" s="7"/>
      <c r="N4" s="17" t="s">
        <v>23</v>
      </c>
      <c r="O4" s="17">
        <v>1.0</v>
      </c>
      <c r="P4" s="8">
        <f t="shared" ref="P4:P15" si="5">COUNTIF(K$3:K$130,O4)</f>
        <v>0</v>
      </c>
      <c r="Q4" s="8">
        <f t="shared" si="3"/>
        <v>0</v>
      </c>
      <c r="R4" s="8"/>
      <c r="S4" s="8">
        <f>IF(Q4&gt;5,"Problema de Reintegración",0)</f>
        <v>0</v>
      </c>
      <c r="T4" s="8">
        <v>0.0</v>
      </c>
      <c r="U4" s="8"/>
      <c r="V4" s="8"/>
      <c r="W4" s="17" t="s">
        <v>24</v>
      </c>
      <c r="X4" s="17" t="s">
        <v>25</v>
      </c>
      <c r="Y4" s="17">
        <f>30/100</f>
        <v>0.3</v>
      </c>
      <c r="Z4" s="17">
        <f>14/100</f>
        <v>0.14</v>
      </c>
      <c r="AA4" s="8"/>
      <c r="AB4" s="8">
        <v>1.0</v>
      </c>
      <c r="AC4" s="8"/>
      <c r="AD4" s="8">
        <f>IF(AC4&gt;5,"Problema de Reintegración",0)</f>
        <v>0</v>
      </c>
      <c r="AE4" s="8">
        <v>0.0</v>
      </c>
      <c r="AF4" s="8" t="s">
        <v>26</v>
      </c>
      <c r="AG4" s="8"/>
      <c r="AH4" s="8"/>
      <c r="AI4" s="8"/>
      <c r="AJ4" s="1"/>
      <c r="AK4" s="1"/>
      <c r="AL4" s="1"/>
      <c r="AM4" s="1"/>
      <c r="AN4" s="1"/>
      <c r="AO4" s="1"/>
      <c r="AP4" s="1"/>
      <c r="AQ4" s="1"/>
      <c r="AR4" s="9"/>
    </row>
    <row r="5" ht="18.0" customHeight="1">
      <c r="A5" s="1"/>
      <c r="B5" s="1"/>
      <c r="C5" s="23" t="str">
        <f t="shared" si="4"/>
        <v>Rodrigo Beltracchi</v>
      </c>
      <c r="D5" s="2"/>
      <c r="E5" s="24"/>
      <c r="F5" s="26"/>
      <c r="G5" s="30" t="s">
        <v>27</v>
      </c>
      <c r="H5" s="2"/>
      <c r="I5" s="1"/>
      <c r="J5" s="4">
        <f t="shared" si="1"/>
        <v>0</v>
      </c>
      <c r="K5" s="5">
        <f t="shared" si="2"/>
        <v>0</v>
      </c>
      <c r="L5" s="6"/>
      <c r="M5" s="7"/>
      <c r="N5" s="17" t="s">
        <v>28</v>
      </c>
      <c r="O5" s="17">
        <v>2.0</v>
      </c>
      <c r="P5" s="8">
        <f t="shared" si="5"/>
        <v>0</v>
      </c>
      <c r="Q5" s="8">
        <f t="shared" si="3"/>
        <v>0</v>
      </c>
      <c r="R5" s="8"/>
      <c r="S5" s="8" t="str">
        <f>IF(Q5&lt;=14,,"Problema de Tensión")</f>
        <v/>
      </c>
      <c r="T5" s="8" t="str">
        <f>IF(Q5&gt;=3,,"Problema de Tensión")</f>
        <v>Problema de Tensión</v>
      </c>
      <c r="U5" s="8"/>
      <c r="V5" s="8"/>
      <c r="W5" s="17" t="s">
        <v>24</v>
      </c>
      <c r="X5" s="17" t="s">
        <v>29</v>
      </c>
      <c r="Y5" s="17">
        <f>11/100</f>
        <v>0.11</v>
      </c>
      <c r="Z5" s="17">
        <f>2/100</f>
        <v>0.02</v>
      </c>
      <c r="AA5" s="8"/>
      <c r="AB5" s="8">
        <v>2.0</v>
      </c>
      <c r="AC5" s="8"/>
      <c r="AD5" s="8" t="str">
        <f>IF(AC5&lt;=14,,"Problema de Tensión")</f>
        <v/>
      </c>
      <c r="AE5" s="8" t="str">
        <f>IF(AC5&gt;=3,,"Problema de Tensión")</f>
        <v>Problema de Tensión</v>
      </c>
      <c r="AF5" s="8" t="s">
        <v>26</v>
      </c>
      <c r="AG5" s="8"/>
      <c r="AH5" s="8"/>
      <c r="AI5" s="8"/>
      <c r="AJ5" s="1"/>
      <c r="AK5" s="1"/>
      <c r="AL5" s="1"/>
      <c r="AM5" s="1"/>
      <c r="AN5" s="1"/>
      <c r="AO5" s="1"/>
      <c r="AP5" s="1"/>
      <c r="AQ5" s="1"/>
      <c r="AR5" s="9"/>
    </row>
    <row r="6" ht="15.75" customHeight="1">
      <c r="A6" s="1"/>
      <c r="B6" s="1"/>
      <c r="C6" s="23" t="str">
        <f t="shared" si="4"/>
        <v>Rodrigo Beltracchi</v>
      </c>
      <c r="D6" s="2"/>
      <c r="E6" s="24"/>
      <c r="F6" s="26"/>
      <c r="G6" s="26"/>
      <c r="H6" s="2"/>
      <c r="J6" s="4">
        <f t="shared" si="1"/>
        <v>0</v>
      </c>
      <c r="K6" s="5">
        <f t="shared" si="2"/>
        <v>0</v>
      </c>
      <c r="L6" s="6"/>
      <c r="M6" s="7"/>
      <c r="N6" s="17" t="s">
        <v>33</v>
      </c>
      <c r="O6" s="17">
        <v>3.0</v>
      </c>
      <c r="P6" s="8">
        <f t="shared" si="5"/>
        <v>1</v>
      </c>
      <c r="Q6" s="8">
        <f t="shared" si="3"/>
        <v>4.347826087</v>
      </c>
      <c r="R6" s="8"/>
      <c r="S6" s="8" t="str">
        <f>IF(Q6&lt;=20,,"Problema de Decisión")</f>
        <v/>
      </c>
      <c r="T6" s="8" t="str">
        <f>IF(Q6&gt;=6,,"Problema de Decisión")</f>
        <v>Problema de Decisión</v>
      </c>
      <c r="U6" s="8"/>
      <c r="V6" s="8"/>
      <c r="W6" s="17" t="s">
        <v>34</v>
      </c>
      <c r="X6" s="17" t="s">
        <v>35</v>
      </c>
      <c r="Y6" s="17">
        <f>40/100</f>
        <v>0.4</v>
      </c>
      <c r="Z6" s="17">
        <f>21/100</f>
        <v>0.21</v>
      </c>
      <c r="AA6" s="8"/>
      <c r="AB6" s="8">
        <v>3.0</v>
      </c>
      <c r="AC6" s="8"/>
      <c r="AD6" s="8" t="str">
        <f>IF(AC6&lt;=20,,"Problema de Decisión")</f>
        <v/>
      </c>
      <c r="AE6" s="8" t="str">
        <f>IF(AC6&gt;=6,,"Problema de Decisión")</f>
        <v>Problema de Decisión</v>
      </c>
      <c r="AF6" s="8" t="s">
        <v>26</v>
      </c>
      <c r="AG6" s="8"/>
      <c r="AH6" s="8"/>
      <c r="AI6" s="8"/>
      <c r="AJ6" s="1"/>
      <c r="AK6" s="1"/>
      <c r="AL6" s="1"/>
      <c r="AM6" s="1"/>
      <c r="AN6" s="1"/>
      <c r="AO6" s="1"/>
      <c r="AP6" s="1"/>
      <c r="AQ6" s="1"/>
      <c r="AR6" s="9"/>
    </row>
    <row r="7" ht="15.75" customHeight="1">
      <c r="A7" s="1"/>
      <c r="B7" s="1"/>
      <c r="C7" s="23" t="str">
        <f t="shared" si="4"/>
        <v>Rodrigo Beltracchi</v>
      </c>
      <c r="D7" s="2"/>
      <c r="E7" s="24"/>
      <c r="F7" s="26"/>
      <c r="G7" s="26"/>
      <c r="H7" s="2"/>
      <c r="I7" s="1"/>
      <c r="J7" s="4">
        <f t="shared" si="1"/>
        <v>0</v>
      </c>
      <c r="K7" s="5">
        <f t="shared" si="2"/>
        <v>0</v>
      </c>
      <c r="L7" s="6"/>
      <c r="M7" s="7"/>
      <c r="N7" s="17" t="s">
        <v>37</v>
      </c>
      <c r="O7" s="17">
        <v>4.0</v>
      </c>
      <c r="P7" s="8">
        <f t="shared" si="5"/>
        <v>3</v>
      </c>
      <c r="Q7" s="8">
        <f t="shared" si="3"/>
        <v>13.04347826</v>
      </c>
      <c r="R7" s="8"/>
      <c r="S7" s="8" t="str">
        <f>IF(Q7&lt;=11,,"Problema de Control")</f>
        <v>Problema de Control</v>
      </c>
      <c r="T7" s="8" t="str">
        <f>IF(Q7&gt;=4,,"Problema de Control")</f>
        <v/>
      </c>
      <c r="U7" s="8"/>
      <c r="V7" s="8"/>
      <c r="W7" s="17" t="s">
        <v>34</v>
      </c>
      <c r="X7" s="17" t="s">
        <v>38</v>
      </c>
      <c r="Y7" s="17">
        <f>9/100</f>
        <v>0.09</v>
      </c>
      <c r="Z7" s="17">
        <f>1/100</f>
        <v>0.01</v>
      </c>
      <c r="AA7" s="8"/>
      <c r="AB7" s="8">
        <v>4.0</v>
      </c>
      <c r="AC7" s="8"/>
      <c r="AD7" s="8" t="str">
        <f>IF(AC7&lt;=11,,"Problema de Control")</f>
        <v/>
      </c>
      <c r="AE7" s="8" t="str">
        <f>IF(AC7&gt;=4,,"Problema de Control")</f>
        <v>Problema de Control</v>
      </c>
      <c r="AF7" s="8" t="s">
        <v>26</v>
      </c>
      <c r="AG7" s="8"/>
      <c r="AH7" s="8"/>
      <c r="AI7" s="8"/>
      <c r="AJ7" s="1"/>
      <c r="AK7" s="1"/>
      <c r="AL7" s="1"/>
      <c r="AM7" s="1"/>
      <c r="AN7" s="1"/>
      <c r="AO7" s="1"/>
      <c r="AP7" s="1"/>
      <c r="AQ7" s="1"/>
      <c r="AR7" s="9"/>
    </row>
    <row r="8" ht="15.75" customHeight="1">
      <c r="A8" s="1"/>
      <c r="B8" s="1"/>
      <c r="C8" s="23" t="str">
        <f t="shared" si="4"/>
        <v>Rodrigo Beltracchi</v>
      </c>
      <c r="D8" s="2"/>
      <c r="E8" s="24"/>
      <c r="F8" s="20">
        <v>41963.0</v>
      </c>
      <c r="G8" s="26"/>
      <c r="H8" s="2"/>
      <c r="I8" s="1"/>
      <c r="J8" s="4">
        <f t="shared" si="1"/>
        <v>0</v>
      </c>
      <c r="K8" s="5">
        <f t="shared" si="2"/>
        <v>0</v>
      </c>
      <c r="L8" s="6"/>
      <c r="M8" s="7"/>
      <c r="N8" s="17" t="s">
        <v>39</v>
      </c>
      <c r="O8" s="17">
        <v>5.0</v>
      </c>
      <c r="P8" s="8">
        <f t="shared" si="5"/>
        <v>6</v>
      </c>
      <c r="Q8" s="8">
        <f t="shared" si="3"/>
        <v>26.08695652</v>
      </c>
      <c r="R8" s="8"/>
      <c r="S8" s="8" t="str">
        <f>IF(Q8&lt;=40,,"Problema de Evaluación")</f>
        <v/>
      </c>
      <c r="T8" s="8" t="str">
        <f>IF(Q8&gt;=21,,"Problema de Evaluación")</f>
        <v/>
      </c>
      <c r="U8" s="8"/>
      <c r="V8" s="8"/>
      <c r="W8" s="17" t="s">
        <v>40</v>
      </c>
      <c r="X8" s="17" t="s">
        <v>41</v>
      </c>
      <c r="Y8" s="17">
        <f>11/100</f>
        <v>0.11</v>
      </c>
      <c r="Z8" s="17">
        <f>4/100</f>
        <v>0.04</v>
      </c>
      <c r="AA8" s="8"/>
      <c r="AB8" s="8">
        <v>5.0</v>
      </c>
      <c r="AC8" s="8"/>
      <c r="AD8" s="8" t="str">
        <f>IF(AC8&lt;=40,,"Problema de Evaluación")</f>
        <v/>
      </c>
      <c r="AE8" s="8" t="str">
        <f>IF(AC8&gt;=21,,"Problema de Evaluación")</f>
        <v>Problema de Evaluación</v>
      </c>
      <c r="AF8" s="8" t="s">
        <v>26</v>
      </c>
      <c r="AG8" s="8"/>
      <c r="AH8" s="8"/>
      <c r="AI8" s="8"/>
      <c r="AJ8" s="1"/>
      <c r="AK8" s="1"/>
      <c r="AL8" s="1"/>
      <c r="AM8" s="1"/>
      <c r="AN8" s="1"/>
      <c r="AO8" s="1"/>
      <c r="AP8" s="1"/>
      <c r="AQ8" s="1"/>
      <c r="AR8" s="9"/>
    </row>
    <row r="9" ht="15.75" customHeight="1">
      <c r="A9" s="1"/>
      <c r="B9" s="1"/>
      <c r="C9" s="23" t="str">
        <f t="shared" si="4"/>
        <v>Rodrigo Beltracchi</v>
      </c>
      <c r="D9" s="2"/>
      <c r="E9" s="19"/>
      <c r="F9" s="26"/>
      <c r="G9" s="26"/>
      <c r="H9" s="2"/>
      <c r="I9" s="1"/>
      <c r="J9" s="4">
        <f t="shared" si="1"/>
        <v>0</v>
      </c>
      <c r="K9" s="5">
        <f t="shared" si="2"/>
        <v>0</v>
      </c>
      <c r="L9" s="6"/>
      <c r="M9" s="7"/>
      <c r="N9" s="17" t="s">
        <v>42</v>
      </c>
      <c r="O9" s="17">
        <v>6.0</v>
      </c>
      <c r="P9" s="8">
        <f t="shared" si="5"/>
        <v>3</v>
      </c>
      <c r="Q9" s="8">
        <f t="shared" si="3"/>
        <v>13.04347826</v>
      </c>
      <c r="R9" s="8"/>
      <c r="S9" s="8" t="str">
        <f>IF(Q9&lt;=30,,"Problema de Comunicación")</f>
        <v/>
      </c>
      <c r="T9" s="8" t="str">
        <f>IF(Q9&gt;=14,,"Problema de Comunicación")</f>
        <v>Problema de Comunicación</v>
      </c>
      <c r="U9" s="8"/>
      <c r="V9" s="8"/>
      <c r="W9" s="17" t="s">
        <v>40</v>
      </c>
      <c r="X9" s="17" t="s">
        <v>43</v>
      </c>
      <c r="Y9" s="17">
        <f>5/100</f>
        <v>0.05</v>
      </c>
      <c r="Z9" s="17">
        <v>0.0</v>
      </c>
      <c r="AA9" s="8"/>
      <c r="AB9" s="8">
        <v>6.0</v>
      </c>
      <c r="AC9" s="8"/>
      <c r="AD9" s="8" t="str">
        <f>IF(AC9&lt;=30,,"Problema de Comunicación")</f>
        <v/>
      </c>
      <c r="AE9" s="8" t="str">
        <f>IF(AC9&gt;=14,,"Problema de Comunicación")</f>
        <v>Problema de Comunicación</v>
      </c>
      <c r="AF9" s="8" t="s">
        <v>26</v>
      </c>
      <c r="AG9" s="8"/>
      <c r="AH9" s="8"/>
      <c r="AI9" s="8"/>
      <c r="AJ9" s="1"/>
      <c r="AK9" s="1"/>
      <c r="AL9" s="1"/>
      <c r="AM9" s="1"/>
      <c r="AN9" s="1"/>
      <c r="AO9" s="1"/>
      <c r="AP9" s="1"/>
      <c r="AQ9" s="1"/>
      <c r="AR9" s="9"/>
    </row>
    <row r="10" ht="15.75" customHeight="1">
      <c r="A10" s="1"/>
      <c r="B10" s="1"/>
      <c r="C10" s="23" t="str">
        <f t="shared" si="4"/>
        <v>Rodrigo Beltracchi</v>
      </c>
      <c r="D10" s="2"/>
      <c r="E10" s="24"/>
      <c r="F10" s="26"/>
      <c r="G10" s="26"/>
      <c r="H10" s="2"/>
      <c r="I10" s="1"/>
      <c r="J10" s="4">
        <f t="shared" si="1"/>
        <v>0</v>
      </c>
      <c r="K10" s="5">
        <f t="shared" si="2"/>
        <v>0</v>
      </c>
      <c r="L10" s="6"/>
      <c r="M10" s="7"/>
      <c r="N10" s="17" t="s">
        <v>44</v>
      </c>
      <c r="O10" s="17">
        <v>7.0</v>
      </c>
      <c r="P10" s="8">
        <f t="shared" si="5"/>
        <v>1</v>
      </c>
      <c r="Q10" s="8">
        <f t="shared" si="3"/>
        <v>4.347826087</v>
      </c>
      <c r="R10" s="8"/>
      <c r="S10" s="8" t="str">
        <f>IF(Q10&lt;=11,,"Problema de Comunicación")</f>
        <v/>
      </c>
      <c r="T10" s="8" t="str">
        <f>IF(Q10&gt;=2,,"Problema de Comunicación")</f>
        <v/>
      </c>
      <c r="U10" s="8"/>
      <c r="V10" s="8"/>
      <c r="W10" s="17" t="s">
        <v>45</v>
      </c>
      <c r="X10" s="17" t="s">
        <v>46</v>
      </c>
      <c r="Y10" s="17">
        <f>20/100</f>
        <v>0.2</v>
      </c>
      <c r="Z10" s="17">
        <f>6/100</f>
        <v>0.06</v>
      </c>
      <c r="AA10" s="8"/>
      <c r="AB10" s="8">
        <v>7.0</v>
      </c>
      <c r="AC10" s="8"/>
      <c r="AD10" s="8" t="str">
        <f>IF(AC10&lt;=11,,"Problema de Comunicación")</f>
        <v/>
      </c>
      <c r="AE10" s="8" t="str">
        <f>IF(AC10&gt;=2,,"Problema de Comunicación")</f>
        <v>Problema de Comunicación</v>
      </c>
      <c r="AF10" s="8" t="s">
        <v>26</v>
      </c>
      <c r="AG10" s="8"/>
      <c r="AH10" s="8"/>
      <c r="AI10" s="8"/>
      <c r="AJ10" s="1"/>
      <c r="AK10" s="1"/>
      <c r="AL10" s="1"/>
      <c r="AM10" s="1"/>
      <c r="AN10" s="1"/>
      <c r="AO10" s="1"/>
      <c r="AP10" s="1"/>
      <c r="AQ10" s="1"/>
      <c r="AR10" s="9"/>
    </row>
    <row r="11" ht="15.75" customHeight="1">
      <c r="A11" s="1"/>
      <c r="B11" s="1"/>
      <c r="C11" s="23" t="str">
        <f t="shared" si="4"/>
        <v>Rodrigo Beltracchi</v>
      </c>
      <c r="D11" s="2"/>
      <c r="E11" s="32" t="s">
        <v>20</v>
      </c>
      <c r="F11" s="33">
        <v>0.41458333333333336</v>
      </c>
      <c r="G11" s="34" t="s">
        <v>47</v>
      </c>
      <c r="H11" s="2"/>
      <c r="I11" s="29" t="s">
        <v>48</v>
      </c>
      <c r="J11" s="4">
        <f t="shared" si="1"/>
        <v>21</v>
      </c>
      <c r="K11" s="5">
        <f t="shared" si="2"/>
        <v>7</v>
      </c>
      <c r="L11" s="6"/>
      <c r="M11" s="7"/>
      <c r="N11" s="17" t="s">
        <v>49</v>
      </c>
      <c r="O11" s="17">
        <v>8.0</v>
      </c>
      <c r="P11" s="8">
        <f t="shared" si="5"/>
        <v>3</v>
      </c>
      <c r="Q11" s="8">
        <f t="shared" si="3"/>
        <v>13.04347826</v>
      </c>
      <c r="R11" s="8"/>
      <c r="S11" s="8" t="str">
        <f>IF(Q11&lt;=9,,"Problema de Evaluación")</f>
        <v>Problema de Evaluación</v>
      </c>
      <c r="T11" s="8" t="str">
        <f>IF(Q11&gt;=1,,"Problema de Evaluación")</f>
        <v/>
      </c>
      <c r="U11" s="8"/>
      <c r="V11" s="8"/>
      <c r="W11" s="17" t="s">
        <v>45</v>
      </c>
      <c r="X11" s="17" t="s">
        <v>50</v>
      </c>
      <c r="Y11" s="17">
        <f>13/100</f>
        <v>0.13</v>
      </c>
      <c r="Z11" s="17">
        <f t="shared" ref="Z11:Z12" si="6">3/100</f>
        <v>0.03</v>
      </c>
      <c r="AA11" s="8"/>
      <c r="AB11" s="8">
        <v>8.0</v>
      </c>
      <c r="AC11" s="8"/>
      <c r="AD11" s="8" t="str">
        <f>IF(AC11&lt;=9,,"Problema de Evaluación")</f>
        <v/>
      </c>
      <c r="AE11" s="8" t="str">
        <f>IF(AC11&gt;=1,,"Problema de Evaluación")</f>
        <v>Problema de Evaluación</v>
      </c>
      <c r="AF11" s="8" t="s">
        <v>26</v>
      </c>
      <c r="AG11" s="8" t="s">
        <v>54</v>
      </c>
      <c r="AH11" s="8"/>
      <c r="AI11" s="8"/>
      <c r="AJ11" s="1"/>
      <c r="AK11" s="1"/>
      <c r="AL11" s="1"/>
      <c r="AM11" s="1"/>
      <c r="AN11" s="1"/>
      <c r="AO11" s="1"/>
      <c r="AP11" s="1"/>
      <c r="AQ11" s="1"/>
      <c r="AR11" s="9"/>
    </row>
    <row r="12" ht="15.75" customHeight="1">
      <c r="A12" s="1"/>
      <c r="B12" s="1"/>
      <c r="C12" s="23" t="str">
        <f t="shared" si="4"/>
        <v>Rodrigo Beltracchi</v>
      </c>
      <c r="D12" s="2"/>
      <c r="E12" s="19"/>
      <c r="F12" s="26"/>
      <c r="G12" s="34" t="s">
        <v>55</v>
      </c>
      <c r="H12" s="2"/>
      <c r="I12" s="1"/>
      <c r="J12" s="4">
        <f t="shared" si="1"/>
        <v>0</v>
      </c>
      <c r="K12" s="5">
        <f t="shared" si="2"/>
        <v>0</v>
      </c>
      <c r="L12" s="6"/>
      <c r="M12" s="7"/>
      <c r="N12" s="17" t="s">
        <v>56</v>
      </c>
      <c r="O12" s="17">
        <v>9.0</v>
      </c>
      <c r="P12" s="8">
        <f t="shared" si="5"/>
        <v>3</v>
      </c>
      <c r="Q12" s="8">
        <f t="shared" si="3"/>
        <v>13.04347826</v>
      </c>
      <c r="R12" s="8"/>
      <c r="S12" s="8" t="str">
        <f>IF(Q12&lt;=5,,"Problema de Control")</f>
        <v>Problema de Control</v>
      </c>
      <c r="T12" s="8" t="str">
        <f>IF(Q12&gt;=0,,"Problema de Control")</f>
        <v/>
      </c>
      <c r="U12" s="8"/>
      <c r="V12" s="8"/>
      <c r="W12" s="17" t="s">
        <v>57</v>
      </c>
      <c r="X12" s="17" t="s">
        <v>58</v>
      </c>
      <c r="Y12" s="17">
        <f>14/100</f>
        <v>0.14</v>
      </c>
      <c r="Z12" s="17">
        <f t="shared" si="6"/>
        <v>0.03</v>
      </c>
      <c r="AA12" s="8"/>
      <c r="AB12" s="8">
        <v>9.0</v>
      </c>
      <c r="AC12" s="8"/>
      <c r="AD12" s="8" t="str">
        <f>IF(AC12&lt;=5,,"Problema de Control")</f>
        <v/>
      </c>
      <c r="AE12" s="8" t="str">
        <f>IF(AC12&gt;=0,,"Problema de Control")</f>
        <v/>
      </c>
      <c r="AF12" s="8" t="s">
        <v>26</v>
      </c>
      <c r="AG12" s="8">
        <v>1.0</v>
      </c>
      <c r="AH12" s="8">
        <f t="shared" ref="AH12:AH23" si="7">IF( OR(T4&lt;&gt;0,S4&lt;&gt;0),1,0)</f>
        <v>0</v>
      </c>
      <c r="AI12" s="8"/>
      <c r="AJ12" s="1"/>
      <c r="AK12" s="1"/>
      <c r="AL12" s="1"/>
      <c r="AM12" s="1"/>
      <c r="AN12" s="1"/>
      <c r="AO12" s="1"/>
      <c r="AP12" s="1"/>
      <c r="AQ12" s="1"/>
      <c r="AR12" s="9"/>
    </row>
    <row r="13" ht="24.0" customHeight="1">
      <c r="A13" s="1"/>
      <c r="B13" s="1"/>
      <c r="C13" s="23" t="str">
        <f t="shared" si="4"/>
        <v>Rodrigo Beltracchi</v>
      </c>
      <c r="D13" s="2"/>
      <c r="E13" s="24"/>
      <c r="F13" s="26"/>
      <c r="G13" s="26"/>
      <c r="H13" s="2"/>
      <c r="I13" s="1"/>
      <c r="J13" s="4">
        <f t="shared" si="1"/>
        <v>0</v>
      </c>
      <c r="K13" s="5">
        <f t="shared" si="2"/>
        <v>0</v>
      </c>
      <c r="L13" s="6"/>
      <c r="M13" s="7"/>
      <c r="N13" s="17" t="s">
        <v>61</v>
      </c>
      <c r="O13" s="17">
        <v>10.0</v>
      </c>
      <c r="P13" s="8">
        <f t="shared" si="5"/>
        <v>0</v>
      </c>
      <c r="Q13" s="8">
        <f t="shared" si="3"/>
        <v>0</v>
      </c>
      <c r="R13" s="8"/>
      <c r="S13" s="8" t="str">
        <f>IF(Q13&lt;=13,,"Problema de Decisión")</f>
        <v/>
      </c>
      <c r="T13" s="8" t="str">
        <f>IF(Q13&gt;=3,,"Problema de Decisión")</f>
        <v>Problema de Decisión</v>
      </c>
      <c r="U13" s="8"/>
      <c r="V13" s="8"/>
      <c r="W13" s="17" t="s">
        <v>57</v>
      </c>
      <c r="X13" s="17" t="s">
        <v>62</v>
      </c>
      <c r="Y13" s="17">
        <f>10/100</f>
        <v>0.1</v>
      </c>
      <c r="Z13" s="17">
        <f>1/100</f>
        <v>0.01</v>
      </c>
      <c r="AA13" s="8"/>
      <c r="AB13" s="8">
        <v>10.0</v>
      </c>
      <c r="AC13" s="8"/>
      <c r="AD13" s="8" t="str">
        <f>IF(AC13&lt;=13,,"Problema de Decisión")</f>
        <v/>
      </c>
      <c r="AE13" s="8" t="str">
        <f>IF(AC13&gt;=3,,"Problema de Decisión")</f>
        <v>Problema de Decisión</v>
      </c>
      <c r="AF13" s="8" t="s">
        <v>26</v>
      </c>
      <c r="AG13" s="8">
        <v>2.0</v>
      </c>
      <c r="AH13" s="8">
        <f t="shared" si="7"/>
        <v>1</v>
      </c>
      <c r="AI13" s="8"/>
      <c r="AJ13" s="1"/>
      <c r="AK13" s="1"/>
      <c r="AL13" s="1"/>
      <c r="AM13" s="1"/>
      <c r="AN13" s="1"/>
      <c r="AO13" s="1"/>
      <c r="AP13" s="1"/>
      <c r="AQ13" s="1"/>
      <c r="AR13" s="9"/>
    </row>
    <row r="14" ht="24.0" customHeight="1">
      <c r="A14" s="1"/>
      <c r="B14" s="1"/>
      <c r="C14" s="23" t="str">
        <f t="shared" si="4"/>
        <v>Rodrigo Beltracchi</v>
      </c>
      <c r="D14" s="2"/>
      <c r="E14" s="24"/>
      <c r="F14" s="26"/>
      <c r="G14" s="26"/>
      <c r="H14" s="2"/>
      <c r="I14" s="1"/>
      <c r="J14" s="4">
        <f t="shared" si="1"/>
        <v>0</v>
      </c>
      <c r="K14" s="5">
        <f t="shared" si="2"/>
        <v>0</v>
      </c>
      <c r="L14" s="6"/>
      <c r="M14" s="7"/>
      <c r="N14" s="17" t="s">
        <v>63</v>
      </c>
      <c r="O14" s="17">
        <v>11.0</v>
      </c>
      <c r="P14" s="8">
        <f t="shared" si="5"/>
        <v>3</v>
      </c>
      <c r="Q14" s="8">
        <f t="shared" si="3"/>
        <v>13.04347826</v>
      </c>
      <c r="R14" s="8"/>
      <c r="S14" s="8" t="str">
        <f>IF(Q14&lt;=10,,"Problema de Tensión")</f>
        <v>Problema de Tensión</v>
      </c>
      <c r="T14" s="8" t="str">
        <f>IF(Q14&gt;=1,,"Problema de Tensión")</f>
        <v/>
      </c>
      <c r="U14" s="8"/>
      <c r="V14" s="8"/>
      <c r="W14" s="17" t="s">
        <v>64</v>
      </c>
      <c r="X14" s="17" t="s">
        <v>65</v>
      </c>
      <c r="Y14" s="17">
        <f>5/100</f>
        <v>0.05</v>
      </c>
      <c r="Z14" s="17">
        <v>0.0</v>
      </c>
      <c r="AA14" s="8"/>
      <c r="AB14" s="8">
        <v>11.0</v>
      </c>
      <c r="AC14" s="8"/>
      <c r="AD14" s="8" t="str">
        <f>IF(AC14&lt;=10,,"Problema de Tensión")</f>
        <v/>
      </c>
      <c r="AE14" s="8" t="str">
        <f>IF(AC14&gt;=1,,"Problema de Tensión")</f>
        <v>Problema de Tensión</v>
      </c>
      <c r="AF14" s="8" t="s">
        <v>26</v>
      </c>
      <c r="AG14" s="8">
        <v>3.0</v>
      </c>
      <c r="AH14" s="8">
        <f t="shared" si="7"/>
        <v>1</v>
      </c>
      <c r="AI14" s="8"/>
      <c r="AJ14" s="1"/>
      <c r="AK14" s="1"/>
      <c r="AL14" s="1"/>
      <c r="AM14" s="1"/>
      <c r="AN14" s="1"/>
      <c r="AO14" s="1"/>
      <c r="AP14" s="1"/>
      <c r="AQ14" s="1"/>
      <c r="AR14" s="9"/>
    </row>
    <row r="15" ht="15.75" customHeight="1">
      <c r="A15" s="1"/>
      <c r="B15" s="1"/>
      <c r="C15" s="22" t="str">
        <f t="shared" si="4"/>
        <v>Lautaro Valenzuela</v>
      </c>
      <c r="D15" s="2"/>
      <c r="E15" s="36" t="s">
        <v>66</v>
      </c>
      <c r="F15" s="33">
        <v>0.41458333333333336</v>
      </c>
      <c r="G15" s="34" t="s">
        <v>67</v>
      </c>
      <c r="H15" s="2"/>
      <c r="I15" s="29" t="s">
        <v>68</v>
      </c>
      <c r="J15" s="4">
        <f t="shared" si="1"/>
        <v>9</v>
      </c>
      <c r="K15" s="5">
        <f t="shared" si="2"/>
        <v>11</v>
      </c>
      <c r="L15" s="6"/>
      <c r="M15" s="7"/>
      <c r="N15" s="17" t="s">
        <v>69</v>
      </c>
      <c r="O15" s="17">
        <v>12.0</v>
      </c>
      <c r="P15" s="8">
        <f t="shared" si="5"/>
        <v>0</v>
      </c>
      <c r="Q15" s="8">
        <f t="shared" si="3"/>
        <v>0</v>
      </c>
      <c r="R15" s="8"/>
      <c r="S15" s="8" t="str">
        <f>IF(Q15&lt;=7,,"Problema de Reintegración")</f>
        <v/>
      </c>
      <c r="T15" s="8" t="str">
        <f>IF(Q15&gt;=0,,"Problema de Reintegración")</f>
        <v/>
      </c>
      <c r="U15" s="8"/>
      <c r="V15" s="8"/>
      <c r="W15" s="17" t="s">
        <v>64</v>
      </c>
      <c r="X15" s="17" t="s">
        <v>70</v>
      </c>
      <c r="Y15" s="17">
        <f>7/100</f>
        <v>0.07</v>
      </c>
      <c r="Z15" s="17">
        <v>0.0</v>
      </c>
      <c r="AA15" s="8"/>
      <c r="AB15" s="8">
        <v>12.0</v>
      </c>
      <c r="AC15" s="8"/>
      <c r="AD15" s="8" t="str">
        <f>IF(AC15&lt;=7,,"Problema de Reintegración")</f>
        <v/>
      </c>
      <c r="AE15" s="8" t="str">
        <f>IF(AC15&gt;=0,,"Problema de Reintegración")</f>
        <v/>
      </c>
      <c r="AF15" s="8" t="s">
        <v>26</v>
      </c>
      <c r="AG15" s="8">
        <v>4.0</v>
      </c>
      <c r="AH15" s="8">
        <f t="shared" si="7"/>
        <v>1</v>
      </c>
      <c r="AI15" s="8"/>
      <c r="AJ15" s="1"/>
      <c r="AK15" s="1"/>
      <c r="AL15" s="1"/>
      <c r="AM15" s="1"/>
      <c r="AN15" s="1"/>
      <c r="AO15" s="1"/>
      <c r="AP15" s="1"/>
      <c r="AQ15" s="1"/>
      <c r="AR15" s="9"/>
    </row>
    <row r="16" ht="15.75" customHeight="1">
      <c r="A16" s="1"/>
      <c r="B16" s="1"/>
      <c r="C16" s="22" t="str">
        <f t="shared" si="4"/>
        <v>Lautaro Valenzuela</v>
      </c>
      <c r="D16" s="2"/>
      <c r="E16" s="19"/>
      <c r="F16" s="26"/>
      <c r="G16" s="26"/>
      <c r="H16" s="2"/>
      <c r="I16" s="1"/>
      <c r="J16" s="4">
        <f t="shared" si="1"/>
        <v>0</v>
      </c>
      <c r="K16" s="5">
        <f t="shared" si="2"/>
        <v>0</v>
      </c>
      <c r="L16" s="6"/>
      <c r="M16" s="7"/>
      <c r="N16" s="17"/>
      <c r="O16" s="17"/>
      <c r="P16" s="8"/>
      <c r="Q16" s="8"/>
      <c r="R16" s="8"/>
      <c r="S16" s="8"/>
      <c r="T16" s="8"/>
      <c r="U16" s="17"/>
      <c r="V16" s="8"/>
      <c r="W16" s="17"/>
      <c r="X16" s="17"/>
      <c r="Y16" s="17"/>
      <c r="Z16" s="17"/>
      <c r="AA16" s="8"/>
      <c r="AB16" s="8"/>
      <c r="AC16" s="8"/>
      <c r="AD16" s="8"/>
      <c r="AE16" s="8"/>
      <c r="AF16" s="8" t="s">
        <v>26</v>
      </c>
      <c r="AG16" s="8">
        <v>5.0</v>
      </c>
      <c r="AH16" s="8">
        <f t="shared" si="7"/>
        <v>0</v>
      </c>
      <c r="AI16" s="8"/>
      <c r="AJ16" s="1"/>
      <c r="AK16" s="1"/>
      <c r="AL16" s="1"/>
      <c r="AM16" s="1"/>
      <c r="AN16" s="1"/>
      <c r="AO16" s="1"/>
      <c r="AP16" s="1"/>
      <c r="AQ16" s="1"/>
      <c r="AR16" s="9"/>
    </row>
    <row r="17" ht="29.25" customHeight="1">
      <c r="A17" s="1"/>
      <c r="B17" s="1"/>
      <c r="C17" s="22" t="str">
        <f t="shared" si="4"/>
        <v>Lautaro Valenzuela</v>
      </c>
      <c r="D17" s="2"/>
      <c r="E17" s="21"/>
      <c r="F17" s="26"/>
      <c r="G17" s="26"/>
      <c r="H17" s="2"/>
      <c r="J17" s="4">
        <f t="shared" si="1"/>
        <v>0</v>
      </c>
      <c r="K17" s="5">
        <f t="shared" si="2"/>
        <v>0</v>
      </c>
      <c r="L17" s="6"/>
      <c r="M17" s="7"/>
      <c r="N17" s="8"/>
      <c r="O17" s="8"/>
      <c r="P17" s="8"/>
      <c r="Q17" s="8"/>
      <c r="R17" s="8"/>
      <c r="S17" s="8"/>
      <c r="T17" s="17"/>
      <c r="U17" s="8" t="s">
        <v>75</v>
      </c>
      <c r="V17" s="8"/>
      <c r="W17" s="8"/>
      <c r="X17" s="8"/>
      <c r="Y17" s="8"/>
      <c r="Z17" s="8"/>
      <c r="AA17" s="8"/>
      <c r="AB17" s="8"/>
      <c r="AC17" s="8"/>
      <c r="AD17" s="8"/>
      <c r="AE17" s="8"/>
      <c r="AF17" s="8"/>
      <c r="AG17" s="8">
        <v>6.0</v>
      </c>
      <c r="AH17" s="8">
        <f t="shared" si="7"/>
        <v>1</v>
      </c>
      <c r="AI17" s="8"/>
      <c r="AJ17" s="1"/>
      <c r="AK17" s="1"/>
      <c r="AL17" s="1"/>
      <c r="AM17" s="1"/>
      <c r="AN17" s="1"/>
      <c r="AO17" s="1"/>
      <c r="AP17" s="1"/>
      <c r="AQ17" s="1"/>
      <c r="AR17" s="9"/>
    </row>
    <row r="18" ht="37.5" customHeight="1">
      <c r="A18" s="1"/>
      <c r="B18" s="1"/>
      <c r="C18" s="22" t="str">
        <f t="shared" si="4"/>
        <v>Rodrigo Beltracchi</v>
      </c>
      <c r="D18" s="2"/>
      <c r="E18" s="36" t="s">
        <v>20</v>
      </c>
      <c r="F18" s="33">
        <v>0.41458333333333336</v>
      </c>
      <c r="G18" s="34" t="s">
        <v>76</v>
      </c>
      <c r="H18" s="2"/>
      <c r="I18" s="1"/>
      <c r="J18" s="4">
        <f t="shared" si="1"/>
        <v>0</v>
      </c>
      <c r="K18" s="5">
        <f t="shared" si="2"/>
        <v>0</v>
      </c>
      <c r="L18" s="6"/>
      <c r="M18" s="7"/>
      <c r="N18" s="17" t="s">
        <v>77</v>
      </c>
      <c r="O18" s="8" t="s">
        <v>78</v>
      </c>
      <c r="P18" s="8" t="s">
        <v>78</v>
      </c>
      <c r="Q18" s="8" t="s">
        <v>78</v>
      </c>
      <c r="R18" s="8"/>
      <c r="S18" s="38" t="s">
        <v>79</v>
      </c>
      <c r="T18" s="38" t="s">
        <v>80</v>
      </c>
      <c r="U18" s="8"/>
      <c r="V18" s="8"/>
      <c r="W18" s="8"/>
      <c r="X18" s="8"/>
      <c r="Y18" s="8"/>
      <c r="Z18" s="8"/>
      <c r="AA18" s="8"/>
      <c r="AB18" s="8"/>
      <c r="AC18" s="8"/>
      <c r="AD18" s="8"/>
      <c r="AE18" s="8"/>
      <c r="AF18" s="8"/>
      <c r="AG18" s="8">
        <v>7.0</v>
      </c>
      <c r="AH18" s="8">
        <f t="shared" si="7"/>
        <v>0</v>
      </c>
      <c r="AI18" s="8"/>
      <c r="AJ18" s="1"/>
      <c r="AK18" s="1"/>
      <c r="AL18" s="1"/>
      <c r="AM18" s="1"/>
      <c r="AN18" s="1"/>
      <c r="AO18" s="1"/>
      <c r="AP18" s="1"/>
      <c r="AQ18" s="1"/>
      <c r="AR18" s="9"/>
    </row>
    <row r="19" ht="30.0" customHeight="1">
      <c r="A19" s="1"/>
      <c r="B19" s="1"/>
      <c r="C19" s="22" t="str">
        <f t="shared" si="4"/>
        <v>Rodrigo Beltracchi</v>
      </c>
      <c r="D19" s="2"/>
      <c r="E19" s="21"/>
      <c r="F19" s="26"/>
      <c r="G19" s="39" t="s">
        <v>81</v>
      </c>
      <c r="H19" s="2"/>
      <c r="I19" s="1"/>
      <c r="J19" s="4">
        <f t="shared" si="1"/>
        <v>0</v>
      </c>
      <c r="K19" s="5">
        <f t="shared" si="2"/>
        <v>0</v>
      </c>
      <c r="L19" s="6"/>
      <c r="M19" s="40"/>
      <c r="N19" s="17" t="s">
        <v>82</v>
      </c>
      <c r="O19" s="8"/>
      <c r="P19" s="8">
        <f t="shared" ref="P19:P25" si="8">COUNTIFS(C$3:C$130,O19,K$3:K$130,"&gt;0") + COUNTIFS(C$3:C$130,M19,K$3:K$130,"&gt;0")</f>
        <v>0</v>
      </c>
      <c r="Q19" s="8"/>
      <c r="R19" s="8"/>
      <c r="S19" s="8"/>
      <c r="T19" s="8"/>
      <c r="U19" s="8"/>
      <c r="V19" s="8"/>
      <c r="W19" s="8"/>
      <c r="X19" s="8"/>
      <c r="Y19" s="8"/>
      <c r="Z19" s="8"/>
      <c r="AA19" s="8"/>
      <c r="AB19" s="8"/>
      <c r="AC19" s="8"/>
      <c r="AD19" s="8"/>
      <c r="AE19" s="8"/>
      <c r="AF19" s="8"/>
      <c r="AG19" s="8">
        <v>8.0</v>
      </c>
      <c r="AH19" s="8">
        <f t="shared" si="7"/>
        <v>1</v>
      </c>
      <c r="AI19" s="8"/>
      <c r="AJ19" s="1"/>
      <c r="AK19" s="1"/>
      <c r="AL19" s="1"/>
      <c r="AM19" s="1"/>
      <c r="AN19" s="1"/>
      <c r="AO19" s="1"/>
      <c r="AP19" s="1"/>
      <c r="AQ19" s="1"/>
      <c r="AR19" s="9"/>
    </row>
    <row r="20" ht="36.75" customHeight="1">
      <c r="A20" s="1"/>
      <c r="B20" s="1"/>
      <c r="C20" s="22" t="str">
        <f t="shared" si="4"/>
        <v>Rodrigo Beltracchi</v>
      </c>
      <c r="D20" s="2"/>
      <c r="E20" s="21"/>
      <c r="F20" s="26"/>
      <c r="G20" s="26"/>
      <c r="H20" s="2"/>
      <c r="I20" s="1"/>
      <c r="J20" s="4">
        <f t="shared" si="1"/>
        <v>0</v>
      </c>
      <c r="K20" s="5">
        <f t="shared" si="2"/>
        <v>0</v>
      </c>
      <c r="L20" s="6"/>
      <c r="M20" s="40"/>
      <c r="N20" s="17" t="s">
        <v>82</v>
      </c>
      <c r="O20" s="8"/>
      <c r="P20" s="8">
        <f t="shared" si="8"/>
        <v>0</v>
      </c>
      <c r="Q20" s="8"/>
      <c r="R20" s="8"/>
      <c r="S20" s="8"/>
      <c r="T20" s="8"/>
      <c r="U20" s="8"/>
      <c r="V20" s="8"/>
      <c r="W20" s="8"/>
      <c r="X20" s="8"/>
      <c r="Y20" s="8"/>
      <c r="Z20" s="8"/>
      <c r="AA20" s="8"/>
      <c r="AB20" s="8"/>
      <c r="AC20" s="8"/>
      <c r="AD20" s="8"/>
      <c r="AE20" s="8"/>
      <c r="AF20" s="8"/>
      <c r="AG20" s="8">
        <v>9.0</v>
      </c>
      <c r="AH20" s="8">
        <f t="shared" si="7"/>
        <v>1</v>
      </c>
      <c r="AI20" s="8"/>
      <c r="AJ20" s="1"/>
      <c r="AK20" s="1"/>
      <c r="AL20" s="1"/>
      <c r="AM20" s="1"/>
      <c r="AN20" s="1"/>
      <c r="AO20" s="1"/>
      <c r="AP20" s="1"/>
      <c r="AQ20" s="1"/>
      <c r="AR20" s="9"/>
    </row>
    <row r="21" ht="47.25" customHeight="1">
      <c r="A21" s="1"/>
      <c r="B21" s="1"/>
      <c r="C21" s="22" t="str">
        <f t="shared" si="4"/>
        <v>Rodrigo Beltracchi</v>
      </c>
      <c r="D21" s="2"/>
      <c r="E21" s="42"/>
      <c r="F21" s="26"/>
      <c r="G21" s="26"/>
      <c r="H21" s="2"/>
      <c r="I21" s="1"/>
      <c r="J21" s="4">
        <f t="shared" si="1"/>
        <v>0</v>
      </c>
      <c r="K21" s="5">
        <f t="shared" si="2"/>
        <v>0</v>
      </c>
      <c r="L21" s="6"/>
      <c r="M21" s="41" t="s">
        <v>88</v>
      </c>
      <c r="N21" s="17" t="s">
        <v>82</v>
      </c>
      <c r="O21" s="38" t="s">
        <v>20</v>
      </c>
      <c r="P21" s="8">
        <f t="shared" si="8"/>
        <v>10</v>
      </c>
      <c r="Q21" s="8"/>
      <c r="R21" s="8"/>
      <c r="S21" s="8"/>
      <c r="T21" s="8"/>
      <c r="U21" s="8"/>
      <c r="V21" s="8"/>
      <c r="W21" s="8"/>
      <c r="X21" s="8"/>
      <c r="Y21" s="8"/>
      <c r="Z21" s="8"/>
      <c r="AA21" s="8"/>
      <c r="AB21" s="8"/>
      <c r="AC21" s="8"/>
      <c r="AD21" s="8"/>
      <c r="AE21" s="8"/>
      <c r="AF21" s="8"/>
      <c r="AG21" s="8">
        <v>10.0</v>
      </c>
      <c r="AH21" s="8">
        <f t="shared" si="7"/>
        <v>1</v>
      </c>
      <c r="AI21" s="8"/>
      <c r="AJ21" s="1"/>
      <c r="AK21" s="1"/>
      <c r="AL21" s="1"/>
      <c r="AM21" s="1"/>
      <c r="AN21" s="1"/>
      <c r="AO21" s="1"/>
      <c r="AP21" s="1"/>
      <c r="AQ21" s="1"/>
      <c r="AR21" s="9"/>
    </row>
    <row r="22" ht="27.0" customHeight="1">
      <c r="A22" s="1"/>
      <c r="B22" s="1"/>
      <c r="C22" s="43" t="str">
        <f t="shared" si="4"/>
        <v>Nicolas Legui</v>
      </c>
      <c r="D22" s="2"/>
      <c r="E22" s="44" t="s">
        <v>79</v>
      </c>
      <c r="F22" s="33">
        <v>0.4152777777777778</v>
      </c>
      <c r="G22" s="34" t="s">
        <v>90</v>
      </c>
      <c r="H22" s="2"/>
      <c r="I22" s="1"/>
      <c r="J22" s="4">
        <f t="shared" si="1"/>
        <v>0</v>
      </c>
      <c r="K22" s="5">
        <f t="shared" si="2"/>
        <v>0</v>
      </c>
      <c r="L22" s="6"/>
      <c r="M22" s="41" t="s">
        <v>91</v>
      </c>
      <c r="N22" s="17" t="s">
        <v>82</v>
      </c>
      <c r="O22" s="38" t="s">
        <v>66</v>
      </c>
      <c r="P22" s="8">
        <f t="shared" si="8"/>
        <v>8</v>
      </c>
      <c r="Q22" s="8"/>
      <c r="R22" s="8"/>
      <c r="S22" s="8"/>
      <c r="T22" s="8"/>
      <c r="U22" s="8"/>
      <c r="V22" s="8"/>
      <c r="W22" s="8"/>
      <c r="X22" s="8"/>
      <c r="Y22" s="8"/>
      <c r="Z22" s="8"/>
      <c r="AA22" s="8"/>
      <c r="AB22" s="8"/>
      <c r="AC22" s="8"/>
      <c r="AD22" s="8"/>
      <c r="AE22" s="8"/>
      <c r="AF22" s="8"/>
      <c r="AG22" s="8">
        <v>11.0</v>
      </c>
      <c r="AH22" s="8">
        <f t="shared" si="7"/>
        <v>1</v>
      </c>
      <c r="AI22" s="8"/>
      <c r="AJ22" s="1"/>
      <c r="AK22" s="1"/>
      <c r="AL22" s="1"/>
      <c r="AM22" s="1"/>
      <c r="AN22" s="1"/>
      <c r="AO22" s="1"/>
      <c r="AP22" s="1"/>
      <c r="AQ22" s="1"/>
      <c r="AR22" s="9"/>
    </row>
    <row r="23" ht="27.0" customHeight="1">
      <c r="A23" s="1"/>
      <c r="B23" s="1"/>
      <c r="C23" s="43" t="str">
        <f t="shared" si="4"/>
        <v>Nicolas Legui</v>
      </c>
      <c r="D23" s="2"/>
      <c r="E23" s="42"/>
      <c r="F23" s="26"/>
      <c r="G23" s="26"/>
      <c r="H23" s="2"/>
      <c r="I23" s="1"/>
      <c r="J23" s="4">
        <f t="shared" si="1"/>
        <v>0</v>
      </c>
      <c r="K23" s="5">
        <f t="shared" si="2"/>
        <v>0</v>
      </c>
      <c r="L23" s="6"/>
      <c r="M23" s="41" t="s">
        <v>80</v>
      </c>
      <c r="N23" s="17" t="s">
        <v>82</v>
      </c>
      <c r="O23" s="38" t="s">
        <v>79</v>
      </c>
      <c r="P23" s="8">
        <f t="shared" si="8"/>
        <v>5</v>
      </c>
      <c r="Q23" s="8"/>
      <c r="R23" s="8"/>
      <c r="S23" s="8"/>
      <c r="T23" s="8"/>
      <c r="U23" s="8"/>
      <c r="V23" s="8"/>
      <c r="W23" s="8"/>
      <c r="X23" s="8"/>
      <c r="Y23" s="8"/>
      <c r="Z23" s="8"/>
      <c r="AA23" s="8"/>
      <c r="AB23" s="8"/>
      <c r="AC23" s="8"/>
      <c r="AD23" s="8"/>
      <c r="AE23" s="8"/>
      <c r="AF23" s="8"/>
      <c r="AG23" s="8">
        <v>12.0</v>
      </c>
      <c r="AH23" s="8">
        <f t="shared" si="7"/>
        <v>0</v>
      </c>
      <c r="AI23" s="8"/>
      <c r="AJ23" s="8"/>
      <c r="AK23" s="8"/>
      <c r="AL23" s="8"/>
      <c r="AM23" s="8"/>
      <c r="AN23" s="8"/>
      <c r="AO23" s="8"/>
      <c r="AP23" s="8"/>
      <c r="AQ23" s="8"/>
      <c r="AR23" s="8"/>
    </row>
    <row r="24" ht="24.0" customHeight="1">
      <c r="A24" s="1"/>
      <c r="B24" s="1"/>
      <c r="C24" s="43" t="str">
        <f t="shared" si="4"/>
        <v>Nicolas Legui</v>
      </c>
      <c r="D24" s="2"/>
      <c r="E24" s="42"/>
      <c r="F24" s="26"/>
      <c r="G24" s="26"/>
      <c r="H24" s="2"/>
      <c r="I24" s="1"/>
      <c r="J24" s="4">
        <f t="shared" si="1"/>
        <v>0</v>
      </c>
      <c r="K24" s="5">
        <f t="shared" si="2"/>
        <v>0</v>
      </c>
      <c r="L24" s="6"/>
      <c r="M24" s="41"/>
      <c r="N24" s="17" t="s">
        <v>82</v>
      </c>
      <c r="O24" s="8"/>
      <c r="P24" s="8">
        <f t="shared" si="8"/>
        <v>0</v>
      </c>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row>
    <row r="25" ht="27.75" customHeight="1">
      <c r="A25" s="1"/>
      <c r="B25" s="1"/>
      <c r="C25" s="43" t="str">
        <f t="shared" si="4"/>
        <v>Rodrigo Beltracchi</v>
      </c>
      <c r="D25" s="2"/>
      <c r="E25" s="44" t="s">
        <v>20</v>
      </c>
      <c r="F25" s="33">
        <v>0.41597222222222224</v>
      </c>
      <c r="G25" s="34" t="s">
        <v>94</v>
      </c>
      <c r="H25" s="2"/>
      <c r="I25" s="29" t="s">
        <v>95</v>
      </c>
      <c r="J25" s="4">
        <f t="shared" si="1"/>
        <v>33</v>
      </c>
      <c r="K25" s="5">
        <f t="shared" si="2"/>
        <v>5</v>
      </c>
      <c r="L25" s="6"/>
      <c r="M25" s="40"/>
      <c r="N25" s="17" t="s">
        <v>82</v>
      </c>
      <c r="O25" s="8"/>
      <c r="P25" s="8">
        <f t="shared" si="8"/>
        <v>0</v>
      </c>
      <c r="Q25" s="17" t="s">
        <v>6</v>
      </c>
      <c r="R25" s="8"/>
      <c r="S25" s="8"/>
      <c r="T25" s="8"/>
      <c r="U25" s="17" t="s">
        <v>6</v>
      </c>
      <c r="V25" s="17" t="s">
        <v>6</v>
      </c>
      <c r="W25" s="8"/>
      <c r="X25" s="8"/>
      <c r="Y25" s="8"/>
      <c r="Z25" s="8"/>
      <c r="AA25" s="8"/>
      <c r="AB25" s="8"/>
      <c r="AC25" s="8"/>
      <c r="AD25" s="8"/>
      <c r="AE25" s="8"/>
      <c r="AF25" s="8"/>
      <c r="AG25" s="8"/>
      <c r="AH25" s="8"/>
      <c r="AI25" s="8"/>
      <c r="AJ25" s="8"/>
      <c r="AK25" s="8"/>
      <c r="AL25" s="8"/>
      <c r="AM25" s="8"/>
      <c r="AN25" s="8"/>
      <c r="AO25" s="8"/>
      <c r="AP25" s="8"/>
      <c r="AQ25" s="8"/>
      <c r="AR25" s="8"/>
    </row>
    <row r="26" ht="35.25" customHeight="1">
      <c r="A26" s="1"/>
      <c r="B26" s="1"/>
      <c r="C26" s="43" t="str">
        <f t="shared" si="4"/>
        <v>Rodrigo Beltracchi</v>
      </c>
      <c r="D26" s="2"/>
      <c r="E26" s="42"/>
      <c r="F26" s="26"/>
      <c r="G26" s="26"/>
      <c r="H26" s="2"/>
      <c r="I26" s="1"/>
      <c r="J26" s="4">
        <f t="shared" si="1"/>
        <v>0</v>
      </c>
      <c r="K26" s="5">
        <f t="shared" si="2"/>
        <v>0</v>
      </c>
      <c r="L26" s="6"/>
      <c r="M26" s="7"/>
      <c r="N26" s="17"/>
      <c r="O26" s="8"/>
      <c r="P26" s="17" t="s">
        <v>96</v>
      </c>
      <c r="Q26" s="17" t="s">
        <v>10</v>
      </c>
      <c r="R26" s="17"/>
      <c r="S26" s="17" t="s">
        <v>97</v>
      </c>
      <c r="T26" s="8"/>
      <c r="U26" s="17" t="s">
        <v>98</v>
      </c>
      <c r="V26" s="17" t="s">
        <v>99</v>
      </c>
      <c r="W26" s="8"/>
      <c r="X26" s="8"/>
      <c r="Y26" s="8"/>
      <c r="Z26" s="8"/>
      <c r="AA26" s="8"/>
      <c r="AB26" s="17" t="s">
        <v>100</v>
      </c>
      <c r="AC26" s="8"/>
      <c r="AD26" s="8"/>
      <c r="AE26" s="8"/>
      <c r="AF26" s="8"/>
      <c r="AG26" s="8"/>
      <c r="AH26" s="8"/>
      <c r="AI26" s="8"/>
      <c r="AJ26" s="8"/>
      <c r="AK26" s="8"/>
      <c r="AL26" s="8"/>
      <c r="AM26" s="8"/>
      <c r="AN26" s="8"/>
      <c r="AO26" s="8"/>
      <c r="AP26" s="17" t="s">
        <v>101</v>
      </c>
      <c r="AQ26" s="45"/>
      <c r="AR26" s="8"/>
    </row>
    <row r="27" ht="39.75" customHeight="1">
      <c r="A27" s="1"/>
      <c r="B27" s="1"/>
      <c r="C27" s="43" t="str">
        <f t="shared" si="4"/>
        <v>Rodrigo Beltracchi</v>
      </c>
      <c r="D27" s="2"/>
      <c r="E27" s="42"/>
      <c r="F27" s="26"/>
      <c r="G27" s="26"/>
      <c r="H27" s="2"/>
      <c r="I27" s="1"/>
      <c r="J27" s="4">
        <f t="shared" si="1"/>
        <v>0</v>
      </c>
      <c r="K27" s="5">
        <f t="shared" si="2"/>
        <v>0</v>
      </c>
      <c r="L27" s="6"/>
      <c r="M27" s="7"/>
      <c r="N27" s="17" t="s">
        <v>102</v>
      </c>
      <c r="O27" s="8" t="s">
        <v>103</v>
      </c>
      <c r="P27" s="8"/>
      <c r="Q27" s="8"/>
      <c r="R27" s="8"/>
      <c r="S27" s="8">
        <f>COUNTIFS(C$3:C$130,S$18,K$3:K$130,"&gt;0") + COUNTIFS(C$3:C$130,T$18,K$3:K$130,"&gt;0")</f>
        <v>5</v>
      </c>
      <c r="T27" s="8">
        <f>(S27/P$3)*100</f>
        <v>21.73913043</v>
      </c>
      <c r="U27" s="8"/>
      <c r="V27" s="46"/>
      <c r="W27" s="47" t="s">
        <v>104</v>
      </c>
      <c r="X27" s="48" t="s">
        <v>105</v>
      </c>
      <c r="Y27" s="48" t="s">
        <v>106</v>
      </c>
      <c r="Z27" s="17" t="s">
        <v>15</v>
      </c>
      <c r="AA27" s="8"/>
      <c r="AB27" s="17" t="s">
        <v>107</v>
      </c>
      <c r="AC27" s="17" t="s">
        <v>108</v>
      </c>
      <c r="AD27" s="17" t="s">
        <v>109</v>
      </c>
      <c r="AE27" s="17" t="s">
        <v>14</v>
      </c>
      <c r="AF27" s="17" t="s">
        <v>15</v>
      </c>
      <c r="AG27" s="17" t="s">
        <v>110</v>
      </c>
      <c r="AH27" s="17" t="s">
        <v>111</v>
      </c>
      <c r="AI27" s="8"/>
      <c r="AJ27" s="8"/>
      <c r="AK27" s="8" t="s">
        <v>112</v>
      </c>
      <c r="AL27" s="8" t="s">
        <v>113</v>
      </c>
      <c r="AM27" s="8" t="s">
        <v>114</v>
      </c>
      <c r="AN27" s="8"/>
      <c r="AO27" s="8"/>
      <c r="AP27" s="8" t="str">
        <f>S18</f>
        <v>Nicolas Legui</v>
      </c>
      <c r="AQ27" s="8"/>
      <c r="AR27" s="8" t="s">
        <v>26</v>
      </c>
    </row>
    <row r="28" ht="36.75" customHeight="1">
      <c r="A28" s="1"/>
      <c r="B28" s="1"/>
      <c r="C28" s="43" t="str">
        <f t="shared" si="4"/>
        <v>Lautaro Valenzuela</v>
      </c>
      <c r="D28" s="2"/>
      <c r="E28" s="44" t="s">
        <v>66</v>
      </c>
      <c r="F28" s="33">
        <v>0.41597222222222224</v>
      </c>
      <c r="G28" s="34" t="s">
        <v>115</v>
      </c>
      <c r="H28" s="2"/>
      <c r="I28" s="29" t="s">
        <v>95</v>
      </c>
      <c r="J28" s="4">
        <f t="shared" si="1"/>
        <v>33</v>
      </c>
      <c r="K28" s="5">
        <f t="shared" si="2"/>
        <v>5</v>
      </c>
      <c r="L28" s="6"/>
      <c r="M28" s="7"/>
      <c r="N28" s="17" t="s">
        <v>119</v>
      </c>
      <c r="O28" s="17">
        <v>1.0</v>
      </c>
      <c r="P28" s="8">
        <f t="shared" ref="P28:P63" si="9">COUNTIF(I$3:I$24,W28)</f>
        <v>0</v>
      </c>
      <c r="Q28" s="8">
        <f t="shared" ref="Q28:Q63" si="10">(P28/P$3)</f>
        <v>0</v>
      </c>
      <c r="R28" s="8"/>
      <c r="S28" s="8">
        <f t="shared" ref="S28:S63" si="11">COUNTIFS(J$3:J$130,O28,C$3:C$130,S$18) + COUNTIFS(J$3:J$130,O28,C$3:C$130,T$18)</f>
        <v>0</v>
      </c>
      <c r="T28" s="8" t="str">
        <f t="shared" ref="T28:T63" si="12">IF(P28&lt;&gt;0,S28/P28,"oo")</f>
        <v>oo</v>
      </c>
      <c r="U28" s="8">
        <f t="shared" ref="U28:U63" si="13">IF(P28&lt;&gt;0,T28,0)</f>
        <v>0</v>
      </c>
      <c r="V28" s="46">
        <f t="shared" ref="V28:V63" si="14">U28*Q28</f>
        <v>0</v>
      </c>
      <c r="W28" s="49" t="s">
        <v>32</v>
      </c>
      <c r="X28" s="50" t="s">
        <v>120</v>
      </c>
      <c r="Y28" s="51" t="s">
        <v>121</v>
      </c>
      <c r="Z28" s="17">
        <v>5.0</v>
      </c>
      <c r="AA28" s="8"/>
      <c r="AB28" s="8">
        <f t="shared" ref="AB28:AB63" si="15">SUMIFS(V$28:V$63,Y$28:Y$63,Y28)</f>
        <v>0</v>
      </c>
      <c r="AC28" s="8">
        <f t="shared" ref="AC28:AC63" si="16">SUMIFS(Q$28:Q$63,Y$28:Y$63,Y28)</f>
        <v>0</v>
      </c>
      <c r="AD28" s="8">
        <f t="shared" ref="AD28:AD63" si="17">IF(AC28&lt;&gt;0,AB28/AC28,0)</f>
        <v>0</v>
      </c>
      <c r="AE28" s="17" t="s">
        <v>122</v>
      </c>
      <c r="AF28" s="17">
        <v>6.0</v>
      </c>
      <c r="AG28" s="17" t="s">
        <v>123</v>
      </c>
      <c r="AH28" s="8">
        <f t="shared" ref="AH28:AH52" si="18">SUMIFS(V$28:V$63,Y$28:Y$63,AG28,Z$28:Z$63,AF28)</f>
        <v>0</v>
      </c>
      <c r="AI28" s="8" t="str">
        <f t="shared" ref="AI28:AI52" si="19">IF(AH28&lt;0.21,"BAJO",0)</f>
        <v>BAJO</v>
      </c>
      <c r="AJ28" s="8">
        <f t="shared" ref="AJ28:AJ52" si="20">IF(AH28&gt;0.5,"ALTO",0)</f>
        <v>0</v>
      </c>
      <c r="AK28" s="8" t="s">
        <v>24</v>
      </c>
      <c r="AL28" s="8" t="s">
        <v>124</v>
      </c>
      <c r="AM28" s="52" t="s">
        <v>125</v>
      </c>
      <c r="AN28" s="8"/>
      <c r="AO28" s="8"/>
      <c r="AP28" s="8" t="str">
        <f>IF(AND(AI$28&lt;&gt;0, AH$17&lt;&gt;0),AL$28&amp;" - "&amp;AK$28,0)</f>
        <v>Estudiante requiere entrenamiento de subhabilidad Informar - Comunicación</v>
      </c>
      <c r="AQ28" s="8"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8" t="s">
        <v>26</v>
      </c>
    </row>
    <row r="29" ht="31.5" customHeight="1">
      <c r="A29" s="1"/>
      <c r="B29" s="1"/>
      <c r="C29" s="43" t="str">
        <f t="shared" si="4"/>
        <v>Lautaro Valenzuela</v>
      </c>
      <c r="D29" s="2"/>
      <c r="E29" s="42"/>
      <c r="F29" s="26"/>
      <c r="G29" s="34" t="s">
        <v>126</v>
      </c>
      <c r="H29" s="2"/>
      <c r="I29" s="29" t="s">
        <v>127</v>
      </c>
      <c r="J29" s="4">
        <f t="shared" si="1"/>
        <v>20</v>
      </c>
      <c r="K29" s="5">
        <f t="shared" si="2"/>
        <v>9</v>
      </c>
      <c r="L29" s="6"/>
      <c r="M29" s="7"/>
      <c r="N29" s="17" t="s">
        <v>119</v>
      </c>
      <c r="O29" s="17">
        <v>2.0</v>
      </c>
      <c r="P29" s="8">
        <f t="shared" si="9"/>
        <v>0</v>
      </c>
      <c r="Q29" s="8">
        <f t="shared" si="10"/>
        <v>0</v>
      </c>
      <c r="R29" s="8"/>
      <c r="S29" s="8">
        <f t="shared" si="11"/>
        <v>0</v>
      </c>
      <c r="T29" s="8" t="str">
        <f t="shared" si="12"/>
        <v>oo</v>
      </c>
      <c r="U29" s="8">
        <f t="shared" si="13"/>
        <v>0</v>
      </c>
      <c r="V29" s="46">
        <f t="shared" si="14"/>
        <v>0</v>
      </c>
      <c r="W29" s="49" t="s">
        <v>128</v>
      </c>
      <c r="X29" s="50" t="s">
        <v>129</v>
      </c>
      <c r="Y29" s="51" t="s">
        <v>130</v>
      </c>
      <c r="Z29" s="17">
        <v>5.0</v>
      </c>
      <c r="AA29" s="8"/>
      <c r="AB29" s="8">
        <f t="shared" si="15"/>
        <v>0</v>
      </c>
      <c r="AC29" s="8">
        <f t="shared" si="16"/>
        <v>0.04347826087</v>
      </c>
      <c r="AD29" s="8">
        <f t="shared" si="17"/>
        <v>0</v>
      </c>
      <c r="AE29" s="17"/>
      <c r="AF29" s="17">
        <v>6.0</v>
      </c>
      <c r="AG29" s="17" t="s">
        <v>131</v>
      </c>
      <c r="AH29" s="8">
        <f t="shared" si="18"/>
        <v>0</v>
      </c>
      <c r="AI29" s="8" t="str">
        <f t="shared" si="19"/>
        <v>BAJO</v>
      </c>
      <c r="AJ29" s="8">
        <f t="shared" si="20"/>
        <v>0</v>
      </c>
      <c r="AK29" s="8" t="s">
        <v>24</v>
      </c>
      <c r="AL29" s="8" t="s">
        <v>132</v>
      </c>
      <c r="AM29" s="52" t="s">
        <v>133</v>
      </c>
      <c r="AN29" s="8"/>
      <c r="AO29" s="8"/>
      <c r="AP29" s="8" t="str">
        <f>IF( AND(AI$29&lt;&gt;0,AH$17&lt;&gt;0),AL$29&amp;" - "&amp;AK$29,0)</f>
        <v>Estudiante requiere entrenamiento de subhabilidad Tarea - Comunicación</v>
      </c>
      <c r="AQ29" s="8"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8" t="s">
        <v>26</v>
      </c>
    </row>
    <row r="30" ht="52.5" customHeight="1">
      <c r="A30" s="1"/>
      <c r="B30" s="1"/>
      <c r="C30" s="43" t="str">
        <f t="shared" si="4"/>
        <v>Lautaro Valenzuela</v>
      </c>
      <c r="D30" s="2"/>
      <c r="E30" s="42"/>
      <c r="F30" s="26"/>
      <c r="G30" s="26"/>
      <c r="H30" s="2"/>
      <c r="I30" s="1"/>
      <c r="J30" s="4">
        <f t="shared" si="1"/>
        <v>0</v>
      </c>
      <c r="K30" s="5">
        <f t="shared" si="2"/>
        <v>0</v>
      </c>
      <c r="L30" s="6"/>
      <c r="M30" s="7"/>
      <c r="N30" s="17" t="s">
        <v>119</v>
      </c>
      <c r="O30" s="17">
        <v>3.0</v>
      </c>
      <c r="P30" s="8">
        <f t="shared" si="9"/>
        <v>0</v>
      </c>
      <c r="Q30" s="8">
        <f t="shared" si="10"/>
        <v>0</v>
      </c>
      <c r="R30" s="8"/>
      <c r="S30" s="8">
        <f t="shared" si="11"/>
        <v>0</v>
      </c>
      <c r="T30" s="8" t="str">
        <f t="shared" si="12"/>
        <v>oo</v>
      </c>
      <c r="U30" s="8">
        <f t="shared" si="13"/>
        <v>0</v>
      </c>
      <c r="V30" s="46">
        <f t="shared" si="14"/>
        <v>0</v>
      </c>
      <c r="W30" s="49" t="s">
        <v>134</v>
      </c>
      <c r="X30" s="50" t="s">
        <v>135</v>
      </c>
      <c r="Y30" s="51" t="s">
        <v>130</v>
      </c>
      <c r="Z30" s="17">
        <v>5.0</v>
      </c>
      <c r="AA30" s="8"/>
      <c r="AB30" s="8">
        <f t="shared" si="15"/>
        <v>0</v>
      </c>
      <c r="AC30" s="8">
        <f t="shared" si="16"/>
        <v>0.04347826087</v>
      </c>
      <c r="AD30" s="8">
        <f t="shared" si="17"/>
        <v>0</v>
      </c>
      <c r="AE30" s="17"/>
      <c r="AF30" s="17">
        <v>7.0</v>
      </c>
      <c r="AG30" s="17" t="s">
        <v>136</v>
      </c>
      <c r="AH30" s="8">
        <f t="shared" si="18"/>
        <v>0</v>
      </c>
      <c r="AI30" s="8" t="str">
        <f t="shared" si="19"/>
        <v>BAJO</v>
      </c>
      <c r="AJ30" s="8">
        <f t="shared" si="20"/>
        <v>0</v>
      </c>
      <c r="AK30" s="8" t="s">
        <v>24</v>
      </c>
      <c r="AL30" s="8" t="s">
        <v>137</v>
      </c>
      <c r="AM30" s="52" t="s">
        <v>138</v>
      </c>
      <c r="AN30" s="8"/>
      <c r="AO30" s="8"/>
      <c r="AP30" s="8">
        <f>IF( AND(AI$30&lt;&gt;0,AH$18&lt;&gt;0),AL$30&amp;" - "&amp;AK$30,0)</f>
        <v>0</v>
      </c>
      <c r="AQ30" s="8">
        <f>IF( AP30&lt;&gt;0,AM$30,0)</f>
        <v>0</v>
      </c>
      <c r="AR30" s="8" t="s">
        <v>26</v>
      </c>
    </row>
    <row r="31" ht="24.75" customHeight="1">
      <c r="A31" s="1"/>
      <c r="B31" s="1"/>
      <c r="C31" s="43" t="str">
        <f t="shared" si="4"/>
        <v>Lautaro Valenzuela</v>
      </c>
      <c r="D31" s="2"/>
      <c r="E31" s="42"/>
      <c r="F31" s="26"/>
      <c r="G31" s="26"/>
      <c r="H31" s="2"/>
      <c r="I31" s="1"/>
      <c r="J31" s="4">
        <f t="shared" si="1"/>
        <v>0</v>
      </c>
      <c r="K31" s="5">
        <f t="shared" si="2"/>
        <v>0</v>
      </c>
      <c r="L31" s="6"/>
      <c r="M31" s="7"/>
      <c r="N31" s="17" t="s">
        <v>119</v>
      </c>
      <c r="O31" s="17">
        <v>4.0</v>
      </c>
      <c r="P31" s="8">
        <f t="shared" si="9"/>
        <v>0</v>
      </c>
      <c r="Q31" s="8">
        <f t="shared" si="10"/>
        <v>0</v>
      </c>
      <c r="R31" s="8"/>
      <c r="S31" s="8">
        <f t="shared" si="11"/>
        <v>0</v>
      </c>
      <c r="T31" s="8" t="str">
        <f t="shared" si="12"/>
        <v>oo</v>
      </c>
      <c r="U31" s="8">
        <f t="shared" si="13"/>
        <v>0</v>
      </c>
      <c r="V31" s="46">
        <f t="shared" si="14"/>
        <v>0</v>
      </c>
      <c r="W31" s="49" t="s">
        <v>139</v>
      </c>
      <c r="X31" s="50" t="s">
        <v>140</v>
      </c>
      <c r="Y31" s="51" t="s">
        <v>130</v>
      </c>
      <c r="Z31" s="17">
        <v>12.0</v>
      </c>
      <c r="AA31" s="8"/>
      <c r="AB31" s="8">
        <f t="shared" si="15"/>
        <v>0</v>
      </c>
      <c r="AC31" s="8">
        <f t="shared" si="16"/>
        <v>0.04347826087</v>
      </c>
      <c r="AD31" s="8">
        <f t="shared" si="17"/>
        <v>0</v>
      </c>
      <c r="AE31" s="17" t="s">
        <v>34</v>
      </c>
      <c r="AF31" s="17">
        <v>5.0</v>
      </c>
      <c r="AG31" s="17" t="s">
        <v>130</v>
      </c>
      <c r="AH31" s="8">
        <f t="shared" si="18"/>
        <v>0</v>
      </c>
      <c r="AI31" s="8" t="str">
        <f t="shared" si="19"/>
        <v>BAJO</v>
      </c>
      <c r="AJ31" s="8">
        <f t="shared" si="20"/>
        <v>0</v>
      </c>
      <c r="AK31" s="8" t="s">
        <v>34</v>
      </c>
      <c r="AL31" s="8" t="s">
        <v>141</v>
      </c>
      <c r="AM31" s="52" t="s">
        <v>142</v>
      </c>
      <c r="AN31" s="8"/>
      <c r="AO31" s="8"/>
      <c r="AP31" s="8">
        <f>IF( AND(AI$31&lt;&gt;0,AH$16&lt;&gt;0),AL$31&amp;" - "&amp;AK$31,0)</f>
        <v>0</v>
      </c>
      <c r="AQ31" s="8">
        <f>IF( AP31&lt;&gt;0,AM$31,0)</f>
        <v>0</v>
      </c>
      <c r="AR31" s="8" t="s">
        <v>26</v>
      </c>
    </row>
    <row r="32" ht="29.25" customHeight="1">
      <c r="A32" s="1"/>
      <c r="B32" s="1"/>
      <c r="C32" s="43" t="str">
        <f t="shared" si="4"/>
        <v>Rodrigo Beltracchi</v>
      </c>
      <c r="D32" s="2"/>
      <c r="E32" s="44" t="s">
        <v>20</v>
      </c>
      <c r="F32" s="33">
        <v>0.4166666666666667</v>
      </c>
      <c r="G32" s="34" t="s">
        <v>143</v>
      </c>
      <c r="H32" s="2"/>
      <c r="I32" s="29" t="s">
        <v>68</v>
      </c>
      <c r="J32" s="4">
        <f t="shared" si="1"/>
        <v>9</v>
      </c>
      <c r="K32" s="5">
        <f t="shared" si="2"/>
        <v>11</v>
      </c>
      <c r="L32" s="6"/>
      <c r="M32" s="7"/>
      <c r="N32" s="17" t="s">
        <v>119</v>
      </c>
      <c r="O32" s="17">
        <v>5.0</v>
      </c>
      <c r="P32" s="8">
        <f t="shared" si="9"/>
        <v>0</v>
      </c>
      <c r="Q32" s="8">
        <f t="shared" si="10"/>
        <v>0</v>
      </c>
      <c r="R32" s="8"/>
      <c r="S32" s="8">
        <f t="shared" si="11"/>
        <v>0</v>
      </c>
      <c r="T32" s="8" t="str">
        <f t="shared" si="12"/>
        <v>oo</v>
      </c>
      <c r="U32" s="8">
        <f t="shared" si="13"/>
        <v>0</v>
      </c>
      <c r="V32" s="46">
        <f t="shared" si="14"/>
        <v>0</v>
      </c>
      <c r="W32" s="49" t="s">
        <v>144</v>
      </c>
      <c r="X32" s="50" t="s">
        <v>145</v>
      </c>
      <c r="Y32" s="51" t="s">
        <v>130</v>
      </c>
      <c r="Z32" s="17">
        <v>4.0</v>
      </c>
      <c r="AA32" s="8"/>
      <c r="AB32" s="8">
        <f t="shared" si="15"/>
        <v>0</v>
      </c>
      <c r="AC32" s="8">
        <f t="shared" si="16"/>
        <v>0.04347826087</v>
      </c>
      <c r="AD32" s="8">
        <f t="shared" si="17"/>
        <v>0</v>
      </c>
      <c r="AE32" s="17"/>
      <c r="AF32" s="17">
        <v>5.0</v>
      </c>
      <c r="AG32" s="17" t="s">
        <v>121</v>
      </c>
      <c r="AH32" s="8">
        <f t="shared" si="18"/>
        <v>0</v>
      </c>
      <c r="AI32" s="8" t="str">
        <f t="shared" si="19"/>
        <v>BAJO</v>
      </c>
      <c r="AJ32" s="8">
        <f t="shared" si="20"/>
        <v>0</v>
      </c>
      <c r="AK32" s="8" t="s">
        <v>34</v>
      </c>
      <c r="AL32" s="8" t="s">
        <v>147</v>
      </c>
      <c r="AM32" s="52" t="s">
        <v>148</v>
      </c>
      <c r="AN32" s="8"/>
      <c r="AO32" s="8"/>
      <c r="AP32" s="8">
        <f>IF( AND(AI$32&lt;&gt;0,AH$16&lt;&gt;0),AL$32&amp;" - "&amp;AK$32,0)</f>
        <v>0</v>
      </c>
      <c r="AQ32" s="8">
        <f>IF( AP32&lt;&gt;0,AM$32,0)</f>
        <v>0</v>
      </c>
      <c r="AR32" s="8" t="s">
        <v>26</v>
      </c>
    </row>
    <row r="33" ht="20.25" customHeight="1">
      <c r="A33" s="1"/>
      <c r="B33" s="1"/>
      <c r="C33" s="43" t="str">
        <f t="shared" si="4"/>
        <v>Rodrigo Beltracchi</v>
      </c>
      <c r="D33" s="2"/>
      <c r="E33" s="42"/>
      <c r="F33" s="26"/>
      <c r="G33" s="26"/>
      <c r="H33" s="2"/>
      <c r="I33" s="1"/>
      <c r="J33" s="4">
        <f t="shared" si="1"/>
        <v>0</v>
      </c>
      <c r="K33" s="5">
        <f t="shared" si="2"/>
        <v>0</v>
      </c>
      <c r="L33" s="6"/>
      <c r="M33" s="7"/>
      <c r="N33" s="17" t="s">
        <v>119</v>
      </c>
      <c r="O33" s="17">
        <v>6.0</v>
      </c>
      <c r="P33" s="8">
        <f t="shared" si="9"/>
        <v>0</v>
      </c>
      <c r="Q33" s="8">
        <f t="shared" si="10"/>
        <v>0</v>
      </c>
      <c r="R33" s="8"/>
      <c r="S33" s="8">
        <f t="shared" si="11"/>
        <v>0</v>
      </c>
      <c r="T33" s="8" t="str">
        <f t="shared" si="12"/>
        <v>oo</v>
      </c>
      <c r="U33" s="8">
        <f t="shared" si="13"/>
        <v>0</v>
      </c>
      <c r="V33" s="46">
        <f t="shared" si="14"/>
        <v>0</v>
      </c>
      <c r="W33" s="49" t="s">
        <v>149</v>
      </c>
      <c r="X33" s="50" t="s">
        <v>150</v>
      </c>
      <c r="Y33" s="51" t="s">
        <v>130</v>
      </c>
      <c r="Z33" s="17">
        <v>5.0</v>
      </c>
      <c r="AA33" s="8"/>
      <c r="AB33" s="8">
        <f t="shared" si="15"/>
        <v>0</v>
      </c>
      <c r="AC33" s="8">
        <f t="shared" si="16"/>
        <v>0.04347826087</v>
      </c>
      <c r="AD33" s="8">
        <f t="shared" si="17"/>
        <v>0</v>
      </c>
      <c r="AE33" s="17"/>
      <c r="AF33" s="17">
        <v>5.0</v>
      </c>
      <c r="AG33" s="17" t="s">
        <v>123</v>
      </c>
      <c r="AH33" s="8">
        <f t="shared" si="18"/>
        <v>0</v>
      </c>
      <c r="AI33" s="8" t="str">
        <f t="shared" si="19"/>
        <v>BAJO</v>
      </c>
      <c r="AJ33" s="8">
        <f t="shared" si="20"/>
        <v>0</v>
      </c>
      <c r="AK33" s="8" t="s">
        <v>34</v>
      </c>
      <c r="AL33" s="8" t="s">
        <v>124</v>
      </c>
      <c r="AM33" s="52" t="s">
        <v>151</v>
      </c>
      <c r="AN33" s="8"/>
      <c r="AO33" s="8"/>
      <c r="AP33" s="8">
        <f>IF( AND(AI$33&lt;&gt;0,AH$16&lt;&gt;0),AL$33&amp;" - "&amp;AK$33,0)</f>
        <v>0</v>
      </c>
      <c r="AQ33" s="8">
        <f>IF( AP33&lt;&gt;0,AM$33,0)</f>
        <v>0</v>
      </c>
      <c r="AR33" s="8" t="s">
        <v>26</v>
      </c>
    </row>
    <row r="34" ht="37.5" customHeight="1">
      <c r="A34" s="1"/>
      <c r="B34" s="1"/>
      <c r="C34" s="43" t="str">
        <f t="shared" si="4"/>
        <v>Rodrigo Beltracchi</v>
      </c>
      <c r="D34" s="2"/>
      <c r="E34" s="42"/>
      <c r="F34" s="26"/>
      <c r="G34" s="26"/>
      <c r="H34" s="2"/>
      <c r="I34" s="1"/>
      <c r="J34" s="4">
        <f t="shared" si="1"/>
        <v>0</v>
      </c>
      <c r="K34" s="5">
        <f t="shared" si="2"/>
        <v>0</v>
      </c>
      <c r="L34" s="6"/>
      <c r="M34" s="7"/>
      <c r="N34" s="17" t="s">
        <v>119</v>
      </c>
      <c r="O34" s="17">
        <v>7.0</v>
      </c>
      <c r="P34" s="8">
        <f t="shared" si="9"/>
        <v>0</v>
      </c>
      <c r="Q34" s="8">
        <f t="shared" si="10"/>
        <v>0</v>
      </c>
      <c r="R34" s="8"/>
      <c r="S34" s="8">
        <f t="shared" si="11"/>
        <v>0</v>
      </c>
      <c r="T34" s="8" t="str">
        <f t="shared" si="12"/>
        <v>oo</v>
      </c>
      <c r="U34" s="8">
        <f t="shared" si="13"/>
        <v>0</v>
      </c>
      <c r="V34" s="46">
        <f t="shared" si="14"/>
        <v>0</v>
      </c>
      <c r="W34" s="49" t="s">
        <v>152</v>
      </c>
      <c r="X34" s="50" t="s">
        <v>153</v>
      </c>
      <c r="Y34" s="51" t="s">
        <v>130</v>
      </c>
      <c r="Z34" s="17">
        <v>5.0</v>
      </c>
      <c r="AA34" s="8"/>
      <c r="AB34" s="8">
        <f t="shared" si="15"/>
        <v>0</v>
      </c>
      <c r="AC34" s="8">
        <f t="shared" si="16"/>
        <v>0.04347826087</v>
      </c>
      <c r="AD34" s="8">
        <f t="shared" si="17"/>
        <v>0</v>
      </c>
      <c r="AE34" s="17"/>
      <c r="AF34" s="17">
        <v>5.0</v>
      </c>
      <c r="AG34" s="17" t="s">
        <v>154</v>
      </c>
      <c r="AH34" s="8">
        <f t="shared" si="18"/>
        <v>0</v>
      </c>
      <c r="AI34" s="8" t="str">
        <f t="shared" si="19"/>
        <v>BAJO</v>
      </c>
      <c r="AJ34" s="8">
        <f t="shared" si="20"/>
        <v>0</v>
      </c>
      <c r="AK34" s="8" t="s">
        <v>34</v>
      </c>
      <c r="AL34" s="8" t="s">
        <v>155</v>
      </c>
      <c r="AM34" s="52" t="s">
        <v>156</v>
      </c>
      <c r="AN34" s="8"/>
      <c r="AO34" s="8"/>
      <c r="AP34" s="8">
        <f>IF( AND(AI$34&lt;&gt;0,AH$16&lt;&gt;0),AL$34&amp;" - "&amp;AK$34,0)</f>
        <v>0</v>
      </c>
      <c r="AQ34" s="8">
        <f>IF( AP34&lt;&gt;0,AM$34,0)</f>
        <v>0</v>
      </c>
      <c r="AR34" s="8" t="s">
        <v>26</v>
      </c>
    </row>
    <row r="35" ht="24.0" customHeight="1">
      <c r="A35" s="1"/>
      <c r="B35" s="1"/>
      <c r="C35" s="43" t="str">
        <f t="shared" si="4"/>
        <v>Lautaro Valenzuela</v>
      </c>
      <c r="D35" s="2"/>
      <c r="E35" s="44" t="s">
        <v>66</v>
      </c>
      <c r="F35" s="33">
        <v>0.4166666666666667</v>
      </c>
      <c r="G35" s="34" t="s">
        <v>157</v>
      </c>
      <c r="H35" s="2"/>
      <c r="I35" s="1"/>
      <c r="J35" s="4">
        <f t="shared" si="1"/>
        <v>0</v>
      </c>
      <c r="K35" s="5">
        <f t="shared" si="2"/>
        <v>0</v>
      </c>
      <c r="L35" s="6"/>
      <c r="M35" s="7"/>
      <c r="N35" s="17" t="s">
        <v>119</v>
      </c>
      <c r="O35" s="17">
        <v>8.0</v>
      </c>
      <c r="P35" s="8">
        <f t="shared" si="9"/>
        <v>0</v>
      </c>
      <c r="Q35" s="8">
        <f t="shared" si="10"/>
        <v>0</v>
      </c>
      <c r="R35" s="8"/>
      <c r="S35" s="8">
        <f t="shared" si="11"/>
        <v>0</v>
      </c>
      <c r="T35" s="8" t="str">
        <f t="shared" si="12"/>
        <v>oo</v>
      </c>
      <c r="U35" s="8">
        <f t="shared" si="13"/>
        <v>0</v>
      </c>
      <c r="V35" s="46">
        <f t="shared" si="14"/>
        <v>0</v>
      </c>
      <c r="W35" s="49" t="s">
        <v>158</v>
      </c>
      <c r="X35" s="50" t="s">
        <v>159</v>
      </c>
      <c r="Y35" s="51" t="s">
        <v>130</v>
      </c>
      <c r="Z35" s="17">
        <v>5.0</v>
      </c>
      <c r="AA35" s="8"/>
      <c r="AB35" s="8">
        <f t="shared" si="15"/>
        <v>0</v>
      </c>
      <c r="AC35" s="8">
        <f t="shared" si="16"/>
        <v>0.04347826087</v>
      </c>
      <c r="AD35" s="8">
        <f t="shared" si="17"/>
        <v>0</v>
      </c>
      <c r="AE35" s="17"/>
      <c r="AF35" s="17">
        <v>5.0</v>
      </c>
      <c r="AG35" s="17" t="s">
        <v>131</v>
      </c>
      <c r="AH35" s="8">
        <f t="shared" si="18"/>
        <v>0</v>
      </c>
      <c r="AI35" s="8" t="str">
        <f t="shared" si="19"/>
        <v>BAJO</v>
      </c>
      <c r="AJ35" s="8">
        <f t="shared" si="20"/>
        <v>0</v>
      </c>
      <c r="AK35" s="8" t="s">
        <v>34</v>
      </c>
      <c r="AL35" s="8" t="s">
        <v>132</v>
      </c>
      <c r="AM35" s="52" t="s">
        <v>160</v>
      </c>
      <c r="AN35" s="8"/>
      <c r="AO35" s="8"/>
      <c r="AP35" s="8">
        <f>IF( AND(AI$35&lt;&gt;0,AH$16&lt;&gt;0),AL$35&amp;" - "&amp;AK$35,0)</f>
        <v>0</v>
      </c>
      <c r="AQ35" s="8">
        <f>IF( AP35&lt;&gt;0,AM$35,0)</f>
        <v>0</v>
      </c>
      <c r="AR35" s="8" t="s">
        <v>26</v>
      </c>
    </row>
    <row r="36" ht="37.5" customHeight="1">
      <c r="A36" s="1"/>
      <c r="B36" s="1"/>
      <c r="C36" s="43" t="str">
        <f t="shared" si="4"/>
        <v>Lautaro Valenzuela</v>
      </c>
      <c r="D36" s="2"/>
      <c r="E36" s="42"/>
      <c r="F36" s="26"/>
      <c r="G36" s="34" t="s">
        <v>162</v>
      </c>
      <c r="H36" s="2"/>
      <c r="I36" s="1"/>
      <c r="J36" s="4">
        <f t="shared" si="1"/>
        <v>0</v>
      </c>
      <c r="K36" s="5">
        <f t="shared" si="2"/>
        <v>0</v>
      </c>
      <c r="L36" s="6"/>
      <c r="M36" s="7"/>
      <c r="N36" s="17" t="s">
        <v>119</v>
      </c>
      <c r="O36" s="17">
        <v>9.0</v>
      </c>
      <c r="P36" s="8">
        <f t="shared" si="9"/>
        <v>1</v>
      </c>
      <c r="Q36" s="8">
        <f t="shared" si="10"/>
        <v>0.04347826087</v>
      </c>
      <c r="R36" s="8"/>
      <c r="S36" s="8">
        <f t="shared" si="11"/>
        <v>0</v>
      </c>
      <c r="T36" s="8">
        <f t="shared" si="12"/>
        <v>0</v>
      </c>
      <c r="U36" s="8">
        <f t="shared" si="13"/>
        <v>0</v>
      </c>
      <c r="V36" s="46">
        <f t="shared" si="14"/>
        <v>0</v>
      </c>
      <c r="W36" s="49" t="s">
        <v>68</v>
      </c>
      <c r="X36" s="50" t="s">
        <v>163</v>
      </c>
      <c r="Y36" s="51" t="s">
        <v>130</v>
      </c>
      <c r="Z36" s="17">
        <v>11.0</v>
      </c>
      <c r="AA36" s="8"/>
      <c r="AB36" s="8">
        <f t="shared" si="15"/>
        <v>0</v>
      </c>
      <c r="AC36" s="8">
        <f t="shared" si="16"/>
        <v>0.04347826087</v>
      </c>
      <c r="AD36" s="8">
        <f t="shared" si="17"/>
        <v>0</v>
      </c>
      <c r="AE36" s="17"/>
      <c r="AF36" s="17">
        <v>8.0</v>
      </c>
      <c r="AG36" s="17" t="s">
        <v>136</v>
      </c>
      <c r="AH36" s="8">
        <f t="shared" si="18"/>
        <v>0</v>
      </c>
      <c r="AI36" s="8" t="str">
        <f t="shared" si="19"/>
        <v>BAJO</v>
      </c>
      <c r="AJ36" s="8">
        <f t="shared" si="20"/>
        <v>0</v>
      </c>
      <c r="AK36" s="8" t="s">
        <v>34</v>
      </c>
      <c r="AL36" s="8" t="s">
        <v>137</v>
      </c>
      <c r="AM36" s="52" t="s">
        <v>164</v>
      </c>
      <c r="AN36" s="8"/>
      <c r="AO36" s="8"/>
      <c r="AP36" s="8" t="str">
        <f>IF( AND(AI$36&lt;&gt;0,AH$19&lt;&gt;0),AL$36&amp;" - "&amp;AK$36,0)</f>
        <v>Estudiante requiere entrenamiento de subhabilidad Requerir - Evaluación</v>
      </c>
      <c r="AQ36" s="8" t="str">
        <f>IF( AP36&lt;&gt;0,AM$36,0)</f>
        <v>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v>
      </c>
      <c r="AR36" s="8" t="s">
        <v>26</v>
      </c>
    </row>
    <row r="37" ht="33.0" customHeight="1">
      <c r="A37" s="1"/>
      <c r="B37" s="1"/>
      <c r="C37" s="43" t="str">
        <f t="shared" si="4"/>
        <v>Lautaro Valenzuela</v>
      </c>
      <c r="D37" s="2"/>
      <c r="E37" s="42"/>
      <c r="F37" s="26"/>
      <c r="G37" s="26"/>
      <c r="H37" s="2"/>
      <c r="I37" s="1"/>
      <c r="J37" s="4">
        <f t="shared" si="1"/>
        <v>0</v>
      </c>
      <c r="K37" s="5">
        <f t="shared" si="2"/>
        <v>0</v>
      </c>
      <c r="L37" s="6"/>
      <c r="M37" s="7"/>
      <c r="N37" s="17" t="s">
        <v>119</v>
      </c>
      <c r="O37" s="17">
        <v>10.0</v>
      </c>
      <c r="P37" s="8">
        <f t="shared" si="9"/>
        <v>0</v>
      </c>
      <c r="Q37" s="8">
        <f t="shared" si="10"/>
        <v>0</v>
      </c>
      <c r="R37" s="8"/>
      <c r="S37" s="8">
        <f t="shared" si="11"/>
        <v>0</v>
      </c>
      <c r="T37" s="8" t="str">
        <f t="shared" si="12"/>
        <v>oo</v>
      </c>
      <c r="U37" s="8">
        <f t="shared" si="13"/>
        <v>0</v>
      </c>
      <c r="V37" s="46">
        <f t="shared" si="14"/>
        <v>0</v>
      </c>
      <c r="W37" s="49" t="s">
        <v>166</v>
      </c>
      <c r="X37" s="50" t="s">
        <v>167</v>
      </c>
      <c r="Y37" s="51" t="s">
        <v>154</v>
      </c>
      <c r="Z37" s="17">
        <v>1.0</v>
      </c>
      <c r="AA37" s="8"/>
      <c r="AB37" s="8">
        <f t="shared" si="15"/>
        <v>0</v>
      </c>
      <c r="AC37" s="8">
        <f t="shared" si="16"/>
        <v>0</v>
      </c>
      <c r="AD37" s="8">
        <f t="shared" si="17"/>
        <v>0</v>
      </c>
      <c r="AE37" s="17"/>
      <c r="AF37" s="17">
        <v>8.0</v>
      </c>
      <c r="AG37" s="17" t="s">
        <v>168</v>
      </c>
      <c r="AH37" s="8">
        <f t="shared" si="18"/>
        <v>0</v>
      </c>
      <c r="AI37" s="8" t="str">
        <f t="shared" si="19"/>
        <v>BAJO</v>
      </c>
      <c r="AJ37" s="8">
        <f t="shared" si="20"/>
        <v>0</v>
      </c>
      <c r="AK37" s="8" t="s">
        <v>34</v>
      </c>
      <c r="AL37" s="8" t="s">
        <v>169</v>
      </c>
      <c r="AM37" s="52" t="s">
        <v>170</v>
      </c>
      <c r="AN37" s="8"/>
      <c r="AO37" s="8"/>
      <c r="AP37" s="8" t="str">
        <f>IF( AND(AI$37&lt;&gt;0,AH$19&lt;&gt;0),AL$37&amp;" - "&amp;AK$37,0)</f>
        <v>Estudiante requiere entrenamiento de subhabilidad Mantenimiento - Evaluación</v>
      </c>
      <c r="AQ37" s="8" t="str">
        <f>IF( AP37&lt;&gt;0,AM$37,0)</f>
        <v>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v>
      </c>
      <c r="AR37" s="8" t="s">
        <v>26</v>
      </c>
    </row>
    <row r="38" ht="33.75" customHeight="1">
      <c r="A38" s="1"/>
      <c r="B38" s="1"/>
      <c r="C38" s="43" t="str">
        <f t="shared" si="4"/>
        <v>Lautaro Valenzuela</v>
      </c>
      <c r="D38" s="2"/>
      <c r="E38" s="42"/>
      <c r="F38" s="26"/>
      <c r="G38" s="26"/>
      <c r="H38" s="2"/>
      <c r="I38" s="1"/>
      <c r="J38" s="4">
        <f t="shared" si="1"/>
        <v>0</v>
      </c>
      <c r="K38" s="5">
        <f t="shared" si="2"/>
        <v>0</v>
      </c>
      <c r="L38" s="6"/>
      <c r="M38" s="7"/>
      <c r="N38" s="17" t="s">
        <v>119</v>
      </c>
      <c r="O38" s="17">
        <v>11.0</v>
      </c>
      <c r="P38" s="8">
        <f t="shared" si="9"/>
        <v>0</v>
      </c>
      <c r="Q38" s="8">
        <f t="shared" si="10"/>
        <v>0</v>
      </c>
      <c r="R38" s="8"/>
      <c r="S38" s="8">
        <f t="shared" si="11"/>
        <v>0</v>
      </c>
      <c r="T38" s="8" t="str">
        <f t="shared" si="12"/>
        <v>oo</v>
      </c>
      <c r="U38" s="8">
        <f t="shared" si="13"/>
        <v>0</v>
      </c>
      <c r="V38" s="46">
        <f t="shared" si="14"/>
        <v>0</v>
      </c>
      <c r="W38" s="49" t="s">
        <v>171</v>
      </c>
      <c r="X38" s="50" t="s">
        <v>172</v>
      </c>
      <c r="Y38" s="51" t="s">
        <v>154</v>
      </c>
      <c r="Z38" s="17">
        <v>5.0</v>
      </c>
      <c r="AA38" s="8"/>
      <c r="AB38" s="8">
        <f t="shared" si="15"/>
        <v>0</v>
      </c>
      <c r="AC38" s="8">
        <f t="shared" si="16"/>
        <v>0</v>
      </c>
      <c r="AD38" s="8">
        <f t="shared" si="17"/>
        <v>0</v>
      </c>
      <c r="AE38" s="17" t="s">
        <v>40</v>
      </c>
      <c r="AF38" s="17">
        <v>4.0</v>
      </c>
      <c r="AG38" s="17" t="s">
        <v>130</v>
      </c>
      <c r="AH38" s="8">
        <f t="shared" si="18"/>
        <v>0</v>
      </c>
      <c r="AI38" s="8" t="str">
        <f t="shared" si="19"/>
        <v>BAJO</v>
      </c>
      <c r="AJ38" s="8">
        <f t="shared" si="20"/>
        <v>0</v>
      </c>
      <c r="AK38" s="8" t="s">
        <v>40</v>
      </c>
      <c r="AL38" s="8" t="s">
        <v>141</v>
      </c>
      <c r="AM38" s="52" t="s">
        <v>173</v>
      </c>
      <c r="AN38" s="8"/>
      <c r="AO38" s="8"/>
      <c r="AP38" s="8" t="str">
        <f>IF( AND(AI$38&lt;&gt;0,AH$15&lt;&gt;0),AL$38&amp;" - "&amp;AK$38,0)</f>
        <v>Estudiante requiere entrenamiento de subhabilidad Argumentación - Control</v>
      </c>
      <c r="AQ38" s="8"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8" t="s">
        <v>26</v>
      </c>
    </row>
    <row r="39" ht="37.5" customHeight="1">
      <c r="A39" s="1"/>
      <c r="B39" s="1"/>
      <c r="C39" s="43" t="str">
        <f t="shared" si="4"/>
        <v>Rodrigo Beltracchi</v>
      </c>
      <c r="D39" s="2"/>
      <c r="E39" s="44" t="s">
        <v>20</v>
      </c>
      <c r="F39" s="33">
        <v>0.4173611111111111</v>
      </c>
      <c r="G39" s="34" t="s">
        <v>174</v>
      </c>
      <c r="H39" s="2"/>
      <c r="I39" s="29" t="s">
        <v>175</v>
      </c>
      <c r="J39" s="4">
        <f t="shared" si="1"/>
        <v>35</v>
      </c>
      <c r="K39" s="5">
        <f t="shared" si="2"/>
        <v>6</v>
      </c>
      <c r="L39" s="6"/>
      <c r="M39" s="7"/>
      <c r="N39" s="17" t="s">
        <v>119</v>
      </c>
      <c r="O39" s="17">
        <v>12.0</v>
      </c>
      <c r="P39" s="8">
        <f t="shared" si="9"/>
        <v>0</v>
      </c>
      <c r="Q39" s="8">
        <f t="shared" si="10"/>
        <v>0</v>
      </c>
      <c r="R39" s="8"/>
      <c r="S39" s="8">
        <f t="shared" si="11"/>
        <v>0</v>
      </c>
      <c r="T39" s="8" t="str">
        <f t="shared" si="12"/>
        <v>oo</v>
      </c>
      <c r="U39" s="8">
        <f t="shared" si="13"/>
        <v>0</v>
      </c>
      <c r="V39" s="46">
        <f t="shared" si="14"/>
        <v>0</v>
      </c>
      <c r="W39" s="49" t="s">
        <v>176</v>
      </c>
      <c r="X39" s="50" t="s">
        <v>177</v>
      </c>
      <c r="Y39" s="51" t="s">
        <v>123</v>
      </c>
      <c r="Z39" s="17">
        <v>6.0</v>
      </c>
      <c r="AA39" s="8"/>
      <c r="AB39" s="8">
        <f t="shared" si="15"/>
        <v>0</v>
      </c>
      <c r="AC39" s="8">
        <f t="shared" si="16"/>
        <v>0.04347826087</v>
      </c>
      <c r="AD39" s="8">
        <f t="shared" si="17"/>
        <v>0</v>
      </c>
      <c r="AE39" s="17"/>
      <c r="AF39" s="17">
        <v>4.0</v>
      </c>
      <c r="AG39" s="17" t="s">
        <v>123</v>
      </c>
      <c r="AH39" s="8">
        <f t="shared" si="18"/>
        <v>0</v>
      </c>
      <c r="AI39" s="8" t="str">
        <f t="shared" si="19"/>
        <v>BAJO</v>
      </c>
      <c r="AJ39" s="8">
        <f t="shared" si="20"/>
        <v>0</v>
      </c>
      <c r="AK39" s="8" t="s">
        <v>40</v>
      </c>
      <c r="AL39" s="8" t="s">
        <v>124</v>
      </c>
      <c r="AM39" s="52" t="s">
        <v>178</v>
      </c>
      <c r="AN39" s="8"/>
      <c r="AO39" s="8"/>
      <c r="AP39" s="8" t="str">
        <f>IF( AND(AI$39&lt;&gt;0,AH$15&lt;&gt;0),AL$39&amp;" - "&amp;AK$39,0)</f>
        <v>Estudiante requiere entrenamiento de subhabilidad Informar - Control</v>
      </c>
      <c r="AQ39" s="8"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8" t="s">
        <v>26</v>
      </c>
    </row>
    <row r="40" ht="31.5" customHeight="1">
      <c r="A40" s="1"/>
      <c r="B40" s="1"/>
      <c r="C40" s="43" t="str">
        <f t="shared" si="4"/>
        <v>Rodrigo Beltracchi</v>
      </c>
      <c r="D40" s="2"/>
      <c r="E40" s="42"/>
      <c r="F40" s="26"/>
      <c r="G40" s="26"/>
      <c r="H40" s="2"/>
      <c r="I40" s="1"/>
      <c r="J40" s="4">
        <f t="shared" si="1"/>
        <v>0</v>
      </c>
      <c r="K40" s="5">
        <f t="shared" si="2"/>
        <v>0</v>
      </c>
      <c r="L40" s="6"/>
      <c r="M40" s="7"/>
      <c r="N40" s="17" t="s">
        <v>119</v>
      </c>
      <c r="O40" s="17">
        <v>13.0</v>
      </c>
      <c r="P40" s="8">
        <f t="shared" si="9"/>
        <v>0</v>
      </c>
      <c r="Q40" s="8">
        <f t="shared" si="10"/>
        <v>0</v>
      </c>
      <c r="R40" s="8"/>
      <c r="S40" s="8">
        <f t="shared" si="11"/>
        <v>0</v>
      </c>
      <c r="T40" s="8" t="str">
        <f t="shared" si="12"/>
        <v>oo</v>
      </c>
      <c r="U40" s="8">
        <f t="shared" si="13"/>
        <v>0</v>
      </c>
      <c r="V40" s="46">
        <f t="shared" si="14"/>
        <v>0</v>
      </c>
      <c r="W40" s="49" t="s">
        <v>118</v>
      </c>
      <c r="X40" s="50" t="s">
        <v>180</v>
      </c>
      <c r="Y40" s="51" t="s">
        <v>123</v>
      </c>
      <c r="Z40" s="17">
        <v>4.0</v>
      </c>
      <c r="AA40" s="8"/>
      <c r="AB40" s="8">
        <f t="shared" si="15"/>
        <v>0</v>
      </c>
      <c r="AC40" s="8">
        <f t="shared" si="16"/>
        <v>0.04347826087</v>
      </c>
      <c r="AD40" s="8">
        <f t="shared" si="17"/>
        <v>0</v>
      </c>
      <c r="AE40" s="17"/>
      <c r="AF40" s="17">
        <v>4.0</v>
      </c>
      <c r="AG40" s="17" t="s">
        <v>168</v>
      </c>
      <c r="AH40" s="8">
        <f t="shared" si="18"/>
        <v>0</v>
      </c>
      <c r="AI40" s="8" t="str">
        <f t="shared" si="19"/>
        <v>BAJO</v>
      </c>
      <c r="AJ40" s="8">
        <f t="shared" si="20"/>
        <v>0</v>
      </c>
      <c r="AK40" s="8" t="s">
        <v>40</v>
      </c>
      <c r="AL40" s="8" t="s">
        <v>169</v>
      </c>
      <c r="AM40" s="52" t="s">
        <v>181</v>
      </c>
      <c r="AN40" s="8"/>
      <c r="AO40" s="8"/>
      <c r="AP40" s="8" t="str">
        <f>IF( AND(AI$40&lt;&gt;0,AH$15&lt;&gt;0),AL$40&amp;" - "&amp;AK$40,0)</f>
        <v>Estudiante requiere entrenamiento de subhabilidad Mantenimiento - Control</v>
      </c>
      <c r="AQ40" s="8"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8" t="s">
        <v>26</v>
      </c>
    </row>
    <row r="41" ht="38.25" customHeight="1">
      <c r="A41" s="1"/>
      <c r="B41" s="1"/>
      <c r="C41" s="43" t="str">
        <f t="shared" si="4"/>
        <v>Rodrigo Beltracchi</v>
      </c>
      <c r="D41" s="2"/>
      <c r="E41" s="42"/>
      <c r="F41" s="26"/>
      <c r="G41" s="26"/>
      <c r="H41" s="2"/>
      <c r="I41" s="1"/>
      <c r="J41" s="4">
        <f t="shared" si="1"/>
        <v>0</v>
      </c>
      <c r="K41" s="5">
        <f t="shared" si="2"/>
        <v>0</v>
      </c>
      <c r="L41" s="6"/>
      <c r="M41" s="7"/>
      <c r="N41" s="17" t="s">
        <v>119</v>
      </c>
      <c r="O41" s="17">
        <v>14.0</v>
      </c>
      <c r="P41" s="8">
        <f t="shared" si="9"/>
        <v>0</v>
      </c>
      <c r="Q41" s="8">
        <f t="shared" si="10"/>
        <v>0</v>
      </c>
      <c r="R41" s="8"/>
      <c r="S41" s="8">
        <f t="shared" si="11"/>
        <v>0</v>
      </c>
      <c r="T41" s="8" t="str">
        <f t="shared" si="12"/>
        <v>oo</v>
      </c>
      <c r="U41" s="8">
        <f t="shared" si="13"/>
        <v>0</v>
      </c>
      <c r="V41" s="46">
        <f t="shared" si="14"/>
        <v>0</v>
      </c>
      <c r="W41" s="49" t="s">
        <v>182</v>
      </c>
      <c r="X41" s="50" t="s">
        <v>183</v>
      </c>
      <c r="Y41" s="51" t="s">
        <v>123</v>
      </c>
      <c r="Z41" s="17">
        <v>5.0</v>
      </c>
      <c r="AA41" s="8"/>
      <c r="AB41" s="8">
        <f t="shared" si="15"/>
        <v>0</v>
      </c>
      <c r="AC41" s="8">
        <f t="shared" si="16"/>
        <v>0.04347826087</v>
      </c>
      <c r="AD41" s="8">
        <f t="shared" si="17"/>
        <v>0</v>
      </c>
      <c r="AE41" s="17"/>
      <c r="AF41" s="17">
        <v>4.0</v>
      </c>
      <c r="AG41" s="17" t="s">
        <v>131</v>
      </c>
      <c r="AH41" s="8">
        <f t="shared" si="18"/>
        <v>0</v>
      </c>
      <c r="AI41" s="8" t="str">
        <f t="shared" si="19"/>
        <v>BAJO</v>
      </c>
      <c r="AJ41" s="8">
        <f t="shared" si="20"/>
        <v>0</v>
      </c>
      <c r="AK41" s="8" t="s">
        <v>40</v>
      </c>
      <c r="AL41" s="8" t="s">
        <v>132</v>
      </c>
      <c r="AM41" s="52" t="s">
        <v>184</v>
      </c>
      <c r="AN41" s="8"/>
      <c r="AO41" s="8"/>
      <c r="AP41" s="8" t="str">
        <f>IF( AND(AI$41&lt;&gt;0,AH$15&lt;&gt;0),AL$41&amp;" - "&amp;AK$41,0)</f>
        <v>Estudiante requiere entrenamiento de subhabilidad Tarea - Control</v>
      </c>
      <c r="AQ41" s="8"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8" t="s">
        <v>26</v>
      </c>
    </row>
    <row r="42" ht="32.25" customHeight="1">
      <c r="A42" s="1"/>
      <c r="B42" s="1"/>
      <c r="C42" s="43" t="str">
        <f t="shared" si="4"/>
        <v>Nicolas Legui</v>
      </c>
      <c r="D42" s="2"/>
      <c r="E42" s="44" t="s">
        <v>79</v>
      </c>
      <c r="F42" s="33">
        <v>0.4173611111111111</v>
      </c>
      <c r="G42" s="34" t="s">
        <v>185</v>
      </c>
      <c r="H42" s="2"/>
      <c r="I42" s="1"/>
      <c r="J42" s="4">
        <f t="shared" si="1"/>
        <v>0</v>
      </c>
      <c r="K42" s="5">
        <f t="shared" si="2"/>
        <v>0</v>
      </c>
      <c r="L42" s="6"/>
      <c r="M42" s="7"/>
      <c r="N42" s="17" t="s">
        <v>119</v>
      </c>
      <c r="O42" s="17">
        <v>15.0</v>
      </c>
      <c r="P42" s="8">
        <f t="shared" si="9"/>
        <v>1</v>
      </c>
      <c r="Q42" s="8">
        <f t="shared" si="10"/>
        <v>0.04347826087</v>
      </c>
      <c r="R42" s="8"/>
      <c r="S42" s="8">
        <f t="shared" si="11"/>
        <v>0</v>
      </c>
      <c r="T42" s="8">
        <f t="shared" si="12"/>
        <v>0</v>
      </c>
      <c r="U42" s="8">
        <f t="shared" si="13"/>
        <v>0</v>
      </c>
      <c r="V42" s="46">
        <f t="shared" si="14"/>
        <v>0</v>
      </c>
      <c r="W42" s="49" t="s">
        <v>22</v>
      </c>
      <c r="X42" s="50" t="s">
        <v>186</v>
      </c>
      <c r="Y42" s="51" t="s">
        <v>123</v>
      </c>
      <c r="Z42" s="17">
        <v>4.0</v>
      </c>
      <c r="AA42" s="8"/>
      <c r="AB42" s="8">
        <f t="shared" si="15"/>
        <v>0</v>
      </c>
      <c r="AC42" s="8">
        <f t="shared" si="16"/>
        <v>0.04347826087</v>
      </c>
      <c r="AD42" s="8">
        <f t="shared" si="17"/>
        <v>0</v>
      </c>
      <c r="AE42" s="17"/>
      <c r="AF42" s="17">
        <v>9.0</v>
      </c>
      <c r="AG42" s="17" t="s">
        <v>136</v>
      </c>
      <c r="AH42" s="8">
        <f t="shared" si="18"/>
        <v>0</v>
      </c>
      <c r="AI42" s="8" t="str">
        <f t="shared" si="19"/>
        <v>BAJO</v>
      </c>
      <c r="AJ42" s="8">
        <f t="shared" si="20"/>
        <v>0</v>
      </c>
      <c r="AK42" s="8" t="s">
        <v>40</v>
      </c>
      <c r="AL42" s="8" t="s">
        <v>137</v>
      </c>
      <c r="AM42" s="52" t="s">
        <v>187</v>
      </c>
      <c r="AN42" s="8"/>
      <c r="AO42" s="8"/>
      <c r="AP42" s="8" t="str">
        <f>IF( AND(AI$42&lt;&gt;0,AH$20&lt;&gt;0),AL$42&amp;" - "&amp;AK$42,0)</f>
        <v>Estudiante requiere entrenamiento de subhabilidad Requerir - Control</v>
      </c>
      <c r="AQ42" s="8" t="str">
        <f>IF( AP42&lt;&gt;0,AM$42,0)</f>
        <v> Entrenar al estudiante, solicitándole que formule un requerimiento al grupo manifestando la subhabilidad Requerir. Dado que esta subhabilidad se relaciona con el atributo Elaboración, el estudiante no posee alternativas para responder, debe hacer su contribución a continuación de la oración de apertura “¿Qué hacemos ahora…?”.</v>
      </c>
      <c r="AR42" s="8" t="s">
        <v>26</v>
      </c>
    </row>
    <row r="43" ht="27.75" customHeight="1">
      <c r="A43" s="1"/>
      <c r="B43" s="1"/>
      <c r="C43" s="43" t="str">
        <f t="shared" si="4"/>
        <v>Nicolas Legui</v>
      </c>
      <c r="D43" s="2"/>
      <c r="E43" s="42"/>
      <c r="F43" s="26"/>
      <c r="G43" s="26"/>
      <c r="H43" s="2"/>
      <c r="I43" s="1"/>
      <c r="J43" s="4">
        <f t="shared" si="1"/>
        <v>0</v>
      </c>
      <c r="K43" s="5">
        <f t="shared" si="2"/>
        <v>0</v>
      </c>
      <c r="L43" s="6"/>
      <c r="M43" s="7"/>
      <c r="N43" s="17" t="s">
        <v>119</v>
      </c>
      <c r="O43" s="17">
        <v>16.0</v>
      </c>
      <c r="P43" s="8">
        <f t="shared" si="9"/>
        <v>0</v>
      </c>
      <c r="Q43" s="8">
        <f t="shared" si="10"/>
        <v>0</v>
      </c>
      <c r="R43" s="8"/>
      <c r="S43" s="8">
        <f t="shared" si="11"/>
        <v>0</v>
      </c>
      <c r="T43" s="8" t="str">
        <f t="shared" si="12"/>
        <v>oo</v>
      </c>
      <c r="U43" s="8">
        <f t="shared" si="13"/>
        <v>0</v>
      </c>
      <c r="V43" s="46">
        <f t="shared" si="14"/>
        <v>0</v>
      </c>
      <c r="W43" s="49" t="s">
        <v>188</v>
      </c>
      <c r="X43" s="50" t="s">
        <v>189</v>
      </c>
      <c r="Y43" s="51" t="s">
        <v>123</v>
      </c>
      <c r="Z43" s="17">
        <v>6.0</v>
      </c>
      <c r="AA43" s="8"/>
      <c r="AB43" s="8">
        <f t="shared" si="15"/>
        <v>0</v>
      </c>
      <c r="AC43" s="8">
        <f t="shared" si="16"/>
        <v>0.04347826087</v>
      </c>
      <c r="AD43" s="8">
        <f t="shared" si="17"/>
        <v>0</v>
      </c>
      <c r="AE43" s="17" t="s">
        <v>45</v>
      </c>
      <c r="AF43" s="17">
        <v>3.0</v>
      </c>
      <c r="AG43" s="17" t="s">
        <v>190</v>
      </c>
      <c r="AH43" s="8">
        <f t="shared" si="18"/>
        <v>0</v>
      </c>
      <c r="AI43" s="8" t="str">
        <f t="shared" si="19"/>
        <v>BAJO</v>
      </c>
      <c r="AJ43" s="8">
        <f t="shared" si="20"/>
        <v>0</v>
      </c>
      <c r="AK43" s="8" t="s">
        <v>191</v>
      </c>
      <c r="AL43" s="8" t="s">
        <v>191</v>
      </c>
      <c r="AM43" s="8" t="s">
        <v>191</v>
      </c>
      <c r="AN43" s="8"/>
      <c r="AO43" s="8"/>
      <c r="AP43" s="8"/>
      <c r="AQ43" s="8">
        <f>IF( AP43&lt;&gt;0,AM$43,0)</f>
        <v>0</v>
      </c>
      <c r="AR43" s="8" t="s">
        <v>26</v>
      </c>
    </row>
    <row r="44" ht="27.75" customHeight="1">
      <c r="A44" s="1"/>
      <c r="B44" s="1"/>
      <c r="C44" s="43" t="str">
        <f t="shared" si="4"/>
        <v>Nicolas Legui</v>
      </c>
      <c r="D44" s="2"/>
      <c r="E44" s="42"/>
      <c r="F44" s="26"/>
      <c r="G44" s="26"/>
      <c r="H44" s="2"/>
      <c r="I44" s="1"/>
      <c r="J44" s="4">
        <f t="shared" si="1"/>
        <v>0</v>
      </c>
      <c r="K44" s="5">
        <f t="shared" si="2"/>
        <v>0</v>
      </c>
      <c r="L44" s="6"/>
      <c r="M44" s="7"/>
      <c r="N44" s="17" t="s">
        <v>119</v>
      </c>
      <c r="O44" s="17">
        <v>17.0</v>
      </c>
      <c r="P44" s="8">
        <f t="shared" si="9"/>
        <v>0</v>
      </c>
      <c r="Q44" s="8">
        <f t="shared" si="10"/>
        <v>0</v>
      </c>
      <c r="R44" s="8"/>
      <c r="S44" s="8">
        <f t="shared" si="11"/>
        <v>0</v>
      </c>
      <c r="T44" s="8" t="str">
        <f t="shared" si="12"/>
        <v>oo</v>
      </c>
      <c r="U44" s="8">
        <f t="shared" si="13"/>
        <v>0</v>
      </c>
      <c r="V44" s="46">
        <f t="shared" si="14"/>
        <v>0</v>
      </c>
      <c r="W44" s="49" t="s">
        <v>193</v>
      </c>
      <c r="X44" s="50" t="s">
        <v>194</v>
      </c>
      <c r="Y44" s="51" t="s">
        <v>123</v>
      </c>
      <c r="Z44" s="17">
        <v>5.0</v>
      </c>
      <c r="AA44" s="8"/>
      <c r="AB44" s="8">
        <f t="shared" si="15"/>
        <v>0</v>
      </c>
      <c r="AC44" s="8">
        <f t="shared" si="16"/>
        <v>0.04347826087</v>
      </c>
      <c r="AD44" s="8">
        <f t="shared" si="17"/>
        <v>0</v>
      </c>
      <c r="AE44" s="17"/>
      <c r="AF44" s="17">
        <v>10.0</v>
      </c>
      <c r="AG44" s="17" t="s">
        <v>190</v>
      </c>
      <c r="AH44" s="8">
        <f t="shared" si="18"/>
        <v>0</v>
      </c>
      <c r="AI44" s="8" t="str">
        <f t="shared" si="19"/>
        <v>BAJO</v>
      </c>
      <c r="AJ44" s="8">
        <f t="shared" si="20"/>
        <v>0</v>
      </c>
      <c r="AK44" s="8" t="s">
        <v>191</v>
      </c>
      <c r="AL44" s="8" t="s">
        <v>191</v>
      </c>
      <c r="AM44" s="8" t="s">
        <v>191</v>
      </c>
      <c r="AN44" s="8"/>
      <c r="AO44" s="8"/>
      <c r="AP44" s="8"/>
      <c r="AQ44" s="8">
        <f>IF( AP44&lt;&gt;0,AM$44,0)</f>
        <v>0</v>
      </c>
      <c r="AR44" s="8" t="s">
        <v>26</v>
      </c>
    </row>
    <row r="45" ht="33.0" customHeight="1">
      <c r="A45" s="1"/>
      <c r="B45" s="1"/>
      <c r="C45" s="43" t="str">
        <f t="shared" si="4"/>
        <v>Rodrigo Beltracchi</v>
      </c>
      <c r="D45" s="2"/>
      <c r="E45" s="44" t="s">
        <v>20</v>
      </c>
      <c r="F45" s="33">
        <v>0.41805555555555557</v>
      </c>
      <c r="G45" s="54" t="s">
        <v>195</v>
      </c>
      <c r="H45" s="2"/>
      <c r="I45" s="1"/>
      <c r="J45" s="4">
        <f t="shared" si="1"/>
        <v>0</v>
      </c>
      <c r="K45" s="5">
        <f t="shared" si="2"/>
        <v>0</v>
      </c>
      <c r="L45" s="6"/>
      <c r="M45" s="7"/>
      <c r="N45" s="17" t="s">
        <v>119</v>
      </c>
      <c r="O45" s="17">
        <v>18.0</v>
      </c>
      <c r="P45" s="8">
        <f t="shared" si="9"/>
        <v>0</v>
      </c>
      <c r="Q45" s="8">
        <f t="shared" si="10"/>
        <v>0</v>
      </c>
      <c r="R45" s="8"/>
      <c r="S45" s="8">
        <f t="shared" si="11"/>
        <v>0</v>
      </c>
      <c r="T45" s="8" t="str">
        <f t="shared" si="12"/>
        <v>oo</v>
      </c>
      <c r="U45" s="8">
        <f t="shared" si="13"/>
        <v>0</v>
      </c>
      <c r="V45" s="46">
        <f t="shared" si="14"/>
        <v>0</v>
      </c>
      <c r="W45" s="49" t="s">
        <v>196</v>
      </c>
      <c r="X45" s="50" t="s">
        <v>197</v>
      </c>
      <c r="Y45" s="51" t="s">
        <v>123</v>
      </c>
      <c r="Z45" s="17">
        <v>5.0</v>
      </c>
      <c r="AA45" s="8"/>
      <c r="AB45" s="8">
        <f t="shared" si="15"/>
        <v>0</v>
      </c>
      <c r="AC45" s="8">
        <f t="shared" si="16"/>
        <v>0.04347826087</v>
      </c>
      <c r="AD45" s="8">
        <f t="shared" si="17"/>
        <v>0</v>
      </c>
      <c r="AE45" s="8"/>
      <c r="AF45" s="8"/>
      <c r="AG45" s="17" t="s">
        <v>190</v>
      </c>
      <c r="AH45" s="8">
        <f t="shared" si="18"/>
        <v>0</v>
      </c>
      <c r="AI45" s="8" t="str">
        <f t="shared" si="19"/>
        <v>BAJO</v>
      </c>
      <c r="AJ45" s="8">
        <f t="shared" si="20"/>
        <v>0</v>
      </c>
      <c r="AK45" s="8" t="s">
        <v>45</v>
      </c>
      <c r="AL45" s="8" t="s">
        <v>198</v>
      </c>
      <c r="AM45" s="52" t="s">
        <v>199</v>
      </c>
      <c r="AN45" s="8"/>
      <c r="AO45" s="8"/>
      <c r="AP45" s="8" t="str">
        <f>IF( AND(AI$45&lt;&gt;0,OR(AH$21&lt;&gt;0,AH$14&lt;&gt;0)),AL$45&amp;" - "&amp;AK$45,0)</f>
        <v>Estudiante requiere entrenamiento de subhabilidad Reconocimiento - Decisión</v>
      </c>
      <c r="AQ45" s="8"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8" t="s">
        <v>26</v>
      </c>
    </row>
    <row r="46" ht="25.5" customHeight="1">
      <c r="A46" s="1"/>
      <c r="B46" s="1"/>
      <c r="C46" s="43" t="str">
        <f t="shared" si="4"/>
        <v>Rodrigo Beltracchi</v>
      </c>
      <c r="D46" s="2"/>
      <c r="E46" s="42"/>
      <c r="F46" s="26"/>
      <c r="G46" s="34" t="s">
        <v>200</v>
      </c>
      <c r="H46" s="2"/>
      <c r="I46" s="1"/>
      <c r="J46" s="4">
        <f t="shared" si="1"/>
        <v>0</v>
      </c>
      <c r="K46" s="5">
        <f t="shared" si="2"/>
        <v>0</v>
      </c>
      <c r="L46" s="6"/>
      <c r="M46" s="7"/>
      <c r="N46" s="17" t="s">
        <v>119</v>
      </c>
      <c r="O46" s="17">
        <v>19.0</v>
      </c>
      <c r="P46" s="8">
        <f t="shared" si="9"/>
        <v>0</v>
      </c>
      <c r="Q46" s="8">
        <f t="shared" si="10"/>
        <v>0</v>
      </c>
      <c r="R46" s="8"/>
      <c r="S46" s="8">
        <f t="shared" si="11"/>
        <v>0</v>
      </c>
      <c r="T46" s="8" t="str">
        <f t="shared" si="12"/>
        <v>oo</v>
      </c>
      <c r="U46" s="8">
        <f t="shared" si="13"/>
        <v>0</v>
      </c>
      <c r="V46" s="46">
        <f t="shared" si="14"/>
        <v>0</v>
      </c>
      <c r="W46" s="49" t="s">
        <v>201</v>
      </c>
      <c r="X46" s="50" t="s">
        <v>202</v>
      </c>
      <c r="Y46" s="51" t="s">
        <v>136</v>
      </c>
      <c r="Z46" s="17">
        <v>7.0</v>
      </c>
      <c r="AA46" s="8"/>
      <c r="AB46" s="8">
        <f t="shared" si="15"/>
        <v>0</v>
      </c>
      <c r="AC46" s="8">
        <f t="shared" si="16"/>
        <v>0.04347826087</v>
      </c>
      <c r="AD46" s="8">
        <f t="shared" si="17"/>
        <v>0</v>
      </c>
      <c r="AE46" s="17" t="s">
        <v>57</v>
      </c>
      <c r="AF46" s="17">
        <v>2.0</v>
      </c>
      <c r="AG46" s="17" t="s">
        <v>190</v>
      </c>
      <c r="AH46" s="8">
        <f t="shared" si="18"/>
        <v>0</v>
      </c>
      <c r="AI46" s="8" t="str">
        <f t="shared" si="19"/>
        <v>BAJO</v>
      </c>
      <c r="AJ46" s="8">
        <f t="shared" si="20"/>
        <v>0</v>
      </c>
      <c r="AK46" s="8" t="s">
        <v>57</v>
      </c>
      <c r="AL46" s="8" t="s">
        <v>198</v>
      </c>
      <c r="AM46" s="52" t="s">
        <v>203</v>
      </c>
      <c r="AN46" s="8" t="s">
        <v>26</v>
      </c>
      <c r="AO46" s="8"/>
      <c r="AP46" s="8" t="str">
        <f>IF( AND(AI$46&lt;&gt;0,AH$13&lt;&gt;0),AL$46&amp;" - "&amp;AK$46,0)</f>
        <v>Estudiante requiere entrenamiento de subhabilidad Reconocimiento - Reducción de tensión</v>
      </c>
      <c r="AQ46" s="8"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8" t="s">
        <v>26</v>
      </c>
    </row>
    <row r="47" ht="24.75" customHeight="1">
      <c r="A47" s="1"/>
      <c r="B47" s="1"/>
      <c r="C47" s="43" t="str">
        <f t="shared" si="4"/>
        <v>Rodrigo Beltracchi</v>
      </c>
      <c r="D47" s="2"/>
      <c r="E47" s="42"/>
      <c r="F47" s="26"/>
      <c r="G47" s="26"/>
      <c r="H47" s="2"/>
      <c r="I47" s="1"/>
      <c r="J47" s="4">
        <f t="shared" si="1"/>
        <v>0</v>
      </c>
      <c r="K47" s="5">
        <f t="shared" si="2"/>
        <v>0</v>
      </c>
      <c r="L47" s="6"/>
      <c r="M47" s="7"/>
      <c r="N47" s="17" t="s">
        <v>119</v>
      </c>
      <c r="O47" s="17">
        <v>20.0</v>
      </c>
      <c r="P47" s="8">
        <f t="shared" si="9"/>
        <v>0</v>
      </c>
      <c r="Q47" s="8">
        <f t="shared" si="10"/>
        <v>0</v>
      </c>
      <c r="R47" s="8"/>
      <c r="S47" s="8">
        <f t="shared" si="11"/>
        <v>1</v>
      </c>
      <c r="T47" s="8" t="str">
        <f t="shared" si="12"/>
        <v>oo</v>
      </c>
      <c r="U47" s="8">
        <f t="shared" si="13"/>
        <v>0</v>
      </c>
      <c r="V47" s="46">
        <f t="shared" si="14"/>
        <v>0</v>
      </c>
      <c r="W47" s="49" t="s">
        <v>127</v>
      </c>
      <c r="X47" s="50" t="s">
        <v>204</v>
      </c>
      <c r="Y47" s="51" t="s">
        <v>136</v>
      </c>
      <c r="Z47" s="17">
        <v>9.0</v>
      </c>
      <c r="AA47" s="8"/>
      <c r="AB47" s="8">
        <f t="shared" si="15"/>
        <v>0</v>
      </c>
      <c r="AC47" s="8">
        <f t="shared" si="16"/>
        <v>0.04347826087</v>
      </c>
      <c r="AD47" s="8">
        <f t="shared" si="17"/>
        <v>0</v>
      </c>
      <c r="AE47" s="17"/>
      <c r="AF47" s="17">
        <v>11.0</v>
      </c>
      <c r="AG47" s="17" t="s">
        <v>130</v>
      </c>
      <c r="AH47" s="8">
        <f t="shared" si="18"/>
        <v>0</v>
      </c>
      <c r="AI47" s="8" t="str">
        <f t="shared" si="19"/>
        <v>BAJO</v>
      </c>
      <c r="AJ47" s="8">
        <f t="shared" si="20"/>
        <v>0</v>
      </c>
      <c r="AK47" s="8" t="s">
        <v>57</v>
      </c>
      <c r="AL47" s="8" t="s">
        <v>141</v>
      </c>
      <c r="AM47" s="8" t="s">
        <v>205</v>
      </c>
      <c r="AN47" s="8" t="s">
        <v>26</v>
      </c>
      <c r="AO47" s="8"/>
      <c r="AP47" s="8" t="str">
        <f>IF( AND(AI$47&lt;&gt;0,AH$22&lt;&gt;0),AL$47&amp;" - "&amp;AK$47,0)</f>
        <v>Estudiante requiere entrenamiento de subhabilidad Argumentación - Reducción de tensión</v>
      </c>
      <c r="AQ47" s="8" t="str">
        <f>IF( AP47&lt;&gt;0,AM$47,0)</f>
        <v>Puesto que la conducta “Muestra tensión” es calificada por (Bales, 1950) como una conducta negativa, no se considera conveniente entrenar al grupo para que la manifieste.</v>
      </c>
      <c r="AR47" s="8" t="s">
        <v>26</v>
      </c>
    </row>
    <row r="48" ht="24.0" customHeight="1">
      <c r="A48" s="1"/>
      <c r="B48" s="1"/>
      <c r="C48" s="43" t="str">
        <f t="shared" si="4"/>
        <v>Rodrigo Beltracchi</v>
      </c>
      <c r="D48" s="2"/>
      <c r="E48" s="42"/>
      <c r="F48" s="26"/>
      <c r="G48" s="26"/>
      <c r="H48" s="2"/>
      <c r="I48" s="1"/>
      <c r="J48" s="4">
        <f t="shared" si="1"/>
        <v>0</v>
      </c>
      <c r="K48" s="5">
        <f t="shared" si="2"/>
        <v>0</v>
      </c>
      <c r="L48" s="6"/>
      <c r="M48" s="7"/>
      <c r="N48" s="17" t="s">
        <v>119</v>
      </c>
      <c r="O48" s="17">
        <v>21.0</v>
      </c>
      <c r="P48" s="8">
        <f t="shared" si="9"/>
        <v>1</v>
      </c>
      <c r="Q48" s="8">
        <f t="shared" si="10"/>
        <v>0.04347826087</v>
      </c>
      <c r="R48" s="8"/>
      <c r="S48" s="8">
        <f t="shared" si="11"/>
        <v>0</v>
      </c>
      <c r="T48" s="8">
        <f t="shared" si="12"/>
        <v>0</v>
      </c>
      <c r="U48" s="8">
        <f t="shared" si="13"/>
        <v>0</v>
      </c>
      <c r="V48" s="46">
        <f t="shared" si="14"/>
        <v>0</v>
      </c>
      <c r="W48" s="49" t="s">
        <v>48</v>
      </c>
      <c r="X48" s="50" t="s">
        <v>207</v>
      </c>
      <c r="Y48" s="51" t="s">
        <v>136</v>
      </c>
      <c r="Z48" s="17">
        <v>7.0</v>
      </c>
      <c r="AA48" s="8"/>
      <c r="AB48" s="8">
        <f t="shared" si="15"/>
        <v>0</v>
      </c>
      <c r="AC48" s="8">
        <f t="shared" si="16"/>
        <v>0.04347826087</v>
      </c>
      <c r="AD48" s="8">
        <f t="shared" si="17"/>
        <v>0</v>
      </c>
      <c r="AE48" s="17"/>
      <c r="AF48" s="17">
        <v>11.0</v>
      </c>
      <c r="AG48" s="17" t="s">
        <v>168</v>
      </c>
      <c r="AH48" s="8">
        <f t="shared" si="18"/>
        <v>0</v>
      </c>
      <c r="AI48" s="8" t="str">
        <f t="shared" si="19"/>
        <v>BAJO</v>
      </c>
      <c r="AJ48" s="8">
        <f t="shared" si="20"/>
        <v>0</v>
      </c>
      <c r="AK48" s="8" t="s">
        <v>57</v>
      </c>
      <c r="AL48" s="8" t="s">
        <v>169</v>
      </c>
      <c r="AM48" s="8" t="s">
        <v>205</v>
      </c>
      <c r="AN48" s="8" t="s">
        <v>26</v>
      </c>
      <c r="AO48" s="8"/>
      <c r="AP48" s="8" t="str">
        <f>IF( AND(AI$48&lt;&gt;0,AH$22&lt;&gt;0),AL$48&amp;" - "&amp;AK$48,0)</f>
        <v>Estudiante requiere entrenamiento de subhabilidad Mantenimiento - Reducción de tensión</v>
      </c>
      <c r="AQ48" s="8" t="str">
        <f>IF( AP48&lt;&gt;0,AM$48,0)</f>
        <v>Puesto que la conducta “Muestra tensión” es calificada por (Bales, 1950) como una conducta negativa, no se considera conveniente entrenar al grupo para que la manifieste.</v>
      </c>
      <c r="AR48" s="8" t="s">
        <v>26</v>
      </c>
    </row>
    <row r="49" ht="22.5" customHeight="1">
      <c r="A49" s="1"/>
      <c r="B49" s="1"/>
      <c r="C49" s="43" t="str">
        <f t="shared" si="4"/>
        <v>Lautaro Valenzuela</v>
      </c>
      <c r="D49" s="2"/>
      <c r="E49" s="44" t="s">
        <v>66</v>
      </c>
      <c r="F49" s="33">
        <v>0.41944444444444445</v>
      </c>
      <c r="G49" s="34" t="s">
        <v>208</v>
      </c>
      <c r="H49" s="2"/>
      <c r="I49" s="29" t="s">
        <v>209</v>
      </c>
      <c r="J49" s="4">
        <f t="shared" si="1"/>
        <v>29</v>
      </c>
      <c r="K49" s="5">
        <f t="shared" si="2"/>
        <v>4</v>
      </c>
      <c r="L49" s="6"/>
      <c r="M49" s="7"/>
      <c r="N49" s="17" t="s">
        <v>119</v>
      </c>
      <c r="O49" s="17">
        <v>22.0</v>
      </c>
      <c r="P49" s="8">
        <f t="shared" si="9"/>
        <v>0</v>
      </c>
      <c r="Q49" s="8">
        <f t="shared" si="10"/>
        <v>0</v>
      </c>
      <c r="R49" s="8"/>
      <c r="S49" s="8">
        <f t="shared" si="11"/>
        <v>0</v>
      </c>
      <c r="T49" s="8" t="str">
        <f t="shared" si="12"/>
        <v>oo</v>
      </c>
      <c r="U49" s="8">
        <f t="shared" si="13"/>
        <v>0</v>
      </c>
      <c r="V49" s="46">
        <f t="shared" si="14"/>
        <v>0</v>
      </c>
      <c r="W49" s="49" t="s">
        <v>210</v>
      </c>
      <c r="X49" s="50" t="s">
        <v>211</v>
      </c>
      <c r="Y49" s="51" t="s">
        <v>136</v>
      </c>
      <c r="Z49" s="17">
        <v>8.0</v>
      </c>
      <c r="AA49" s="8"/>
      <c r="AB49" s="8">
        <f t="shared" si="15"/>
        <v>0</v>
      </c>
      <c r="AC49" s="8">
        <f t="shared" si="16"/>
        <v>0.04347826087</v>
      </c>
      <c r="AD49" s="8">
        <f t="shared" si="17"/>
        <v>0</v>
      </c>
      <c r="AE49" s="17" t="s">
        <v>64</v>
      </c>
      <c r="AF49" s="17">
        <v>1.0</v>
      </c>
      <c r="AG49" s="17" t="s">
        <v>154</v>
      </c>
      <c r="AH49" s="8">
        <f t="shared" si="18"/>
        <v>0</v>
      </c>
      <c r="AI49" s="8" t="str">
        <f t="shared" si="19"/>
        <v>BAJO</v>
      </c>
      <c r="AJ49" s="8">
        <f t="shared" si="20"/>
        <v>0</v>
      </c>
      <c r="AK49" s="8" t="s">
        <v>64</v>
      </c>
      <c r="AL49" s="8" t="s">
        <v>212</v>
      </c>
      <c r="AM49" s="8" t="s">
        <v>213</v>
      </c>
      <c r="AN49" s="8" t="s">
        <v>26</v>
      </c>
      <c r="AO49" s="8"/>
      <c r="AP49" s="8">
        <f>IF( AND(AI$49&lt;&gt;0,AH$12&lt;&gt;0),AL$49&amp;" - "&amp;AK$49,0)</f>
        <v>0</v>
      </c>
      <c r="AQ49" s="8">
        <f>IF( AP49&lt;&gt;0,AM$49,0)</f>
        <v>0</v>
      </c>
      <c r="AR49" s="8" t="s">
        <v>26</v>
      </c>
    </row>
    <row r="50" ht="20.25" customHeight="1">
      <c r="A50" s="1"/>
      <c r="B50" s="1"/>
      <c r="C50" s="43" t="str">
        <f t="shared" si="4"/>
        <v>Lautaro Valenzuela</v>
      </c>
      <c r="D50" s="2"/>
      <c r="E50" s="42"/>
      <c r="F50" s="26"/>
      <c r="G50" s="55"/>
      <c r="H50" s="2"/>
      <c r="J50" s="4">
        <f t="shared" si="1"/>
        <v>0</v>
      </c>
      <c r="K50" s="5">
        <f t="shared" si="2"/>
        <v>0</v>
      </c>
      <c r="L50" s="6"/>
      <c r="M50" s="7"/>
      <c r="N50" s="17" t="s">
        <v>119</v>
      </c>
      <c r="O50" s="17">
        <v>23.0</v>
      </c>
      <c r="P50" s="8">
        <f t="shared" si="9"/>
        <v>0</v>
      </c>
      <c r="Q50" s="8">
        <f t="shared" si="10"/>
        <v>0</v>
      </c>
      <c r="R50" s="8"/>
      <c r="S50" s="8">
        <f t="shared" si="11"/>
        <v>0</v>
      </c>
      <c r="T50" s="8" t="str">
        <f t="shared" si="12"/>
        <v>oo</v>
      </c>
      <c r="U50" s="8">
        <f t="shared" si="13"/>
        <v>0</v>
      </c>
      <c r="V50" s="46">
        <f t="shared" si="14"/>
        <v>0</v>
      </c>
      <c r="W50" s="49" t="s">
        <v>214</v>
      </c>
      <c r="X50" s="50" t="s">
        <v>215</v>
      </c>
      <c r="Y50" s="51" t="s">
        <v>136</v>
      </c>
      <c r="Z50" s="17">
        <v>8.0</v>
      </c>
      <c r="AA50" s="8"/>
      <c r="AB50" s="8">
        <f t="shared" si="15"/>
        <v>0</v>
      </c>
      <c r="AC50" s="8">
        <f t="shared" si="16"/>
        <v>0.04347826087</v>
      </c>
      <c r="AD50" s="8">
        <f t="shared" si="17"/>
        <v>0</v>
      </c>
      <c r="AE50" s="8"/>
      <c r="AF50" s="17">
        <v>1.0</v>
      </c>
      <c r="AG50" s="17" t="s">
        <v>168</v>
      </c>
      <c r="AH50" s="8">
        <f t="shared" si="18"/>
        <v>0</v>
      </c>
      <c r="AI50" s="8" t="str">
        <f t="shared" si="19"/>
        <v>BAJO</v>
      </c>
      <c r="AJ50" s="8">
        <f t="shared" si="20"/>
        <v>0</v>
      </c>
      <c r="AK50" s="8" t="s">
        <v>64</v>
      </c>
      <c r="AL50" s="8" t="s">
        <v>169</v>
      </c>
      <c r="AM50" s="52" t="s">
        <v>216</v>
      </c>
      <c r="AN50" s="8" t="s">
        <v>26</v>
      </c>
      <c r="AO50" s="8"/>
      <c r="AP50" s="8">
        <f>IF( AND(AI$50&lt;&gt;0,AH$12&lt;&gt;0),AL$50&amp;" - "&amp;AK$50,0)</f>
        <v>0</v>
      </c>
      <c r="AQ50" s="8">
        <f>IF( AP50&lt;&gt;0,AM$50,0)</f>
        <v>0</v>
      </c>
      <c r="AR50" s="8" t="s">
        <v>26</v>
      </c>
    </row>
    <row r="51" ht="22.5" customHeight="1">
      <c r="A51" s="1"/>
      <c r="B51" s="1"/>
      <c r="C51" s="43" t="str">
        <f t="shared" si="4"/>
        <v>Rodrigo</v>
      </c>
      <c r="D51" s="2"/>
      <c r="E51" s="56" t="s">
        <v>88</v>
      </c>
      <c r="F51" s="57" t="s">
        <v>217</v>
      </c>
      <c r="G51" s="58" t="s">
        <v>218</v>
      </c>
      <c r="H51" s="2"/>
      <c r="I51" s="29" t="s">
        <v>182</v>
      </c>
      <c r="J51" s="4">
        <f t="shared" si="1"/>
        <v>14</v>
      </c>
      <c r="K51" s="5">
        <f t="shared" si="2"/>
        <v>5</v>
      </c>
      <c r="L51" s="6"/>
      <c r="M51" s="7"/>
      <c r="N51" s="17" t="s">
        <v>119</v>
      </c>
      <c r="O51" s="17">
        <v>24.0</v>
      </c>
      <c r="P51" s="8">
        <f t="shared" si="9"/>
        <v>0</v>
      </c>
      <c r="Q51" s="8">
        <f t="shared" si="10"/>
        <v>0</v>
      </c>
      <c r="R51" s="8"/>
      <c r="S51" s="8">
        <f t="shared" si="11"/>
        <v>0</v>
      </c>
      <c r="T51" s="8" t="str">
        <f t="shared" si="12"/>
        <v>oo</v>
      </c>
      <c r="U51" s="8">
        <f t="shared" si="13"/>
        <v>0</v>
      </c>
      <c r="V51" s="46">
        <f t="shared" si="14"/>
        <v>0</v>
      </c>
      <c r="W51" s="49" t="s">
        <v>74</v>
      </c>
      <c r="X51" s="50" t="s">
        <v>219</v>
      </c>
      <c r="Y51" s="51" t="s">
        <v>136</v>
      </c>
      <c r="Z51" s="17">
        <v>7.0</v>
      </c>
      <c r="AA51" s="8"/>
      <c r="AB51" s="8">
        <f t="shared" si="15"/>
        <v>0</v>
      </c>
      <c r="AC51" s="8">
        <f t="shared" si="16"/>
        <v>0.04347826087</v>
      </c>
      <c r="AD51" s="8">
        <f t="shared" si="17"/>
        <v>0</v>
      </c>
      <c r="AE51" s="8"/>
      <c r="AF51" s="17">
        <v>1.0</v>
      </c>
      <c r="AG51" s="17" t="s">
        <v>131</v>
      </c>
      <c r="AH51" s="8">
        <f t="shared" si="18"/>
        <v>0</v>
      </c>
      <c r="AI51" s="8" t="str">
        <f t="shared" si="19"/>
        <v>BAJO</v>
      </c>
      <c r="AJ51" s="8">
        <f t="shared" si="20"/>
        <v>0</v>
      </c>
      <c r="AK51" s="8" t="s">
        <v>64</v>
      </c>
      <c r="AL51" s="8" t="s">
        <v>132</v>
      </c>
      <c r="AM51" s="8" t="s">
        <v>220</v>
      </c>
      <c r="AN51" s="8" t="s">
        <v>26</v>
      </c>
      <c r="AO51" s="8"/>
      <c r="AP51" s="8">
        <f>IF( AND(AI$51&lt;&gt;0,AH$12&lt;&gt;0),AL$51&amp;" - "&amp;AK$51,0)</f>
        <v>0</v>
      </c>
      <c r="AQ51" s="8">
        <f>IF( AP51&lt;&gt;0,AM$51,0)</f>
        <v>0</v>
      </c>
      <c r="AR51" s="8" t="s">
        <v>26</v>
      </c>
    </row>
    <row r="52" ht="18.75" customHeight="1">
      <c r="A52" s="1"/>
      <c r="B52" s="1"/>
      <c r="C52" s="43" t="str">
        <f t="shared" si="4"/>
        <v>Rodrigo</v>
      </c>
      <c r="D52" s="2"/>
      <c r="E52" s="42"/>
      <c r="F52" s="26"/>
      <c r="G52" s="26"/>
      <c r="H52" s="2"/>
      <c r="I52" s="1"/>
      <c r="J52" s="4">
        <f t="shared" si="1"/>
        <v>0</v>
      </c>
      <c r="K52" s="5">
        <f t="shared" si="2"/>
        <v>0</v>
      </c>
      <c r="L52" s="6"/>
      <c r="M52" s="7"/>
      <c r="N52" s="17" t="s">
        <v>119</v>
      </c>
      <c r="O52" s="17">
        <v>25.0</v>
      </c>
      <c r="P52" s="8">
        <f t="shared" si="9"/>
        <v>0</v>
      </c>
      <c r="Q52" s="8">
        <f t="shared" si="10"/>
        <v>0</v>
      </c>
      <c r="R52" s="8"/>
      <c r="S52" s="8">
        <f t="shared" si="11"/>
        <v>0</v>
      </c>
      <c r="T52" s="8" t="str">
        <f t="shared" si="12"/>
        <v>oo</v>
      </c>
      <c r="U52" s="8">
        <f t="shared" si="13"/>
        <v>0</v>
      </c>
      <c r="V52" s="46">
        <f t="shared" si="14"/>
        <v>0</v>
      </c>
      <c r="W52" s="49" t="s">
        <v>222</v>
      </c>
      <c r="X52" s="50" t="s">
        <v>223</v>
      </c>
      <c r="Y52" s="51" t="s">
        <v>190</v>
      </c>
      <c r="Z52" s="17">
        <v>2.0</v>
      </c>
      <c r="AA52" s="8"/>
      <c r="AB52" s="8">
        <f t="shared" si="15"/>
        <v>0</v>
      </c>
      <c r="AC52" s="8">
        <f t="shared" si="16"/>
        <v>0</v>
      </c>
      <c r="AD52" s="8">
        <f t="shared" si="17"/>
        <v>0</v>
      </c>
      <c r="AE52" s="8"/>
      <c r="AF52" s="17">
        <v>12.0</v>
      </c>
      <c r="AG52" s="17" t="s">
        <v>130</v>
      </c>
      <c r="AH52" s="8">
        <f t="shared" si="18"/>
        <v>0</v>
      </c>
      <c r="AI52" s="8" t="str">
        <f t="shared" si="19"/>
        <v>BAJO</v>
      </c>
      <c r="AJ52" s="8">
        <f t="shared" si="20"/>
        <v>0</v>
      </c>
      <c r="AK52" s="8" t="s">
        <v>64</v>
      </c>
      <c r="AL52" s="8" t="s">
        <v>141</v>
      </c>
      <c r="AM52" s="8" t="s">
        <v>224</v>
      </c>
      <c r="AN52" s="8" t="s">
        <v>26</v>
      </c>
      <c r="AO52" s="8"/>
      <c r="AP52" s="8">
        <f>IF( AND(AI$52&lt;&gt;0,AH$23&lt;&gt;0),AL$52&amp;" - "&amp;AK$52,0)</f>
        <v>0</v>
      </c>
      <c r="AQ52" s="8">
        <f>IF( AP52&lt;&gt;0,AM$52,0)</f>
        <v>0</v>
      </c>
      <c r="AR52" s="8" t="s">
        <v>26</v>
      </c>
    </row>
    <row r="53" ht="20.25" customHeight="1">
      <c r="A53" s="1"/>
      <c r="B53" s="1"/>
      <c r="C53" s="43" t="str">
        <f t="shared" si="4"/>
        <v>Rodrigo</v>
      </c>
      <c r="D53" s="2"/>
      <c r="E53" s="42"/>
      <c r="F53" s="26"/>
      <c r="G53" s="59" t="s">
        <v>225</v>
      </c>
      <c r="H53" s="2"/>
      <c r="I53" s="1"/>
      <c r="J53" s="4">
        <f t="shared" si="1"/>
        <v>0</v>
      </c>
      <c r="K53" s="5">
        <f t="shared" si="2"/>
        <v>0</v>
      </c>
      <c r="L53" s="6"/>
      <c r="M53" s="7"/>
      <c r="N53" s="17" t="s">
        <v>119</v>
      </c>
      <c r="O53" s="17">
        <v>26.0</v>
      </c>
      <c r="P53" s="8">
        <f t="shared" si="9"/>
        <v>0</v>
      </c>
      <c r="Q53" s="8">
        <f t="shared" si="10"/>
        <v>0</v>
      </c>
      <c r="R53" s="8"/>
      <c r="S53" s="8">
        <f t="shared" si="11"/>
        <v>1</v>
      </c>
      <c r="T53" s="8" t="str">
        <f t="shared" si="12"/>
        <v>oo</v>
      </c>
      <c r="U53" s="8">
        <f t="shared" si="13"/>
        <v>0</v>
      </c>
      <c r="V53" s="46">
        <f t="shared" si="14"/>
        <v>0</v>
      </c>
      <c r="W53" s="49" t="s">
        <v>226</v>
      </c>
      <c r="X53" s="50" t="s">
        <v>227</v>
      </c>
      <c r="Y53" s="51" t="s">
        <v>190</v>
      </c>
      <c r="Z53" s="17">
        <v>3.0</v>
      </c>
      <c r="AA53" s="8"/>
      <c r="AB53" s="8">
        <f t="shared" si="15"/>
        <v>0</v>
      </c>
      <c r="AC53" s="8">
        <f t="shared" si="16"/>
        <v>0</v>
      </c>
      <c r="AD53" s="8">
        <f t="shared" si="17"/>
        <v>0</v>
      </c>
      <c r="AE53" s="8"/>
      <c r="AF53" s="8"/>
      <c r="AG53" s="8"/>
      <c r="AH53" s="8"/>
      <c r="AI53" s="8"/>
      <c r="AJ53" s="8"/>
      <c r="AK53" s="8"/>
      <c r="AL53" s="8"/>
      <c r="AM53" s="8"/>
      <c r="AN53" s="8"/>
      <c r="AO53" s="8"/>
      <c r="AP53" s="17" t="s">
        <v>228</v>
      </c>
      <c r="AQ53" s="45"/>
      <c r="AR53" s="8"/>
    </row>
    <row r="54" ht="18.75" customHeight="1">
      <c r="A54" s="1"/>
      <c r="B54" s="1"/>
      <c r="C54" s="43" t="str">
        <f t="shared" si="4"/>
        <v>Rodrigo</v>
      </c>
      <c r="D54" s="2"/>
      <c r="E54" s="42"/>
      <c r="F54" s="26"/>
      <c r="G54" s="26"/>
      <c r="H54" s="2"/>
      <c r="I54" s="1"/>
      <c r="J54" s="4">
        <f t="shared" si="1"/>
        <v>0</v>
      </c>
      <c r="K54" s="5">
        <f t="shared" si="2"/>
        <v>0</v>
      </c>
      <c r="L54" s="6"/>
      <c r="M54" s="7"/>
      <c r="N54" s="17" t="s">
        <v>119</v>
      </c>
      <c r="O54" s="17">
        <v>27.0</v>
      </c>
      <c r="P54" s="8">
        <f t="shared" si="9"/>
        <v>0</v>
      </c>
      <c r="Q54" s="8">
        <f t="shared" si="10"/>
        <v>0</v>
      </c>
      <c r="R54" s="8"/>
      <c r="S54" s="8">
        <f t="shared" si="11"/>
        <v>0</v>
      </c>
      <c r="T54" s="8" t="str">
        <f t="shared" si="12"/>
        <v>oo</v>
      </c>
      <c r="U54" s="8">
        <f t="shared" si="13"/>
        <v>0</v>
      </c>
      <c r="V54" s="46">
        <f t="shared" si="14"/>
        <v>0</v>
      </c>
      <c r="W54" s="49" t="s">
        <v>229</v>
      </c>
      <c r="X54" s="50" t="s">
        <v>230</v>
      </c>
      <c r="Y54" s="51" t="s">
        <v>190</v>
      </c>
      <c r="Z54" s="17">
        <v>10.0</v>
      </c>
      <c r="AA54" s="8"/>
      <c r="AB54" s="8">
        <f t="shared" si="15"/>
        <v>0</v>
      </c>
      <c r="AC54" s="8">
        <f t="shared" si="16"/>
        <v>0</v>
      </c>
      <c r="AD54" s="8">
        <f t="shared" si="17"/>
        <v>0</v>
      </c>
      <c r="AE54" s="8"/>
      <c r="AF54" s="8"/>
      <c r="AG54" s="8"/>
      <c r="AH54" s="8"/>
      <c r="AI54" s="8"/>
      <c r="AJ54" s="8"/>
      <c r="AK54" s="8" t="s">
        <v>24</v>
      </c>
      <c r="AL54" s="8" t="s">
        <v>231</v>
      </c>
      <c r="AM54" s="52" t="s">
        <v>232</v>
      </c>
      <c r="AN54" s="8" t="s">
        <v>26</v>
      </c>
      <c r="AO54" s="8"/>
      <c r="AP54" s="8" t="str">
        <f>IF(AND(AD39&lt;0.5,AI$28&lt;&gt;0, AH$17&lt;&gt;0),AL$28&amp;" - "&amp;AK$28,0)</f>
        <v>Estudiante requiere entrenamiento de subhabilidad Informar - Comunicación</v>
      </c>
      <c r="AQ54" s="8" t="str">
        <f t="shared" ref="AQ54:AQ78" si="21">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8" t="s">
        <v>26</v>
      </c>
    </row>
    <row r="55" ht="21.0" customHeight="1">
      <c r="A55" s="1"/>
      <c r="B55" s="1"/>
      <c r="C55" s="43" t="str">
        <f t="shared" si="4"/>
        <v>Nicolas</v>
      </c>
      <c r="D55" s="2"/>
      <c r="E55" s="56" t="s">
        <v>80</v>
      </c>
      <c r="F55" s="57" t="s">
        <v>233</v>
      </c>
      <c r="G55" s="58" t="s">
        <v>234</v>
      </c>
      <c r="H55" s="2"/>
      <c r="I55" s="1"/>
      <c r="J55" s="4">
        <f t="shared" si="1"/>
        <v>0</v>
      </c>
      <c r="K55" s="5">
        <f t="shared" si="2"/>
        <v>0</v>
      </c>
      <c r="L55" s="6"/>
      <c r="M55" s="7"/>
      <c r="N55" s="17" t="s">
        <v>119</v>
      </c>
      <c r="O55" s="17">
        <v>28.0</v>
      </c>
      <c r="P55" s="8">
        <f t="shared" si="9"/>
        <v>0</v>
      </c>
      <c r="Q55" s="8">
        <f t="shared" si="10"/>
        <v>0</v>
      </c>
      <c r="R55" s="8"/>
      <c r="S55" s="8">
        <f t="shared" si="11"/>
        <v>0</v>
      </c>
      <c r="T55" s="8" t="str">
        <f t="shared" si="12"/>
        <v>oo</v>
      </c>
      <c r="U55" s="8">
        <f t="shared" si="13"/>
        <v>0</v>
      </c>
      <c r="V55" s="46">
        <f t="shared" si="14"/>
        <v>0</v>
      </c>
      <c r="W55" s="49" t="s">
        <v>236</v>
      </c>
      <c r="X55" s="50" t="s">
        <v>237</v>
      </c>
      <c r="Y55" s="51" t="s">
        <v>168</v>
      </c>
      <c r="Z55" s="17">
        <v>11.0</v>
      </c>
      <c r="AA55" s="8"/>
      <c r="AB55" s="8">
        <f t="shared" si="15"/>
        <v>0</v>
      </c>
      <c r="AC55" s="8">
        <f t="shared" si="16"/>
        <v>0</v>
      </c>
      <c r="AD55" s="8">
        <f t="shared" si="17"/>
        <v>0</v>
      </c>
      <c r="AE55" s="8"/>
      <c r="AF55" s="8"/>
      <c r="AG55" s="8"/>
      <c r="AH55" s="8"/>
      <c r="AI55" s="8"/>
      <c r="AJ55" s="8"/>
      <c r="AK55" s="8" t="s">
        <v>24</v>
      </c>
      <c r="AL55" s="8" t="s">
        <v>238</v>
      </c>
      <c r="AM55" s="52" t="s">
        <v>239</v>
      </c>
      <c r="AN55" s="8" t="s">
        <v>26</v>
      </c>
      <c r="AO55" s="8"/>
      <c r="AP55" s="8" t="str">
        <f>IF( AND(AD60&lt;0.5,AI$29&lt;&gt;0,AH$17&lt;&gt;0),AL$29&amp;" - "&amp;AK$29,0)</f>
        <v>Estudiante requiere entrenamiento de subhabilidad Tarea - Comunicación</v>
      </c>
      <c r="AQ55" s="8" t="str">
        <f t="shared" si="21"/>
        <v>Debe indicarle que cuando se efectúen un pedido de información, que realice una contribución a continuación de la oración de apertura “Resumiendo,…”.</v>
      </c>
      <c r="AR55" s="8" t="s">
        <v>26</v>
      </c>
    </row>
    <row r="56" ht="21.0" customHeight="1">
      <c r="A56" s="1"/>
      <c r="B56" s="1"/>
      <c r="C56" s="43" t="str">
        <f t="shared" si="4"/>
        <v>Nicolas</v>
      </c>
      <c r="D56" s="2"/>
      <c r="E56" s="42"/>
      <c r="F56" s="26"/>
      <c r="G56" s="26"/>
      <c r="H56" s="2"/>
      <c r="I56" s="1"/>
      <c r="J56" s="4">
        <f t="shared" si="1"/>
        <v>0</v>
      </c>
      <c r="K56" s="5">
        <f t="shared" si="2"/>
        <v>0</v>
      </c>
      <c r="L56" s="6"/>
      <c r="M56" s="7"/>
      <c r="N56" s="17" t="s">
        <v>119</v>
      </c>
      <c r="O56" s="17">
        <v>29.0</v>
      </c>
      <c r="P56" s="8">
        <f t="shared" si="9"/>
        <v>0</v>
      </c>
      <c r="Q56" s="8">
        <f t="shared" si="10"/>
        <v>0</v>
      </c>
      <c r="R56" s="8"/>
      <c r="S56" s="8">
        <f t="shared" si="11"/>
        <v>0</v>
      </c>
      <c r="T56" s="8" t="str">
        <f t="shared" si="12"/>
        <v>oo</v>
      </c>
      <c r="U56" s="8">
        <f t="shared" si="13"/>
        <v>0</v>
      </c>
      <c r="V56" s="46">
        <f t="shared" si="14"/>
        <v>0</v>
      </c>
      <c r="W56" s="49" t="s">
        <v>209</v>
      </c>
      <c r="X56" s="50" t="s">
        <v>240</v>
      </c>
      <c r="Y56" s="51" t="s">
        <v>168</v>
      </c>
      <c r="Z56" s="17">
        <v>4.0</v>
      </c>
      <c r="AA56" s="8"/>
      <c r="AB56" s="8">
        <f t="shared" si="15"/>
        <v>0</v>
      </c>
      <c r="AC56" s="8">
        <f t="shared" si="16"/>
        <v>0</v>
      </c>
      <c r="AD56" s="8">
        <f t="shared" si="17"/>
        <v>0</v>
      </c>
      <c r="AE56" s="8"/>
      <c r="AF56" s="8"/>
      <c r="AG56" s="8"/>
      <c r="AH56" s="8"/>
      <c r="AI56" s="8"/>
      <c r="AJ56" s="8"/>
      <c r="AK56" s="8" t="s">
        <v>24</v>
      </c>
      <c r="AL56" s="8" t="s">
        <v>241</v>
      </c>
      <c r="AM56" s="52" t="s">
        <v>242</v>
      </c>
      <c r="AN56" s="8" t="s">
        <v>26</v>
      </c>
      <c r="AO56" s="8"/>
      <c r="AP56" s="8">
        <f>IF( AND(AD46&lt;0.5,AI$30&lt;&gt;0,AH$18&lt;&gt;0),AL$30&amp;" - "&amp;AK$30,0)</f>
        <v>0</v>
      </c>
      <c r="AQ56" s="8">
        <f t="shared" si="21"/>
        <v>0</v>
      </c>
      <c r="AR56" s="8" t="s">
        <v>26</v>
      </c>
    </row>
    <row r="57" ht="20.25" customHeight="1">
      <c r="A57" s="1"/>
      <c r="B57" s="1"/>
      <c r="C57" s="43" t="str">
        <f t="shared" si="4"/>
        <v>Nicolas</v>
      </c>
      <c r="D57" s="2"/>
      <c r="E57" s="42"/>
      <c r="F57" s="26"/>
      <c r="G57" s="59" t="s">
        <v>225</v>
      </c>
      <c r="H57" s="2"/>
      <c r="I57" s="1"/>
      <c r="J57" s="4">
        <f t="shared" si="1"/>
        <v>0</v>
      </c>
      <c r="K57" s="5">
        <f t="shared" si="2"/>
        <v>0</v>
      </c>
      <c r="L57" s="6"/>
      <c r="M57" s="7"/>
      <c r="N57" s="17" t="s">
        <v>119</v>
      </c>
      <c r="O57" s="17">
        <v>30.0</v>
      </c>
      <c r="P57" s="8">
        <f t="shared" si="9"/>
        <v>0</v>
      </c>
      <c r="Q57" s="8">
        <f t="shared" si="10"/>
        <v>0</v>
      </c>
      <c r="R57" s="8"/>
      <c r="S57" s="8">
        <f t="shared" si="11"/>
        <v>1</v>
      </c>
      <c r="T57" s="8" t="str">
        <f t="shared" si="12"/>
        <v>oo</v>
      </c>
      <c r="U57" s="8">
        <f t="shared" si="13"/>
        <v>0</v>
      </c>
      <c r="V57" s="46">
        <f t="shared" si="14"/>
        <v>0</v>
      </c>
      <c r="W57" s="49" t="s">
        <v>87</v>
      </c>
      <c r="X57" s="50" t="s">
        <v>243</v>
      </c>
      <c r="Y57" s="51" t="s">
        <v>168</v>
      </c>
      <c r="Z57" s="17">
        <v>8.0</v>
      </c>
      <c r="AA57" s="8"/>
      <c r="AB57" s="8">
        <f t="shared" si="15"/>
        <v>0</v>
      </c>
      <c r="AC57" s="8">
        <f t="shared" si="16"/>
        <v>0</v>
      </c>
      <c r="AD57" s="8">
        <f t="shared" si="17"/>
        <v>0</v>
      </c>
      <c r="AE57" s="8"/>
      <c r="AF57" s="8"/>
      <c r="AG57" s="8"/>
      <c r="AH57" s="8"/>
      <c r="AI57" s="8"/>
      <c r="AJ57" s="8"/>
      <c r="AK57" s="8" t="s">
        <v>34</v>
      </c>
      <c r="AL57" s="8" t="s">
        <v>244</v>
      </c>
      <c r="AM57" s="52" t="s">
        <v>245</v>
      </c>
      <c r="AN57" s="8" t="s">
        <v>26</v>
      </c>
      <c r="AO57" s="8"/>
      <c r="AP57" s="8">
        <f>IF( AND(AD29&lt;0.5,AI$31&lt;&gt;0,AH$16&lt;&gt;0),AL$31&amp;" - "&amp;AK$31,0)</f>
        <v>0</v>
      </c>
      <c r="AQ57" s="8">
        <f t="shared" si="21"/>
        <v>0</v>
      </c>
      <c r="AR57" s="8" t="s">
        <v>26</v>
      </c>
    </row>
    <row r="58" ht="15.75" customHeight="1">
      <c r="A58" s="1"/>
      <c r="B58" s="1"/>
      <c r="C58" s="43" t="str">
        <f t="shared" si="4"/>
        <v>Nicolas</v>
      </c>
      <c r="D58" s="2"/>
      <c r="E58" s="42"/>
      <c r="F58" s="26"/>
      <c r="G58" s="26"/>
      <c r="H58" s="2"/>
      <c r="I58" s="1"/>
      <c r="J58" s="4">
        <f t="shared" si="1"/>
        <v>0</v>
      </c>
      <c r="K58" s="5">
        <f t="shared" si="2"/>
        <v>0</v>
      </c>
      <c r="L58" s="6"/>
      <c r="M58" s="7"/>
      <c r="N58" s="17" t="s">
        <v>119</v>
      </c>
      <c r="O58" s="17">
        <v>31.0</v>
      </c>
      <c r="P58" s="8">
        <f t="shared" si="9"/>
        <v>0</v>
      </c>
      <c r="Q58" s="8">
        <f t="shared" si="10"/>
        <v>0</v>
      </c>
      <c r="R58" s="8"/>
      <c r="S58" s="8">
        <f t="shared" si="11"/>
        <v>0</v>
      </c>
      <c r="T58" s="8" t="str">
        <f t="shared" si="12"/>
        <v>oo</v>
      </c>
      <c r="U58" s="8">
        <f t="shared" si="13"/>
        <v>0</v>
      </c>
      <c r="V58" s="46">
        <f t="shared" si="14"/>
        <v>0</v>
      </c>
      <c r="W58" s="49" t="s">
        <v>246</v>
      </c>
      <c r="X58" s="50" t="s">
        <v>247</v>
      </c>
      <c r="Y58" s="51" t="s">
        <v>168</v>
      </c>
      <c r="Z58" s="17">
        <v>1.0</v>
      </c>
      <c r="AA58" s="8"/>
      <c r="AB58" s="8">
        <f t="shared" si="15"/>
        <v>0</v>
      </c>
      <c r="AC58" s="8">
        <f t="shared" si="16"/>
        <v>0</v>
      </c>
      <c r="AD58" s="8">
        <f t="shared" si="17"/>
        <v>0</v>
      </c>
      <c r="AE58" s="8"/>
      <c r="AF58" s="8"/>
      <c r="AG58" s="8"/>
      <c r="AH58" s="8"/>
      <c r="AI58" s="8"/>
      <c r="AJ58" s="8"/>
      <c r="AK58" s="8" t="s">
        <v>34</v>
      </c>
      <c r="AL58" s="8" t="s">
        <v>248</v>
      </c>
      <c r="AM58" s="52" t="s">
        <v>249</v>
      </c>
      <c r="AN58" s="8" t="s">
        <v>26</v>
      </c>
      <c r="AO58" s="8"/>
      <c r="AP58" s="8">
        <f>IF( AND(AD28&lt;0.5,AI$32&lt;&gt;0,AH$16&lt;&gt;0),AL$32&amp;" - "&amp;AK$32,0)</f>
        <v>0</v>
      </c>
      <c r="AQ58" s="8">
        <f t="shared" si="21"/>
        <v>0</v>
      </c>
      <c r="AR58" s="8" t="s">
        <v>26</v>
      </c>
    </row>
    <row r="59" ht="17.25" customHeight="1">
      <c r="A59" s="1"/>
      <c r="B59" s="1"/>
      <c r="C59" s="43" t="str">
        <f t="shared" si="4"/>
        <v>Rodrigo</v>
      </c>
      <c r="D59" s="2"/>
      <c r="E59" s="56" t="s">
        <v>88</v>
      </c>
      <c r="F59" s="57" t="s">
        <v>250</v>
      </c>
      <c r="G59" s="58" t="s">
        <v>251</v>
      </c>
      <c r="H59" s="2"/>
      <c r="I59" s="1"/>
      <c r="J59" s="4">
        <f t="shared" si="1"/>
        <v>0</v>
      </c>
      <c r="K59" s="5">
        <f t="shared" si="2"/>
        <v>0</v>
      </c>
      <c r="L59" s="61"/>
      <c r="M59" s="62"/>
      <c r="N59" s="17" t="s">
        <v>119</v>
      </c>
      <c r="O59" s="17">
        <v>32.0</v>
      </c>
      <c r="P59" s="8">
        <f t="shared" si="9"/>
        <v>0</v>
      </c>
      <c r="Q59" s="8">
        <f t="shared" si="10"/>
        <v>0</v>
      </c>
      <c r="R59" s="8"/>
      <c r="S59" s="8">
        <f t="shared" si="11"/>
        <v>0</v>
      </c>
      <c r="T59" s="8" t="str">
        <f t="shared" si="12"/>
        <v>oo</v>
      </c>
      <c r="U59" s="8">
        <f t="shared" si="13"/>
        <v>0</v>
      </c>
      <c r="V59" s="46">
        <f t="shared" si="14"/>
        <v>0</v>
      </c>
      <c r="W59" s="49" t="s">
        <v>60</v>
      </c>
      <c r="X59" s="50" t="s">
        <v>252</v>
      </c>
      <c r="Y59" s="51" t="s">
        <v>168</v>
      </c>
      <c r="Z59" s="17">
        <v>1.0</v>
      </c>
      <c r="AA59" s="8"/>
      <c r="AB59" s="8">
        <f t="shared" si="15"/>
        <v>0</v>
      </c>
      <c r="AC59" s="8">
        <f t="shared" si="16"/>
        <v>0</v>
      </c>
      <c r="AD59" s="8">
        <f t="shared" si="17"/>
        <v>0</v>
      </c>
      <c r="AE59" s="8"/>
      <c r="AF59" s="8"/>
      <c r="AG59" s="8"/>
      <c r="AH59" s="8"/>
      <c r="AI59" s="8"/>
      <c r="AJ59" s="8"/>
      <c r="AK59" s="8" t="s">
        <v>34</v>
      </c>
      <c r="AL59" s="8" t="s">
        <v>231</v>
      </c>
      <c r="AM59" s="52" t="s">
        <v>253</v>
      </c>
      <c r="AN59" s="8" t="s">
        <v>26</v>
      </c>
      <c r="AO59" s="8"/>
      <c r="AP59" s="8">
        <f>IF( AND(AD39&lt;0.5,AI$33&lt;&gt;0,AH$16&lt;&gt;0),AL$33&amp;" - "&amp;AK$33,0)</f>
        <v>0</v>
      </c>
      <c r="AQ59" s="8">
        <f t="shared" si="21"/>
        <v>0</v>
      </c>
      <c r="AR59" s="8" t="s">
        <v>26</v>
      </c>
    </row>
    <row r="60" ht="17.25" customHeight="1">
      <c r="A60" s="1"/>
      <c r="B60" s="1"/>
      <c r="C60" s="43" t="str">
        <f t="shared" si="4"/>
        <v>Rodrigo</v>
      </c>
      <c r="D60" s="2"/>
      <c r="E60" s="42"/>
      <c r="F60" s="26"/>
      <c r="G60" s="26"/>
      <c r="H60" s="2"/>
      <c r="I60" s="1"/>
      <c r="J60" s="4">
        <f t="shared" si="1"/>
        <v>0</v>
      </c>
      <c r="K60" s="5">
        <f t="shared" si="2"/>
        <v>0</v>
      </c>
      <c r="L60" s="6"/>
      <c r="M60" s="7"/>
      <c r="N60" s="17" t="s">
        <v>119</v>
      </c>
      <c r="O60" s="17">
        <v>33.0</v>
      </c>
      <c r="P60" s="8">
        <f t="shared" si="9"/>
        <v>0</v>
      </c>
      <c r="Q60" s="8">
        <f t="shared" si="10"/>
        <v>0</v>
      </c>
      <c r="R60" s="8"/>
      <c r="S60" s="8">
        <f t="shared" si="11"/>
        <v>0</v>
      </c>
      <c r="T60" s="8" t="str">
        <f t="shared" si="12"/>
        <v>oo</v>
      </c>
      <c r="U60" s="8">
        <f t="shared" si="13"/>
        <v>0</v>
      </c>
      <c r="V60" s="46">
        <f t="shared" si="14"/>
        <v>0</v>
      </c>
      <c r="W60" s="49" t="s">
        <v>95</v>
      </c>
      <c r="X60" s="50" t="s">
        <v>254</v>
      </c>
      <c r="Y60" s="51" t="s">
        <v>131</v>
      </c>
      <c r="Z60" s="17">
        <v>5.0</v>
      </c>
      <c r="AA60" s="8"/>
      <c r="AB60" s="8">
        <f t="shared" si="15"/>
        <v>0</v>
      </c>
      <c r="AC60" s="8">
        <f t="shared" si="16"/>
        <v>0</v>
      </c>
      <c r="AD60" s="8">
        <f t="shared" si="17"/>
        <v>0</v>
      </c>
      <c r="AE60" s="8"/>
      <c r="AF60" s="8"/>
      <c r="AG60" s="8"/>
      <c r="AH60" s="8"/>
      <c r="AI60" s="8"/>
      <c r="AJ60" s="8"/>
      <c r="AK60" s="8" t="s">
        <v>34</v>
      </c>
      <c r="AL60" s="8" t="s">
        <v>255</v>
      </c>
      <c r="AM60" s="52" t="s">
        <v>256</v>
      </c>
      <c r="AN60" s="8" t="s">
        <v>26</v>
      </c>
      <c r="AO60" s="8"/>
      <c r="AP60" s="8">
        <f>IF( AND(AD37&lt;0.5,AI$34&lt;&gt;0,AH$16&lt;&gt;0),AL$34&amp;" - "&amp;AK$34,0)</f>
        <v>0</v>
      </c>
      <c r="AQ60" s="8">
        <f t="shared" si="21"/>
        <v>0</v>
      </c>
      <c r="AR60" s="8" t="s">
        <v>26</v>
      </c>
    </row>
    <row r="61" ht="21.75" customHeight="1">
      <c r="A61" s="1"/>
      <c r="B61" s="1"/>
      <c r="C61" s="43" t="str">
        <f t="shared" si="4"/>
        <v>Rodrigo</v>
      </c>
      <c r="D61" s="2"/>
      <c r="E61" s="42"/>
      <c r="F61" s="26"/>
      <c r="G61" s="59" t="s">
        <v>225</v>
      </c>
      <c r="H61" s="2"/>
      <c r="I61" s="1"/>
      <c r="J61" s="4">
        <f t="shared" si="1"/>
        <v>0</v>
      </c>
      <c r="K61" s="5">
        <f t="shared" si="2"/>
        <v>0</v>
      </c>
      <c r="L61" s="6"/>
      <c r="M61" s="7"/>
      <c r="N61" s="17" t="s">
        <v>119</v>
      </c>
      <c r="O61" s="17">
        <v>34.0</v>
      </c>
      <c r="P61" s="8">
        <f t="shared" si="9"/>
        <v>0</v>
      </c>
      <c r="Q61" s="8">
        <f t="shared" si="10"/>
        <v>0</v>
      </c>
      <c r="R61" s="8"/>
      <c r="S61" s="8">
        <f t="shared" si="11"/>
        <v>0</v>
      </c>
      <c r="T61" s="8" t="str">
        <f t="shared" si="12"/>
        <v>oo</v>
      </c>
      <c r="U61" s="8">
        <f t="shared" si="13"/>
        <v>0</v>
      </c>
      <c r="V61" s="46">
        <f t="shared" si="14"/>
        <v>0</v>
      </c>
      <c r="W61" s="49" t="s">
        <v>258</v>
      </c>
      <c r="X61" s="50" t="s">
        <v>259</v>
      </c>
      <c r="Y61" s="51" t="s">
        <v>131</v>
      </c>
      <c r="Z61" s="17">
        <v>4.0</v>
      </c>
      <c r="AA61" s="8"/>
      <c r="AB61" s="8">
        <f t="shared" si="15"/>
        <v>0</v>
      </c>
      <c r="AC61" s="8">
        <f t="shared" si="16"/>
        <v>0</v>
      </c>
      <c r="AD61" s="8">
        <f t="shared" si="17"/>
        <v>0</v>
      </c>
      <c r="AE61" s="8"/>
      <c r="AF61" s="8"/>
      <c r="AG61" s="8"/>
      <c r="AH61" s="8"/>
      <c r="AI61" s="8"/>
      <c r="AJ61" s="8"/>
      <c r="AK61" s="8" t="s">
        <v>34</v>
      </c>
      <c r="AL61" s="8" t="s">
        <v>238</v>
      </c>
      <c r="AM61" s="52" t="s">
        <v>260</v>
      </c>
      <c r="AN61" s="8" t="s">
        <v>26</v>
      </c>
      <c r="AO61" s="8"/>
      <c r="AP61" s="8">
        <f>IF( AND(AD60&lt;0.5,AI$35&lt;&gt;0,AH$16&lt;&gt;0),AL$35&amp;" - "&amp;AK$35,0)</f>
        <v>0</v>
      </c>
      <c r="AQ61" s="8">
        <f t="shared" si="21"/>
        <v>0</v>
      </c>
      <c r="AR61" s="8" t="s">
        <v>26</v>
      </c>
    </row>
    <row r="62" ht="18.75" customHeight="1">
      <c r="A62" s="1"/>
      <c r="B62" s="1"/>
      <c r="C62" s="43" t="str">
        <f t="shared" si="4"/>
        <v>Rodrigo</v>
      </c>
      <c r="D62" s="2"/>
      <c r="E62" s="42"/>
      <c r="F62" s="26"/>
      <c r="G62" s="26"/>
      <c r="H62" s="2"/>
      <c r="I62" s="1"/>
      <c r="J62" s="4">
        <f t="shared" si="1"/>
        <v>0</v>
      </c>
      <c r="K62" s="5">
        <f t="shared" si="2"/>
        <v>0</v>
      </c>
      <c r="L62" s="6"/>
      <c r="M62" s="7"/>
      <c r="N62" s="17" t="s">
        <v>119</v>
      </c>
      <c r="O62" s="17">
        <v>35.0</v>
      </c>
      <c r="P62" s="8">
        <f t="shared" si="9"/>
        <v>0</v>
      </c>
      <c r="Q62" s="8">
        <f t="shared" si="10"/>
        <v>0</v>
      </c>
      <c r="R62" s="8"/>
      <c r="S62" s="8">
        <f t="shared" si="11"/>
        <v>2</v>
      </c>
      <c r="T62" s="8" t="str">
        <f t="shared" si="12"/>
        <v>oo</v>
      </c>
      <c r="U62" s="8">
        <f t="shared" si="13"/>
        <v>0</v>
      </c>
      <c r="V62" s="46">
        <f t="shared" si="14"/>
        <v>0</v>
      </c>
      <c r="W62" s="49" t="s">
        <v>175</v>
      </c>
      <c r="X62" s="50" t="s">
        <v>262</v>
      </c>
      <c r="Y62" s="51" t="s">
        <v>131</v>
      </c>
      <c r="Z62" s="17">
        <v>6.0</v>
      </c>
      <c r="AA62" s="8"/>
      <c r="AB62" s="8">
        <f t="shared" si="15"/>
        <v>0</v>
      </c>
      <c r="AC62" s="8">
        <f t="shared" si="16"/>
        <v>0</v>
      </c>
      <c r="AD62" s="8">
        <f t="shared" si="17"/>
        <v>0</v>
      </c>
      <c r="AE62" s="8"/>
      <c r="AF62" s="8"/>
      <c r="AG62" s="8"/>
      <c r="AH62" s="8"/>
      <c r="AI62" s="8"/>
      <c r="AJ62" s="8"/>
      <c r="AK62" s="8" t="s">
        <v>34</v>
      </c>
      <c r="AL62" s="8" t="s">
        <v>241</v>
      </c>
      <c r="AM62" s="52" t="s">
        <v>263</v>
      </c>
      <c r="AN62" s="8"/>
      <c r="AO62" s="8"/>
      <c r="AP62" s="8" t="str">
        <f>IF( AND(AD46&lt;0.5,AI$36&lt;&gt;0,AH$19&lt;&gt;0),AL$36&amp;" - "&amp;AK$36,0)</f>
        <v>Estudiante requiere entrenamiento de subhabilidad Requerir - Evaluación</v>
      </c>
      <c r="AQ62" s="8" t="str">
        <f t="shared" si="21"/>
        <v>Indicar que en un futuro debe formular al menos un requerimiento al grupo.El estudiante puede optar por: 
• Primera alternativa: La contribución comienza con la oración de apertura “¿Por qué... ?”.
• Segunda alternativa: La contribución comienza con la oración de apertura “¿Se puede…?”.</v>
      </c>
      <c r="AR62" s="8" t="s">
        <v>26</v>
      </c>
    </row>
    <row r="63" ht="18.0" customHeight="1">
      <c r="A63" s="1"/>
      <c r="B63" s="1"/>
      <c r="C63" s="43" t="str">
        <f t="shared" si="4"/>
        <v>Nicolas</v>
      </c>
      <c r="D63" s="2"/>
      <c r="E63" s="56" t="s">
        <v>80</v>
      </c>
      <c r="F63" s="57" t="s">
        <v>250</v>
      </c>
      <c r="G63" s="58" t="s">
        <v>264</v>
      </c>
      <c r="H63" s="2"/>
      <c r="J63" s="4">
        <f t="shared" si="1"/>
        <v>0</v>
      </c>
      <c r="K63" s="5">
        <f t="shared" si="2"/>
        <v>0</v>
      </c>
      <c r="L63" s="6"/>
      <c r="M63" s="7"/>
      <c r="N63" s="17" t="s">
        <v>119</v>
      </c>
      <c r="O63" s="17">
        <v>36.0</v>
      </c>
      <c r="P63" s="8">
        <f t="shared" si="9"/>
        <v>0</v>
      </c>
      <c r="Q63" s="8">
        <f t="shared" si="10"/>
        <v>0</v>
      </c>
      <c r="R63" s="8"/>
      <c r="S63" s="8">
        <f t="shared" si="11"/>
        <v>0</v>
      </c>
      <c r="T63" s="8" t="str">
        <f t="shared" si="12"/>
        <v>oo</v>
      </c>
      <c r="U63" s="8">
        <f t="shared" si="13"/>
        <v>0</v>
      </c>
      <c r="V63" s="46">
        <f t="shared" si="14"/>
        <v>0</v>
      </c>
      <c r="W63" s="49" t="s">
        <v>265</v>
      </c>
      <c r="X63" s="50" t="s">
        <v>266</v>
      </c>
      <c r="Y63" s="51" t="s">
        <v>131</v>
      </c>
      <c r="Z63" s="17">
        <v>1.0</v>
      </c>
      <c r="AA63" s="8"/>
      <c r="AB63" s="8">
        <f t="shared" si="15"/>
        <v>0</v>
      </c>
      <c r="AC63" s="8">
        <f t="shared" si="16"/>
        <v>0</v>
      </c>
      <c r="AD63" s="8">
        <f t="shared" si="17"/>
        <v>0</v>
      </c>
      <c r="AE63" s="8"/>
      <c r="AF63" s="8"/>
      <c r="AG63" s="8"/>
      <c r="AH63" s="8"/>
      <c r="AI63" s="8"/>
      <c r="AJ63" s="8"/>
      <c r="AK63" s="8" t="s">
        <v>34</v>
      </c>
      <c r="AL63" s="8" t="s">
        <v>267</v>
      </c>
      <c r="AM63" s="52" t="s">
        <v>268</v>
      </c>
      <c r="AN63" s="8" t="s">
        <v>26</v>
      </c>
      <c r="AO63" s="8"/>
      <c r="AP63" s="8" t="str">
        <f>IF( AND(AD55&lt;0.5,AI$37&lt;&gt;0,AH$19&lt;&gt;0),AL$37&amp;" - "&amp;AK$37,0)</f>
        <v>Estudiante requiere entrenamiento de subhabilidad Mantenimiento - Evaluación</v>
      </c>
      <c r="AQ63" s="8" t="str">
        <f t="shared" si="21"/>
        <v>Indicar que en un futuro debe formular al menos un requerimiento al grupo. El estudiante debe hacer su contribución a continuación de la oración de apertura “¿Están de acuerdo…?”.</v>
      </c>
      <c r="AR63" s="8" t="s">
        <v>26</v>
      </c>
    </row>
    <row r="64" ht="25.5" customHeight="1">
      <c r="A64" s="1"/>
      <c r="B64" s="1"/>
      <c r="C64" s="43" t="str">
        <f t="shared" si="4"/>
        <v>Nicolas</v>
      </c>
      <c r="D64" s="2"/>
      <c r="E64" s="21"/>
      <c r="F64" s="26"/>
      <c r="G64" s="26"/>
      <c r="H64" s="2"/>
      <c r="I64" s="1"/>
      <c r="J64" s="4">
        <f t="shared" si="1"/>
        <v>0</v>
      </c>
      <c r="K64" s="5">
        <f t="shared" si="2"/>
        <v>0</v>
      </c>
      <c r="L64" s="6"/>
      <c r="M64" s="7"/>
      <c r="N64" s="8"/>
      <c r="O64" s="8"/>
      <c r="P64" s="8"/>
      <c r="Q64" s="8"/>
      <c r="R64" s="8"/>
      <c r="S64" s="8"/>
      <c r="T64" s="8"/>
      <c r="U64" s="8"/>
      <c r="V64" s="46"/>
      <c r="W64" s="46"/>
      <c r="X64" s="46"/>
      <c r="Y64" s="46"/>
      <c r="Z64" s="8"/>
      <c r="AA64" s="8"/>
      <c r="AB64" s="8"/>
      <c r="AC64" s="8"/>
      <c r="AD64" s="8"/>
      <c r="AE64" s="8"/>
      <c r="AF64" s="8"/>
      <c r="AG64" s="8"/>
      <c r="AH64" s="8"/>
      <c r="AI64" s="8"/>
      <c r="AJ64" s="8"/>
      <c r="AK64" s="8" t="s">
        <v>40</v>
      </c>
      <c r="AL64" s="8" t="s">
        <v>244</v>
      </c>
      <c r="AM64" s="52" t="s">
        <v>269</v>
      </c>
      <c r="AN64" s="8" t="s">
        <v>26</v>
      </c>
      <c r="AO64" s="8"/>
      <c r="AP64" s="8" t="str">
        <f>IF( AND(AD29&lt;0.5,AI$38&lt;&gt;0,AH$15&lt;&gt;0),AL$38&amp;" - "&amp;AK$38,0)</f>
        <v>Estudiante requiere entrenamiento de subhabilidad Argumentación - Control</v>
      </c>
      <c r="AQ64" s="8" t="str">
        <f t="shared" si="21"/>
        <v>Debe indicarle que cuando se efectúen un pedido de sugerencia u orientación, que realice una contribución a continuación de la oración de apertura “En lugar de eso podríamos…”.
</v>
      </c>
      <c r="AR64" s="8" t="s">
        <v>26</v>
      </c>
    </row>
    <row r="65" ht="30.75" customHeight="1">
      <c r="A65" s="1"/>
      <c r="B65" s="1"/>
      <c r="C65" s="43" t="str">
        <f t="shared" si="4"/>
        <v>Nicolas</v>
      </c>
      <c r="D65" s="2"/>
      <c r="E65" s="21"/>
      <c r="F65" s="26"/>
      <c r="G65" s="59" t="s">
        <v>225</v>
      </c>
      <c r="H65" s="2"/>
      <c r="I65" s="1"/>
      <c r="J65" s="4">
        <f t="shared" si="1"/>
        <v>0</v>
      </c>
      <c r="K65" s="5">
        <f t="shared" si="2"/>
        <v>0</v>
      </c>
      <c r="L65" s="6"/>
      <c r="M65" s="7"/>
      <c r="N65" s="8"/>
      <c r="O65" s="8"/>
      <c r="P65" s="8"/>
      <c r="Q65" s="8"/>
      <c r="R65" s="8"/>
      <c r="S65" s="8"/>
      <c r="T65" s="8"/>
      <c r="U65" s="8"/>
      <c r="V65" s="46"/>
      <c r="W65" s="46"/>
      <c r="X65" s="46"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46"/>
      <c r="Z65" s="8"/>
      <c r="AA65" s="8"/>
      <c r="AB65" s="8"/>
      <c r="AC65" s="8"/>
      <c r="AD65" s="8"/>
      <c r="AE65" s="8"/>
      <c r="AF65" s="8"/>
      <c r="AG65" s="8"/>
      <c r="AH65" s="8"/>
      <c r="AI65" s="8"/>
      <c r="AJ65" s="8"/>
      <c r="AK65" s="8" t="s">
        <v>40</v>
      </c>
      <c r="AL65" s="8" t="s">
        <v>231</v>
      </c>
      <c r="AM65" s="52" t="s">
        <v>271</v>
      </c>
      <c r="AN65" s="8" t="s">
        <v>26</v>
      </c>
      <c r="AO65" s="8"/>
      <c r="AP65" s="8" t="str">
        <f>IF( AND(AD39&lt;0.5,AI$39&lt;&gt;0,AH$15&lt;&gt;0),AL$39&amp;" - "&amp;AK$39,0)</f>
        <v>Estudiante requiere entrenamiento de subhabilidad Informar - Control</v>
      </c>
      <c r="AQ65" s="8" t="str">
        <f t="shared" si="21"/>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8" t="s">
        <v>26</v>
      </c>
    </row>
    <row r="66" ht="24.75" customHeight="1">
      <c r="A66" s="1"/>
      <c r="B66" s="1"/>
      <c r="C66" s="43" t="str">
        <f t="shared" si="4"/>
        <v>Nicolas</v>
      </c>
      <c r="D66" s="2"/>
      <c r="E66" s="21"/>
      <c r="F66" s="26"/>
      <c r="G66" s="26"/>
      <c r="H66" s="2"/>
      <c r="I66" s="1"/>
      <c r="J66" s="4">
        <f t="shared" si="1"/>
        <v>0</v>
      </c>
      <c r="K66" s="5">
        <f t="shared" si="2"/>
        <v>0</v>
      </c>
      <c r="L66" s="6"/>
      <c r="M66" s="7"/>
      <c r="N66" s="46"/>
      <c r="O66" s="46"/>
      <c r="P66" s="46"/>
      <c r="Q66" s="46"/>
      <c r="R66" s="46"/>
      <c r="S66" s="46"/>
      <c r="T66" s="46"/>
      <c r="U66" s="46"/>
      <c r="V66" s="46"/>
      <c r="W66" s="46"/>
      <c r="X66" s="46"/>
      <c r="Y66" s="46"/>
      <c r="Z66" s="8"/>
      <c r="AA66" s="8"/>
      <c r="AB66" s="8"/>
      <c r="AC66" s="8"/>
      <c r="AD66" s="8"/>
      <c r="AE66" s="8"/>
      <c r="AF66" s="8"/>
      <c r="AG66" s="8"/>
      <c r="AH66" s="8"/>
      <c r="AI66" s="8"/>
      <c r="AJ66" s="8"/>
      <c r="AK66" s="8" t="s">
        <v>40</v>
      </c>
      <c r="AL66" s="8" t="s">
        <v>267</v>
      </c>
      <c r="AM66" s="52" t="s">
        <v>272</v>
      </c>
      <c r="AN66" s="8" t="s">
        <v>26</v>
      </c>
      <c r="AO66" s="8"/>
      <c r="AP66" s="8" t="str">
        <f>IF( AND(AD55&lt;0.5,AI$40&lt;&gt;0,AH$15&lt;&gt;0),AL$40&amp;" - "&amp;AK$40,0)</f>
        <v>Estudiante requiere entrenamiento de subhabilidad Mantenimiento - Control</v>
      </c>
      <c r="AQ66" s="8" t="str">
        <f t="shared" si="21"/>
        <v>Debe indicarle que cuando se efectúen un pedido de sugerencia u orientación, que realice una contribución a continuación de la oración de apertura “Yo creo que debemos intentar…”.
</v>
      </c>
      <c r="AR66" s="8" t="s">
        <v>26</v>
      </c>
    </row>
    <row r="67" ht="27.0" customHeight="1">
      <c r="A67" s="1"/>
      <c r="B67" s="1"/>
      <c r="C67" s="22" t="str">
        <f t="shared" si="4"/>
        <v>Rodrigo</v>
      </c>
      <c r="D67" s="2"/>
      <c r="E67" s="57" t="s">
        <v>88</v>
      </c>
      <c r="F67" s="57" t="s">
        <v>273</v>
      </c>
      <c r="G67" s="58" t="s">
        <v>274</v>
      </c>
      <c r="H67" s="2"/>
      <c r="I67" s="29" t="s">
        <v>171</v>
      </c>
      <c r="J67" s="4">
        <f t="shared" si="1"/>
        <v>11</v>
      </c>
      <c r="K67" s="5">
        <f t="shared" si="2"/>
        <v>5</v>
      </c>
      <c r="L67" s="6"/>
      <c r="M67" s="7"/>
      <c r="N67" s="46"/>
      <c r="O67" s="46"/>
      <c r="P67" s="46"/>
      <c r="Q67" s="46"/>
      <c r="R67" s="46"/>
      <c r="S67" s="46"/>
      <c r="T67" s="46"/>
      <c r="U67" s="46"/>
      <c r="V67" s="46"/>
      <c r="W67" s="46"/>
      <c r="X67" s="46"/>
      <c r="Y67" s="46"/>
      <c r="Z67" s="8"/>
      <c r="AA67" s="8"/>
      <c r="AB67" s="8"/>
      <c r="AC67" s="8"/>
      <c r="AD67" s="8"/>
      <c r="AE67" s="8"/>
      <c r="AF67" s="8"/>
      <c r="AG67" s="8"/>
      <c r="AH67" s="8"/>
      <c r="AI67" s="8"/>
      <c r="AJ67" s="8"/>
      <c r="AK67" s="8" t="s">
        <v>40</v>
      </c>
      <c r="AL67" s="8" t="s">
        <v>238</v>
      </c>
      <c r="AM67" s="52" t="s">
        <v>275</v>
      </c>
      <c r="AN67" s="8" t="s">
        <v>26</v>
      </c>
      <c r="AO67" s="8"/>
      <c r="AP67" s="8" t="str">
        <f>IF( AND(AD60&lt;0.5,AI$41&lt;&gt;0,AH$15&lt;&gt;0),AL$41&amp;" - "&amp;AK$41,0)</f>
        <v>Estudiante requiere entrenamiento de subhabilidad Tarea - Control</v>
      </c>
      <c r="AQ67" s="8" t="str">
        <f t="shared" si="21"/>
        <v>Debe indicarle que cuando se efectúen un pedido de sugerencia u orientación, que realice una contribución a continuación de la oración de apertura “En vez de… probemos…”.
</v>
      </c>
      <c r="AR67" s="8" t="s">
        <v>26</v>
      </c>
    </row>
    <row r="68" ht="24.0" customHeight="1">
      <c r="A68" s="1"/>
      <c r="B68" s="1"/>
      <c r="C68" s="22" t="str">
        <f t="shared" si="4"/>
        <v>Rodrigo</v>
      </c>
      <c r="D68" s="2"/>
      <c r="E68" s="21"/>
      <c r="F68" s="26"/>
      <c r="G68" s="26"/>
      <c r="H68" s="2"/>
      <c r="I68" s="1"/>
      <c r="J68" s="4">
        <f t="shared" si="1"/>
        <v>0</v>
      </c>
      <c r="K68" s="5">
        <f t="shared" si="2"/>
        <v>0</v>
      </c>
      <c r="L68" s="6"/>
      <c r="M68" s="7"/>
      <c r="N68" s="46"/>
      <c r="O68" s="46"/>
      <c r="P68" s="46"/>
      <c r="Q68" s="46"/>
      <c r="R68" s="46"/>
      <c r="S68" s="46"/>
      <c r="T68" s="46"/>
      <c r="U68" s="46"/>
      <c r="V68" s="46"/>
      <c r="W68" s="46"/>
      <c r="X68" s="46"/>
      <c r="Y68" s="46"/>
      <c r="Z68" s="8"/>
      <c r="AA68" s="8"/>
      <c r="AB68" s="8"/>
      <c r="AC68" s="8"/>
      <c r="AD68" s="8"/>
      <c r="AE68" s="8"/>
      <c r="AF68" s="8"/>
      <c r="AG68" s="8"/>
      <c r="AH68" s="8"/>
      <c r="AI68" s="8"/>
      <c r="AJ68" s="8"/>
      <c r="AK68" s="8" t="s">
        <v>40</v>
      </c>
      <c r="AL68" s="8" t="s">
        <v>241</v>
      </c>
      <c r="AM68" s="52" t="s">
        <v>276</v>
      </c>
      <c r="AN68" s="8" t="s">
        <v>26</v>
      </c>
      <c r="AO68" s="8"/>
      <c r="AP68" s="8" t="str">
        <f>IF( AND(AD46&lt;0.5,AI$42&lt;&gt;0,AH$20&lt;&gt;0),AL$42&amp;" - "&amp;AK$42,0)</f>
        <v>Estudiante requiere entrenamiento de subhabilidad Requerir - Control</v>
      </c>
      <c r="AQ68" s="8" t="str">
        <f t="shared" si="21"/>
        <v>Indicar que en un futuro debe formular al menos un requerimiento al grupo. El estudiante debe hacer su contribución a continuación de la oración de apertura “¿Qué hacemos ahora…?”.</v>
      </c>
      <c r="AR68" s="8" t="s">
        <v>26</v>
      </c>
    </row>
    <row r="69" ht="15.0" customHeight="1">
      <c r="A69" s="1"/>
      <c r="B69" s="1"/>
      <c r="C69" s="22" t="str">
        <f t="shared" si="4"/>
        <v>Rodrigo</v>
      </c>
      <c r="D69" s="2"/>
      <c r="E69" s="21"/>
      <c r="F69" s="26"/>
      <c r="G69" s="59" t="s">
        <v>225</v>
      </c>
      <c r="H69" s="2"/>
      <c r="I69" s="1"/>
      <c r="J69" s="4">
        <f t="shared" si="1"/>
        <v>0</v>
      </c>
      <c r="K69" s="5">
        <f t="shared" si="2"/>
        <v>0</v>
      </c>
      <c r="L69" s="6"/>
      <c r="M69" s="7"/>
      <c r="N69" s="46"/>
      <c r="O69" s="46"/>
      <c r="P69" s="46"/>
      <c r="Q69" s="46"/>
      <c r="R69" s="46"/>
      <c r="S69" s="46"/>
      <c r="T69" s="46"/>
      <c r="U69" s="46"/>
      <c r="V69" s="46"/>
      <c r="W69" s="46"/>
      <c r="X69" s="46"/>
      <c r="Y69" s="46"/>
      <c r="Z69" s="8"/>
      <c r="AA69" s="8"/>
      <c r="AB69" s="8"/>
      <c r="AC69" s="8"/>
      <c r="AD69" s="8"/>
      <c r="AE69" s="8"/>
      <c r="AF69" s="8"/>
      <c r="AG69" s="8"/>
      <c r="AH69" s="8"/>
      <c r="AI69" s="8"/>
      <c r="AJ69" s="8"/>
      <c r="AK69" s="8" t="s">
        <v>191</v>
      </c>
      <c r="AL69" s="8" t="s">
        <v>191</v>
      </c>
      <c r="AM69" s="8" t="s">
        <v>191</v>
      </c>
      <c r="AN69" s="8" t="s">
        <v>26</v>
      </c>
      <c r="AO69" s="8"/>
      <c r="AP69" s="8"/>
      <c r="AQ69" s="8">
        <f t="shared" si="21"/>
        <v>0</v>
      </c>
      <c r="AR69" s="8" t="s">
        <v>26</v>
      </c>
    </row>
    <row r="70" ht="15.0" customHeight="1">
      <c r="A70" s="1"/>
      <c r="B70" s="1"/>
      <c r="C70" s="22" t="str">
        <f t="shared" si="4"/>
        <v>Rodrigo</v>
      </c>
      <c r="D70" s="2"/>
      <c r="E70" s="21"/>
      <c r="F70" s="26"/>
      <c r="G70" s="26"/>
      <c r="H70" s="2"/>
      <c r="I70" s="1"/>
      <c r="J70" s="4">
        <f t="shared" si="1"/>
        <v>0</v>
      </c>
      <c r="K70" s="5">
        <f t="shared" si="2"/>
        <v>0</v>
      </c>
      <c r="L70" s="6"/>
      <c r="M70" s="7"/>
      <c r="N70" s="46"/>
      <c r="O70" s="46"/>
      <c r="P70" s="46"/>
      <c r="Q70" s="46"/>
      <c r="R70" s="46"/>
      <c r="S70" s="46"/>
      <c r="T70" s="46"/>
      <c r="U70" s="46"/>
      <c r="V70" s="46"/>
      <c r="W70" s="46"/>
      <c r="X70" s="46"/>
      <c r="Y70" s="46"/>
      <c r="Z70" s="8"/>
      <c r="AA70" s="8"/>
      <c r="AB70" s="8"/>
      <c r="AC70" s="8"/>
      <c r="AD70" s="8"/>
      <c r="AE70" s="8"/>
      <c r="AF70" s="8"/>
      <c r="AG70" s="8"/>
      <c r="AH70" s="8"/>
      <c r="AI70" s="8"/>
      <c r="AJ70" s="8"/>
      <c r="AK70" s="8" t="s">
        <v>191</v>
      </c>
      <c r="AL70" s="8" t="s">
        <v>191</v>
      </c>
      <c r="AM70" s="8" t="s">
        <v>191</v>
      </c>
      <c r="AN70" s="8" t="s">
        <v>26</v>
      </c>
      <c r="AO70" s="8"/>
      <c r="AP70" s="8"/>
      <c r="AQ70" s="8">
        <f t="shared" si="21"/>
        <v>0</v>
      </c>
      <c r="AR70" s="8" t="s">
        <v>26</v>
      </c>
    </row>
    <row r="71" ht="24.0" customHeight="1">
      <c r="A71" s="1"/>
      <c r="B71" s="1"/>
      <c r="C71" s="22" t="str">
        <f t="shared" si="4"/>
        <v>Rodrigo</v>
      </c>
      <c r="D71" s="2"/>
      <c r="E71" s="57" t="s">
        <v>88</v>
      </c>
      <c r="F71" s="57" t="s">
        <v>277</v>
      </c>
      <c r="G71" s="58" t="s">
        <v>279</v>
      </c>
      <c r="H71" s="2"/>
      <c r="I71" s="29" t="s">
        <v>87</v>
      </c>
      <c r="J71" s="4">
        <f t="shared" si="1"/>
        <v>30</v>
      </c>
      <c r="K71" s="5">
        <f t="shared" si="2"/>
        <v>8</v>
      </c>
      <c r="L71" s="6"/>
      <c r="M71" s="7"/>
      <c r="N71" s="46"/>
      <c r="O71" s="46"/>
      <c r="P71" s="46"/>
      <c r="Q71" s="46"/>
      <c r="R71" s="46"/>
      <c r="S71" s="46"/>
      <c r="T71" s="46"/>
      <c r="U71" s="46"/>
      <c r="V71" s="46"/>
      <c r="W71" s="46"/>
      <c r="X71" s="46"/>
      <c r="Y71" s="46"/>
      <c r="Z71" s="8"/>
      <c r="AA71" s="8"/>
      <c r="AB71" s="8"/>
      <c r="AC71" s="8"/>
      <c r="AD71" s="8"/>
      <c r="AE71" s="8"/>
      <c r="AF71" s="8"/>
      <c r="AG71" s="8"/>
      <c r="AH71" s="8"/>
      <c r="AI71" s="8"/>
      <c r="AJ71" s="8"/>
      <c r="AK71" s="8" t="s">
        <v>45</v>
      </c>
      <c r="AL71" s="8" t="s">
        <v>280</v>
      </c>
      <c r="AM71" s="52" t="s">
        <v>281</v>
      </c>
      <c r="AN71" s="8"/>
      <c r="AO71" s="8"/>
      <c r="AP71" s="8" t="str">
        <f>IF( AND(AD52&lt;0.5,AI$45&lt;&gt;0,OR(AH$21&lt;&gt;0,AH$14&lt;&gt;0)),AL$45&amp;" - "&amp;AK$45,0)</f>
        <v>Estudiante requiere entrenamiento de subhabilidad Reconocimiento - Decisión</v>
      </c>
      <c r="AQ71" s="8" t="str">
        <f t="shared" si="21"/>
        <v>Indicar que en un futuro debe formular al menos una muestra de aprobación al grupo. El estudiante debe hacer su contribución a continuación de la oración de apertura “Sí, estoy de acuerdo…”.</v>
      </c>
      <c r="AR71" s="8" t="s">
        <v>26</v>
      </c>
    </row>
    <row r="72" ht="24.75" customHeight="1">
      <c r="A72" s="1"/>
      <c r="B72" s="1"/>
      <c r="C72" s="22" t="str">
        <f t="shared" si="4"/>
        <v>Rodrigo</v>
      </c>
      <c r="D72" s="2"/>
      <c r="E72" s="21"/>
      <c r="F72" s="26"/>
      <c r="G72" s="26"/>
      <c r="H72" s="2"/>
      <c r="I72" s="1"/>
      <c r="J72" s="4">
        <f t="shared" si="1"/>
        <v>0</v>
      </c>
      <c r="K72" s="5">
        <f t="shared" si="2"/>
        <v>0</v>
      </c>
      <c r="L72" s="6"/>
      <c r="M72" s="7"/>
      <c r="N72" s="46"/>
      <c r="O72" s="46"/>
      <c r="P72" s="46"/>
      <c r="Q72" s="46"/>
      <c r="R72" s="46"/>
      <c r="S72" s="46"/>
      <c r="T72" s="46"/>
      <c r="U72" s="46"/>
      <c r="V72" s="46"/>
      <c r="W72" s="46"/>
      <c r="X72" s="46"/>
      <c r="Y72" s="46"/>
      <c r="Z72" s="8"/>
      <c r="AA72" s="8"/>
      <c r="AB72" s="8"/>
      <c r="AC72" s="8"/>
      <c r="AD72" s="8"/>
      <c r="AE72" s="8"/>
      <c r="AF72" s="8"/>
      <c r="AG72" s="8"/>
      <c r="AH72" s="8"/>
      <c r="AI72" s="8"/>
      <c r="AJ72" s="8"/>
      <c r="AK72" s="8" t="s">
        <v>57</v>
      </c>
      <c r="AL72" s="8" t="s">
        <v>280</v>
      </c>
      <c r="AM72" s="52" t="s">
        <v>283</v>
      </c>
      <c r="AN72" s="8" t="s">
        <v>26</v>
      </c>
      <c r="AO72" s="8"/>
      <c r="AP72" s="8" t="str">
        <f>IF( AND(AD52&lt;0.5,AI$46&lt;&gt;0,AH$13&lt;&gt;0),AL$46&amp;" - "&amp;AK$46,0)</f>
        <v>Estudiante requiere entrenamiento de subhabilidad Reconocimiento - Reducción de tensión</v>
      </c>
      <c r="AQ72" s="8" t="str">
        <f t="shared" si="21"/>
        <v>Indicar que en un futuro debe formular al menos una muestra de relajamiento al grupo. El estudiante debe hacer su contribución a continuación de la oración de apertura “Gracias amigos,…”.</v>
      </c>
      <c r="AR72" s="8" t="s">
        <v>26</v>
      </c>
    </row>
    <row r="73" ht="15.0" customHeight="1">
      <c r="A73" s="1"/>
      <c r="B73" s="1"/>
      <c r="C73" s="22" t="str">
        <f t="shared" si="4"/>
        <v>Rodrigo</v>
      </c>
      <c r="D73" s="2"/>
      <c r="E73" s="21"/>
      <c r="F73" s="26"/>
      <c r="G73" s="59" t="s">
        <v>225</v>
      </c>
      <c r="H73" s="2"/>
      <c r="I73" s="1"/>
      <c r="J73" s="4">
        <f t="shared" si="1"/>
        <v>0</v>
      </c>
      <c r="K73" s="5">
        <f t="shared" si="2"/>
        <v>0</v>
      </c>
      <c r="L73" s="6"/>
      <c r="M73" s="7"/>
      <c r="N73" s="46"/>
      <c r="O73" s="46"/>
      <c r="P73" s="46"/>
      <c r="Q73" s="46"/>
      <c r="R73" s="46"/>
      <c r="S73" s="46"/>
      <c r="T73" s="46"/>
      <c r="U73" s="46"/>
      <c r="V73" s="46"/>
      <c r="W73" s="46"/>
      <c r="X73" s="46"/>
      <c r="Y73" s="46"/>
      <c r="Z73" s="8"/>
      <c r="AA73" s="8"/>
      <c r="AB73" s="8"/>
      <c r="AC73" s="8"/>
      <c r="AD73" s="8"/>
      <c r="AE73" s="8"/>
      <c r="AF73" s="8"/>
      <c r="AG73" s="8"/>
      <c r="AH73" s="8"/>
      <c r="AI73" s="8"/>
      <c r="AJ73" s="8"/>
      <c r="AK73" s="8" t="s">
        <v>57</v>
      </c>
      <c r="AL73" s="8" t="s">
        <v>244</v>
      </c>
      <c r="AM73" s="8" t="s">
        <v>285</v>
      </c>
      <c r="AN73" s="8" t="s">
        <v>26</v>
      </c>
      <c r="AO73" s="8"/>
      <c r="AP73" s="8" t="str">
        <f>IF( AND(AD29&lt;0.5,AI$47&lt;&gt;0,AH$22&lt;&gt;0),AL$47&amp;" - "&amp;AK$47,0)</f>
        <v>Estudiante requiere entrenamiento de subhabilidad Argumentación - Reducción de tensión</v>
      </c>
      <c r="AQ73" s="8" t="str">
        <f t="shared" si="21"/>
        <v>Puesto que la conducta “Muestra tensión” es calificada como una conducta negativa, no se considera conveniente entrenarla.</v>
      </c>
      <c r="AR73" s="8" t="s">
        <v>26</v>
      </c>
    </row>
    <row r="74" ht="15.0" customHeight="1">
      <c r="A74" s="1"/>
      <c r="B74" s="1"/>
      <c r="C74" s="22" t="str">
        <f t="shared" si="4"/>
        <v>Rodrigo</v>
      </c>
      <c r="D74" s="2"/>
      <c r="E74" s="21"/>
      <c r="F74" s="26"/>
      <c r="G74" s="26"/>
      <c r="H74" s="2"/>
      <c r="I74" s="1"/>
      <c r="J74" s="4">
        <f t="shared" si="1"/>
        <v>0</v>
      </c>
      <c r="K74" s="5">
        <f t="shared" si="2"/>
        <v>0</v>
      </c>
      <c r="L74" s="6"/>
      <c r="M74" s="7"/>
      <c r="N74" s="46"/>
      <c r="O74" s="46"/>
      <c r="P74" s="46"/>
      <c r="Q74" s="46"/>
      <c r="R74" s="46"/>
      <c r="S74" s="46"/>
      <c r="T74" s="46"/>
      <c r="U74" s="46"/>
      <c r="V74" s="46"/>
      <c r="W74" s="46"/>
      <c r="X74" s="46"/>
      <c r="Y74" s="46"/>
      <c r="Z74" s="8"/>
      <c r="AA74" s="8"/>
      <c r="AB74" s="8"/>
      <c r="AC74" s="8"/>
      <c r="AD74" s="8"/>
      <c r="AE74" s="8"/>
      <c r="AF74" s="8"/>
      <c r="AG74" s="8"/>
      <c r="AH74" s="8"/>
      <c r="AI74" s="8"/>
      <c r="AJ74" s="8"/>
      <c r="AK74" s="8" t="s">
        <v>57</v>
      </c>
      <c r="AL74" s="8" t="s">
        <v>267</v>
      </c>
      <c r="AM74" s="8" t="s">
        <v>285</v>
      </c>
      <c r="AN74" s="8" t="s">
        <v>26</v>
      </c>
      <c r="AO74" s="8"/>
      <c r="AP74" s="8" t="str">
        <f>IF( AND(AD55&lt;0.5,AI$48&lt;&gt;0,AH$22&lt;&gt;0),AL$48&amp;" - "&amp;AK$48,0)</f>
        <v>Estudiante requiere entrenamiento de subhabilidad Mantenimiento - Reducción de tensión</v>
      </c>
      <c r="AQ74" s="8" t="str">
        <f t="shared" si="21"/>
        <v>Puesto que la conducta “Muestra tensión” es calificada como una conducta negativa, no se considera conveniente entrenarla.</v>
      </c>
      <c r="AR74" s="8" t="s">
        <v>26</v>
      </c>
    </row>
    <row r="75" ht="15.0" customHeight="1">
      <c r="A75" s="1"/>
      <c r="B75" s="1"/>
      <c r="C75" s="22" t="str">
        <f t="shared" si="4"/>
        <v>Lautaro</v>
      </c>
      <c r="D75" s="2"/>
      <c r="E75" s="57" t="s">
        <v>91</v>
      </c>
      <c r="F75" s="57" t="s">
        <v>286</v>
      </c>
      <c r="G75" s="58" t="s">
        <v>287</v>
      </c>
      <c r="H75" s="2"/>
      <c r="I75" s="1"/>
      <c r="J75" s="4">
        <f t="shared" si="1"/>
        <v>0</v>
      </c>
      <c r="K75" s="5">
        <f t="shared" si="2"/>
        <v>0</v>
      </c>
      <c r="L75" s="6"/>
      <c r="M75" s="7"/>
      <c r="N75" s="46"/>
      <c r="O75" s="46"/>
      <c r="P75" s="46"/>
      <c r="Q75" s="46"/>
      <c r="R75" s="46"/>
      <c r="S75" s="46"/>
      <c r="T75" s="46"/>
      <c r="U75" s="46"/>
      <c r="V75" s="46"/>
      <c r="W75" s="46"/>
      <c r="X75" s="46"/>
      <c r="Y75" s="46"/>
      <c r="Z75" s="8"/>
      <c r="AA75" s="8"/>
      <c r="AB75" s="8"/>
      <c r="AC75" s="8"/>
      <c r="AD75" s="8"/>
      <c r="AE75" s="8"/>
      <c r="AF75" s="8"/>
      <c r="AG75" s="8"/>
      <c r="AH75" s="8"/>
      <c r="AI75" s="8"/>
      <c r="AJ75" s="8"/>
      <c r="AK75" s="8" t="s">
        <v>64</v>
      </c>
      <c r="AL75" s="8" t="s">
        <v>289</v>
      </c>
      <c r="AM75" s="8" t="s">
        <v>290</v>
      </c>
      <c r="AN75" s="8" t="s">
        <v>26</v>
      </c>
      <c r="AO75" s="8"/>
      <c r="AP75" s="8">
        <f>IF( AND(AD37&lt;0.5,AI$49&lt;&gt;0,AH$12&lt;&gt;0),AL$49&amp;" - "&amp;AK$49,0)</f>
        <v>0</v>
      </c>
      <c r="AQ75" s="8">
        <f t="shared" si="21"/>
        <v>0</v>
      </c>
      <c r="AR75" s="8" t="s">
        <v>26</v>
      </c>
    </row>
    <row r="76" ht="24.75" customHeight="1">
      <c r="A76" s="1"/>
      <c r="B76" s="1"/>
      <c r="C76" s="22" t="str">
        <f t="shared" si="4"/>
        <v>Lautaro</v>
      </c>
      <c r="D76" s="2"/>
      <c r="E76" s="21"/>
      <c r="F76" s="26"/>
      <c r="G76" s="58" t="s">
        <v>291</v>
      </c>
      <c r="H76" s="2"/>
      <c r="I76" s="1"/>
      <c r="J76" s="4">
        <f t="shared" si="1"/>
        <v>0</v>
      </c>
      <c r="K76" s="5">
        <f t="shared" si="2"/>
        <v>0</v>
      </c>
      <c r="L76" s="6"/>
      <c r="M76" s="7"/>
      <c r="N76" s="46"/>
      <c r="O76" s="46"/>
      <c r="P76" s="46"/>
      <c r="Q76" s="46"/>
      <c r="R76" s="46"/>
      <c r="S76" s="46"/>
      <c r="T76" s="46"/>
      <c r="U76" s="46"/>
      <c r="V76" s="46"/>
      <c r="W76" s="46"/>
      <c r="X76" s="46"/>
      <c r="Y76" s="46"/>
      <c r="Z76" s="8"/>
      <c r="AA76" s="8"/>
      <c r="AB76" s="8"/>
      <c r="AC76" s="8"/>
      <c r="AD76" s="8"/>
      <c r="AE76" s="8"/>
      <c r="AF76" s="8"/>
      <c r="AG76" s="8"/>
      <c r="AH76" s="8"/>
      <c r="AI76" s="8"/>
      <c r="AJ76" s="8"/>
      <c r="AK76" s="8" t="s">
        <v>64</v>
      </c>
      <c r="AL76" s="8" t="s">
        <v>267</v>
      </c>
      <c r="AM76" s="52" t="s">
        <v>292</v>
      </c>
      <c r="AN76" s="8" t="s">
        <v>26</v>
      </c>
      <c r="AO76" s="8"/>
      <c r="AP76" s="8">
        <f>IF( AND(AD55&lt;0.5,AI$50&lt;&gt;0,AH$12&lt;&gt;0),AL$50&amp;" - "&amp;AK$50,0)</f>
        <v>0</v>
      </c>
      <c r="AQ76" s="8">
        <f t="shared" si="21"/>
        <v>0</v>
      </c>
      <c r="AR76" s="8" t="s">
        <v>26</v>
      </c>
    </row>
    <row r="77" ht="15.0" customHeight="1">
      <c r="A77" s="1"/>
      <c r="B77" s="1"/>
      <c r="C77" s="22" t="str">
        <f t="shared" si="4"/>
        <v>Lautaro</v>
      </c>
      <c r="D77" s="2"/>
      <c r="E77" s="21"/>
      <c r="F77" s="26"/>
      <c r="G77" s="26"/>
      <c r="H77" s="2"/>
      <c r="I77" s="1"/>
      <c r="J77" s="4">
        <f t="shared" si="1"/>
        <v>0</v>
      </c>
      <c r="K77" s="5">
        <f t="shared" si="2"/>
        <v>0</v>
      </c>
      <c r="L77" s="6"/>
      <c r="M77" s="7"/>
      <c r="N77" s="46"/>
      <c r="O77" s="46"/>
      <c r="P77" s="46"/>
      <c r="Q77" s="46"/>
      <c r="R77" s="46"/>
      <c r="S77" s="46"/>
      <c r="T77" s="46"/>
      <c r="U77" s="46"/>
      <c r="V77" s="46"/>
      <c r="W77" s="46"/>
      <c r="X77" s="46"/>
      <c r="Y77" s="46"/>
      <c r="Z77" s="8"/>
      <c r="AA77" s="8"/>
      <c r="AB77" s="8"/>
      <c r="AC77" s="8"/>
      <c r="AD77" s="8"/>
      <c r="AE77" s="8"/>
      <c r="AF77" s="8"/>
      <c r="AG77" s="8"/>
      <c r="AH77" s="8"/>
      <c r="AI77" s="8"/>
      <c r="AJ77" s="8"/>
      <c r="AK77" s="8" t="s">
        <v>64</v>
      </c>
      <c r="AL77" s="8" t="s">
        <v>238</v>
      </c>
      <c r="AM77" s="8" t="s">
        <v>293</v>
      </c>
      <c r="AN77" s="8" t="s">
        <v>26</v>
      </c>
      <c r="AO77" s="8"/>
      <c r="AP77" s="8">
        <f>IF( AND(AD60&lt;0.5,AI$51&lt;&gt;0,AH$12&lt;&gt;0),AL$51&amp;" - "&amp;AK$51,0)</f>
        <v>0</v>
      </c>
      <c r="AQ77" s="8">
        <f t="shared" si="21"/>
        <v>0</v>
      </c>
      <c r="AR77" s="8" t="s">
        <v>26</v>
      </c>
    </row>
    <row r="78" ht="15.0" customHeight="1">
      <c r="A78" s="1"/>
      <c r="B78" s="1"/>
      <c r="C78" s="22" t="str">
        <f t="shared" si="4"/>
        <v>Lautaro</v>
      </c>
      <c r="D78" s="2"/>
      <c r="E78" s="21"/>
      <c r="F78" s="26"/>
      <c r="G78" s="59" t="s">
        <v>225</v>
      </c>
      <c r="H78" s="2"/>
      <c r="I78" s="1"/>
      <c r="J78" s="4">
        <f t="shared" si="1"/>
        <v>0</v>
      </c>
      <c r="K78" s="5">
        <f t="shared" si="2"/>
        <v>0</v>
      </c>
      <c r="L78" s="6"/>
      <c r="M78" s="7"/>
      <c r="N78" s="46"/>
      <c r="O78" s="46"/>
      <c r="P78" s="46"/>
      <c r="Q78" s="46"/>
      <c r="R78" s="46"/>
      <c r="S78" s="46"/>
      <c r="T78" s="46"/>
      <c r="U78" s="46"/>
      <c r="V78" s="46"/>
      <c r="W78" s="46"/>
      <c r="X78" s="46"/>
      <c r="Y78" s="46"/>
      <c r="Z78" s="8"/>
      <c r="AA78" s="8"/>
      <c r="AB78" s="8"/>
      <c r="AC78" s="8"/>
      <c r="AD78" s="8"/>
      <c r="AE78" s="8"/>
      <c r="AF78" s="8"/>
      <c r="AG78" s="8"/>
      <c r="AH78" s="8"/>
      <c r="AI78" s="8"/>
      <c r="AJ78" s="8"/>
      <c r="AK78" s="8" t="s">
        <v>64</v>
      </c>
      <c r="AL78" s="8" t="s">
        <v>244</v>
      </c>
      <c r="AM78" s="8" t="s">
        <v>295</v>
      </c>
      <c r="AN78" s="8" t="s">
        <v>26</v>
      </c>
      <c r="AO78" s="8"/>
      <c r="AP78" s="8">
        <f>IF( AND(AD29&lt;0.5,AI$52&lt;&gt;0,AH$23&lt;&gt;0),AL$52&amp;" - "&amp;AK$52,0)</f>
        <v>0</v>
      </c>
      <c r="AQ78" s="8">
        <f t="shared" si="21"/>
        <v>0</v>
      </c>
      <c r="AR78" s="8" t="s">
        <v>26</v>
      </c>
    </row>
    <row r="79" ht="15.0" customHeight="1">
      <c r="A79" s="1"/>
      <c r="B79" s="1"/>
      <c r="C79" s="22" t="str">
        <f t="shared" si="4"/>
        <v>Lautaro</v>
      </c>
      <c r="D79" s="2"/>
      <c r="E79" s="21"/>
      <c r="F79" s="26"/>
      <c r="G79" s="26"/>
      <c r="H79" s="2"/>
      <c r="I79" s="1"/>
      <c r="J79" s="4">
        <f t="shared" si="1"/>
        <v>0</v>
      </c>
      <c r="K79" s="5">
        <f t="shared" si="2"/>
        <v>0</v>
      </c>
      <c r="L79" s="6"/>
      <c r="M79" s="7"/>
      <c r="N79" s="46"/>
      <c r="O79" s="46"/>
      <c r="P79" s="46"/>
      <c r="Q79" s="46"/>
      <c r="R79" s="46"/>
      <c r="S79" s="46"/>
      <c r="T79" s="46"/>
      <c r="U79" s="46"/>
      <c r="V79" s="46"/>
      <c r="W79" s="46"/>
      <c r="X79" s="46"/>
      <c r="Y79" s="46"/>
      <c r="Z79" s="8"/>
      <c r="AA79" s="8"/>
      <c r="AB79" s="8"/>
      <c r="AC79" s="8"/>
      <c r="AD79" s="8"/>
      <c r="AE79" s="8"/>
      <c r="AF79" s="8"/>
      <c r="AG79" s="8"/>
      <c r="AH79" s="8"/>
      <c r="AI79" s="8"/>
      <c r="AJ79" s="8"/>
      <c r="AK79" s="8"/>
      <c r="AL79" s="8"/>
      <c r="AM79" s="8"/>
      <c r="AN79" s="8"/>
      <c r="AO79" s="8"/>
      <c r="AP79" s="8"/>
      <c r="AQ79" s="8"/>
      <c r="AR79" s="8" t="s">
        <v>26</v>
      </c>
    </row>
    <row r="80" ht="15.0" customHeight="1">
      <c r="A80" s="1"/>
      <c r="B80" s="1"/>
      <c r="C80" s="22" t="str">
        <f t="shared" si="4"/>
        <v>Nicolas</v>
      </c>
      <c r="D80" s="2"/>
      <c r="E80" s="57" t="s">
        <v>80</v>
      </c>
      <c r="F80" s="57" t="s">
        <v>286</v>
      </c>
      <c r="G80" s="58" t="s">
        <v>296</v>
      </c>
      <c r="H80" s="2"/>
      <c r="I80" s="1"/>
      <c r="J80" s="4">
        <f t="shared" si="1"/>
        <v>0</v>
      </c>
      <c r="K80" s="5">
        <f t="shared" si="2"/>
        <v>0</v>
      </c>
      <c r="L80" s="6"/>
      <c r="M80" s="7"/>
      <c r="N80" s="46"/>
      <c r="O80" s="46"/>
      <c r="P80" s="46"/>
      <c r="Q80" s="46"/>
      <c r="R80" s="46"/>
      <c r="S80" s="46"/>
      <c r="T80" s="46"/>
      <c r="U80" s="46"/>
      <c r="V80" s="46"/>
      <c r="W80" s="46"/>
      <c r="X80" s="46"/>
      <c r="Y80" s="46"/>
      <c r="Z80" s="8"/>
      <c r="AA80" s="8"/>
      <c r="AB80" s="8"/>
      <c r="AC80" s="8"/>
      <c r="AD80" s="8"/>
      <c r="AE80" s="8"/>
      <c r="AF80" s="8"/>
      <c r="AG80" s="8"/>
      <c r="AH80" s="8"/>
      <c r="AI80" s="8"/>
      <c r="AJ80" s="8"/>
      <c r="AK80" s="8"/>
      <c r="AL80" s="8"/>
      <c r="AM80" s="8"/>
      <c r="AN80" s="8"/>
      <c r="AO80" s="8"/>
      <c r="AP80" s="8"/>
      <c r="AQ80" s="8"/>
      <c r="AR80" s="8"/>
    </row>
    <row r="81" ht="15.0" customHeight="1">
      <c r="A81" s="1"/>
      <c r="B81" s="1"/>
      <c r="C81" s="22" t="str">
        <f t="shared" si="4"/>
        <v>Nicolas</v>
      </c>
      <c r="D81" s="2"/>
      <c r="E81" s="21"/>
      <c r="F81" s="26"/>
      <c r="G81" s="58" t="s">
        <v>297</v>
      </c>
      <c r="H81" s="2"/>
      <c r="I81" s="1"/>
      <c r="J81" s="4">
        <f t="shared" si="1"/>
        <v>0</v>
      </c>
      <c r="K81" s="5">
        <f t="shared" si="2"/>
        <v>0</v>
      </c>
      <c r="L81" s="6"/>
      <c r="M81" s="7"/>
      <c r="N81" s="46"/>
      <c r="O81" s="46"/>
      <c r="P81" s="46"/>
      <c r="Q81" s="46"/>
      <c r="R81" s="46"/>
      <c r="S81" s="46"/>
      <c r="T81" s="46"/>
      <c r="U81" s="46"/>
      <c r="V81" s="46"/>
      <c r="W81" s="46"/>
      <c r="X81" s="46"/>
      <c r="Y81" s="46"/>
      <c r="Z81" s="8"/>
      <c r="AA81" s="8"/>
      <c r="AB81" s="8"/>
      <c r="AC81" s="8"/>
      <c r="AD81" s="8"/>
      <c r="AE81" s="8"/>
      <c r="AF81" s="8"/>
      <c r="AG81" s="8"/>
      <c r="AH81" s="8"/>
      <c r="AI81" s="8"/>
      <c r="AJ81" s="8"/>
      <c r="AK81" s="8"/>
      <c r="AL81" s="8"/>
      <c r="AM81" s="8"/>
      <c r="AN81" s="8"/>
      <c r="AO81" s="8"/>
      <c r="AP81" s="8"/>
      <c r="AQ81" s="8"/>
      <c r="AR81" s="8"/>
    </row>
    <row r="82" ht="15.0" customHeight="1">
      <c r="A82" s="1"/>
      <c r="B82" s="1"/>
      <c r="C82" s="22" t="str">
        <f t="shared" si="4"/>
        <v>Nicolas</v>
      </c>
      <c r="D82" s="2"/>
      <c r="E82" s="21"/>
      <c r="F82" s="26"/>
      <c r="G82" s="26"/>
      <c r="H82" s="2"/>
      <c r="I82" s="1"/>
      <c r="J82" s="4">
        <f t="shared" si="1"/>
        <v>0</v>
      </c>
      <c r="K82" s="5">
        <f t="shared" si="2"/>
        <v>0</v>
      </c>
      <c r="L82" s="6"/>
      <c r="M82" s="7"/>
      <c r="N82" s="46"/>
      <c r="O82" s="46"/>
      <c r="P82" s="46"/>
      <c r="Q82" s="46"/>
      <c r="R82" s="46"/>
      <c r="S82" s="46"/>
      <c r="T82" s="46"/>
      <c r="U82" s="46"/>
      <c r="V82" s="46"/>
      <c r="W82" s="46"/>
      <c r="X82" s="46"/>
      <c r="Y82" s="46"/>
      <c r="Z82" s="8"/>
      <c r="AA82" s="8"/>
      <c r="AB82" s="8"/>
      <c r="AC82" s="8"/>
      <c r="AD82" s="8"/>
      <c r="AE82" s="8"/>
      <c r="AF82" s="8"/>
      <c r="AG82" s="8"/>
      <c r="AH82" s="8"/>
      <c r="AI82" s="8"/>
      <c r="AJ82" s="8"/>
      <c r="AK82" s="8"/>
      <c r="AL82" s="8"/>
      <c r="AM82" s="8"/>
      <c r="AN82" s="8"/>
      <c r="AO82" s="8"/>
      <c r="AP82" s="8"/>
      <c r="AQ82" s="8"/>
      <c r="AR82" s="8"/>
    </row>
    <row r="83" ht="15.0" customHeight="1">
      <c r="A83" s="1"/>
      <c r="B83" s="1"/>
      <c r="C83" s="22" t="str">
        <f t="shared" si="4"/>
        <v>Nicolas</v>
      </c>
      <c r="D83" s="2"/>
      <c r="E83" s="21"/>
      <c r="F83" s="26"/>
      <c r="G83" s="59" t="s">
        <v>225</v>
      </c>
      <c r="H83" s="2"/>
      <c r="I83" s="1"/>
      <c r="J83" s="4">
        <f t="shared" si="1"/>
        <v>0</v>
      </c>
      <c r="K83" s="5">
        <f t="shared" si="2"/>
        <v>0</v>
      </c>
      <c r="L83" s="6"/>
      <c r="M83" s="7"/>
      <c r="N83" s="46"/>
      <c r="O83" s="46"/>
      <c r="P83" s="46"/>
      <c r="Q83" s="46"/>
      <c r="R83" s="46"/>
      <c r="S83" s="46"/>
      <c r="T83" s="46"/>
      <c r="U83" s="46"/>
      <c r="V83" s="46"/>
      <c r="W83" s="46"/>
      <c r="X83" s="46"/>
      <c r="Y83" s="46"/>
      <c r="Z83" s="8"/>
      <c r="AA83" s="8"/>
      <c r="AB83" s="8"/>
      <c r="AC83" s="8"/>
      <c r="AD83" s="8"/>
      <c r="AE83" s="8"/>
      <c r="AF83" s="8"/>
      <c r="AG83" s="8"/>
      <c r="AH83" s="8"/>
      <c r="AI83" s="8"/>
      <c r="AJ83" s="8"/>
      <c r="AK83" s="8"/>
      <c r="AL83" s="8"/>
      <c r="AM83" s="8"/>
      <c r="AN83" s="8"/>
      <c r="AO83" s="8"/>
      <c r="AP83" s="8"/>
      <c r="AQ83" s="8"/>
      <c r="AR83" s="8"/>
    </row>
    <row r="84" ht="15.0" customHeight="1">
      <c r="A84" s="1"/>
      <c r="B84" s="1"/>
      <c r="C84" s="22" t="str">
        <f t="shared" si="4"/>
        <v>Nicolas</v>
      </c>
      <c r="D84" s="2"/>
      <c r="E84" s="21"/>
      <c r="F84" s="26"/>
      <c r="G84" s="26"/>
      <c r="H84" s="2"/>
      <c r="I84" s="1"/>
      <c r="J84" s="4">
        <f t="shared" si="1"/>
        <v>0</v>
      </c>
      <c r="K84" s="5">
        <f t="shared" si="2"/>
        <v>0</v>
      </c>
      <c r="L84" s="6"/>
      <c r="M84" s="7"/>
      <c r="N84" s="46"/>
      <c r="O84" s="46"/>
      <c r="P84" s="46"/>
      <c r="Q84" s="46"/>
      <c r="R84" s="46"/>
      <c r="S84" s="46"/>
      <c r="T84" s="46"/>
      <c r="U84" s="46"/>
      <c r="V84" s="46"/>
      <c r="W84" s="46"/>
      <c r="X84" s="46"/>
      <c r="Y84" s="46"/>
      <c r="Z84" s="8"/>
      <c r="AA84" s="8"/>
      <c r="AB84" s="8"/>
      <c r="AC84" s="8"/>
      <c r="AD84" s="8"/>
      <c r="AE84" s="8"/>
      <c r="AF84" s="8"/>
      <c r="AG84" s="8"/>
      <c r="AH84" s="8"/>
      <c r="AI84" s="8"/>
      <c r="AJ84" s="8"/>
      <c r="AK84" s="8"/>
      <c r="AL84" s="8"/>
      <c r="AM84" s="8"/>
      <c r="AN84" s="8"/>
      <c r="AO84" s="8"/>
      <c r="AP84" s="8"/>
      <c r="AQ84" s="8"/>
      <c r="AR84" s="8"/>
    </row>
    <row r="85" ht="15.0" customHeight="1">
      <c r="A85" s="1"/>
      <c r="B85" s="1"/>
      <c r="C85" s="22" t="str">
        <f t="shared" si="4"/>
        <v>Rodrigo</v>
      </c>
      <c r="D85" s="2"/>
      <c r="E85" s="57" t="s">
        <v>88</v>
      </c>
      <c r="F85" s="57" t="s">
        <v>286</v>
      </c>
      <c r="G85" s="58" t="s">
        <v>300</v>
      </c>
      <c r="H85" s="2"/>
      <c r="I85" s="1"/>
      <c r="J85" s="4">
        <f t="shared" si="1"/>
        <v>0</v>
      </c>
      <c r="K85" s="5">
        <f t="shared" si="2"/>
        <v>0</v>
      </c>
      <c r="L85" s="6"/>
      <c r="M85" s="7"/>
      <c r="N85" s="46"/>
      <c r="O85" s="46"/>
      <c r="P85" s="46"/>
      <c r="Q85" s="46"/>
      <c r="R85" s="46"/>
      <c r="S85" s="46"/>
      <c r="T85" s="46"/>
      <c r="U85" s="46"/>
      <c r="V85" s="46"/>
      <c r="W85" s="46"/>
      <c r="X85" s="46"/>
      <c r="Y85" s="46"/>
      <c r="Z85" s="8"/>
      <c r="AA85" s="8"/>
      <c r="AB85" s="8"/>
      <c r="AC85" s="8"/>
      <c r="AD85" s="8"/>
      <c r="AE85" s="8"/>
      <c r="AF85" s="8"/>
      <c r="AG85" s="8"/>
      <c r="AH85" s="8"/>
      <c r="AI85" s="8"/>
      <c r="AJ85" s="8"/>
      <c r="AK85" s="8"/>
      <c r="AL85" s="8"/>
      <c r="AM85" s="8"/>
      <c r="AN85" s="8"/>
      <c r="AO85" s="8"/>
      <c r="AP85" s="8"/>
      <c r="AQ85" s="8"/>
      <c r="AR85" s="8"/>
    </row>
    <row r="86" ht="15.0" customHeight="1">
      <c r="A86" s="1"/>
      <c r="B86" s="1"/>
      <c r="C86" s="22" t="str">
        <f t="shared" si="4"/>
        <v>Rodrigo</v>
      </c>
      <c r="D86" s="2"/>
      <c r="E86" s="21"/>
      <c r="F86" s="26"/>
      <c r="G86" s="26"/>
      <c r="H86" s="2"/>
      <c r="I86" s="1"/>
      <c r="J86" s="4">
        <f t="shared" si="1"/>
        <v>0</v>
      </c>
      <c r="K86" s="5">
        <f t="shared" si="2"/>
        <v>0</v>
      </c>
      <c r="L86" s="6"/>
      <c r="M86" s="7"/>
      <c r="N86" s="46"/>
      <c r="O86" s="46"/>
      <c r="P86" s="46"/>
      <c r="Q86" s="46"/>
      <c r="R86" s="46"/>
      <c r="S86" s="46"/>
      <c r="T86" s="46"/>
      <c r="U86" s="46"/>
      <c r="V86" s="46"/>
      <c r="W86" s="46"/>
      <c r="X86" s="46"/>
      <c r="Y86" s="46"/>
      <c r="Z86" s="8"/>
      <c r="AA86" s="8"/>
      <c r="AB86" s="8"/>
      <c r="AC86" s="8"/>
      <c r="AD86" s="8"/>
      <c r="AE86" s="8"/>
      <c r="AF86" s="8"/>
      <c r="AG86" s="8"/>
      <c r="AH86" s="8"/>
      <c r="AI86" s="8"/>
      <c r="AJ86" s="8"/>
      <c r="AK86" s="8"/>
      <c r="AL86" s="8"/>
      <c r="AM86" s="8"/>
      <c r="AN86" s="8"/>
      <c r="AO86" s="8"/>
      <c r="AP86" s="8"/>
      <c r="AQ86" s="8"/>
      <c r="AR86" s="8"/>
    </row>
    <row r="87" ht="15.0" customHeight="1">
      <c r="A87" s="1"/>
      <c r="B87" s="1"/>
      <c r="C87" s="22" t="str">
        <f t="shared" si="4"/>
        <v>Rodrigo</v>
      </c>
      <c r="D87" s="2"/>
      <c r="E87" s="21"/>
      <c r="F87" s="26"/>
      <c r="G87" s="59" t="s">
        <v>225</v>
      </c>
      <c r="H87" s="2"/>
      <c r="I87" s="1"/>
      <c r="J87" s="4">
        <f t="shared" si="1"/>
        <v>0</v>
      </c>
      <c r="K87" s="5">
        <f t="shared" si="2"/>
        <v>0</v>
      </c>
      <c r="L87" s="6"/>
      <c r="M87" s="7"/>
      <c r="N87" s="46"/>
      <c r="O87" s="46"/>
      <c r="P87" s="46"/>
      <c r="Q87" s="46"/>
      <c r="R87" s="46"/>
      <c r="S87" s="46"/>
      <c r="T87" s="46"/>
      <c r="U87" s="46"/>
      <c r="V87" s="46"/>
      <c r="W87" s="46"/>
      <c r="X87" s="46"/>
      <c r="Y87" s="46"/>
      <c r="Z87" s="8"/>
      <c r="AA87" s="8"/>
      <c r="AB87" s="8"/>
      <c r="AC87" s="8"/>
      <c r="AD87" s="8"/>
      <c r="AE87" s="8"/>
      <c r="AF87" s="8"/>
      <c r="AG87" s="8"/>
      <c r="AH87" s="8"/>
      <c r="AI87" s="8"/>
      <c r="AJ87" s="8"/>
      <c r="AK87" s="8"/>
      <c r="AL87" s="8"/>
      <c r="AM87" s="8"/>
      <c r="AN87" s="8"/>
      <c r="AO87" s="8"/>
      <c r="AP87" s="8"/>
      <c r="AQ87" s="8"/>
      <c r="AR87" s="8"/>
    </row>
    <row r="88" ht="15.0" customHeight="1">
      <c r="A88" s="1"/>
      <c r="B88" s="1"/>
      <c r="C88" s="22" t="str">
        <f t="shared" si="4"/>
        <v>Rodrigo</v>
      </c>
      <c r="D88" s="2"/>
      <c r="E88" s="21"/>
      <c r="F88" s="26"/>
      <c r="G88" s="26"/>
      <c r="H88" s="2"/>
      <c r="I88" s="1"/>
      <c r="J88" s="4">
        <f t="shared" si="1"/>
        <v>0</v>
      </c>
      <c r="K88" s="5">
        <f t="shared" si="2"/>
        <v>0</v>
      </c>
      <c r="L88" s="6"/>
      <c r="M88" s="7"/>
      <c r="N88" s="46"/>
      <c r="O88" s="46"/>
      <c r="P88" s="46"/>
      <c r="Q88" s="46"/>
      <c r="R88" s="46"/>
      <c r="S88" s="46"/>
      <c r="T88" s="46"/>
      <c r="U88" s="46"/>
      <c r="V88" s="46"/>
      <c r="W88" s="46"/>
      <c r="X88" s="46"/>
      <c r="Y88" s="46"/>
      <c r="Z88" s="8"/>
      <c r="AA88" s="8"/>
      <c r="AB88" s="8"/>
      <c r="AC88" s="8"/>
      <c r="AD88" s="8"/>
      <c r="AE88" s="8"/>
      <c r="AF88" s="8"/>
      <c r="AG88" s="8"/>
      <c r="AH88" s="8"/>
      <c r="AI88" s="8"/>
      <c r="AJ88" s="8"/>
      <c r="AK88" s="8"/>
      <c r="AL88" s="8"/>
      <c r="AM88" s="8"/>
      <c r="AN88" s="8"/>
      <c r="AO88" s="8"/>
      <c r="AP88" s="8"/>
      <c r="AQ88" s="8"/>
      <c r="AR88" s="8"/>
    </row>
    <row r="89" ht="15.0" customHeight="1">
      <c r="A89" s="1"/>
      <c r="B89" s="1"/>
      <c r="C89" s="22" t="str">
        <f t="shared" si="4"/>
        <v>Nicolas</v>
      </c>
      <c r="D89" s="2"/>
      <c r="E89" s="57" t="s">
        <v>80</v>
      </c>
      <c r="F89" s="57" t="s">
        <v>286</v>
      </c>
      <c r="G89" s="58" t="s">
        <v>303</v>
      </c>
      <c r="H89" s="2"/>
      <c r="I89" s="29" t="s">
        <v>87</v>
      </c>
      <c r="J89" s="4">
        <f t="shared" si="1"/>
        <v>30</v>
      </c>
      <c r="K89" s="5">
        <f t="shared" si="2"/>
        <v>8</v>
      </c>
      <c r="L89" s="6"/>
      <c r="M89" s="7"/>
      <c r="N89" s="46"/>
      <c r="O89" s="46"/>
      <c r="P89" s="46"/>
      <c r="Q89" s="46"/>
      <c r="R89" s="46"/>
      <c r="S89" s="46"/>
      <c r="T89" s="46"/>
      <c r="U89" s="46"/>
      <c r="V89" s="46"/>
      <c r="W89" s="46"/>
      <c r="X89" s="46"/>
      <c r="Y89" s="46"/>
      <c r="Z89" s="46"/>
      <c r="AA89" s="46"/>
      <c r="AB89" s="46"/>
      <c r="AC89" s="46"/>
      <c r="AD89" s="46"/>
      <c r="AE89" s="46"/>
      <c r="AF89" s="46"/>
      <c r="AG89" s="46"/>
      <c r="AH89" s="1"/>
      <c r="AI89" s="1"/>
      <c r="AJ89" s="1"/>
      <c r="AK89" s="1"/>
      <c r="AL89" s="1"/>
      <c r="AM89" s="1"/>
      <c r="AN89" s="1"/>
      <c r="AO89" s="1"/>
      <c r="AP89" s="1"/>
      <c r="AQ89" s="1"/>
      <c r="AR89" s="9"/>
    </row>
    <row r="90" ht="15.0" customHeight="1">
      <c r="C90" s="22" t="str">
        <f t="shared" si="4"/>
        <v>Nicolas</v>
      </c>
      <c r="E90" s="21"/>
      <c r="F90" s="26"/>
      <c r="G90" s="26"/>
      <c r="I90" s="65" t="s">
        <v>127</v>
      </c>
      <c r="J90" s="4">
        <f t="shared" si="1"/>
        <v>20</v>
      </c>
      <c r="K90" s="5">
        <f t="shared" si="2"/>
        <v>9</v>
      </c>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row>
    <row r="91" ht="15.0" customHeight="1">
      <c r="C91" s="22" t="str">
        <f t="shared" si="4"/>
        <v>Nicolas</v>
      </c>
      <c r="E91" s="21"/>
      <c r="F91" s="26"/>
      <c r="G91" s="59" t="s">
        <v>225</v>
      </c>
      <c r="J91" s="4">
        <f t="shared" si="1"/>
        <v>0</v>
      </c>
      <c r="K91" s="5">
        <f t="shared" si="2"/>
        <v>0</v>
      </c>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row>
    <row r="92" ht="15.0" customHeight="1">
      <c r="C92" s="22" t="str">
        <f t="shared" si="4"/>
        <v>Nicolas</v>
      </c>
      <c r="E92" s="21"/>
      <c r="F92" s="26"/>
      <c r="G92" s="26"/>
      <c r="J92" s="4">
        <f t="shared" si="1"/>
        <v>0</v>
      </c>
      <c r="K92" s="5">
        <f t="shared" si="2"/>
        <v>0</v>
      </c>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row>
    <row r="93" ht="15.0" customHeight="1">
      <c r="C93" s="22" t="str">
        <f t="shared" si="4"/>
        <v>Rodrigo</v>
      </c>
      <c r="E93" s="57" t="s">
        <v>88</v>
      </c>
      <c r="F93" s="57" t="s">
        <v>306</v>
      </c>
      <c r="G93" s="58" t="s">
        <v>307</v>
      </c>
      <c r="I93" s="65" t="s">
        <v>68</v>
      </c>
      <c r="J93" s="4">
        <f t="shared" si="1"/>
        <v>9</v>
      </c>
      <c r="K93" s="5">
        <f t="shared" si="2"/>
        <v>11</v>
      </c>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row>
    <row r="94" ht="15.0" customHeight="1">
      <c r="C94" s="22" t="str">
        <f t="shared" si="4"/>
        <v>Rodrigo</v>
      </c>
      <c r="E94" s="21"/>
      <c r="F94" s="26"/>
      <c r="G94" s="26"/>
      <c r="J94" s="4">
        <f t="shared" si="1"/>
        <v>0</v>
      </c>
      <c r="K94" s="5">
        <f t="shared" si="2"/>
        <v>0</v>
      </c>
    </row>
    <row r="95" ht="15.0" customHeight="1">
      <c r="C95" s="22" t="str">
        <f t="shared" si="4"/>
        <v>Rodrigo</v>
      </c>
      <c r="E95" s="21"/>
      <c r="F95" s="26"/>
      <c r="G95" s="59" t="s">
        <v>225</v>
      </c>
      <c r="J95" s="4">
        <f t="shared" si="1"/>
        <v>0</v>
      </c>
      <c r="K95" s="5">
        <f t="shared" si="2"/>
        <v>0</v>
      </c>
    </row>
    <row r="96" ht="15.0" customHeight="1">
      <c r="C96" s="22" t="str">
        <f t="shared" si="4"/>
        <v>Rodrigo</v>
      </c>
      <c r="E96" s="21"/>
      <c r="F96" s="26"/>
      <c r="G96" s="26"/>
      <c r="J96" s="4">
        <f t="shared" si="1"/>
        <v>0</v>
      </c>
      <c r="K96" s="5">
        <f t="shared" si="2"/>
        <v>0</v>
      </c>
    </row>
    <row r="97" ht="15.0" customHeight="1">
      <c r="C97" s="22" t="str">
        <f t="shared" si="4"/>
        <v>Lautaro</v>
      </c>
      <c r="E97" s="57" t="s">
        <v>91</v>
      </c>
      <c r="F97" s="57" t="s">
        <v>306</v>
      </c>
      <c r="G97" s="58" t="s">
        <v>309</v>
      </c>
      <c r="I97" s="65" t="s">
        <v>209</v>
      </c>
      <c r="J97" s="4">
        <f>IF(I96=W$28,O$28,IF(I96=W$29,O$29,IF(I96=W$30,O$30,IF(I96=W$31,O$31,IF(I96=W$32,O$32,IF(I96=W$33,O$33,IF(I96=W$34,O$34,IF(I96=W$35,O$35,IF(I96=W$36,O$36,IF(I96=W$37,O$37,IF(I96=W$38,O$38,IF(I96=W$39,O$39,IF(I96=W$40,O$40,IF(I96=W$41,O$41,IF(I96=W$42,O$42,IF(I96=W$43,O$43,IF(I96=W$44,O$44,IF(I96=W$45,O$45,IF(I96=W$46,O$46,IF(I96=W$47,O$47,IF(I96=W$48,O$48,IF(I96=W$49,O$49,IF(I96=W$50,O$50,IF(I96=W$51,O$51,IF(I96=W$52,O$52,IF(I96=W$53,O$53,IF(I96=W$54,O$54,IF(I96=W$55,O$55,IF(I96=W$56,O$56,IF(I96=W$57,O$57,IF(I96=W$58,O$58,IF(I96=W$59,O$59,IF(I96=W$60,O$60,IF(I96=W$61,O$61,IF(I96=W$62,O$62,IF(I96=W$63,O$63,0))))))))))))))))))))))))))))))))))))</f>
        <v>0</v>
      </c>
      <c r="K97" s="5">
        <f>IF(I96=W$28,Z$28,IF(I96=W$29,Z$29,IF(I96=W$30,Z$30,IF(I96=W$31,Z$31,IF(I96=W$32,Z$32,IF(I96=W$33,Z$33,IF(I96=W$34,Z$34,IF(I96=W$35,Z$35,IF(I96=W$36,Z$36,IF(I96=W$37,Z$37,IF(I96=W$38,Z$38,IF(I96=W$39,Z$39,IF(I96=W$40,Z$40,IF(I96=W$41,Z$41,IF(I96=W$42,Z$42,IF(I96=W$43,Z$43,IF(I96=W$44,Z$44,IF(I96=W$45,Z$45,IF(I96=W$46,Z$46,IF(I96=W$47,Z$47,IF(I96=W$48,Z$48,IF(I96=W$49,Z$49,IF(I96=W$50,Z$50,IF(I96=W$51,Z$51,IF(I96=W$52,Z$52,IF(I96=W$53,Z$53,IF(I96=W$54,Z$54,IF(I96=W$55,Z$55,IF(I96=W$56,Z$56,IF(I96=W$57,Z$57,IF(I96=W$58,Z$58,IF(I96=W$59,Z$59,IF(I96=W$60,Z$60,IF(I96=W$61,Z$61,IF(I96=W$62,Z$62,IF(I96=W$63,Z$63,0))))))))))))))))))))))))))))))))))))</f>
        <v>0</v>
      </c>
    </row>
    <row r="98" ht="15.0" customHeight="1">
      <c r="C98" s="22" t="str">
        <f t="shared" si="4"/>
        <v>Lautaro</v>
      </c>
      <c r="E98" s="21"/>
      <c r="F98" s="26"/>
      <c r="G98" s="58" t="s">
        <v>312</v>
      </c>
      <c r="I98" s="65" t="s">
        <v>193</v>
      </c>
      <c r="J98" s="4">
        <f t="shared" ref="J98:J131" si="22">IF(I98=W$28,O$28,IF(I98=W$29,O$29,IF(I98=W$30,O$30,IF(I98=W$31,O$31,IF(I98=W$32,O$32,IF(I98=W$33,O$33,IF(I98=W$34,O$34,IF(I98=W$35,O$35,IF(I98=W$36,O$36,IF(I98=W$37,O$37,IF(I98=W$38,O$38,IF(I98=W$39,O$39,IF(I98=W$40,O$40,IF(I98=W$41,O$41,IF(I98=W$42,O$42,IF(I98=W$43,O$43,IF(I98=W$44,O$44,IF(I98=W$45,O$45,IF(I98=W$46,O$46,IF(I98=W$47,O$47,IF(I98=W$48,O$48,IF(I98=W$49,O$49,IF(I98=W$50,O$50,IF(I98=W$51,O$51,IF(I98=W$52,O$52,IF(I98=W$53,O$53,IF(I98=W$54,O$54,IF(I98=W$55,O$55,IF(I98=W$56,O$56,IF(I98=W$57,O$57,IF(I98=W$58,O$58,IF(I98=W$59,O$59,IF(I98=W$60,O$60,IF(I98=W$61,O$61,IF(I98=W$62,O$62,IF(I98=W$63,O$63,0))))))))))))))))))))))))))))))))))))</f>
        <v>17</v>
      </c>
      <c r="K98" s="5">
        <f t="shared" ref="K98:K131" si="23">IF(I98=W$28,Z$28,IF(I98=W$29,Z$29,IF(I98=W$30,Z$30,IF(I98=W$31,Z$31,IF(I98=W$32,Z$32,IF(I98=W$33,Z$33,IF(I98=W$34,Z$34,IF(I98=W$35,Z$35,IF(I98=W$36,Z$36,IF(I98=W$37,Z$37,IF(I98=W$38,Z$38,IF(I98=W$39,Z$39,IF(I98=W$40,Z$40,IF(I98=W$41,Z$41,IF(I98=W$42,Z$42,IF(I98=W$43,Z$43,IF(I98=W$44,Z$44,IF(I98=W$45,Z$45,IF(I98=W$46,Z$46,IF(I98=W$47,Z$47,IF(I98=W$48,Z$48,IF(I98=W$49,Z$49,IF(I98=W$50,Z$50,IF(I98=W$51,Z$51,IF(I98=W$52,Z$52,IF(I98=W$53,Z$53,IF(I98=W$54,Z$54,IF(I98=W$55,Z$55,IF(I98=W$56,Z$56,IF(I98=W$57,Z$57,IF(I98=W$58,Z$58,IF(I98=W$59,Z$59,IF(I98=W$60,Z$60,IF(I98=W$61,Z$61,IF(I98=W$62,Z$62,IF(I98=W$63,Z$63,0))))))))))))))))))))))))))))))))))))</f>
        <v>5</v>
      </c>
    </row>
    <row r="99" ht="15.0" customHeight="1">
      <c r="C99" s="22" t="str">
        <f t="shared" si="4"/>
        <v>Lautaro</v>
      </c>
      <c r="E99" s="21"/>
      <c r="F99" s="26"/>
      <c r="G99" s="26"/>
      <c r="J99" s="4">
        <f t="shared" si="22"/>
        <v>0</v>
      </c>
      <c r="K99" s="5">
        <f t="shared" si="23"/>
        <v>0</v>
      </c>
    </row>
    <row r="100" ht="15.0" customHeight="1">
      <c r="C100" s="22" t="str">
        <f t="shared" si="4"/>
        <v>Lautaro</v>
      </c>
      <c r="E100" s="21"/>
      <c r="F100" s="26"/>
      <c r="G100" s="59" t="s">
        <v>225</v>
      </c>
      <c r="J100" s="4">
        <f t="shared" si="22"/>
        <v>0</v>
      </c>
      <c r="K100" s="5">
        <f t="shared" si="23"/>
        <v>0</v>
      </c>
    </row>
    <row r="101" ht="15.0" customHeight="1">
      <c r="C101" s="22" t="str">
        <f t="shared" si="4"/>
        <v>Lautaro</v>
      </c>
      <c r="E101" s="21"/>
      <c r="F101" s="26"/>
      <c r="G101" s="26"/>
      <c r="J101" s="4">
        <f t="shared" si="22"/>
        <v>0</v>
      </c>
      <c r="K101" s="5">
        <f t="shared" si="23"/>
        <v>0</v>
      </c>
    </row>
    <row r="102" ht="15.0" customHeight="1">
      <c r="C102" s="22" t="str">
        <f t="shared" si="4"/>
        <v>Rodrigo</v>
      </c>
      <c r="E102" s="57" t="s">
        <v>88</v>
      </c>
      <c r="F102" s="57" t="s">
        <v>317</v>
      </c>
      <c r="G102" s="58" t="s">
        <v>318</v>
      </c>
      <c r="I102" s="65" t="s">
        <v>127</v>
      </c>
      <c r="J102" s="4">
        <f t="shared" si="22"/>
        <v>20</v>
      </c>
      <c r="K102" s="5">
        <f t="shared" si="23"/>
        <v>9</v>
      </c>
    </row>
    <row r="103" ht="15.0" customHeight="1">
      <c r="C103" s="22" t="str">
        <f t="shared" si="4"/>
        <v>Rodrigo</v>
      </c>
      <c r="E103" s="21"/>
      <c r="F103" s="26"/>
      <c r="G103" s="26"/>
      <c r="J103" s="4">
        <f t="shared" si="22"/>
        <v>0</v>
      </c>
      <c r="K103" s="5">
        <f t="shared" si="23"/>
        <v>0</v>
      </c>
    </row>
    <row r="104" ht="15.0" customHeight="1">
      <c r="C104" s="22" t="str">
        <f t="shared" si="4"/>
        <v>Rodrigo</v>
      </c>
      <c r="E104" s="21"/>
      <c r="F104" s="26"/>
      <c r="G104" s="59" t="s">
        <v>225</v>
      </c>
      <c r="J104" s="4">
        <f t="shared" si="22"/>
        <v>0</v>
      </c>
      <c r="K104" s="5">
        <f t="shared" si="23"/>
        <v>0</v>
      </c>
    </row>
    <row r="105" ht="15.0" customHeight="1">
      <c r="C105" s="22" t="str">
        <f t="shared" si="4"/>
        <v>Rodrigo</v>
      </c>
      <c r="E105" s="21"/>
      <c r="F105" s="26"/>
      <c r="G105" s="26"/>
      <c r="J105" s="4">
        <f t="shared" si="22"/>
        <v>0</v>
      </c>
      <c r="K105" s="5">
        <f t="shared" si="23"/>
        <v>0</v>
      </c>
    </row>
    <row r="106" ht="15.0" customHeight="1">
      <c r="C106" s="22" t="str">
        <f t="shared" si="4"/>
        <v>Lautaro</v>
      </c>
      <c r="E106" s="57" t="s">
        <v>91</v>
      </c>
      <c r="F106" s="57" t="s">
        <v>321</v>
      </c>
      <c r="G106" s="58" t="s">
        <v>322</v>
      </c>
      <c r="I106" s="65" t="s">
        <v>22</v>
      </c>
      <c r="J106" s="4">
        <f t="shared" si="22"/>
        <v>15</v>
      </c>
      <c r="K106" s="5">
        <f t="shared" si="23"/>
        <v>4</v>
      </c>
    </row>
    <row r="107" ht="15.0" customHeight="1">
      <c r="C107" s="22" t="str">
        <f t="shared" si="4"/>
        <v>Lautaro</v>
      </c>
      <c r="E107" s="21"/>
      <c r="F107" s="26"/>
      <c r="G107" s="58" t="s">
        <v>323</v>
      </c>
      <c r="J107" s="4">
        <f t="shared" si="22"/>
        <v>0</v>
      </c>
      <c r="K107" s="5">
        <f t="shared" si="23"/>
        <v>0</v>
      </c>
    </row>
    <row r="108" ht="15.0" customHeight="1">
      <c r="C108" s="22" t="str">
        <f t="shared" si="4"/>
        <v>Lautaro</v>
      </c>
      <c r="E108" s="21"/>
      <c r="F108" s="26"/>
      <c r="G108" s="26"/>
      <c r="J108" s="4">
        <f t="shared" si="22"/>
        <v>0</v>
      </c>
      <c r="K108" s="5">
        <f t="shared" si="23"/>
        <v>0</v>
      </c>
    </row>
    <row r="109" ht="15.0" customHeight="1">
      <c r="C109" s="22" t="str">
        <f t="shared" si="4"/>
        <v>Lautaro</v>
      </c>
      <c r="E109" s="21"/>
      <c r="F109" s="26"/>
      <c r="G109" s="59" t="s">
        <v>225</v>
      </c>
      <c r="J109" s="4">
        <f t="shared" si="22"/>
        <v>0</v>
      </c>
      <c r="K109" s="5">
        <f t="shared" si="23"/>
        <v>0</v>
      </c>
    </row>
    <row r="110" ht="15.0" customHeight="1">
      <c r="C110" s="22" t="str">
        <f t="shared" si="4"/>
        <v>Lautaro</v>
      </c>
      <c r="E110" s="21"/>
      <c r="F110" s="26"/>
      <c r="G110" s="26"/>
      <c r="J110" s="4">
        <f t="shared" si="22"/>
        <v>0</v>
      </c>
      <c r="K110" s="5">
        <f t="shared" si="23"/>
        <v>0</v>
      </c>
    </row>
    <row r="111" ht="15.0" customHeight="1">
      <c r="C111" s="22" t="str">
        <f t="shared" si="4"/>
        <v>Nicolas</v>
      </c>
      <c r="E111" s="57" t="s">
        <v>80</v>
      </c>
      <c r="F111" s="57" t="s">
        <v>326</v>
      </c>
      <c r="G111" s="58" t="s">
        <v>327</v>
      </c>
      <c r="J111" s="4">
        <f t="shared" si="22"/>
        <v>0</v>
      </c>
      <c r="K111" s="5">
        <f t="shared" si="23"/>
        <v>0</v>
      </c>
    </row>
    <row r="112" ht="15.0" customHeight="1">
      <c r="C112" s="22" t="str">
        <f t="shared" si="4"/>
        <v>Nicolas</v>
      </c>
      <c r="E112" s="21"/>
      <c r="F112" s="26"/>
      <c r="G112" s="58" t="s">
        <v>328</v>
      </c>
      <c r="I112" s="65" t="s">
        <v>175</v>
      </c>
      <c r="J112" s="4">
        <f t="shared" si="22"/>
        <v>35</v>
      </c>
      <c r="K112" s="5">
        <f t="shared" si="23"/>
        <v>6</v>
      </c>
    </row>
    <row r="113" ht="15.0" customHeight="1">
      <c r="C113" s="22" t="str">
        <f t="shared" si="4"/>
        <v>Nicolas</v>
      </c>
      <c r="E113" s="21"/>
      <c r="F113" s="26"/>
      <c r="G113" s="58" t="s">
        <v>329</v>
      </c>
      <c r="J113" s="4">
        <f t="shared" si="22"/>
        <v>0</v>
      </c>
      <c r="K113" s="5">
        <f t="shared" si="23"/>
        <v>0</v>
      </c>
    </row>
    <row r="114" ht="15.0" customHeight="1">
      <c r="C114" s="22" t="str">
        <f t="shared" si="4"/>
        <v>Nicolas</v>
      </c>
      <c r="E114" s="21"/>
      <c r="F114" s="26"/>
      <c r="G114" s="58" t="s">
        <v>330</v>
      </c>
      <c r="J114" s="4">
        <f t="shared" si="22"/>
        <v>0</v>
      </c>
      <c r="K114" s="5">
        <f t="shared" si="23"/>
        <v>0</v>
      </c>
    </row>
    <row r="115" ht="15.0" customHeight="1">
      <c r="C115" s="22" t="str">
        <f t="shared" si="4"/>
        <v>Nicolas</v>
      </c>
      <c r="E115" s="21"/>
      <c r="F115" s="26"/>
      <c r="G115" s="26"/>
      <c r="J115" s="4">
        <f t="shared" si="22"/>
        <v>0</v>
      </c>
      <c r="K115" s="5">
        <f t="shared" si="23"/>
        <v>0</v>
      </c>
    </row>
    <row r="116" ht="15.0" customHeight="1">
      <c r="C116" s="22" t="str">
        <f t="shared" si="4"/>
        <v>Nicolas</v>
      </c>
      <c r="E116" s="21"/>
      <c r="F116" s="26"/>
      <c r="G116" s="59" t="s">
        <v>225</v>
      </c>
      <c r="J116" s="4">
        <f t="shared" si="22"/>
        <v>0</v>
      </c>
      <c r="K116" s="5">
        <f t="shared" si="23"/>
        <v>0</v>
      </c>
    </row>
    <row r="117" ht="15.0" customHeight="1">
      <c r="C117" s="22" t="str">
        <f t="shared" si="4"/>
        <v>Nicolas</v>
      </c>
      <c r="E117" s="21"/>
      <c r="F117" s="26"/>
      <c r="G117" s="26"/>
      <c r="J117" s="4">
        <f t="shared" si="22"/>
        <v>0</v>
      </c>
      <c r="K117" s="5">
        <f t="shared" si="23"/>
        <v>0</v>
      </c>
    </row>
    <row r="118" ht="15.0" customHeight="1">
      <c r="C118" s="22" t="str">
        <f t="shared" si="4"/>
        <v>Lautaro</v>
      </c>
      <c r="E118" s="57" t="s">
        <v>91</v>
      </c>
      <c r="F118" s="57" t="s">
        <v>331</v>
      </c>
      <c r="G118" s="58" t="s">
        <v>332</v>
      </c>
      <c r="I118" s="65" t="s">
        <v>171</v>
      </c>
      <c r="J118" s="4">
        <f t="shared" si="22"/>
        <v>11</v>
      </c>
      <c r="K118" s="5">
        <f t="shared" si="23"/>
        <v>5</v>
      </c>
    </row>
    <row r="119" ht="15.0" customHeight="1">
      <c r="C119" s="22" t="str">
        <f t="shared" si="4"/>
        <v>Lautaro</v>
      </c>
      <c r="E119" s="21"/>
      <c r="F119" s="26"/>
      <c r="G119" s="26"/>
      <c r="J119" s="4">
        <f t="shared" si="22"/>
        <v>0</v>
      </c>
      <c r="K119" s="5">
        <f t="shared" si="23"/>
        <v>0</v>
      </c>
    </row>
    <row r="120" ht="15.0" customHeight="1">
      <c r="C120" s="22" t="str">
        <f t="shared" si="4"/>
        <v>Lautaro</v>
      </c>
      <c r="E120" s="21"/>
      <c r="F120" s="26"/>
      <c r="G120" s="59" t="s">
        <v>225</v>
      </c>
      <c r="J120" s="4">
        <f t="shared" si="22"/>
        <v>0</v>
      </c>
      <c r="K120" s="5">
        <f t="shared" si="23"/>
        <v>0</v>
      </c>
    </row>
    <row r="121" ht="15.0" customHeight="1">
      <c r="C121" s="22" t="str">
        <f t="shared" si="4"/>
        <v>Lautaro</v>
      </c>
      <c r="E121" s="21"/>
      <c r="F121" s="26"/>
      <c r="G121" s="26"/>
      <c r="J121" s="4">
        <f t="shared" si="22"/>
        <v>0</v>
      </c>
      <c r="K121" s="5">
        <f t="shared" si="23"/>
        <v>0</v>
      </c>
    </row>
    <row r="122" ht="15.0" customHeight="1">
      <c r="C122" s="22" t="str">
        <f t="shared" si="4"/>
        <v>Nicolas</v>
      </c>
      <c r="E122" s="57" t="s">
        <v>80</v>
      </c>
      <c r="F122" s="57" t="s">
        <v>333</v>
      </c>
      <c r="G122" s="58" t="s">
        <v>334</v>
      </c>
      <c r="I122" s="65" t="s">
        <v>175</v>
      </c>
      <c r="J122" s="4">
        <f t="shared" si="22"/>
        <v>35</v>
      </c>
      <c r="K122" s="5">
        <f t="shared" si="23"/>
        <v>6</v>
      </c>
    </row>
    <row r="123" ht="15.0" customHeight="1">
      <c r="C123" s="22" t="str">
        <f t="shared" si="4"/>
        <v>Nicolas</v>
      </c>
      <c r="E123" s="21"/>
      <c r="F123" s="26"/>
      <c r="G123" s="26"/>
      <c r="J123" s="4">
        <f t="shared" si="22"/>
        <v>0</v>
      </c>
      <c r="K123" s="5">
        <f t="shared" si="23"/>
        <v>0</v>
      </c>
    </row>
    <row r="124" ht="15.0" customHeight="1">
      <c r="C124" s="22" t="str">
        <f t="shared" si="4"/>
        <v>Nicolas</v>
      </c>
      <c r="E124" s="21"/>
      <c r="F124" s="26"/>
      <c r="G124" s="59" t="s">
        <v>225</v>
      </c>
      <c r="J124" s="4">
        <f t="shared" si="22"/>
        <v>0</v>
      </c>
      <c r="K124" s="5">
        <f t="shared" si="23"/>
        <v>0</v>
      </c>
    </row>
    <row r="125" ht="15.0" customHeight="1">
      <c r="C125" s="22" t="str">
        <f t="shared" si="4"/>
        <v>Nicolas</v>
      </c>
      <c r="E125" s="21"/>
      <c r="F125" s="26"/>
      <c r="G125" s="26"/>
      <c r="J125" s="4">
        <f t="shared" si="22"/>
        <v>0</v>
      </c>
      <c r="K125" s="5">
        <f t="shared" si="23"/>
        <v>0</v>
      </c>
    </row>
    <row r="126" ht="15.0" customHeight="1">
      <c r="C126" s="22" t="str">
        <f t="shared" si="4"/>
        <v>Lautaro</v>
      </c>
      <c r="E126" s="57" t="s">
        <v>91</v>
      </c>
      <c r="F126" s="57" t="s">
        <v>336</v>
      </c>
      <c r="G126" s="58" t="s">
        <v>337</v>
      </c>
      <c r="I126" s="65" t="s">
        <v>87</v>
      </c>
      <c r="J126" s="4">
        <f t="shared" si="22"/>
        <v>30</v>
      </c>
      <c r="K126" s="5">
        <f t="shared" si="23"/>
        <v>8</v>
      </c>
    </row>
    <row r="127" ht="15.0" customHeight="1">
      <c r="C127" s="22" t="str">
        <f t="shared" si="4"/>
        <v>Lautaro</v>
      </c>
      <c r="E127" s="21"/>
      <c r="F127" s="26"/>
      <c r="G127" s="26"/>
      <c r="J127" s="4">
        <f t="shared" si="22"/>
        <v>0</v>
      </c>
      <c r="K127" s="5">
        <f t="shared" si="23"/>
        <v>0</v>
      </c>
    </row>
    <row r="128" ht="15.0" customHeight="1">
      <c r="C128" s="22" t="str">
        <f t="shared" si="4"/>
        <v>Lautaro</v>
      </c>
      <c r="E128" s="21"/>
      <c r="F128" s="26"/>
      <c r="G128" s="59" t="s">
        <v>225</v>
      </c>
      <c r="J128" s="4">
        <f t="shared" si="22"/>
        <v>0</v>
      </c>
      <c r="K128" s="5">
        <f t="shared" si="23"/>
        <v>0</v>
      </c>
    </row>
    <row r="129" ht="15.0" customHeight="1">
      <c r="C129" s="22" t="str">
        <f t="shared" si="4"/>
        <v>Lautaro</v>
      </c>
      <c r="E129" s="21"/>
      <c r="F129" s="26"/>
      <c r="G129" s="26"/>
      <c r="J129" s="4">
        <f t="shared" si="22"/>
        <v>0</v>
      </c>
      <c r="K129" s="5">
        <f t="shared" si="23"/>
        <v>0</v>
      </c>
    </row>
    <row r="130" ht="15.0" customHeight="1">
      <c r="C130" s="22" t="str">
        <f t="shared" si="4"/>
        <v>Nicolas</v>
      </c>
      <c r="E130" s="57" t="s">
        <v>80</v>
      </c>
      <c r="F130" s="57" t="s">
        <v>340</v>
      </c>
      <c r="G130" s="58" t="s">
        <v>341</v>
      </c>
      <c r="I130" s="65" t="s">
        <v>226</v>
      </c>
      <c r="J130" s="4">
        <f t="shared" si="22"/>
        <v>26</v>
      </c>
      <c r="K130" s="5">
        <f t="shared" si="23"/>
        <v>3</v>
      </c>
    </row>
    <row r="131" ht="15.0" customHeight="1">
      <c r="E131" s="21"/>
      <c r="F131" s="26"/>
      <c r="G131" s="26"/>
      <c r="J131" s="4">
        <f t="shared" si="22"/>
        <v>0</v>
      </c>
      <c r="K131" s="5">
        <f t="shared" si="23"/>
        <v>0</v>
      </c>
    </row>
    <row r="132" ht="15.0" customHeight="1"/>
    <row r="133" ht="15.0" customHeight="1"/>
    <row r="134" ht="15.0" customHeight="1"/>
    <row r="135" ht="15.0" customHeight="1"/>
    <row r="136" ht="15.0" customHeight="1"/>
    <row r="137" ht="15.0" customHeight="1"/>
    <row r="138" ht="15.0" customHeight="1"/>
    <row r="139" ht="15.0" customHeight="1"/>
    <row r="140" ht="15.0" customHeight="1"/>
    <row r="141" ht="15.0" customHeight="1"/>
    <row r="142" ht="15.0" customHeight="1"/>
    <row r="143" ht="15.0" customHeight="1"/>
    <row r="144" ht="15.0" customHeight="1"/>
    <row r="145" ht="15.0" customHeight="1"/>
    <row r="146" ht="15.0" customHeight="1"/>
    <row r="147" ht="15.0" customHeight="1"/>
    <row r="148" ht="15.0" customHeight="1"/>
    <row r="149" ht="15.0" customHeight="1"/>
    <row r="150" ht="15.0" customHeight="1"/>
    <row r="151" ht="15.0" customHeight="1"/>
    <row r="152" ht="15.0" customHeight="1"/>
    <row r="153" ht="15.0" customHeight="1"/>
    <row r="154" ht="15.0" customHeight="1"/>
    <row r="155" ht="15.0" customHeight="1"/>
    <row r="156" ht="15.0" customHeight="1"/>
    <row r="157" ht="15.0" customHeight="1"/>
    <row r="158" ht="15.0" customHeight="1"/>
    <row r="159" ht="15.0" customHeight="1"/>
    <row r="160" ht="15.0" customHeight="1"/>
    <row r="161" ht="15.0" customHeight="1"/>
    <row r="162" ht="15.0" customHeight="1"/>
    <row r="163" ht="15.0" customHeight="1"/>
    <row r="164" ht="15.0" customHeight="1"/>
    <row r="165" ht="15.0" customHeight="1"/>
    <row r="166" ht="15.0" customHeight="1"/>
    <row r="167" ht="15.0" customHeight="1"/>
    <row r="168" ht="15.0" customHeight="1"/>
    <row r="169" ht="15.0" customHeight="1"/>
    <row r="170" ht="15.0" customHeight="1"/>
    <row r="171" ht="15.0" customHeight="1"/>
    <row r="172" ht="15.0" customHeight="1"/>
    <row r="173" ht="15.0" customHeight="1"/>
    <row r="174" ht="15.0" customHeight="1"/>
    <row r="175" ht="15.0" customHeight="1"/>
    <row r="176" ht="15.0" customHeight="1"/>
    <row r="177" ht="15.0" customHeight="1"/>
    <row r="178" ht="15.0" customHeight="1"/>
    <row r="179" ht="15.0" customHeight="1"/>
    <row r="180" ht="15.0" customHeight="1"/>
    <row r="181" ht="15.0" customHeight="1"/>
    <row r="182" ht="15.0" customHeight="1"/>
    <row r="183" ht="15.0" customHeight="1"/>
    <row r="184" ht="15.0" customHeight="1"/>
    <row r="185" ht="15.0" customHeight="1"/>
    <row r="186" ht="15.0" customHeight="1"/>
    <row r="187" ht="15.0" customHeight="1"/>
    <row r="188" ht="15.0" customHeight="1"/>
    <row r="189" ht="15.0" customHeight="1"/>
    <row r="190" ht="15.0" customHeight="1"/>
    <row r="191" ht="15.0" customHeight="1"/>
    <row r="192" ht="15.0" customHeight="1"/>
    <row r="193" ht="15.0" customHeight="1"/>
    <row r="194" ht="15.0" customHeight="1"/>
    <row r="195" ht="15.0" customHeight="1"/>
    <row r="196" ht="15.0" customHeight="1"/>
    <row r="197" ht="15.0" customHeight="1"/>
    <row r="198" ht="15.0" customHeight="1"/>
    <row r="199" ht="15.0" customHeight="1"/>
    <row r="200" ht="15.0" customHeight="1"/>
    <row r="201" ht="15.0" customHeight="1"/>
    <row r="202" ht="15.0" customHeight="1"/>
    <row r="203" ht="15.0" customHeight="1"/>
    <row r="204" ht="15.0" customHeight="1"/>
    <row r="205" ht="15.0" customHeight="1"/>
    <row r="206" ht="15.0" customHeight="1"/>
    <row r="207" ht="15.0" customHeight="1"/>
    <row r="208" ht="15.0" customHeight="1"/>
    <row r="209" ht="15.0" customHeight="1"/>
    <row r="210" ht="15.0" customHeight="1"/>
    <row r="211" ht="15.0" customHeight="1"/>
  </sheetData>
  <dataValidations>
    <dataValidation type="list" allowBlank="1" showErrorMessage="1" sqref="I3:I5 I7:I16 I18:I49 I51:I62 I64:I211">
      <formula1>$W$28:$W$63</formula1>
    </dataValidation>
    <dataValidation type="list" allowBlank="1" showErrorMessage="1" sqref="K1:K2">
      <formula1>$O$4:$O$15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1.38"/>
    <col customWidth="1" min="2" max="2" width="0.88"/>
    <col customWidth="1" min="3" max="3" width="7.63"/>
    <col customWidth="1" min="4" max="4" width="1.0"/>
    <col customWidth="1" min="5" max="5" width="12.5"/>
    <col customWidth="1" min="6" max="6" width="1.13"/>
    <col customWidth="1" min="7" max="7" width="48.25"/>
    <col customWidth="1" min="8" max="8" width="2.38"/>
    <col customWidth="1" min="9" max="9" width="28.1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18.0"/>
    <col customWidth="1" min="39" max="39" width="85.25"/>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1"/>
      <c r="G1" s="3"/>
      <c r="H1" s="2"/>
      <c r="I1" s="1"/>
      <c r="J1" s="4"/>
      <c r="K1" s="5"/>
      <c r="L1" s="6"/>
      <c r="M1" s="7"/>
      <c r="N1" s="8"/>
      <c r="O1" s="8"/>
      <c r="P1" s="8"/>
      <c r="Q1" s="8"/>
      <c r="R1" s="8"/>
      <c r="S1" s="8"/>
      <c r="T1" s="8"/>
      <c r="U1" s="8"/>
      <c r="V1" s="8"/>
      <c r="W1" s="8"/>
      <c r="X1" s="8"/>
      <c r="Y1" s="8"/>
      <c r="Z1" s="8"/>
      <c r="AA1" s="8"/>
      <c r="AB1" s="8"/>
      <c r="AC1" s="8"/>
      <c r="AD1" s="8"/>
      <c r="AE1" s="8"/>
      <c r="AF1" s="8"/>
      <c r="AG1" s="8"/>
      <c r="AH1" s="8"/>
      <c r="AI1" s="8"/>
      <c r="AJ1" s="1"/>
      <c r="AK1" s="1"/>
      <c r="AL1" s="1"/>
      <c r="AM1" s="1"/>
      <c r="AN1" s="1"/>
      <c r="AO1" s="1"/>
      <c r="AP1" s="1"/>
      <c r="AQ1" s="1"/>
      <c r="AR1" s="9"/>
    </row>
    <row r="2" ht="18.0" customHeight="1">
      <c r="A2" s="10" t="s">
        <v>0</v>
      </c>
      <c r="B2" s="10" t="s">
        <v>1</v>
      </c>
      <c r="C2" s="10" t="s">
        <v>2</v>
      </c>
      <c r="D2" s="11"/>
      <c r="E2" s="10" t="s">
        <v>1</v>
      </c>
      <c r="F2" s="10" t="s">
        <v>3</v>
      </c>
      <c r="G2" s="12" t="s">
        <v>4</v>
      </c>
      <c r="H2" s="11"/>
      <c r="I2" s="10" t="s">
        <v>5</v>
      </c>
      <c r="J2" s="13" t="s">
        <v>6</v>
      </c>
      <c r="K2" s="14" t="s">
        <v>7</v>
      </c>
      <c r="L2" s="15"/>
      <c r="M2" s="16"/>
      <c r="N2" s="17" t="s">
        <v>8</v>
      </c>
      <c r="O2" s="17"/>
      <c r="P2" s="17" t="s">
        <v>9</v>
      </c>
      <c r="Q2" s="17" t="s">
        <v>10</v>
      </c>
      <c r="R2" s="17"/>
      <c r="S2" s="17" t="s">
        <v>11</v>
      </c>
      <c r="T2" s="17"/>
      <c r="U2" s="17"/>
      <c r="V2" s="17"/>
      <c r="W2" s="17" t="s">
        <v>12</v>
      </c>
      <c r="X2" s="17"/>
      <c r="Y2" s="17"/>
      <c r="Z2" s="17"/>
      <c r="AA2" s="17"/>
      <c r="AB2" s="17"/>
      <c r="AC2" s="17"/>
      <c r="AD2" s="17"/>
      <c r="AE2" s="17"/>
      <c r="AF2" s="17"/>
      <c r="AG2" s="17"/>
      <c r="AH2" s="17"/>
      <c r="AI2" s="17"/>
      <c r="AJ2" s="18"/>
      <c r="AK2" s="18"/>
      <c r="AL2" s="18"/>
      <c r="AM2" s="18"/>
      <c r="AN2" s="18"/>
      <c r="AO2" s="18"/>
      <c r="AP2" s="18"/>
      <c r="AQ2" s="18"/>
      <c r="AR2" s="18"/>
    </row>
    <row r="3" ht="18.75" customHeight="1">
      <c r="A3" s="1"/>
      <c r="B3" s="1"/>
      <c r="C3" s="1"/>
      <c r="D3" s="2"/>
      <c r="E3" s="19"/>
      <c r="F3" s="20">
        <v>41960.0</v>
      </c>
      <c r="G3" s="21"/>
      <c r="H3" s="2"/>
      <c r="I3" s="1"/>
      <c r="J3" s="4">
        <f t="shared" ref="J3:J397"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5">
        <f t="shared" ref="K3:K397"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6"/>
      <c r="M3" s="7"/>
      <c r="N3" s="17"/>
      <c r="O3" s="17" t="s">
        <v>13</v>
      </c>
      <c r="P3" s="8">
        <f>COUNTIFS(K$3:K$396,"&gt;0")</f>
        <v>86</v>
      </c>
      <c r="Q3" s="8">
        <f t="shared" ref="Q3:Q15" si="3">(P3/P$3)*100</f>
        <v>100</v>
      </c>
      <c r="R3" s="8"/>
      <c r="S3" s="8"/>
      <c r="T3" s="8"/>
      <c r="U3" s="8"/>
      <c r="V3" s="8"/>
      <c r="W3" s="17" t="s">
        <v>14</v>
      </c>
      <c r="X3" s="17" t="s">
        <v>15</v>
      </c>
      <c r="Y3" s="17" t="s">
        <v>16</v>
      </c>
      <c r="Z3" s="17" t="s">
        <v>17</v>
      </c>
      <c r="AA3" s="8"/>
      <c r="AB3" s="17" t="s">
        <v>18</v>
      </c>
      <c r="AC3" s="17" t="s">
        <v>19</v>
      </c>
      <c r="AD3" s="8"/>
      <c r="AE3" s="8"/>
      <c r="AF3" s="8"/>
      <c r="AG3" s="8"/>
      <c r="AH3" s="8"/>
      <c r="AI3" s="8"/>
      <c r="AJ3" s="1"/>
      <c r="AK3" s="1"/>
      <c r="AL3" s="1"/>
      <c r="AM3" s="1"/>
      <c r="AN3" s="1"/>
      <c r="AO3" s="1"/>
      <c r="AP3" s="1"/>
      <c r="AQ3" s="1"/>
      <c r="AR3" s="9"/>
    </row>
    <row r="4" ht="16.5" customHeight="1">
      <c r="A4" s="1"/>
      <c r="B4" s="1"/>
      <c r="C4" s="22" t="str">
        <f t="shared" ref="C4:C396" si="4">IF(E4="",C3,E4)</f>
        <v/>
      </c>
      <c r="D4" s="2"/>
      <c r="E4" s="24"/>
      <c r="F4" s="26"/>
      <c r="G4" s="26"/>
      <c r="H4" s="2"/>
      <c r="I4" s="1"/>
      <c r="J4" s="4">
        <f t="shared" si="1"/>
        <v>0</v>
      </c>
      <c r="K4" s="5">
        <f t="shared" si="2"/>
        <v>0</v>
      </c>
      <c r="L4" s="6"/>
      <c r="M4" s="7"/>
      <c r="N4" s="17" t="s">
        <v>23</v>
      </c>
      <c r="O4" s="17">
        <v>1.0</v>
      </c>
      <c r="P4" s="8">
        <f t="shared" ref="P4:P15" si="5">COUNTIF(K$3:K$396,O4)</f>
        <v>12</v>
      </c>
      <c r="Q4" s="8">
        <f t="shared" si="3"/>
        <v>13.95348837</v>
      </c>
      <c r="R4" s="8"/>
      <c r="S4" s="8" t="str">
        <f>IF(Q4&gt;5,"Problema de Reintegración",0)</f>
        <v>Problema de Reintegración</v>
      </c>
      <c r="T4" s="8">
        <v>0.0</v>
      </c>
      <c r="U4" s="8"/>
      <c r="V4" s="8"/>
      <c r="W4" s="17" t="s">
        <v>24</v>
      </c>
      <c r="X4" s="17" t="s">
        <v>25</v>
      </c>
      <c r="Y4" s="17">
        <f>30/100</f>
        <v>0.3</v>
      </c>
      <c r="Z4" s="17">
        <f>14/100</f>
        <v>0.14</v>
      </c>
      <c r="AA4" s="8"/>
      <c r="AB4" s="8">
        <v>1.0</v>
      </c>
      <c r="AC4" s="8"/>
      <c r="AD4" s="8">
        <f>IF(AC4&gt;5,"Problema de Reintegración",0)</f>
        <v>0</v>
      </c>
      <c r="AE4" s="8">
        <v>0.0</v>
      </c>
      <c r="AF4" s="8" t="s">
        <v>26</v>
      </c>
      <c r="AG4" s="8"/>
      <c r="AH4" s="8"/>
      <c r="AI4" s="8"/>
      <c r="AJ4" s="1"/>
      <c r="AK4" s="1"/>
      <c r="AL4" s="1"/>
      <c r="AM4" s="1"/>
      <c r="AN4" s="1"/>
      <c r="AO4" s="1"/>
      <c r="AP4" s="1"/>
      <c r="AQ4" s="1"/>
      <c r="AR4" s="9"/>
    </row>
    <row r="5" ht="18.0" customHeight="1">
      <c r="A5" s="1"/>
      <c r="B5" s="1"/>
      <c r="C5" s="22" t="str">
        <f t="shared" si="4"/>
        <v/>
      </c>
      <c r="D5" s="2"/>
      <c r="E5" s="24"/>
      <c r="F5" s="26"/>
      <c r="G5" s="26"/>
      <c r="H5" s="2"/>
      <c r="I5" s="1"/>
      <c r="J5" s="4">
        <f t="shared" si="1"/>
        <v>0</v>
      </c>
      <c r="K5" s="5">
        <f t="shared" si="2"/>
        <v>0</v>
      </c>
      <c r="L5" s="6"/>
      <c r="M5" s="7"/>
      <c r="N5" s="17" t="s">
        <v>28</v>
      </c>
      <c r="O5" s="17">
        <v>2.0</v>
      </c>
      <c r="P5" s="8">
        <f t="shared" si="5"/>
        <v>0</v>
      </c>
      <c r="Q5" s="8">
        <f t="shared" si="3"/>
        <v>0</v>
      </c>
      <c r="R5" s="8"/>
      <c r="S5" s="8" t="str">
        <f>IF(Q5&lt;=14,,"Problema de Tensión")</f>
        <v/>
      </c>
      <c r="T5" s="8" t="str">
        <f>IF(Q5&gt;=3,,"Problema de Tensión")</f>
        <v>Problema de Tensión</v>
      </c>
      <c r="U5" s="8"/>
      <c r="V5" s="8"/>
      <c r="W5" s="17" t="s">
        <v>24</v>
      </c>
      <c r="X5" s="17" t="s">
        <v>29</v>
      </c>
      <c r="Y5" s="17">
        <f>11/100</f>
        <v>0.11</v>
      </c>
      <c r="Z5" s="17">
        <f>2/100</f>
        <v>0.02</v>
      </c>
      <c r="AA5" s="8"/>
      <c r="AB5" s="8">
        <v>2.0</v>
      </c>
      <c r="AC5" s="8"/>
      <c r="AD5" s="8" t="str">
        <f>IF(AC5&lt;=14,,"Problema de Tensión")</f>
        <v/>
      </c>
      <c r="AE5" s="8" t="str">
        <f>IF(AC5&gt;=3,,"Problema de Tensión")</f>
        <v>Problema de Tensión</v>
      </c>
      <c r="AF5" s="8" t="s">
        <v>26</v>
      </c>
      <c r="AG5" s="8"/>
      <c r="AH5" s="8"/>
      <c r="AI5" s="8"/>
      <c r="AJ5" s="1"/>
      <c r="AK5" s="1"/>
      <c r="AL5" s="1"/>
      <c r="AM5" s="1"/>
      <c r="AN5" s="1"/>
      <c r="AO5" s="1"/>
      <c r="AP5" s="1"/>
      <c r="AQ5" s="1"/>
      <c r="AR5" s="9"/>
    </row>
    <row r="6" ht="15.75" customHeight="1">
      <c r="A6" s="1"/>
      <c r="B6" s="1"/>
      <c r="C6" s="23" t="str">
        <f t="shared" si="4"/>
        <v>Antonella Palacios</v>
      </c>
      <c r="D6" s="2"/>
      <c r="E6" s="25" t="s">
        <v>30</v>
      </c>
      <c r="F6" s="27">
        <v>0.8590277777777777</v>
      </c>
      <c r="G6" s="28" t="s">
        <v>31</v>
      </c>
      <c r="H6" s="2"/>
      <c r="I6" s="29" t="s">
        <v>32</v>
      </c>
      <c r="J6" s="4">
        <f t="shared" si="1"/>
        <v>1</v>
      </c>
      <c r="K6" s="5">
        <f t="shared" si="2"/>
        <v>5</v>
      </c>
      <c r="L6" s="6"/>
      <c r="M6" s="7"/>
      <c r="N6" s="17" t="s">
        <v>33</v>
      </c>
      <c r="O6" s="17">
        <v>3.0</v>
      </c>
      <c r="P6" s="8">
        <f t="shared" si="5"/>
        <v>14</v>
      </c>
      <c r="Q6" s="8">
        <f t="shared" si="3"/>
        <v>16.27906977</v>
      </c>
      <c r="R6" s="8"/>
      <c r="S6" s="8" t="str">
        <f>IF(Q6&lt;=20,,"Problema de Decisión")</f>
        <v/>
      </c>
      <c r="T6" s="8" t="str">
        <f>IF(Q6&gt;=6,,"Problema de Decisión")</f>
        <v/>
      </c>
      <c r="U6" s="8"/>
      <c r="V6" s="8"/>
      <c r="W6" s="17" t="s">
        <v>34</v>
      </c>
      <c r="X6" s="17" t="s">
        <v>35</v>
      </c>
      <c r="Y6" s="17">
        <f>40/100</f>
        <v>0.4</v>
      </c>
      <c r="Z6" s="17">
        <f>21/100</f>
        <v>0.21</v>
      </c>
      <c r="AA6" s="8"/>
      <c r="AB6" s="8">
        <v>3.0</v>
      </c>
      <c r="AC6" s="8"/>
      <c r="AD6" s="8" t="str">
        <f>IF(AC6&lt;=20,,"Problema de Decisión")</f>
        <v/>
      </c>
      <c r="AE6" s="8" t="str">
        <f>IF(AC6&gt;=6,,"Problema de Decisión")</f>
        <v>Problema de Decisión</v>
      </c>
      <c r="AF6" s="8" t="s">
        <v>26</v>
      </c>
      <c r="AG6" s="8"/>
      <c r="AH6" s="8"/>
      <c r="AI6" s="8"/>
      <c r="AJ6" s="1"/>
      <c r="AK6" s="1"/>
      <c r="AL6" s="1"/>
      <c r="AM6" s="1"/>
      <c r="AN6" s="1"/>
      <c r="AO6" s="1"/>
      <c r="AP6" s="1"/>
      <c r="AQ6" s="1"/>
      <c r="AR6" s="9"/>
    </row>
    <row r="7" ht="15.75" customHeight="1">
      <c r="A7" s="1"/>
      <c r="B7" s="1"/>
      <c r="C7" s="23" t="str">
        <f t="shared" si="4"/>
        <v>Antonella Palacios</v>
      </c>
      <c r="D7" s="2"/>
      <c r="E7" s="24"/>
      <c r="F7" s="26"/>
      <c r="G7" s="30" t="s">
        <v>36</v>
      </c>
      <c r="H7" s="2"/>
      <c r="I7" s="1"/>
      <c r="J7" s="4">
        <f t="shared" si="1"/>
        <v>0</v>
      </c>
      <c r="K7" s="5">
        <f t="shared" si="2"/>
        <v>0</v>
      </c>
      <c r="L7" s="6"/>
      <c r="M7" s="7"/>
      <c r="N7" s="17" t="s">
        <v>37</v>
      </c>
      <c r="O7" s="17">
        <v>4.0</v>
      </c>
      <c r="P7" s="8">
        <f t="shared" si="5"/>
        <v>8</v>
      </c>
      <c r="Q7" s="8">
        <f t="shared" si="3"/>
        <v>9.302325581</v>
      </c>
      <c r="R7" s="8"/>
      <c r="S7" s="8" t="str">
        <f>IF(Q7&lt;=11,,"Problema de Control")</f>
        <v/>
      </c>
      <c r="T7" s="8" t="str">
        <f>IF(Q7&gt;=4,,"Problema de Control")</f>
        <v/>
      </c>
      <c r="U7" s="8"/>
      <c r="V7" s="8"/>
      <c r="W7" s="17" t="s">
        <v>34</v>
      </c>
      <c r="X7" s="17" t="s">
        <v>38</v>
      </c>
      <c r="Y7" s="17">
        <f>9/100</f>
        <v>0.09</v>
      </c>
      <c r="Z7" s="17">
        <f>1/100</f>
        <v>0.01</v>
      </c>
      <c r="AA7" s="8"/>
      <c r="AB7" s="8">
        <v>4.0</v>
      </c>
      <c r="AC7" s="8"/>
      <c r="AD7" s="8" t="str">
        <f>IF(AC7&lt;=11,,"Problema de Control")</f>
        <v/>
      </c>
      <c r="AE7" s="8" t="str">
        <f>IF(AC7&gt;=4,,"Problema de Control")</f>
        <v>Problema de Control</v>
      </c>
      <c r="AF7" s="8" t="s">
        <v>26</v>
      </c>
      <c r="AG7" s="8"/>
      <c r="AH7" s="8"/>
      <c r="AI7" s="8"/>
      <c r="AJ7" s="1"/>
      <c r="AK7" s="1"/>
      <c r="AL7" s="1"/>
      <c r="AM7" s="1"/>
      <c r="AN7" s="1"/>
      <c r="AO7" s="1"/>
      <c r="AP7" s="1"/>
      <c r="AQ7" s="1"/>
      <c r="AR7" s="9"/>
    </row>
    <row r="8" ht="15.75" customHeight="1">
      <c r="A8" s="1"/>
      <c r="B8" s="1"/>
      <c r="C8" s="23" t="str">
        <f t="shared" si="4"/>
        <v>Antonella Palacios</v>
      </c>
      <c r="D8" s="2"/>
      <c r="E8" s="31"/>
      <c r="F8" s="26"/>
      <c r="G8" s="21"/>
      <c r="H8" s="2"/>
      <c r="I8" s="1"/>
      <c r="J8" s="4">
        <f t="shared" si="1"/>
        <v>0</v>
      </c>
      <c r="K8" s="5">
        <f t="shared" si="2"/>
        <v>0</v>
      </c>
      <c r="L8" s="6"/>
      <c r="M8" s="7"/>
      <c r="N8" s="17" t="s">
        <v>39</v>
      </c>
      <c r="O8" s="17">
        <v>5.0</v>
      </c>
      <c r="P8" s="8">
        <f t="shared" si="5"/>
        <v>20</v>
      </c>
      <c r="Q8" s="8">
        <f t="shared" si="3"/>
        <v>23.25581395</v>
      </c>
      <c r="R8" s="8"/>
      <c r="S8" s="8" t="str">
        <f>IF(Q8&lt;=40,,"Problema de Evaluación")</f>
        <v/>
      </c>
      <c r="T8" s="8" t="str">
        <f>IF(Q8&gt;=21,,"Problema de Evaluación")</f>
        <v/>
      </c>
      <c r="U8" s="8"/>
      <c r="V8" s="8"/>
      <c r="W8" s="17" t="s">
        <v>40</v>
      </c>
      <c r="X8" s="17" t="s">
        <v>41</v>
      </c>
      <c r="Y8" s="17">
        <f>11/100</f>
        <v>0.11</v>
      </c>
      <c r="Z8" s="17">
        <f>4/100</f>
        <v>0.04</v>
      </c>
      <c r="AA8" s="8"/>
      <c r="AB8" s="8">
        <v>5.0</v>
      </c>
      <c r="AC8" s="8"/>
      <c r="AD8" s="8" t="str">
        <f>IF(AC8&lt;=40,,"Problema de Evaluación")</f>
        <v/>
      </c>
      <c r="AE8" s="8" t="str">
        <f>IF(AC8&gt;=21,,"Problema de Evaluación")</f>
        <v>Problema de Evaluación</v>
      </c>
      <c r="AF8" s="8" t="s">
        <v>26</v>
      </c>
      <c r="AG8" s="8"/>
      <c r="AH8" s="8"/>
      <c r="AI8" s="8"/>
      <c r="AJ8" s="1"/>
      <c r="AK8" s="1"/>
      <c r="AL8" s="1"/>
      <c r="AM8" s="1"/>
      <c r="AN8" s="1"/>
      <c r="AO8" s="1"/>
      <c r="AP8" s="1"/>
      <c r="AQ8" s="1"/>
      <c r="AR8" s="9"/>
    </row>
    <row r="9" ht="15.75" customHeight="1">
      <c r="A9" s="1"/>
      <c r="B9" s="1"/>
      <c r="C9" s="23" t="str">
        <f t="shared" si="4"/>
        <v>Antonella Palacios</v>
      </c>
      <c r="D9" s="2"/>
      <c r="E9" s="19"/>
      <c r="F9" s="26"/>
      <c r="G9" s="26"/>
      <c r="H9" s="2"/>
      <c r="I9" s="1"/>
      <c r="J9" s="4">
        <f t="shared" si="1"/>
        <v>0</v>
      </c>
      <c r="K9" s="5">
        <f t="shared" si="2"/>
        <v>0</v>
      </c>
      <c r="L9" s="6"/>
      <c r="M9" s="7"/>
      <c r="N9" s="17" t="s">
        <v>42</v>
      </c>
      <c r="O9" s="17">
        <v>6.0</v>
      </c>
      <c r="P9" s="8">
        <f t="shared" si="5"/>
        <v>7</v>
      </c>
      <c r="Q9" s="8">
        <f t="shared" si="3"/>
        <v>8.139534884</v>
      </c>
      <c r="R9" s="8"/>
      <c r="S9" s="8" t="str">
        <f>IF(Q9&lt;=30,,"Problema de Comunicación")</f>
        <v/>
      </c>
      <c r="T9" s="8" t="str">
        <f>IF(Q9&gt;=14,,"Problema de Comunicación")</f>
        <v>Problema de Comunicación</v>
      </c>
      <c r="U9" s="8"/>
      <c r="V9" s="8"/>
      <c r="W9" s="17" t="s">
        <v>40</v>
      </c>
      <c r="X9" s="17" t="s">
        <v>43</v>
      </c>
      <c r="Y9" s="17">
        <f>5/100</f>
        <v>0.05</v>
      </c>
      <c r="Z9" s="17">
        <v>0.0</v>
      </c>
      <c r="AA9" s="8"/>
      <c r="AB9" s="8">
        <v>6.0</v>
      </c>
      <c r="AC9" s="8"/>
      <c r="AD9" s="8" t="str">
        <f>IF(AC9&lt;=30,,"Problema de Comunicación")</f>
        <v/>
      </c>
      <c r="AE9" s="8" t="str">
        <f>IF(AC9&gt;=14,,"Problema de Comunicación")</f>
        <v>Problema de Comunicación</v>
      </c>
      <c r="AF9" s="8" t="s">
        <v>26</v>
      </c>
      <c r="AG9" s="8"/>
      <c r="AH9" s="8"/>
      <c r="AI9" s="8"/>
      <c r="AJ9" s="1"/>
      <c r="AK9" s="1"/>
      <c r="AL9" s="1"/>
      <c r="AM9" s="1"/>
      <c r="AN9" s="1"/>
      <c r="AO9" s="1"/>
      <c r="AP9" s="1"/>
      <c r="AQ9" s="1"/>
      <c r="AR9" s="9"/>
    </row>
    <row r="10" ht="15.75" customHeight="1">
      <c r="A10" s="1"/>
      <c r="B10" s="1"/>
      <c r="C10" s="23" t="str">
        <f t="shared" si="4"/>
        <v>Antonella Palacios</v>
      </c>
      <c r="D10" s="2"/>
      <c r="E10" s="24"/>
      <c r="F10" s="26"/>
      <c r="G10" s="26"/>
      <c r="H10" s="2"/>
      <c r="I10" s="1"/>
      <c r="J10" s="4">
        <f t="shared" si="1"/>
        <v>0</v>
      </c>
      <c r="K10" s="5">
        <f t="shared" si="2"/>
        <v>0</v>
      </c>
      <c r="L10" s="6"/>
      <c r="M10" s="7"/>
      <c r="N10" s="17" t="s">
        <v>44</v>
      </c>
      <c r="O10" s="17">
        <v>7.0</v>
      </c>
      <c r="P10" s="8">
        <f t="shared" si="5"/>
        <v>3</v>
      </c>
      <c r="Q10" s="8">
        <f t="shared" si="3"/>
        <v>3.488372093</v>
      </c>
      <c r="R10" s="8"/>
      <c r="S10" s="8" t="str">
        <f>IF(Q10&lt;=11,,"Problema de Comunicación")</f>
        <v/>
      </c>
      <c r="T10" s="8" t="str">
        <f>IF(Q10&gt;=2,,"Problema de Comunicación")</f>
        <v/>
      </c>
      <c r="U10" s="8"/>
      <c r="V10" s="8"/>
      <c r="W10" s="17" t="s">
        <v>45</v>
      </c>
      <c r="X10" s="17" t="s">
        <v>46</v>
      </c>
      <c r="Y10" s="17">
        <f>20/100</f>
        <v>0.2</v>
      </c>
      <c r="Z10" s="17">
        <f>6/100</f>
        <v>0.06</v>
      </c>
      <c r="AA10" s="8"/>
      <c r="AB10" s="8">
        <v>7.0</v>
      </c>
      <c r="AC10" s="8"/>
      <c r="AD10" s="8" t="str">
        <f>IF(AC10&lt;=11,,"Problema de Comunicación")</f>
        <v/>
      </c>
      <c r="AE10" s="8" t="str">
        <f>IF(AC10&gt;=2,,"Problema de Comunicación")</f>
        <v>Problema de Comunicación</v>
      </c>
      <c r="AF10" s="8" t="s">
        <v>26</v>
      </c>
      <c r="AG10" s="8"/>
      <c r="AH10" s="8"/>
      <c r="AI10" s="8"/>
      <c r="AJ10" s="1"/>
      <c r="AK10" s="1"/>
      <c r="AL10" s="1"/>
      <c r="AM10" s="1"/>
      <c r="AN10" s="1"/>
      <c r="AO10" s="1"/>
      <c r="AP10" s="1"/>
      <c r="AQ10" s="1"/>
      <c r="AR10" s="9"/>
    </row>
    <row r="11" ht="15.75" customHeight="1">
      <c r="A11" s="1"/>
      <c r="B11" s="1"/>
      <c r="C11" s="23" t="str">
        <f t="shared" si="4"/>
        <v>Mariano Cocirio</v>
      </c>
      <c r="D11" s="2"/>
      <c r="E11" s="35" t="s">
        <v>51</v>
      </c>
      <c r="F11" s="21" t="s">
        <v>52</v>
      </c>
      <c r="G11" s="21" t="s">
        <v>53</v>
      </c>
      <c r="H11" s="2"/>
      <c r="I11" s="1"/>
      <c r="J11" s="4">
        <f t="shared" si="1"/>
        <v>0</v>
      </c>
      <c r="K11" s="5">
        <f t="shared" si="2"/>
        <v>0</v>
      </c>
      <c r="L11" s="6"/>
      <c r="M11" s="7"/>
      <c r="N11" s="17" t="s">
        <v>49</v>
      </c>
      <c r="O11" s="17">
        <v>8.0</v>
      </c>
      <c r="P11" s="8">
        <f t="shared" si="5"/>
        <v>13</v>
      </c>
      <c r="Q11" s="8">
        <f t="shared" si="3"/>
        <v>15.11627907</v>
      </c>
      <c r="R11" s="8"/>
      <c r="S11" s="8" t="str">
        <f>IF(Q11&lt;=9,,"Problema de Evaluación")</f>
        <v>Problema de Evaluación</v>
      </c>
      <c r="T11" s="8" t="str">
        <f>IF(Q11&gt;=1,,"Problema de Evaluación")</f>
        <v/>
      </c>
      <c r="U11" s="8"/>
      <c r="V11" s="8"/>
      <c r="W11" s="17" t="s">
        <v>45</v>
      </c>
      <c r="X11" s="17" t="s">
        <v>50</v>
      </c>
      <c r="Y11" s="17">
        <f>13/100</f>
        <v>0.13</v>
      </c>
      <c r="Z11" s="17">
        <f t="shared" ref="Z11:Z12" si="6">3/100</f>
        <v>0.03</v>
      </c>
      <c r="AA11" s="8"/>
      <c r="AB11" s="8">
        <v>8.0</v>
      </c>
      <c r="AC11" s="8"/>
      <c r="AD11" s="8" t="str">
        <f>IF(AC11&lt;=9,,"Problema de Evaluación")</f>
        <v/>
      </c>
      <c r="AE11" s="8" t="str">
        <f>IF(AC11&gt;=1,,"Problema de Evaluación")</f>
        <v>Problema de Evaluación</v>
      </c>
      <c r="AF11" s="8" t="s">
        <v>26</v>
      </c>
      <c r="AG11" s="8" t="s">
        <v>54</v>
      </c>
      <c r="AH11" s="8"/>
      <c r="AI11" s="8"/>
      <c r="AJ11" s="1"/>
      <c r="AK11" s="1"/>
      <c r="AL11" s="1"/>
      <c r="AM11" s="1"/>
      <c r="AN11" s="1"/>
      <c r="AO11" s="1"/>
      <c r="AP11" s="1"/>
      <c r="AQ11" s="1"/>
      <c r="AR11" s="9"/>
    </row>
    <row r="12" ht="15.75" customHeight="1">
      <c r="A12" s="1"/>
      <c r="B12" s="1"/>
      <c r="C12" s="23" t="str">
        <f t="shared" si="4"/>
        <v>Mariano Cocirio</v>
      </c>
      <c r="D12" s="2"/>
      <c r="E12" s="19"/>
      <c r="F12" s="26"/>
      <c r="G12" s="21" t="s">
        <v>59</v>
      </c>
      <c r="H12" s="2"/>
      <c r="I12" s="29" t="s">
        <v>60</v>
      </c>
      <c r="J12" s="4">
        <f t="shared" si="1"/>
        <v>32</v>
      </c>
      <c r="K12" s="5">
        <f t="shared" si="2"/>
        <v>1</v>
      </c>
      <c r="L12" s="6"/>
      <c r="M12" s="7"/>
      <c r="N12" s="17" t="s">
        <v>56</v>
      </c>
      <c r="O12" s="17">
        <v>9.0</v>
      </c>
      <c r="P12" s="8">
        <f t="shared" si="5"/>
        <v>3</v>
      </c>
      <c r="Q12" s="8">
        <f t="shared" si="3"/>
        <v>3.488372093</v>
      </c>
      <c r="R12" s="8"/>
      <c r="S12" s="8" t="str">
        <f>IF(Q12&lt;=5,,"Problema de Control")</f>
        <v/>
      </c>
      <c r="T12" s="8" t="str">
        <f>IF(Q12&gt;=0,,"Problema de Control")</f>
        <v/>
      </c>
      <c r="U12" s="8"/>
      <c r="V12" s="8"/>
      <c r="W12" s="17" t="s">
        <v>57</v>
      </c>
      <c r="X12" s="17" t="s">
        <v>58</v>
      </c>
      <c r="Y12" s="17">
        <f>14/100</f>
        <v>0.14</v>
      </c>
      <c r="Z12" s="17">
        <f t="shared" si="6"/>
        <v>0.03</v>
      </c>
      <c r="AA12" s="8"/>
      <c r="AB12" s="8">
        <v>9.0</v>
      </c>
      <c r="AC12" s="8"/>
      <c r="AD12" s="8" t="str">
        <f>IF(AC12&lt;=5,,"Problema de Control")</f>
        <v/>
      </c>
      <c r="AE12" s="8" t="str">
        <f>IF(AC12&gt;=0,,"Problema de Control")</f>
        <v/>
      </c>
      <c r="AF12" s="8" t="s">
        <v>26</v>
      </c>
      <c r="AG12" s="8">
        <v>1.0</v>
      </c>
      <c r="AH12" s="8">
        <f t="shared" ref="AH12:AH23" si="7">IF( OR(T4&lt;&gt;0,S4&lt;&gt;0),1,0)</f>
        <v>1</v>
      </c>
      <c r="AI12" s="8"/>
      <c r="AJ12" s="1"/>
      <c r="AK12" s="1"/>
      <c r="AL12" s="1"/>
      <c r="AM12" s="1"/>
      <c r="AN12" s="1"/>
      <c r="AO12" s="1"/>
      <c r="AP12" s="1"/>
      <c r="AQ12" s="1"/>
      <c r="AR12" s="9"/>
    </row>
    <row r="13" ht="24.0" customHeight="1">
      <c r="A13" s="1"/>
      <c r="B13" s="1"/>
      <c r="C13" s="23" t="str">
        <f t="shared" si="4"/>
        <v>Mariano Cocirio</v>
      </c>
      <c r="D13" s="2"/>
      <c r="E13" s="24"/>
      <c r="F13" s="26"/>
      <c r="G13" s="26"/>
      <c r="H13" s="2"/>
      <c r="I13" s="1"/>
      <c r="J13" s="4">
        <f t="shared" si="1"/>
        <v>0</v>
      </c>
      <c r="K13" s="5">
        <f t="shared" si="2"/>
        <v>0</v>
      </c>
      <c r="L13" s="6"/>
      <c r="M13" s="7"/>
      <c r="N13" s="17" t="s">
        <v>61</v>
      </c>
      <c r="O13" s="17">
        <v>10.0</v>
      </c>
      <c r="P13" s="8">
        <f t="shared" si="5"/>
        <v>2</v>
      </c>
      <c r="Q13" s="8">
        <f t="shared" si="3"/>
        <v>2.325581395</v>
      </c>
      <c r="R13" s="8"/>
      <c r="S13" s="8" t="str">
        <f>IF(Q13&lt;=13,,"Problema de Decisión")</f>
        <v/>
      </c>
      <c r="T13" s="8" t="str">
        <f>IF(Q13&gt;=3,,"Problema de Decisión")</f>
        <v>Problema de Decisión</v>
      </c>
      <c r="U13" s="8"/>
      <c r="V13" s="8"/>
      <c r="W13" s="17" t="s">
        <v>57</v>
      </c>
      <c r="X13" s="17" t="s">
        <v>62</v>
      </c>
      <c r="Y13" s="17">
        <f>10/100</f>
        <v>0.1</v>
      </c>
      <c r="Z13" s="17">
        <f>1/100</f>
        <v>0.01</v>
      </c>
      <c r="AA13" s="8"/>
      <c r="AB13" s="8">
        <v>10.0</v>
      </c>
      <c r="AC13" s="8"/>
      <c r="AD13" s="8" t="str">
        <f>IF(AC13&lt;=13,,"Problema de Decisión")</f>
        <v/>
      </c>
      <c r="AE13" s="8" t="str">
        <f>IF(AC13&gt;=3,,"Problema de Decisión")</f>
        <v>Problema de Decisión</v>
      </c>
      <c r="AF13" s="8" t="s">
        <v>26</v>
      </c>
      <c r="AG13" s="8">
        <v>2.0</v>
      </c>
      <c r="AH13" s="8">
        <f t="shared" si="7"/>
        <v>1</v>
      </c>
      <c r="AI13" s="8"/>
      <c r="AJ13" s="1"/>
      <c r="AK13" s="1"/>
      <c r="AL13" s="1"/>
      <c r="AM13" s="1"/>
      <c r="AN13" s="1"/>
      <c r="AO13" s="1"/>
      <c r="AP13" s="1"/>
      <c r="AQ13" s="1"/>
      <c r="AR13" s="9"/>
    </row>
    <row r="14" ht="24.0" customHeight="1">
      <c r="A14" s="1"/>
      <c r="B14" s="1"/>
      <c r="C14" s="23" t="str">
        <f t="shared" si="4"/>
        <v>Mariano Cocirio</v>
      </c>
      <c r="D14" s="2"/>
      <c r="E14" s="24"/>
      <c r="F14" s="26"/>
      <c r="G14" s="26"/>
      <c r="H14" s="2"/>
      <c r="I14" s="1"/>
      <c r="J14" s="4">
        <f t="shared" si="1"/>
        <v>0</v>
      </c>
      <c r="K14" s="5">
        <f t="shared" si="2"/>
        <v>0</v>
      </c>
      <c r="L14" s="6"/>
      <c r="M14" s="7"/>
      <c r="N14" s="17" t="s">
        <v>63</v>
      </c>
      <c r="O14" s="17">
        <v>11.0</v>
      </c>
      <c r="P14" s="8">
        <f t="shared" si="5"/>
        <v>4</v>
      </c>
      <c r="Q14" s="8">
        <f t="shared" si="3"/>
        <v>4.651162791</v>
      </c>
      <c r="R14" s="8"/>
      <c r="S14" s="8" t="str">
        <f>IF(Q14&lt;=10,,"Problema de Tensión")</f>
        <v/>
      </c>
      <c r="T14" s="8" t="str">
        <f>IF(Q14&gt;=1,,"Problema de Tensión")</f>
        <v/>
      </c>
      <c r="U14" s="8"/>
      <c r="V14" s="8"/>
      <c r="W14" s="17" t="s">
        <v>64</v>
      </c>
      <c r="X14" s="17" t="s">
        <v>65</v>
      </c>
      <c r="Y14" s="17">
        <f>5/100</f>
        <v>0.05</v>
      </c>
      <c r="Z14" s="17">
        <v>0.0</v>
      </c>
      <c r="AA14" s="8"/>
      <c r="AB14" s="8">
        <v>11.0</v>
      </c>
      <c r="AC14" s="8"/>
      <c r="AD14" s="8" t="str">
        <f>IF(AC14&lt;=10,,"Problema de Tensión")</f>
        <v/>
      </c>
      <c r="AE14" s="8" t="str">
        <f>IF(AC14&gt;=1,,"Problema de Tensión")</f>
        <v>Problema de Tensión</v>
      </c>
      <c r="AF14" s="8" t="s">
        <v>26</v>
      </c>
      <c r="AG14" s="8">
        <v>3.0</v>
      </c>
      <c r="AH14" s="8">
        <f t="shared" si="7"/>
        <v>0</v>
      </c>
      <c r="AI14" s="8"/>
      <c r="AJ14" s="1"/>
      <c r="AK14" s="1"/>
      <c r="AL14" s="1"/>
      <c r="AM14" s="1"/>
      <c r="AN14" s="1"/>
      <c r="AO14" s="1"/>
      <c r="AP14" s="1"/>
      <c r="AQ14" s="1"/>
      <c r="AR14" s="9"/>
    </row>
    <row r="15" ht="15.75" customHeight="1">
      <c r="A15" s="1"/>
      <c r="B15" s="1"/>
      <c r="C15" s="23" t="str">
        <f t="shared" si="4"/>
        <v>Mariano Cocirio</v>
      </c>
      <c r="D15" s="2"/>
      <c r="E15" s="21"/>
      <c r="F15" s="26"/>
      <c r="G15" s="26"/>
      <c r="H15" s="2"/>
      <c r="I15" s="1"/>
      <c r="J15" s="4">
        <f t="shared" si="1"/>
        <v>0</v>
      </c>
      <c r="K15" s="5">
        <f t="shared" si="2"/>
        <v>0</v>
      </c>
      <c r="L15" s="6"/>
      <c r="M15" s="7"/>
      <c r="N15" s="17" t="s">
        <v>69</v>
      </c>
      <c r="O15" s="17">
        <v>12.0</v>
      </c>
      <c r="P15" s="8">
        <f t="shared" si="5"/>
        <v>0</v>
      </c>
      <c r="Q15" s="8">
        <f t="shared" si="3"/>
        <v>0</v>
      </c>
      <c r="R15" s="8"/>
      <c r="S15" s="8" t="str">
        <f>IF(Q15&lt;=7,,"Problema de Reintegración")</f>
        <v/>
      </c>
      <c r="T15" s="8" t="str">
        <f>IF(Q15&gt;=0,,"Problema de Reintegración")</f>
        <v/>
      </c>
      <c r="U15" s="8"/>
      <c r="V15" s="8"/>
      <c r="W15" s="17" t="s">
        <v>64</v>
      </c>
      <c r="X15" s="17" t="s">
        <v>70</v>
      </c>
      <c r="Y15" s="17">
        <f>7/100</f>
        <v>0.07</v>
      </c>
      <c r="Z15" s="17">
        <v>0.0</v>
      </c>
      <c r="AA15" s="8"/>
      <c r="AB15" s="8">
        <v>12.0</v>
      </c>
      <c r="AC15" s="8"/>
      <c r="AD15" s="8" t="str">
        <f>IF(AC15&lt;=7,,"Problema de Reintegración")</f>
        <v/>
      </c>
      <c r="AE15" s="8" t="str">
        <f>IF(AC15&gt;=0,,"Problema de Reintegración")</f>
        <v/>
      </c>
      <c r="AF15" s="8" t="s">
        <v>26</v>
      </c>
      <c r="AG15" s="8">
        <v>4.0</v>
      </c>
      <c r="AH15" s="8">
        <f t="shared" si="7"/>
        <v>0</v>
      </c>
      <c r="AI15" s="8"/>
      <c r="AJ15" s="1"/>
      <c r="AK15" s="1"/>
      <c r="AL15" s="1"/>
      <c r="AM15" s="1"/>
      <c r="AN15" s="1"/>
      <c r="AO15" s="1"/>
      <c r="AP15" s="1"/>
      <c r="AQ15" s="1"/>
      <c r="AR15" s="9"/>
    </row>
    <row r="16" ht="15.75" customHeight="1">
      <c r="A16" s="1"/>
      <c r="B16" s="1"/>
      <c r="C16" s="37" t="str">
        <f t="shared" si="4"/>
        <v>Renzo Toscani</v>
      </c>
      <c r="D16" s="2"/>
      <c r="E16" s="19" t="s">
        <v>71</v>
      </c>
      <c r="F16" s="21" t="s">
        <v>72</v>
      </c>
      <c r="G16" s="21" t="s">
        <v>73</v>
      </c>
      <c r="H16" s="2"/>
      <c r="I16" s="29" t="s">
        <v>74</v>
      </c>
      <c r="J16" s="4">
        <f t="shared" si="1"/>
        <v>24</v>
      </c>
      <c r="K16" s="5">
        <f t="shared" si="2"/>
        <v>7</v>
      </c>
      <c r="L16" s="6"/>
      <c r="M16" s="7"/>
      <c r="N16" s="17"/>
      <c r="O16" s="17"/>
      <c r="P16" s="8"/>
      <c r="Q16" s="8"/>
      <c r="R16" s="8"/>
      <c r="S16" s="8"/>
      <c r="T16" s="8"/>
      <c r="U16" s="17"/>
      <c r="V16" s="8"/>
      <c r="W16" s="17"/>
      <c r="X16" s="17"/>
      <c r="Y16" s="17"/>
      <c r="Z16" s="17"/>
      <c r="AA16" s="8"/>
      <c r="AB16" s="8"/>
      <c r="AC16" s="8"/>
      <c r="AD16" s="8"/>
      <c r="AE16" s="8"/>
      <c r="AF16" s="8" t="s">
        <v>26</v>
      </c>
      <c r="AG16" s="8">
        <v>5.0</v>
      </c>
      <c r="AH16" s="8">
        <f t="shared" si="7"/>
        <v>0</v>
      </c>
      <c r="AI16" s="8"/>
      <c r="AJ16" s="1"/>
      <c r="AK16" s="1"/>
      <c r="AL16" s="1"/>
      <c r="AM16" s="1"/>
      <c r="AN16" s="1"/>
      <c r="AO16" s="1"/>
      <c r="AP16" s="1"/>
      <c r="AQ16" s="1"/>
      <c r="AR16" s="9"/>
    </row>
    <row r="17" ht="29.25" customHeight="1">
      <c r="A17" s="1"/>
      <c r="B17" s="1"/>
      <c r="C17" s="37" t="str">
        <f t="shared" si="4"/>
        <v>Renzo Toscani</v>
      </c>
      <c r="D17" s="2"/>
      <c r="E17" s="21"/>
      <c r="F17" s="26"/>
      <c r="G17" s="26"/>
      <c r="H17" s="2"/>
      <c r="J17" s="4">
        <f t="shared" si="1"/>
        <v>0</v>
      </c>
      <c r="K17" s="5">
        <f t="shared" si="2"/>
        <v>0</v>
      </c>
      <c r="L17" s="6"/>
      <c r="M17" s="7"/>
      <c r="N17" s="8"/>
      <c r="O17" s="8"/>
      <c r="P17" s="8"/>
      <c r="Q17" s="8"/>
      <c r="R17" s="8"/>
      <c r="S17" s="8"/>
      <c r="T17" s="17"/>
      <c r="U17" s="8" t="s">
        <v>75</v>
      </c>
      <c r="V17" s="8"/>
      <c r="W17" s="8"/>
      <c r="X17" s="8"/>
      <c r="Y17" s="8"/>
      <c r="Z17" s="8"/>
      <c r="AA17" s="8"/>
      <c r="AB17" s="8"/>
      <c r="AC17" s="8"/>
      <c r="AD17" s="8"/>
      <c r="AE17" s="8"/>
      <c r="AF17" s="8"/>
      <c r="AG17" s="8">
        <v>6.0</v>
      </c>
      <c r="AH17" s="8">
        <f t="shared" si="7"/>
        <v>1</v>
      </c>
      <c r="AI17" s="8"/>
      <c r="AJ17" s="1"/>
      <c r="AK17" s="1"/>
      <c r="AL17" s="1"/>
      <c r="AM17" s="1"/>
      <c r="AN17" s="1"/>
      <c r="AO17" s="1"/>
      <c r="AP17" s="1"/>
      <c r="AQ17" s="1"/>
      <c r="AR17" s="9"/>
    </row>
    <row r="18" ht="37.5" customHeight="1">
      <c r="A18" s="1"/>
      <c r="B18" s="1"/>
      <c r="C18" s="37" t="str">
        <f t="shared" si="4"/>
        <v>Renzo Toscani</v>
      </c>
      <c r="D18" s="2"/>
      <c r="E18" s="21"/>
      <c r="F18" s="26"/>
      <c r="G18" s="26"/>
      <c r="H18" s="2"/>
      <c r="I18" s="1"/>
      <c r="J18" s="4">
        <f t="shared" si="1"/>
        <v>0</v>
      </c>
      <c r="K18" s="5">
        <f t="shared" si="2"/>
        <v>0</v>
      </c>
      <c r="L18" s="6"/>
      <c r="M18" s="7"/>
      <c r="N18" s="17" t="s">
        <v>77</v>
      </c>
      <c r="O18" s="8" t="s">
        <v>78</v>
      </c>
      <c r="P18" s="8" t="s">
        <v>78</v>
      </c>
      <c r="Q18" s="8" t="s">
        <v>78</v>
      </c>
      <c r="R18" s="8"/>
      <c r="S18" s="38" t="s">
        <v>71</v>
      </c>
      <c r="T18" s="38" t="s">
        <v>83</v>
      </c>
      <c r="U18" s="8"/>
      <c r="V18" s="8"/>
      <c r="W18" s="8"/>
      <c r="X18" s="8"/>
      <c r="Y18" s="8"/>
      <c r="Z18" s="8"/>
      <c r="AA18" s="8"/>
      <c r="AB18" s="8"/>
      <c r="AC18" s="8"/>
      <c r="AD18" s="8"/>
      <c r="AE18" s="8"/>
      <c r="AF18" s="8"/>
      <c r="AG18" s="8">
        <v>7.0</v>
      </c>
      <c r="AH18" s="8">
        <f t="shared" si="7"/>
        <v>0</v>
      </c>
      <c r="AI18" s="8"/>
      <c r="AJ18" s="1"/>
      <c r="AK18" s="1"/>
      <c r="AL18" s="1"/>
      <c r="AM18" s="1"/>
      <c r="AN18" s="1"/>
      <c r="AO18" s="1"/>
      <c r="AP18" s="1"/>
      <c r="AQ18" s="1"/>
      <c r="AR18" s="9"/>
    </row>
    <row r="19" ht="30.0" customHeight="1">
      <c r="A19" s="1"/>
      <c r="B19" s="1"/>
      <c r="C19" s="37" t="str">
        <f t="shared" si="4"/>
        <v>Renzo Toscani</v>
      </c>
      <c r="D19" s="2"/>
      <c r="E19" s="21"/>
      <c r="F19" s="26"/>
      <c r="G19" s="26"/>
      <c r="H19" s="2"/>
      <c r="I19" s="1"/>
      <c r="J19" s="4">
        <f t="shared" si="1"/>
        <v>0</v>
      </c>
      <c r="K19" s="5">
        <f t="shared" si="2"/>
        <v>0</v>
      </c>
      <c r="L19" s="6"/>
      <c r="M19" s="41" t="s">
        <v>84</v>
      </c>
      <c r="N19" s="17" t="s">
        <v>82</v>
      </c>
      <c r="O19" s="38" t="s">
        <v>30</v>
      </c>
      <c r="P19" s="8">
        <f t="shared" ref="P19:P25" si="8">COUNTIFS(C$3:C$396,O19,K$3:K$396,"&gt;0") + COUNTIFS(C$3:C$396,M19,K$3:K$396,"&gt;0")</f>
        <v>22</v>
      </c>
      <c r="Q19" s="8"/>
      <c r="R19" s="8"/>
      <c r="S19" s="8"/>
      <c r="T19" s="8"/>
      <c r="U19" s="8"/>
      <c r="V19" s="8"/>
      <c r="W19" s="8"/>
      <c r="X19" s="8"/>
      <c r="Y19" s="8"/>
      <c r="Z19" s="8"/>
      <c r="AA19" s="8"/>
      <c r="AB19" s="8"/>
      <c r="AC19" s="8"/>
      <c r="AD19" s="8"/>
      <c r="AE19" s="8"/>
      <c r="AF19" s="8"/>
      <c r="AG19" s="8">
        <v>8.0</v>
      </c>
      <c r="AH19" s="8">
        <f t="shared" si="7"/>
        <v>1</v>
      </c>
      <c r="AI19" s="8"/>
      <c r="AJ19" s="1"/>
      <c r="AK19" s="1"/>
      <c r="AL19" s="1"/>
      <c r="AM19" s="1"/>
      <c r="AN19" s="1"/>
      <c r="AO19" s="1"/>
      <c r="AP19" s="1"/>
      <c r="AQ19" s="1"/>
      <c r="AR19" s="9"/>
    </row>
    <row r="20" ht="36.75" customHeight="1">
      <c r="A20" s="1"/>
      <c r="B20" s="1"/>
      <c r="C20" s="22" t="str">
        <f t="shared" si="4"/>
        <v>Mariano Cocirio</v>
      </c>
      <c r="D20" s="2"/>
      <c r="E20" s="21" t="s">
        <v>51</v>
      </c>
      <c r="F20" s="21" t="s">
        <v>85</v>
      </c>
      <c r="G20" s="21" t="s">
        <v>86</v>
      </c>
      <c r="H20" s="2"/>
      <c r="I20" s="29" t="s">
        <v>87</v>
      </c>
      <c r="J20" s="4">
        <f t="shared" si="1"/>
        <v>30</v>
      </c>
      <c r="K20" s="5">
        <f t="shared" si="2"/>
        <v>8</v>
      </c>
      <c r="L20" s="6"/>
      <c r="M20" s="41" t="s">
        <v>89</v>
      </c>
      <c r="N20" s="17" t="s">
        <v>82</v>
      </c>
      <c r="O20" s="38" t="s">
        <v>51</v>
      </c>
      <c r="P20" s="8">
        <f t="shared" si="8"/>
        <v>42</v>
      </c>
      <c r="Q20" s="8"/>
      <c r="R20" s="8"/>
      <c r="S20" s="8"/>
      <c r="T20" s="8"/>
      <c r="U20" s="8"/>
      <c r="V20" s="8"/>
      <c r="W20" s="8"/>
      <c r="X20" s="8"/>
      <c r="Y20" s="8"/>
      <c r="Z20" s="8"/>
      <c r="AA20" s="8"/>
      <c r="AB20" s="8"/>
      <c r="AC20" s="8"/>
      <c r="AD20" s="8"/>
      <c r="AE20" s="8"/>
      <c r="AF20" s="8"/>
      <c r="AG20" s="8">
        <v>9.0</v>
      </c>
      <c r="AH20" s="8">
        <f t="shared" si="7"/>
        <v>0</v>
      </c>
      <c r="AI20" s="8"/>
      <c r="AJ20" s="1"/>
      <c r="AK20" s="1"/>
      <c r="AL20" s="1"/>
      <c r="AM20" s="1"/>
      <c r="AN20" s="1"/>
      <c r="AO20" s="1"/>
      <c r="AP20" s="1"/>
      <c r="AQ20" s="1"/>
      <c r="AR20" s="9"/>
    </row>
    <row r="21" ht="47.25" customHeight="1">
      <c r="A21" s="1"/>
      <c r="B21" s="1"/>
      <c r="C21" s="22" t="str">
        <f t="shared" si="4"/>
        <v>Mariano Cocirio</v>
      </c>
      <c r="D21" s="2"/>
      <c r="E21" s="42"/>
      <c r="F21" s="26"/>
      <c r="G21" s="26"/>
      <c r="H21" s="2"/>
      <c r="I21" s="1"/>
      <c r="J21" s="4">
        <f t="shared" si="1"/>
        <v>0</v>
      </c>
      <c r="K21" s="5">
        <f t="shared" si="2"/>
        <v>0</v>
      </c>
      <c r="L21" s="6"/>
      <c r="M21" s="41" t="s">
        <v>83</v>
      </c>
      <c r="N21" s="17" t="s">
        <v>82</v>
      </c>
      <c r="O21" s="38" t="s">
        <v>71</v>
      </c>
      <c r="P21" s="8">
        <f t="shared" si="8"/>
        <v>22</v>
      </c>
      <c r="Q21" s="8"/>
      <c r="R21" s="8"/>
      <c r="S21" s="8"/>
      <c r="T21" s="8"/>
      <c r="U21" s="8"/>
      <c r="V21" s="8"/>
      <c r="W21" s="8"/>
      <c r="X21" s="8"/>
      <c r="Y21" s="8"/>
      <c r="Z21" s="8"/>
      <c r="AA21" s="8"/>
      <c r="AB21" s="8"/>
      <c r="AC21" s="8"/>
      <c r="AD21" s="8"/>
      <c r="AE21" s="8"/>
      <c r="AF21" s="8"/>
      <c r="AG21" s="8">
        <v>10.0</v>
      </c>
      <c r="AH21" s="8">
        <f t="shared" si="7"/>
        <v>1</v>
      </c>
      <c r="AI21" s="8"/>
      <c r="AJ21" s="1"/>
      <c r="AK21" s="1"/>
      <c r="AL21" s="1"/>
      <c r="AM21" s="1"/>
      <c r="AN21" s="1"/>
      <c r="AO21" s="1"/>
      <c r="AP21" s="1"/>
      <c r="AQ21" s="1"/>
      <c r="AR21" s="9"/>
    </row>
    <row r="22" ht="27.0" customHeight="1">
      <c r="A22" s="1"/>
      <c r="B22" s="1"/>
      <c r="C22" s="22" t="str">
        <f t="shared" si="4"/>
        <v>Mariano Cocirio</v>
      </c>
      <c r="D22" s="2"/>
      <c r="E22" s="42"/>
      <c r="F22" s="26"/>
      <c r="G22" s="26"/>
      <c r="H22" s="2"/>
      <c r="I22" s="1"/>
      <c r="J22" s="4">
        <f t="shared" si="1"/>
        <v>0</v>
      </c>
      <c r="K22" s="5">
        <f t="shared" si="2"/>
        <v>0</v>
      </c>
      <c r="L22" s="6"/>
      <c r="M22" s="40"/>
      <c r="N22" s="17" t="s">
        <v>82</v>
      </c>
      <c r="O22" s="8"/>
      <c r="P22" s="8">
        <f t="shared" si="8"/>
        <v>0</v>
      </c>
      <c r="Q22" s="8"/>
      <c r="R22" s="8"/>
      <c r="S22" s="8"/>
      <c r="T22" s="8"/>
      <c r="U22" s="8"/>
      <c r="V22" s="8"/>
      <c r="W22" s="8"/>
      <c r="X22" s="8"/>
      <c r="Y22" s="8"/>
      <c r="Z22" s="8"/>
      <c r="AA22" s="8"/>
      <c r="AB22" s="8"/>
      <c r="AC22" s="8"/>
      <c r="AD22" s="8"/>
      <c r="AE22" s="8"/>
      <c r="AF22" s="8"/>
      <c r="AG22" s="8">
        <v>11.0</v>
      </c>
      <c r="AH22" s="8">
        <f t="shared" si="7"/>
        <v>0</v>
      </c>
      <c r="AI22" s="8"/>
      <c r="AJ22" s="1"/>
      <c r="AK22" s="1"/>
      <c r="AL22" s="1"/>
      <c r="AM22" s="1"/>
      <c r="AN22" s="1"/>
      <c r="AO22" s="1"/>
      <c r="AP22" s="1"/>
      <c r="AQ22" s="1"/>
      <c r="AR22" s="9"/>
    </row>
    <row r="23" ht="27.0" customHeight="1">
      <c r="A23" s="1"/>
      <c r="B23" s="1"/>
      <c r="C23" s="22" t="str">
        <f t="shared" si="4"/>
        <v>Mariano Cocirio</v>
      </c>
      <c r="D23" s="2"/>
      <c r="E23" s="42"/>
      <c r="F23" s="26"/>
      <c r="G23" s="26"/>
      <c r="H23" s="2"/>
      <c r="I23" s="1"/>
      <c r="J23" s="4">
        <f t="shared" si="1"/>
        <v>0</v>
      </c>
      <c r="K23" s="5">
        <f t="shared" si="2"/>
        <v>0</v>
      </c>
      <c r="L23" s="6"/>
      <c r="M23" s="40"/>
      <c r="N23" s="17" t="s">
        <v>82</v>
      </c>
      <c r="O23" s="8"/>
      <c r="P23" s="8">
        <f t="shared" si="8"/>
        <v>0</v>
      </c>
      <c r="Q23" s="8"/>
      <c r="R23" s="8"/>
      <c r="S23" s="8"/>
      <c r="T23" s="8"/>
      <c r="U23" s="8"/>
      <c r="V23" s="8"/>
      <c r="W23" s="8"/>
      <c r="X23" s="8"/>
      <c r="Y23" s="8"/>
      <c r="Z23" s="8"/>
      <c r="AA23" s="8"/>
      <c r="AB23" s="8"/>
      <c r="AC23" s="8"/>
      <c r="AD23" s="8"/>
      <c r="AE23" s="8"/>
      <c r="AF23" s="8"/>
      <c r="AG23" s="8">
        <v>12.0</v>
      </c>
      <c r="AH23" s="8">
        <f t="shared" si="7"/>
        <v>0</v>
      </c>
      <c r="AI23" s="8"/>
      <c r="AJ23" s="8"/>
      <c r="AK23" s="8"/>
      <c r="AL23" s="8"/>
      <c r="AM23" s="8"/>
      <c r="AN23" s="8"/>
      <c r="AO23" s="8"/>
      <c r="AP23" s="8"/>
      <c r="AQ23" s="8"/>
      <c r="AR23" s="8"/>
    </row>
    <row r="24" ht="24.0" customHeight="1">
      <c r="A24" s="1"/>
      <c r="B24" s="1"/>
      <c r="C24" s="43" t="str">
        <f t="shared" si="4"/>
        <v>Antonella Palacios</v>
      </c>
      <c r="D24" s="2"/>
      <c r="E24" s="42" t="s">
        <v>30</v>
      </c>
      <c r="F24" s="21" t="s">
        <v>92</v>
      </c>
      <c r="G24" s="21" t="s">
        <v>93</v>
      </c>
      <c r="H24" s="2"/>
      <c r="I24" s="29" t="s">
        <v>22</v>
      </c>
      <c r="J24" s="4">
        <f t="shared" si="1"/>
        <v>15</v>
      </c>
      <c r="K24" s="5">
        <f t="shared" si="2"/>
        <v>4</v>
      </c>
      <c r="L24" s="6"/>
      <c r="M24" s="40"/>
      <c r="N24" s="17" t="s">
        <v>82</v>
      </c>
      <c r="O24" s="8"/>
      <c r="P24" s="8">
        <f t="shared" si="8"/>
        <v>0</v>
      </c>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row>
    <row r="25" ht="27.75" customHeight="1">
      <c r="A25" s="1"/>
      <c r="B25" s="1"/>
      <c r="C25" s="43" t="str">
        <f t="shared" si="4"/>
        <v>Antonella Palacios</v>
      </c>
      <c r="D25" s="2"/>
      <c r="E25" s="42"/>
      <c r="F25" s="26"/>
      <c r="G25" s="26"/>
      <c r="H25" s="2"/>
      <c r="I25" s="1"/>
      <c r="J25" s="4">
        <f t="shared" si="1"/>
        <v>0</v>
      </c>
      <c r="K25" s="5">
        <f t="shared" si="2"/>
        <v>0</v>
      </c>
      <c r="L25" s="6"/>
      <c r="M25" s="40"/>
      <c r="N25" s="17" t="s">
        <v>82</v>
      </c>
      <c r="O25" s="8"/>
      <c r="P25" s="8">
        <f t="shared" si="8"/>
        <v>0</v>
      </c>
      <c r="Q25" s="17" t="s">
        <v>6</v>
      </c>
      <c r="R25" s="8"/>
      <c r="S25" s="8"/>
      <c r="T25" s="8"/>
      <c r="U25" s="17" t="s">
        <v>6</v>
      </c>
      <c r="V25" s="17" t="s">
        <v>6</v>
      </c>
      <c r="W25" s="8"/>
      <c r="X25" s="8"/>
      <c r="Y25" s="8"/>
      <c r="Z25" s="8"/>
      <c r="AA25" s="8"/>
      <c r="AB25" s="8"/>
      <c r="AC25" s="8"/>
      <c r="AD25" s="8"/>
      <c r="AE25" s="8"/>
      <c r="AF25" s="8"/>
      <c r="AG25" s="8"/>
      <c r="AH25" s="8"/>
      <c r="AI25" s="8"/>
      <c r="AJ25" s="8"/>
      <c r="AK25" s="8"/>
      <c r="AL25" s="8"/>
      <c r="AM25" s="8"/>
      <c r="AN25" s="8"/>
      <c r="AO25" s="8"/>
      <c r="AP25" s="8"/>
      <c r="AQ25" s="8"/>
      <c r="AR25" s="8"/>
    </row>
    <row r="26" ht="35.25" customHeight="1">
      <c r="A26" s="1"/>
      <c r="B26" s="1"/>
      <c r="C26" s="43" t="str">
        <f t="shared" si="4"/>
        <v>Antonella Palacios</v>
      </c>
      <c r="D26" s="2"/>
      <c r="E26" s="42"/>
      <c r="F26" s="26"/>
      <c r="G26" s="26"/>
      <c r="H26" s="2"/>
      <c r="I26" s="1"/>
      <c r="J26" s="4">
        <f t="shared" si="1"/>
        <v>0</v>
      </c>
      <c r="K26" s="5">
        <f t="shared" si="2"/>
        <v>0</v>
      </c>
      <c r="L26" s="6"/>
      <c r="M26" s="7"/>
      <c r="N26" s="17"/>
      <c r="O26" s="8"/>
      <c r="P26" s="17" t="s">
        <v>96</v>
      </c>
      <c r="Q26" s="17" t="s">
        <v>10</v>
      </c>
      <c r="R26" s="17"/>
      <c r="S26" s="17" t="s">
        <v>97</v>
      </c>
      <c r="T26" s="8"/>
      <c r="U26" s="17" t="s">
        <v>98</v>
      </c>
      <c r="V26" s="17" t="s">
        <v>99</v>
      </c>
      <c r="W26" s="8"/>
      <c r="X26" s="8"/>
      <c r="Y26" s="8"/>
      <c r="Z26" s="8"/>
      <c r="AA26" s="8"/>
      <c r="AB26" s="17" t="s">
        <v>100</v>
      </c>
      <c r="AC26" s="8"/>
      <c r="AD26" s="8"/>
      <c r="AE26" s="8"/>
      <c r="AF26" s="8"/>
      <c r="AG26" s="8"/>
      <c r="AH26" s="8"/>
      <c r="AI26" s="8"/>
      <c r="AJ26" s="8"/>
      <c r="AK26" s="8"/>
      <c r="AL26" s="8"/>
      <c r="AM26" s="8"/>
      <c r="AN26" s="8"/>
      <c r="AO26" s="8"/>
      <c r="AP26" s="17" t="s">
        <v>101</v>
      </c>
      <c r="AQ26" s="45"/>
      <c r="AR26" s="8"/>
    </row>
    <row r="27" ht="39.75" customHeight="1">
      <c r="A27" s="1"/>
      <c r="B27" s="1"/>
      <c r="C27" s="43" t="str">
        <f t="shared" si="4"/>
        <v>Antonella Palacios</v>
      </c>
      <c r="D27" s="2"/>
      <c r="E27" s="42"/>
      <c r="F27" s="26"/>
      <c r="G27" s="26"/>
      <c r="H27" s="2"/>
      <c r="I27" s="1"/>
      <c r="J27" s="4">
        <f t="shared" si="1"/>
        <v>0</v>
      </c>
      <c r="K27" s="5">
        <f t="shared" si="2"/>
        <v>0</v>
      </c>
      <c r="L27" s="6"/>
      <c r="M27" s="7"/>
      <c r="N27" s="17" t="s">
        <v>102</v>
      </c>
      <c r="O27" s="8" t="s">
        <v>103</v>
      </c>
      <c r="P27" s="8"/>
      <c r="Q27" s="8"/>
      <c r="R27" s="8"/>
      <c r="S27" s="8">
        <f>COUNTIFS(C$3:C$396,S$18,K$3:K$396,"&gt;0") + COUNTIFS(C$3:C$396,T$18,K$3:K$396,"&gt;0")</f>
        <v>22</v>
      </c>
      <c r="T27" s="8">
        <f>(S27/P$3)*100</f>
        <v>25.58139535</v>
      </c>
      <c r="U27" s="8"/>
      <c r="V27" s="46"/>
      <c r="W27" s="47" t="s">
        <v>104</v>
      </c>
      <c r="X27" s="48" t="s">
        <v>105</v>
      </c>
      <c r="Y27" s="48" t="s">
        <v>106</v>
      </c>
      <c r="Z27" s="17" t="s">
        <v>15</v>
      </c>
      <c r="AA27" s="8"/>
      <c r="AB27" s="17" t="s">
        <v>107</v>
      </c>
      <c r="AC27" s="17" t="s">
        <v>108</v>
      </c>
      <c r="AD27" s="17" t="s">
        <v>109</v>
      </c>
      <c r="AE27" s="17" t="s">
        <v>14</v>
      </c>
      <c r="AF27" s="17" t="s">
        <v>15</v>
      </c>
      <c r="AG27" s="17" t="s">
        <v>110</v>
      </c>
      <c r="AH27" s="17" t="s">
        <v>111</v>
      </c>
      <c r="AI27" s="8"/>
      <c r="AJ27" s="8"/>
      <c r="AK27" s="8" t="s">
        <v>112</v>
      </c>
      <c r="AL27" s="8" t="s">
        <v>113</v>
      </c>
      <c r="AM27" s="8" t="s">
        <v>114</v>
      </c>
      <c r="AN27" s="8"/>
      <c r="AO27" s="8"/>
      <c r="AP27" s="8" t="str">
        <f>S18</f>
        <v>Renzo Toscani</v>
      </c>
      <c r="AQ27" s="8"/>
      <c r="AR27" s="8" t="s">
        <v>26</v>
      </c>
    </row>
    <row r="28" ht="36.75" customHeight="1">
      <c r="A28" s="1"/>
      <c r="B28" s="1"/>
      <c r="C28" s="43" t="str">
        <f t="shared" si="4"/>
        <v>Mariano Cocirio</v>
      </c>
      <c r="D28" s="2"/>
      <c r="E28" s="42" t="s">
        <v>51</v>
      </c>
      <c r="F28" s="21" t="s">
        <v>116</v>
      </c>
      <c r="G28" s="21" t="s">
        <v>117</v>
      </c>
      <c r="H28" s="2"/>
      <c r="I28" s="29" t="s">
        <v>118</v>
      </c>
      <c r="J28" s="4">
        <f t="shared" si="1"/>
        <v>13</v>
      </c>
      <c r="K28" s="5">
        <f t="shared" si="2"/>
        <v>4</v>
      </c>
      <c r="L28" s="6"/>
      <c r="M28" s="7"/>
      <c r="N28" s="17" t="s">
        <v>119</v>
      </c>
      <c r="O28" s="17">
        <v>1.0</v>
      </c>
      <c r="P28" s="8">
        <f t="shared" ref="P28:P63" si="9">COUNTIF(I$3:I$24,W28)</f>
        <v>1</v>
      </c>
      <c r="Q28" s="8">
        <f t="shared" ref="Q28:Q63" si="10">(P28/P$3)</f>
        <v>0.01162790698</v>
      </c>
      <c r="R28" s="8"/>
      <c r="S28" s="8">
        <f t="shared" ref="S28:S63" si="11">COUNTIFS(J$3:J$396,O28,C$3:C$396,S$18) + COUNTIFS(J$3:J$396,O28,C$3:C$396,T$18)</f>
        <v>0</v>
      </c>
      <c r="T28" s="8">
        <f t="shared" ref="T28:T63" si="12">IF(P28&lt;&gt;0,S28/P28,"oo")</f>
        <v>0</v>
      </c>
      <c r="U28" s="8">
        <f t="shared" ref="U28:U63" si="13">IF(P28&lt;&gt;0,T28,0)</f>
        <v>0</v>
      </c>
      <c r="V28" s="46">
        <f t="shared" ref="V28:V63" si="14">U28*Q28</f>
        <v>0</v>
      </c>
      <c r="W28" s="49" t="s">
        <v>32</v>
      </c>
      <c r="X28" s="50" t="s">
        <v>120</v>
      </c>
      <c r="Y28" s="51" t="s">
        <v>121</v>
      </c>
      <c r="Z28" s="17">
        <v>5.0</v>
      </c>
      <c r="AA28" s="8"/>
      <c r="AB28" s="8">
        <f t="shared" ref="AB28:AB63" si="15">SUMIFS(V$28:V$63,Y$28:Y$63,Y28)</f>
        <v>0</v>
      </c>
      <c r="AC28" s="8">
        <f t="shared" ref="AC28:AC63" si="16">SUMIFS(Q$28:Q$63,Y$28:Y$63,Y28)</f>
        <v>0.01162790698</v>
      </c>
      <c r="AD28" s="8">
        <f t="shared" ref="AD28:AD63" si="17">IF(AC28&lt;&gt;0,AB28/AC28,0)</f>
        <v>0</v>
      </c>
      <c r="AE28" s="17" t="s">
        <v>122</v>
      </c>
      <c r="AF28" s="17">
        <v>6.0</v>
      </c>
      <c r="AG28" s="17" t="s">
        <v>123</v>
      </c>
      <c r="AH28" s="8">
        <f t="shared" ref="AH28:AH52" si="18">SUMIFS(V$28:V$63,Y$28:Y$63,AG28,Z$28:Z$63,AF28)</f>
        <v>0</v>
      </c>
      <c r="AI28" s="8" t="str">
        <f t="shared" ref="AI28:AI52" si="19">IF(AH28&lt;0.21,"BAJO",0)</f>
        <v>BAJO</v>
      </c>
      <c r="AJ28" s="8">
        <f t="shared" ref="AJ28:AJ52" si="20">IF(AH28&gt;0.5,"ALTO",0)</f>
        <v>0</v>
      </c>
      <c r="AK28" s="8" t="s">
        <v>24</v>
      </c>
      <c r="AL28" s="8" t="s">
        <v>124</v>
      </c>
      <c r="AM28" s="52" t="s">
        <v>125</v>
      </c>
      <c r="AN28" s="8"/>
      <c r="AO28" s="8"/>
      <c r="AP28" s="8" t="str">
        <f>IF(AND(AI$28&lt;&gt;0, AH$17&lt;&gt;0),AL$28&amp;" - "&amp;AK$28,0)</f>
        <v>Estudiante requiere entrenamiento de subhabilidad Informar - Comunicación</v>
      </c>
      <c r="AQ28" s="8"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8" t="s">
        <v>26</v>
      </c>
    </row>
    <row r="29" ht="31.5" customHeight="1">
      <c r="A29" s="1"/>
      <c r="B29" s="1"/>
      <c r="C29" s="43" t="str">
        <f t="shared" si="4"/>
        <v>Mariano Cocirio</v>
      </c>
      <c r="D29" s="2"/>
      <c r="E29" s="42"/>
      <c r="F29" s="26"/>
      <c r="G29" s="26"/>
      <c r="H29" s="2"/>
      <c r="I29" s="1"/>
      <c r="J29" s="4">
        <f t="shared" si="1"/>
        <v>0</v>
      </c>
      <c r="K29" s="5">
        <f t="shared" si="2"/>
        <v>0</v>
      </c>
      <c r="L29" s="6"/>
      <c r="M29" s="7"/>
      <c r="N29" s="17" t="s">
        <v>119</v>
      </c>
      <c r="O29" s="17">
        <v>2.0</v>
      </c>
      <c r="P29" s="8">
        <f t="shared" si="9"/>
        <v>0</v>
      </c>
      <c r="Q29" s="8">
        <f t="shared" si="10"/>
        <v>0</v>
      </c>
      <c r="R29" s="8"/>
      <c r="S29" s="8">
        <f t="shared" si="11"/>
        <v>0</v>
      </c>
      <c r="T29" s="8" t="str">
        <f t="shared" si="12"/>
        <v>oo</v>
      </c>
      <c r="U29" s="8">
        <f t="shared" si="13"/>
        <v>0</v>
      </c>
      <c r="V29" s="46">
        <f t="shared" si="14"/>
        <v>0</v>
      </c>
      <c r="W29" s="49" t="s">
        <v>128</v>
      </c>
      <c r="X29" s="50" t="s">
        <v>129</v>
      </c>
      <c r="Y29" s="51" t="s">
        <v>130</v>
      </c>
      <c r="Z29" s="17">
        <v>5.0</v>
      </c>
      <c r="AA29" s="8"/>
      <c r="AB29" s="8">
        <f t="shared" si="15"/>
        <v>0</v>
      </c>
      <c r="AC29" s="8">
        <f t="shared" si="16"/>
        <v>0</v>
      </c>
      <c r="AD29" s="8">
        <f t="shared" si="17"/>
        <v>0</v>
      </c>
      <c r="AE29" s="17"/>
      <c r="AF29" s="17">
        <v>6.0</v>
      </c>
      <c r="AG29" s="17" t="s">
        <v>131</v>
      </c>
      <c r="AH29" s="8">
        <f t="shared" si="18"/>
        <v>0</v>
      </c>
      <c r="AI29" s="8" t="str">
        <f t="shared" si="19"/>
        <v>BAJO</v>
      </c>
      <c r="AJ29" s="8">
        <f t="shared" si="20"/>
        <v>0</v>
      </c>
      <c r="AK29" s="8" t="s">
        <v>24</v>
      </c>
      <c r="AL29" s="8" t="s">
        <v>132</v>
      </c>
      <c r="AM29" s="52" t="s">
        <v>133</v>
      </c>
      <c r="AN29" s="8"/>
      <c r="AO29" s="8"/>
      <c r="AP29" s="8" t="str">
        <f>IF( AND(AI$29&lt;&gt;0,AH$17&lt;&gt;0),AL$29&amp;" - "&amp;AK$29,0)</f>
        <v>Estudiante requiere entrenamiento de subhabilidad Tarea - Comunicación</v>
      </c>
      <c r="AQ29" s="8"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8" t="s">
        <v>26</v>
      </c>
    </row>
    <row r="30" ht="52.5" customHeight="1">
      <c r="A30" s="1"/>
      <c r="B30" s="1"/>
      <c r="C30" s="43" t="str">
        <f t="shared" si="4"/>
        <v>Mariano Cocirio</v>
      </c>
      <c r="D30" s="2"/>
      <c r="E30" s="42"/>
      <c r="F30" s="26"/>
      <c r="G30" s="26"/>
      <c r="H30" s="2"/>
      <c r="I30" s="1"/>
      <c r="J30" s="4">
        <f t="shared" si="1"/>
        <v>0</v>
      </c>
      <c r="K30" s="5">
        <f t="shared" si="2"/>
        <v>0</v>
      </c>
      <c r="L30" s="6"/>
      <c r="M30" s="7"/>
      <c r="N30" s="17" t="s">
        <v>119</v>
      </c>
      <c r="O30" s="17">
        <v>3.0</v>
      </c>
      <c r="P30" s="8">
        <f t="shared" si="9"/>
        <v>0</v>
      </c>
      <c r="Q30" s="8">
        <f t="shared" si="10"/>
        <v>0</v>
      </c>
      <c r="R30" s="8"/>
      <c r="S30" s="8">
        <f t="shared" si="11"/>
        <v>0</v>
      </c>
      <c r="T30" s="8" t="str">
        <f t="shared" si="12"/>
        <v>oo</v>
      </c>
      <c r="U30" s="8">
        <f t="shared" si="13"/>
        <v>0</v>
      </c>
      <c r="V30" s="46">
        <f t="shared" si="14"/>
        <v>0</v>
      </c>
      <c r="W30" s="49" t="s">
        <v>134</v>
      </c>
      <c r="X30" s="50" t="s">
        <v>135</v>
      </c>
      <c r="Y30" s="51" t="s">
        <v>130</v>
      </c>
      <c r="Z30" s="17">
        <v>5.0</v>
      </c>
      <c r="AA30" s="8"/>
      <c r="AB30" s="8">
        <f t="shared" si="15"/>
        <v>0</v>
      </c>
      <c r="AC30" s="8">
        <f t="shared" si="16"/>
        <v>0</v>
      </c>
      <c r="AD30" s="8">
        <f t="shared" si="17"/>
        <v>0</v>
      </c>
      <c r="AE30" s="17"/>
      <c r="AF30" s="17">
        <v>7.0</v>
      </c>
      <c r="AG30" s="17" t="s">
        <v>136</v>
      </c>
      <c r="AH30" s="8">
        <f t="shared" si="18"/>
        <v>0.01162790698</v>
      </c>
      <c r="AI30" s="8" t="str">
        <f t="shared" si="19"/>
        <v>BAJO</v>
      </c>
      <c r="AJ30" s="8">
        <f t="shared" si="20"/>
        <v>0</v>
      </c>
      <c r="AK30" s="8" t="s">
        <v>24</v>
      </c>
      <c r="AL30" s="8" t="s">
        <v>137</v>
      </c>
      <c r="AM30" s="52" t="s">
        <v>138</v>
      </c>
      <c r="AN30" s="8"/>
      <c r="AO30" s="8"/>
      <c r="AP30" s="8">
        <f>IF( AND(AI$30&lt;&gt;0,AH$18&lt;&gt;0),AL$30&amp;" - "&amp;AK$30,0)</f>
        <v>0</v>
      </c>
      <c r="AQ30" s="8">
        <f>IF( AP30&lt;&gt;0,AM$30,0)</f>
        <v>0</v>
      </c>
      <c r="AR30" s="8" t="s">
        <v>26</v>
      </c>
    </row>
    <row r="31" ht="24.75" customHeight="1">
      <c r="A31" s="1"/>
      <c r="B31" s="1"/>
      <c r="C31" s="43" t="str">
        <f t="shared" si="4"/>
        <v>Mariano Cocirio</v>
      </c>
      <c r="D31" s="2"/>
      <c r="E31" s="42"/>
      <c r="F31" s="26"/>
      <c r="G31" s="26"/>
      <c r="H31" s="2"/>
      <c r="I31" s="1"/>
      <c r="J31" s="4">
        <f t="shared" si="1"/>
        <v>0</v>
      </c>
      <c r="K31" s="5">
        <f t="shared" si="2"/>
        <v>0</v>
      </c>
      <c r="L31" s="6"/>
      <c r="M31" s="7"/>
      <c r="N31" s="17" t="s">
        <v>119</v>
      </c>
      <c r="O31" s="17">
        <v>4.0</v>
      </c>
      <c r="P31" s="8">
        <f t="shared" si="9"/>
        <v>0</v>
      </c>
      <c r="Q31" s="8">
        <f t="shared" si="10"/>
        <v>0</v>
      </c>
      <c r="R31" s="8"/>
      <c r="S31" s="8">
        <f t="shared" si="11"/>
        <v>0</v>
      </c>
      <c r="T31" s="8" t="str">
        <f t="shared" si="12"/>
        <v>oo</v>
      </c>
      <c r="U31" s="8">
        <f t="shared" si="13"/>
        <v>0</v>
      </c>
      <c r="V31" s="46">
        <f t="shared" si="14"/>
        <v>0</v>
      </c>
      <c r="W31" s="49" t="s">
        <v>139</v>
      </c>
      <c r="X31" s="50" t="s">
        <v>140</v>
      </c>
      <c r="Y31" s="51" t="s">
        <v>130</v>
      </c>
      <c r="Z31" s="17">
        <v>12.0</v>
      </c>
      <c r="AA31" s="8"/>
      <c r="AB31" s="8">
        <f t="shared" si="15"/>
        <v>0</v>
      </c>
      <c r="AC31" s="8">
        <f t="shared" si="16"/>
        <v>0</v>
      </c>
      <c r="AD31" s="8">
        <f t="shared" si="17"/>
        <v>0</v>
      </c>
      <c r="AE31" s="17" t="s">
        <v>34</v>
      </c>
      <c r="AF31" s="17">
        <v>5.0</v>
      </c>
      <c r="AG31" s="17" t="s">
        <v>130</v>
      </c>
      <c r="AH31" s="8">
        <f t="shared" si="18"/>
        <v>0</v>
      </c>
      <c r="AI31" s="8" t="str">
        <f t="shared" si="19"/>
        <v>BAJO</v>
      </c>
      <c r="AJ31" s="8">
        <f t="shared" si="20"/>
        <v>0</v>
      </c>
      <c r="AK31" s="8" t="s">
        <v>34</v>
      </c>
      <c r="AL31" s="8" t="s">
        <v>141</v>
      </c>
      <c r="AM31" s="52" t="s">
        <v>142</v>
      </c>
      <c r="AN31" s="8"/>
      <c r="AO31" s="8"/>
      <c r="AP31" s="8">
        <f>IF( AND(AI$31&lt;&gt;0,AH$16&lt;&gt;0),AL$31&amp;" - "&amp;AK$31,0)</f>
        <v>0</v>
      </c>
      <c r="AQ31" s="8">
        <f>IF( AP31&lt;&gt;0,AM$31,0)</f>
        <v>0</v>
      </c>
      <c r="AR31" s="8" t="s">
        <v>26</v>
      </c>
    </row>
    <row r="32" ht="29.25" customHeight="1">
      <c r="A32" s="1"/>
      <c r="B32" s="1"/>
      <c r="C32" s="43" t="str">
        <f t="shared" si="4"/>
        <v>Renzo Toscani</v>
      </c>
      <c r="D32" s="2"/>
      <c r="E32" s="53" t="s">
        <v>71</v>
      </c>
      <c r="F32" s="27">
        <v>0.7756944444444445</v>
      </c>
      <c r="G32" s="28" t="s">
        <v>146</v>
      </c>
      <c r="H32" s="2"/>
      <c r="I32" s="1"/>
      <c r="J32" s="4">
        <f t="shared" si="1"/>
        <v>0</v>
      </c>
      <c r="K32" s="5">
        <f t="shared" si="2"/>
        <v>0</v>
      </c>
      <c r="L32" s="6"/>
      <c r="M32" s="7"/>
      <c r="N32" s="17" t="s">
        <v>119</v>
      </c>
      <c r="O32" s="17">
        <v>5.0</v>
      </c>
      <c r="P32" s="8">
        <f t="shared" si="9"/>
        <v>0</v>
      </c>
      <c r="Q32" s="8">
        <f t="shared" si="10"/>
        <v>0</v>
      </c>
      <c r="R32" s="8"/>
      <c r="S32" s="8">
        <f t="shared" si="11"/>
        <v>0</v>
      </c>
      <c r="T32" s="8" t="str">
        <f t="shared" si="12"/>
        <v>oo</v>
      </c>
      <c r="U32" s="8">
        <f t="shared" si="13"/>
        <v>0</v>
      </c>
      <c r="V32" s="46">
        <f t="shared" si="14"/>
        <v>0</v>
      </c>
      <c r="W32" s="49" t="s">
        <v>144</v>
      </c>
      <c r="X32" s="50" t="s">
        <v>145</v>
      </c>
      <c r="Y32" s="51" t="s">
        <v>130</v>
      </c>
      <c r="Z32" s="17">
        <v>4.0</v>
      </c>
      <c r="AA32" s="8"/>
      <c r="AB32" s="8">
        <f t="shared" si="15"/>
        <v>0</v>
      </c>
      <c r="AC32" s="8">
        <f t="shared" si="16"/>
        <v>0</v>
      </c>
      <c r="AD32" s="8">
        <f t="shared" si="17"/>
        <v>0</v>
      </c>
      <c r="AE32" s="17"/>
      <c r="AF32" s="17">
        <v>5.0</v>
      </c>
      <c r="AG32" s="17" t="s">
        <v>121</v>
      </c>
      <c r="AH32" s="8">
        <f t="shared" si="18"/>
        <v>0</v>
      </c>
      <c r="AI32" s="8" t="str">
        <f t="shared" si="19"/>
        <v>BAJO</v>
      </c>
      <c r="AJ32" s="8">
        <f t="shared" si="20"/>
        <v>0</v>
      </c>
      <c r="AK32" s="8" t="s">
        <v>34</v>
      </c>
      <c r="AL32" s="8" t="s">
        <v>147</v>
      </c>
      <c r="AM32" s="52" t="s">
        <v>148</v>
      </c>
      <c r="AN32" s="8"/>
      <c r="AO32" s="8"/>
      <c r="AP32" s="8">
        <f>IF( AND(AI$32&lt;&gt;0,AH$16&lt;&gt;0),AL$32&amp;" - "&amp;AK$32,0)</f>
        <v>0</v>
      </c>
      <c r="AQ32" s="8">
        <f>IF( AP32&lt;&gt;0,AM$32,0)</f>
        <v>0</v>
      </c>
      <c r="AR32" s="8" t="s">
        <v>26</v>
      </c>
    </row>
    <row r="33" ht="20.25" customHeight="1">
      <c r="A33" s="1"/>
      <c r="B33" s="1"/>
      <c r="C33" s="43" t="str">
        <f t="shared" si="4"/>
        <v>Renzo Toscani</v>
      </c>
      <c r="D33" s="2"/>
      <c r="E33" s="42"/>
      <c r="F33" s="26"/>
      <c r="G33" s="26"/>
      <c r="H33" s="2"/>
      <c r="I33" s="1"/>
      <c r="J33" s="4">
        <f t="shared" si="1"/>
        <v>0</v>
      </c>
      <c r="K33" s="5">
        <f t="shared" si="2"/>
        <v>0</v>
      </c>
      <c r="L33" s="6"/>
      <c r="M33" s="7"/>
      <c r="N33" s="17" t="s">
        <v>119</v>
      </c>
      <c r="O33" s="17">
        <v>6.0</v>
      </c>
      <c r="P33" s="8">
        <f t="shared" si="9"/>
        <v>0</v>
      </c>
      <c r="Q33" s="8">
        <f t="shared" si="10"/>
        <v>0</v>
      </c>
      <c r="R33" s="8"/>
      <c r="S33" s="8">
        <f t="shared" si="11"/>
        <v>0</v>
      </c>
      <c r="T33" s="8" t="str">
        <f t="shared" si="12"/>
        <v>oo</v>
      </c>
      <c r="U33" s="8">
        <f t="shared" si="13"/>
        <v>0</v>
      </c>
      <c r="V33" s="46">
        <f t="shared" si="14"/>
        <v>0</v>
      </c>
      <c r="W33" s="49" t="s">
        <v>149</v>
      </c>
      <c r="X33" s="50" t="s">
        <v>150</v>
      </c>
      <c r="Y33" s="51" t="s">
        <v>130</v>
      </c>
      <c r="Z33" s="17">
        <v>5.0</v>
      </c>
      <c r="AA33" s="8"/>
      <c r="AB33" s="8">
        <f t="shared" si="15"/>
        <v>0</v>
      </c>
      <c r="AC33" s="8">
        <f t="shared" si="16"/>
        <v>0</v>
      </c>
      <c r="AD33" s="8">
        <f t="shared" si="17"/>
        <v>0</v>
      </c>
      <c r="AE33" s="17"/>
      <c r="AF33" s="17">
        <v>5.0</v>
      </c>
      <c r="AG33" s="17" t="s">
        <v>123</v>
      </c>
      <c r="AH33" s="8">
        <f t="shared" si="18"/>
        <v>0</v>
      </c>
      <c r="AI33" s="8" t="str">
        <f t="shared" si="19"/>
        <v>BAJO</v>
      </c>
      <c r="AJ33" s="8">
        <f t="shared" si="20"/>
        <v>0</v>
      </c>
      <c r="AK33" s="8" t="s">
        <v>34</v>
      </c>
      <c r="AL33" s="8" t="s">
        <v>124</v>
      </c>
      <c r="AM33" s="52" t="s">
        <v>151</v>
      </c>
      <c r="AN33" s="8"/>
      <c r="AO33" s="8"/>
      <c r="AP33" s="8">
        <f>IF( AND(AI$33&lt;&gt;0,AH$16&lt;&gt;0),AL$33&amp;" - "&amp;AK$33,0)</f>
        <v>0</v>
      </c>
      <c r="AQ33" s="8">
        <f>IF( AP33&lt;&gt;0,AM$33,0)</f>
        <v>0</v>
      </c>
      <c r="AR33" s="8" t="s">
        <v>26</v>
      </c>
    </row>
    <row r="34" ht="37.5" customHeight="1">
      <c r="A34" s="1"/>
      <c r="B34" s="1"/>
      <c r="C34" s="43" t="str">
        <f t="shared" si="4"/>
        <v>Renzo Toscani</v>
      </c>
      <c r="D34" s="2"/>
      <c r="E34" s="42"/>
      <c r="F34" s="26"/>
      <c r="G34" s="26"/>
      <c r="H34" s="2"/>
      <c r="I34" s="1"/>
      <c r="J34" s="4">
        <f t="shared" si="1"/>
        <v>0</v>
      </c>
      <c r="K34" s="5">
        <f t="shared" si="2"/>
        <v>0</v>
      </c>
      <c r="L34" s="6"/>
      <c r="M34" s="7"/>
      <c r="N34" s="17" t="s">
        <v>119</v>
      </c>
      <c r="O34" s="17">
        <v>7.0</v>
      </c>
      <c r="P34" s="8">
        <f t="shared" si="9"/>
        <v>0</v>
      </c>
      <c r="Q34" s="8">
        <f t="shared" si="10"/>
        <v>0</v>
      </c>
      <c r="R34" s="8"/>
      <c r="S34" s="8">
        <f t="shared" si="11"/>
        <v>0</v>
      </c>
      <c r="T34" s="8" t="str">
        <f t="shared" si="12"/>
        <v>oo</v>
      </c>
      <c r="U34" s="8">
        <f t="shared" si="13"/>
        <v>0</v>
      </c>
      <c r="V34" s="46">
        <f t="shared" si="14"/>
        <v>0</v>
      </c>
      <c r="W34" s="49" t="s">
        <v>152</v>
      </c>
      <c r="X34" s="50" t="s">
        <v>153</v>
      </c>
      <c r="Y34" s="51" t="s">
        <v>130</v>
      </c>
      <c r="Z34" s="17">
        <v>5.0</v>
      </c>
      <c r="AA34" s="8"/>
      <c r="AB34" s="8">
        <f t="shared" si="15"/>
        <v>0</v>
      </c>
      <c r="AC34" s="8">
        <f t="shared" si="16"/>
        <v>0</v>
      </c>
      <c r="AD34" s="8">
        <f t="shared" si="17"/>
        <v>0</v>
      </c>
      <c r="AE34" s="17"/>
      <c r="AF34" s="17">
        <v>5.0</v>
      </c>
      <c r="AG34" s="17" t="s">
        <v>154</v>
      </c>
      <c r="AH34" s="8">
        <f t="shared" si="18"/>
        <v>0</v>
      </c>
      <c r="AI34" s="8" t="str">
        <f t="shared" si="19"/>
        <v>BAJO</v>
      </c>
      <c r="AJ34" s="8">
        <f t="shared" si="20"/>
        <v>0</v>
      </c>
      <c r="AK34" s="8" t="s">
        <v>34</v>
      </c>
      <c r="AL34" s="8" t="s">
        <v>155</v>
      </c>
      <c r="AM34" s="52" t="s">
        <v>156</v>
      </c>
      <c r="AN34" s="8"/>
      <c r="AO34" s="8"/>
      <c r="AP34" s="8">
        <f>IF( AND(AI$34&lt;&gt;0,AH$16&lt;&gt;0),AL$34&amp;" - "&amp;AK$34,0)</f>
        <v>0</v>
      </c>
      <c r="AQ34" s="8">
        <f>IF( AP34&lt;&gt;0,AM$34,0)</f>
        <v>0</v>
      </c>
      <c r="AR34" s="8" t="s">
        <v>26</v>
      </c>
    </row>
    <row r="35" ht="24.0" customHeight="1">
      <c r="A35" s="1"/>
      <c r="B35" s="1"/>
      <c r="C35" s="43" t="str">
        <f t="shared" si="4"/>
        <v>Mariano Cocirio</v>
      </c>
      <c r="D35" s="2"/>
      <c r="E35" s="53" t="s">
        <v>51</v>
      </c>
      <c r="F35" s="27">
        <v>0.7756944444444445</v>
      </c>
      <c r="G35" s="28" t="s">
        <v>161</v>
      </c>
      <c r="H35" s="2"/>
      <c r="I35" s="1"/>
      <c r="J35" s="4">
        <f t="shared" si="1"/>
        <v>0</v>
      </c>
      <c r="K35" s="5">
        <f t="shared" si="2"/>
        <v>0</v>
      </c>
      <c r="L35" s="6"/>
      <c r="M35" s="7"/>
      <c r="N35" s="17" t="s">
        <v>119</v>
      </c>
      <c r="O35" s="17">
        <v>8.0</v>
      </c>
      <c r="P35" s="8">
        <f t="shared" si="9"/>
        <v>0</v>
      </c>
      <c r="Q35" s="8">
        <f t="shared" si="10"/>
        <v>0</v>
      </c>
      <c r="R35" s="8"/>
      <c r="S35" s="8">
        <f t="shared" si="11"/>
        <v>0</v>
      </c>
      <c r="T35" s="8" t="str">
        <f t="shared" si="12"/>
        <v>oo</v>
      </c>
      <c r="U35" s="8">
        <f t="shared" si="13"/>
        <v>0</v>
      </c>
      <c r="V35" s="46">
        <f t="shared" si="14"/>
        <v>0</v>
      </c>
      <c r="W35" s="49" t="s">
        <v>158</v>
      </c>
      <c r="X35" s="50" t="s">
        <v>159</v>
      </c>
      <c r="Y35" s="51" t="s">
        <v>130</v>
      </c>
      <c r="Z35" s="17">
        <v>5.0</v>
      </c>
      <c r="AA35" s="8"/>
      <c r="AB35" s="8">
        <f t="shared" si="15"/>
        <v>0</v>
      </c>
      <c r="AC35" s="8">
        <f t="shared" si="16"/>
        <v>0</v>
      </c>
      <c r="AD35" s="8">
        <f t="shared" si="17"/>
        <v>0</v>
      </c>
      <c r="AE35" s="17"/>
      <c r="AF35" s="17">
        <v>5.0</v>
      </c>
      <c r="AG35" s="17" t="s">
        <v>131</v>
      </c>
      <c r="AH35" s="8">
        <f t="shared" si="18"/>
        <v>0</v>
      </c>
      <c r="AI35" s="8" t="str">
        <f t="shared" si="19"/>
        <v>BAJO</v>
      </c>
      <c r="AJ35" s="8">
        <f t="shared" si="20"/>
        <v>0</v>
      </c>
      <c r="AK35" s="8" t="s">
        <v>34</v>
      </c>
      <c r="AL35" s="8" t="s">
        <v>132</v>
      </c>
      <c r="AM35" s="52" t="s">
        <v>160</v>
      </c>
      <c r="AN35" s="8"/>
      <c r="AO35" s="8"/>
      <c r="AP35" s="8">
        <f>IF( AND(AI$35&lt;&gt;0,AH$16&lt;&gt;0),AL$35&amp;" - "&amp;AK$35,0)</f>
        <v>0</v>
      </c>
      <c r="AQ35" s="8">
        <f>IF( AP35&lt;&gt;0,AM$35,0)</f>
        <v>0</v>
      </c>
      <c r="AR35" s="8" t="s">
        <v>26</v>
      </c>
    </row>
    <row r="36" ht="37.5" customHeight="1">
      <c r="A36" s="1"/>
      <c r="B36" s="1"/>
      <c r="C36" s="43" t="str">
        <f t="shared" si="4"/>
        <v>Mariano Cocirio</v>
      </c>
      <c r="D36" s="2"/>
      <c r="E36" s="42"/>
      <c r="F36" s="26"/>
      <c r="G36" s="28" t="s">
        <v>165</v>
      </c>
      <c r="H36" s="2"/>
      <c r="I36" s="1"/>
      <c r="J36" s="4">
        <f t="shared" si="1"/>
        <v>0</v>
      </c>
      <c r="K36" s="5">
        <f t="shared" si="2"/>
        <v>0</v>
      </c>
      <c r="L36" s="6"/>
      <c r="M36" s="7"/>
      <c r="N36" s="17" t="s">
        <v>119</v>
      </c>
      <c r="O36" s="17">
        <v>9.0</v>
      </c>
      <c r="P36" s="8">
        <f t="shared" si="9"/>
        <v>0</v>
      </c>
      <c r="Q36" s="8">
        <f t="shared" si="10"/>
        <v>0</v>
      </c>
      <c r="R36" s="8"/>
      <c r="S36" s="8">
        <f t="shared" si="11"/>
        <v>1</v>
      </c>
      <c r="T36" s="8" t="str">
        <f t="shared" si="12"/>
        <v>oo</v>
      </c>
      <c r="U36" s="8">
        <f t="shared" si="13"/>
        <v>0</v>
      </c>
      <c r="V36" s="46">
        <f t="shared" si="14"/>
        <v>0</v>
      </c>
      <c r="W36" s="49" t="s">
        <v>68</v>
      </c>
      <c r="X36" s="50" t="s">
        <v>163</v>
      </c>
      <c r="Y36" s="51" t="s">
        <v>130</v>
      </c>
      <c r="Z36" s="17">
        <v>11.0</v>
      </c>
      <c r="AA36" s="8"/>
      <c r="AB36" s="8">
        <f t="shared" si="15"/>
        <v>0</v>
      </c>
      <c r="AC36" s="8">
        <f t="shared" si="16"/>
        <v>0</v>
      </c>
      <c r="AD36" s="8">
        <f t="shared" si="17"/>
        <v>0</v>
      </c>
      <c r="AE36" s="17"/>
      <c r="AF36" s="17">
        <v>8.0</v>
      </c>
      <c r="AG36" s="17" t="s">
        <v>136</v>
      </c>
      <c r="AH36" s="8">
        <f t="shared" si="18"/>
        <v>0</v>
      </c>
      <c r="AI36" s="8" t="str">
        <f t="shared" si="19"/>
        <v>BAJO</v>
      </c>
      <c r="AJ36" s="8">
        <f t="shared" si="20"/>
        <v>0</v>
      </c>
      <c r="AK36" s="8" t="s">
        <v>34</v>
      </c>
      <c r="AL36" s="8" t="s">
        <v>137</v>
      </c>
      <c r="AM36" s="52" t="s">
        <v>164</v>
      </c>
      <c r="AN36" s="8"/>
      <c r="AO36" s="8"/>
      <c r="AP36" s="8" t="str">
        <f>IF( AND(AI$36&lt;&gt;0,AH$19&lt;&gt;0),AL$36&amp;" - "&amp;AK$36,0)</f>
        <v>Estudiante requiere entrenamiento de subhabilidad Requerir - Evaluación</v>
      </c>
      <c r="AQ36" s="8" t="str">
        <f>IF( AP36&lt;&gt;0,AM$36,0)</f>
        <v>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v>
      </c>
      <c r="AR36" s="8" t="s">
        <v>26</v>
      </c>
    </row>
    <row r="37" ht="33.0" customHeight="1">
      <c r="A37" s="1"/>
      <c r="B37" s="1"/>
      <c r="C37" s="43" t="str">
        <f t="shared" si="4"/>
        <v>Mariano Cocirio</v>
      </c>
      <c r="D37" s="2"/>
      <c r="E37" s="42"/>
      <c r="F37" s="26"/>
      <c r="G37" s="26"/>
      <c r="H37" s="2"/>
      <c r="I37" s="1"/>
      <c r="J37" s="4">
        <f t="shared" si="1"/>
        <v>0</v>
      </c>
      <c r="K37" s="5">
        <f t="shared" si="2"/>
        <v>0</v>
      </c>
      <c r="L37" s="6"/>
      <c r="M37" s="7"/>
      <c r="N37" s="17" t="s">
        <v>119</v>
      </c>
      <c r="O37" s="17">
        <v>10.0</v>
      </c>
      <c r="P37" s="8">
        <f t="shared" si="9"/>
        <v>0</v>
      </c>
      <c r="Q37" s="8">
        <f t="shared" si="10"/>
        <v>0</v>
      </c>
      <c r="R37" s="8"/>
      <c r="S37" s="8">
        <f t="shared" si="11"/>
        <v>2</v>
      </c>
      <c r="T37" s="8" t="str">
        <f t="shared" si="12"/>
        <v>oo</v>
      </c>
      <c r="U37" s="8">
        <f t="shared" si="13"/>
        <v>0</v>
      </c>
      <c r="V37" s="46">
        <f t="shared" si="14"/>
        <v>0</v>
      </c>
      <c r="W37" s="49" t="s">
        <v>166</v>
      </c>
      <c r="X37" s="50" t="s">
        <v>167</v>
      </c>
      <c r="Y37" s="51" t="s">
        <v>154</v>
      </c>
      <c r="Z37" s="17">
        <v>1.0</v>
      </c>
      <c r="AA37" s="8"/>
      <c r="AB37" s="8">
        <f t="shared" si="15"/>
        <v>0</v>
      </c>
      <c r="AC37" s="8">
        <f t="shared" si="16"/>
        <v>0</v>
      </c>
      <c r="AD37" s="8">
        <f t="shared" si="17"/>
        <v>0</v>
      </c>
      <c r="AE37" s="17"/>
      <c r="AF37" s="17">
        <v>8.0</v>
      </c>
      <c r="AG37" s="17" t="s">
        <v>168</v>
      </c>
      <c r="AH37" s="8">
        <f t="shared" si="18"/>
        <v>0.03488372093</v>
      </c>
      <c r="AI37" s="8" t="str">
        <f t="shared" si="19"/>
        <v>BAJO</v>
      </c>
      <c r="AJ37" s="8">
        <f t="shared" si="20"/>
        <v>0</v>
      </c>
      <c r="AK37" s="8" t="s">
        <v>34</v>
      </c>
      <c r="AL37" s="8" t="s">
        <v>169</v>
      </c>
      <c r="AM37" s="52" t="s">
        <v>170</v>
      </c>
      <c r="AN37" s="8"/>
      <c r="AO37" s="8"/>
      <c r="AP37" s="8" t="str">
        <f>IF( AND(AI$37&lt;&gt;0,AH$19&lt;&gt;0),AL$37&amp;" - "&amp;AK$37,0)</f>
        <v>Estudiante requiere entrenamiento de subhabilidad Mantenimiento - Evaluación</v>
      </c>
      <c r="AQ37" s="8" t="str">
        <f>IF( AP37&lt;&gt;0,AM$37,0)</f>
        <v>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v>
      </c>
      <c r="AR37" s="8" t="s">
        <v>26</v>
      </c>
    </row>
    <row r="38" ht="33.75" customHeight="1">
      <c r="A38" s="1"/>
      <c r="B38" s="1"/>
      <c r="C38" s="43" t="str">
        <f t="shared" si="4"/>
        <v>Mariano Cocirio</v>
      </c>
      <c r="D38" s="2"/>
      <c r="E38" s="42"/>
      <c r="F38" s="26"/>
      <c r="G38" s="26"/>
      <c r="H38" s="2"/>
      <c r="I38" s="1"/>
      <c r="J38" s="4">
        <f t="shared" si="1"/>
        <v>0</v>
      </c>
      <c r="K38" s="5">
        <f t="shared" si="2"/>
        <v>0</v>
      </c>
      <c r="L38" s="6"/>
      <c r="M38" s="7"/>
      <c r="N38" s="17" t="s">
        <v>119</v>
      </c>
      <c r="O38" s="17">
        <v>11.0</v>
      </c>
      <c r="P38" s="8">
        <f t="shared" si="9"/>
        <v>0</v>
      </c>
      <c r="Q38" s="8">
        <f t="shared" si="10"/>
        <v>0</v>
      </c>
      <c r="R38" s="8"/>
      <c r="S38" s="8">
        <f t="shared" si="11"/>
        <v>1</v>
      </c>
      <c r="T38" s="8" t="str">
        <f t="shared" si="12"/>
        <v>oo</v>
      </c>
      <c r="U38" s="8">
        <f t="shared" si="13"/>
        <v>0</v>
      </c>
      <c r="V38" s="46">
        <f t="shared" si="14"/>
        <v>0</v>
      </c>
      <c r="W38" s="49" t="s">
        <v>171</v>
      </c>
      <c r="X38" s="50" t="s">
        <v>172</v>
      </c>
      <c r="Y38" s="51" t="s">
        <v>154</v>
      </c>
      <c r="Z38" s="17">
        <v>5.0</v>
      </c>
      <c r="AA38" s="8"/>
      <c r="AB38" s="8">
        <f t="shared" si="15"/>
        <v>0</v>
      </c>
      <c r="AC38" s="8">
        <f t="shared" si="16"/>
        <v>0</v>
      </c>
      <c r="AD38" s="8">
        <f t="shared" si="17"/>
        <v>0</v>
      </c>
      <c r="AE38" s="17" t="s">
        <v>40</v>
      </c>
      <c r="AF38" s="17">
        <v>4.0</v>
      </c>
      <c r="AG38" s="17" t="s">
        <v>130</v>
      </c>
      <c r="AH38" s="8">
        <f t="shared" si="18"/>
        <v>0</v>
      </c>
      <c r="AI38" s="8" t="str">
        <f t="shared" si="19"/>
        <v>BAJO</v>
      </c>
      <c r="AJ38" s="8">
        <f t="shared" si="20"/>
        <v>0</v>
      </c>
      <c r="AK38" s="8" t="s">
        <v>40</v>
      </c>
      <c r="AL38" s="8" t="s">
        <v>141</v>
      </c>
      <c r="AM38" s="52" t="s">
        <v>173</v>
      </c>
      <c r="AN38" s="8"/>
      <c r="AO38" s="8"/>
      <c r="AP38" s="8">
        <f>IF( AND(AI$38&lt;&gt;0,AH$15&lt;&gt;0),AL$38&amp;" - "&amp;AK$38,0)</f>
        <v>0</v>
      </c>
      <c r="AQ38" s="8">
        <f>IF( AP38&lt;&gt;0,AM$38,0)</f>
        <v>0</v>
      </c>
      <c r="AR38" s="8" t="s">
        <v>26</v>
      </c>
    </row>
    <row r="39" ht="37.5" customHeight="1">
      <c r="A39" s="1"/>
      <c r="B39" s="1"/>
      <c r="C39" s="43" t="str">
        <f t="shared" si="4"/>
        <v>Renzo Toscani</v>
      </c>
      <c r="D39" s="2"/>
      <c r="E39" s="53" t="s">
        <v>71</v>
      </c>
      <c r="F39" s="27">
        <v>0.7763888888888889</v>
      </c>
      <c r="G39" s="28" t="s">
        <v>179</v>
      </c>
      <c r="H39" s="2"/>
      <c r="I39" s="1"/>
      <c r="J39" s="4">
        <f t="shared" si="1"/>
        <v>0</v>
      </c>
      <c r="K39" s="5">
        <f t="shared" si="2"/>
        <v>0</v>
      </c>
      <c r="L39" s="6"/>
      <c r="M39" s="7"/>
      <c r="N39" s="17" t="s">
        <v>119</v>
      </c>
      <c r="O39" s="17">
        <v>12.0</v>
      </c>
      <c r="P39" s="8">
        <f t="shared" si="9"/>
        <v>0</v>
      </c>
      <c r="Q39" s="8">
        <f t="shared" si="10"/>
        <v>0</v>
      </c>
      <c r="R39" s="8"/>
      <c r="S39" s="8">
        <f t="shared" si="11"/>
        <v>1</v>
      </c>
      <c r="T39" s="8" t="str">
        <f t="shared" si="12"/>
        <v>oo</v>
      </c>
      <c r="U39" s="8">
        <f t="shared" si="13"/>
        <v>0</v>
      </c>
      <c r="V39" s="46">
        <f t="shared" si="14"/>
        <v>0</v>
      </c>
      <c r="W39" s="49" t="s">
        <v>176</v>
      </c>
      <c r="X39" s="50" t="s">
        <v>177</v>
      </c>
      <c r="Y39" s="51" t="s">
        <v>123</v>
      </c>
      <c r="Z39" s="17">
        <v>6.0</v>
      </c>
      <c r="AA39" s="8"/>
      <c r="AB39" s="8">
        <f t="shared" si="15"/>
        <v>0.01162790698</v>
      </c>
      <c r="AC39" s="8">
        <f t="shared" si="16"/>
        <v>0.01162790698</v>
      </c>
      <c r="AD39" s="8">
        <f t="shared" si="17"/>
        <v>1</v>
      </c>
      <c r="AE39" s="17"/>
      <c r="AF39" s="17">
        <v>4.0</v>
      </c>
      <c r="AG39" s="17" t="s">
        <v>123</v>
      </c>
      <c r="AH39" s="8">
        <f t="shared" si="18"/>
        <v>0.01162790698</v>
      </c>
      <c r="AI39" s="8" t="str">
        <f t="shared" si="19"/>
        <v>BAJO</v>
      </c>
      <c r="AJ39" s="8">
        <f t="shared" si="20"/>
        <v>0</v>
      </c>
      <c r="AK39" s="8" t="s">
        <v>40</v>
      </c>
      <c r="AL39" s="8" t="s">
        <v>124</v>
      </c>
      <c r="AM39" s="52" t="s">
        <v>178</v>
      </c>
      <c r="AN39" s="8"/>
      <c r="AO39" s="8"/>
      <c r="AP39" s="8">
        <f>IF( AND(AI$39&lt;&gt;0,AH$15&lt;&gt;0),AL$39&amp;" - "&amp;AK$39,0)</f>
        <v>0</v>
      </c>
      <c r="AQ39" s="8">
        <f>IF( AP39&lt;&gt;0,AM$39,0)</f>
        <v>0</v>
      </c>
      <c r="AR39" s="8" t="s">
        <v>26</v>
      </c>
    </row>
    <row r="40" ht="31.5" customHeight="1">
      <c r="A40" s="1"/>
      <c r="B40" s="1"/>
      <c r="C40" s="43" t="str">
        <f t="shared" si="4"/>
        <v>Renzo Toscani</v>
      </c>
      <c r="D40" s="2"/>
      <c r="E40" s="42"/>
      <c r="F40" s="26"/>
      <c r="G40" s="26"/>
      <c r="H40" s="2"/>
      <c r="I40" s="1"/>
      <c r="J40" s="4">
        <f t="shared" si="1"/>
        <v>0</v>
      </c>
      <c r="K40" s="5">
        <f t="shared" si="2"/>
        <v>0</v>
      </c>
      <c r="L40" s="6"/>
      <c r="M40" s="7"/>
      <c r="N40" s="17" t="s">
        <v>119</v>
      </c>
      <c r="O40" s="17">
        <v>13.0</v>
      </c>
      <c r="P40" s="8">
        <f t="shared" si="9"/>
        <v>0</v>
      </c>
      <c r="Q40" s="8">
        <f t="shared" si="10"/>
        <v>0</v>
      </c>
      <c r="R40" s="8"/>
      <c r="S40" s="8">
        <f t="shared" si="11"/>
        <v>0</v>
      </c>
      <c r="T40" s="8" t="str">
        <f t="shared" si="12"/>
        <v>oo</v>
      </c>
      <c r="U40" s="8">
        <f t="shared" si="13"/>
        <v>0</v>
      </c>
      <c r="V40" s="46">
        <f t="shared" si="14"/>
        <v>0</v>
      </c>
      <c r="W40" s="49" t="s">
        <v>118</v>
      </c>
      <c r="X40" s="50" t="s">
        <v>180</v>
      </c>
      <c r="Y40" s="51" t="s">
        <v>123</v>
      </c>
      <c r="Z40" s="17">
        <v>4.0</v>
      </c>
      <c r="AA40" s="8"/>
      <c r="AB40" s="8">
        <f t="shared" si="15"/>
        <v>0.01162790698</v>
      </c>
      <c r="AC40" s="8">
        <f t="shared" si="16"/>
        <v>0.01162790698</v>
      </c>
      <c r="AD40" s="8">
        <f t="shared" si="17"/>
        <v>1</v>
      </c>
      <c r="AE40" s="17"/>
      <c r="AF40" s="17">
        <v>4.0</v>
      </c>
      <c r="AG40" s="17" t="s">
        <v>168</v>
      </c>
      <c r="AH40" s="8">
        <f t="shared" si="18"/>
        <v>0</v>
      </c>
      <c r="AI40" s="8" t="str">
        <f t="shared" si="19"/>
        <v>BAJO</v>
      </c>
      <c r="AJ40" s="8">
        <f t="shared" si="20"/>
        <v>0</v>
      </c>
      <c r="AK40" s="8" t="s">
        <v>40</v>
      </c>
      <c r="AL40" s="8" t="s">
        <v>169</v>
      </c>
      <c r="AM40" s="52" t="s">
        <v>181</v>
      </c>
      <c r="AN40" s="8"/>
      <c r="AO40" s="8"/>
      <c r="AP40" s="8">
        <f>IF( AND(AI$40&lt;&gt;0,AH$15&lt;&gt;0),AL$40&amp;" - "&amp;AK$40,0)</f>
        <v>0</v>
      </c>
      <c r="AQ40" s="8">
        <f>IF( AP40&lt;&gt;0,AM$40,0)</f>
        <v>0</v>
      </c>
      <c r="AR40" s="8" t="s">
        <v>26</v>
      </c>
    </row>
    <row r="41" ht="38.25" customHeight="1">
      <c r="A41" s="1"/>
      <c r="B41" s="1"/>
      <c r="C41" s="43" t="str">
        <f t="shared" si="4"/>
        <v>Renzo Toscani</v>
      </c>
      <c r="D41" s="2"/>
      <c r="E41" s="42"/>
      <c r="F41" s="26"/>
      <c r="G41" s="26"/>
      <c r="H41" s="2"/>
      <c r="I41" s="1"/>
      <c r="J41" s="4">
        <f t="shared" si="1"/>
        <v>0</v>
      </c>
      <c r="K41" s="5">
        <f t="shared" si="2"/>
        <v>0</v>
      </c>
      <c r="L41" s="6"/>
      <c r="M41" s="7"/>
      <c r="N41" s="17" t="s">
        <v>119</v>
      </c>
      <c r="O41" s="17">
        <v>14.0</v>
      </c>
      <c r="P41" s="8">
        <f t="shared" si="9"/>
        <v>0</v>
      </c>
      <c r="Q41" s="8">
        <f t="shared" si="10"/>
        <v>0</v>
      </c>
      <c r="R41" s="8"/>
      <c r="S41" s="8">
        <f t="shared" si="11"/>
        <v>0</v>
      </c>
      <c r="T41" s="8" t="str">
        <f t="shared" si="12"/>
        <v>oo</v>
      </c>
      <c r="U41" s="8">
        <f t="shared" si="13"/>
        <v>0</v>
      </c>
      <c r="V41" s="46">
        <f t="shared" si="14"/>
        <v>0</v>
      </c>
      <c r="W41" s="49" t="s">
        <v>182</v>
      </c>
      <c r="X41" s="50" t="s">
        <v>183</v>
      </c>
      <c r="Y41" s="51" t="s">
        <v>123</v>
      </c>
      <c r="Z41" s="17">
        <v>5.0</v>
      </c>
      <c r="AA41" s="8"/>
      <c r="AB41" s="8">
        <f t="shared" si="15"/>
        <v>0.01162790698</v>
      </c>
      <c r="AC41" s="8">
        <f t="shared" si="16"/>
        <v>0.01162790698</v>
      </c>
      <c r="AD41" s="8">
        <f t="shared" si="17"/>
        <v>1</v>
      </c>
      <c r="AE41" s="17"/>
      <c r="AF41" s="17">
        <v>4.0</v>
      </c>
      <c r="AG41" s="17" t="s">
        <v>131</v>
      </c>
      <c r="AH41" s="8">
        <f t="shared" si="18"/>
        <v>0</v>
      </c>
      <c r="AI41" s="8" t="str">
        <f t="shared" si="19"/>
        <v>BAJO</v>
      </c>
      <c r="AJ41" s="8">
        <f t="shared" si="20"/>
        <v>0</v>
      </c>
      <c r="AK41" s="8" t="s">
        <v>40</v>
      </c>
      <c r="AL41" s="8" t="s">
        <v>132</v>
      </c>
      <c r="AM41" s="52" t="s">
        <v>184</v>
      </c>
      <c r="AN41" s="8"/>
      <c r="AO41" s="8"/>
      <c r="AP41" s="8">
        <f>IF( AND(AI$41&lt;&gt;0,AH$15&lt;&gt;0),AL$41&amp;" - "&amp;AK$41,0)</f>
        <v>0</v>
      </c>
      <c r="AQ41" s="8">
        <f>IF( AP41&lt;&gt;0,AM$41,0)</f>
        <v>0</v>
      </c>
      <c r="AR41" s="8" t="s">
        <v>26</v>
      </c>
    </row>
    <row r="42" ht="32.25" customHeight="1">
      <c r="A42" s="1"/>
      <c r="B42" s="1"/>
      <c r="C42" s="43" t="str">
        <f t="shared" si="4"/>
        <v>Mariano Cocirio</v>
      </c>
      <c r="D42" s="2"/>
      <c r="E42" s="53" t="s">
        <v>51</v>
      </c>
      <c r="F42" s="27">
        <v>0.7763888888888889</v>
      </c>
      <c r="G42" s="28" t="s">
        <v>192</v>
      </c>
      <c r="H42" s="2"/>
      <c r="I42" s="29" t="s">
        <v>134</v>
      </c>
      <c r="J42" s="4">
        <f t="shared" si="1"/>
        <v>3</v>
      </c>
      <c r="K42" s="5">
        <f t="shared" si="2"/>
        <v>5</v>
      </c>
      <c r="L42" s="6"/>
      <c r="M42" s="7"/>
      <c r="N42" s="17" t="s">
        <v>119</v>
      </c>
      <c r="O42" s="17">
        <v>15.0</v>
      </c>
      <c r="P42" s="8">
        <f t="shared" si="9"/>
        <v>1</v>
      </c>
      <c r="Q42" s="8">
        <f t="shared" si="10"/>
        <v>0.01162790698</v>
      </c>
      <c r="R42" s="8"/>
      <c r="S42" s="8">
        <f t="shared" si="11"/>
        <v>1</v>
      </c>
      <c r="T42" s="8">
        <f t="shared" si="12"/>
        <v>1</v>
      </c>
      <c r="U42" s="8">
        <f t="shared" si="13"/>
        <v>1</v>
      </c>
      <c r="V42" s="46">
        <f t="shared" si="14"/>
        <v>0.01162790698</v>
      </c>
      <c r="W42" s="49" t="s">
        <v>22</v>
      </c>
      <c r="X42" s="50" t="s">
        <v>186</v>
      </c>
      <c r="Y42" s="51" t="s">
        <v>123</v>
      </c>
      <c r="Z42" s="17">
        <v>4.0</v>
      </c>
      <c r="AA42" s="8"/>
      <c r="AB42" s="8">
        <f t="shared" si="15"/>
        <v>0.01162790698</v>
      </c>
      <c r="AC42" s="8">
        <f t="shared" si="16"/>
        <v>0.01162790698</v>
      </c>
      <c r="AD42" s="8">
        <f t="shared" si="17"/>
        <v>1</v>
      </c>
      <c r="AE42" s="17"/>
      <c r="AF42" s="17">
        <v>9.0</v>
      </c>
      <c r="AG42" s="17" t="s">
        <v>136</v>
      </c>
      <c r="AH42" s="8">
        <f t="shared" si="18"/>
        <v>0</v>
      </c>
      <c r="AI42" s="8" t="str">
        <f t="shared" si="19"/>
        <v>BAJO</v>
      </c>
      <c r="AJ42" s="8">
        <f t="shared" si="20"/>
        <v>0</v>
      </c>
      <c r="AK42" s="8" t="s">
        <v>40</v>
      </c>
      <c r="AL42" s="8" t="s">
        <v>137</v>
      </c>
      <c r="AM42" s="52" t="s">
        <v>187</v>
      </c>
      <c r="AN42" s="8"/>
      <c r="AO42" s="8"/>
      <c r="AP42" s="8">
        <f>IF( AND(AI$42&lt;&gt;0,AH$20&lt;&gt;0),AL$42&amp;" - "&amp;AK$42,0)</f>
        <v>0</v>
      </c>
      <c r="AQ42" s="8">
        <f>IF( AP42&lt;&gt;0,AM$42,0)</f>
        <v>0</v>
      </c>
      <c r="AR42" s="8" t="s">
        <v>26</v>
      </c>
    </row>
    <row r="43" ht="27.75" customHeight="1">
      <c r="A43" s="1"/>
      <c r="B43" s="1"/>
      <c r="C43" s="43" t="str">
        <f t="shared" si="4"/>
        <v>Mariano Cocirio</v>
      </c>
      <c r="D43" s="2"/>
      <c r="E43" s="42"/>
      <c r="F43" s="26"/>
      <c r="G43" s="26"/>
      <c r="H43" s="2"/>
      <c r="I43" s="1"/>
      <c r="J43" s="4">
        <f t="shared" si="1"/>
        <v>0</v>
      </c>
      <c r="K43" s="5">
        <f t="shared" si="2"/>
        <v>0</v>
      </c>
      <c r="L43" s="6"/>
      <c r="M43" s="7"/>
      <c r="N43" s="17" t="s">
        <v>119</v>
      </c>
      <c r="O43" s="17">
        <v>16.0</v>
      </c>
      <c r="P43" s="8">
        <f t="shared" si="9"/>
        <v>0</v>
      </c>
      <c r="Q43" s="8">
        <f t="shared" si="10"/>
        <v>0</v>
      </c>
      <c r="R43" s="8"/>
      <c r="S43" s="8">
        <f t="shared" si="11"/>
        <v>0</v>
      </c>
      <c r="T43" s="8" t="str">
        <f t="shared" si="12"/>
        <v>oo</v>
      </c>
      <c r="U43" s="8">
        <f t="shared" si="13"/>
        <v>0</v>
      </c>
      <c r="V43" s="46">
        <f t="shared" si="14"/>
        <v>0</v>
      </c>
      <c r="W43" s="49" t="s">
        <v>188</v>
      </c>
      <c r="X43" s="50" t="s">
        <v>189</v>
      </c>
      <c r="Y43" s="51" t="s">
        <v>123</v>
      </c>
      <c r="Z43" s="17">
        <v>6.0</v>
      </c>
      <c r="AA43" s="8"/>
      <c r="AB43" s="8">
        <f t="shared" si="15"/>
        <v>0.01162790698</v>
      </c>
      <c r="AC43" s="8">
        <f t="shared" si="16"/>
        <v>0.01162790698</v>
      </c>
      <c r="AD43" s="8">
        <f t="shared" si="17"/>
        <v>1</v>
      </c>
      <c r="AE43" s="17" t="s">
        <v>45</v>
      </c>
      <c r="AF43" s="17">
        <v>3.0</v>
      </c>
      <c r="AG43" s="17" t="s">
        <v>190</v>
      </c>
      <c r="AH43" s="8">
        <f t="shared" si="18"/>
        <v>0</v>
      </c>
      <c r="AI43" s="8" t="str">
        <f t="shared" si="19"/>
        <v>BAJO</v>
      </c>
      <c r="AJ43" s="8">
        <f t="shared" si="20"/>
        <v>0</v>
      </c>
      <c r="AK43" s="8" t="s">
        <v>191</v>
      </c>
      <c r="AL43" s="8" t="s">
        <v>191</v>
      </c>
      <c r="AM43" s="8" t="s">
        <v>191</v>
      </c>
      <c r="AN43" s="8"/>
      <c r="AO43" s="8"/>
      <c r="AP43" s="8"/>
      <c r="AQ43" s="8">
        <f>IF( AP43&lt;&gt;0,AM$43,0)</f>
        <v>0</v>
      </c>
      <c r="AR43" s="8" t="s">
        <v>26</v>
      </c>
    </row>
    <row r="44" ht="27.75" customHeight="1">
      <c r="A44" s="1"/>
      <c r="B44" s="1"/>
      <c r="C44" s="43" t="str">
        <f t="shared" si="4"/>
        <v>Mariano Cocirio</v>
      </c>
      <c r="D44" s="2"/>
      <c r="E44" s="42"/>
      <c r="F44" s="26"/>
      <c r="G44" s="26"/>
      <c r="H44" s="2"/>
      <c r="I44" s="1"/>
      <c r="J44" s="4">
        <f t="shared" si="1"/>
        <v>0</v>
      </c>
      <c r="K44" s="5">
        <f t="shared" si="2"/>
        <v>0</v>
      </c>
      <c r="L44" s="6"/>
      <c r="M44" s="7"/>
      <c r="N44" s="17" t="s">
        <v>119</v>
      </c>
      <c r="O44" s="17">
        <v>17.0</v>
      </c>
      <c r="P44" s="8">
        <f t="shared" si="9"/>
        <v>0</v>
      </c>
      <c r="Q44" s="8">
        <f t="shared" si="10"/>
        <v>0</v>
      </c>
      <c r="R44" s="8"/>
      <c r="S44" s="8">
        <f t="shared" si="11"/>
        <v>0</v>
      </c>
      <c r="T44" s="8" t="str">
        <f t="shared" si="12"/>
        <v>oo</v>
      </c>
      <c r="U44" s="8">
        <f t="shared" si="13"/>
        <v>0</v>
      </c>
      <c r="V44" s="46">
        <f t="shared" si="14"/>
        <v>0</v>
      </c>
      <c r="W44" s="49" t="s">
        <v>193</v>
      </c>
      <c r="X44" s="50" t="s">
        <v>194</v>
      </c>
      <c r="Y44" s="51" t="s">
        <v>123</v>
      </c>
      <c r="Z44" s="17">
        <v>5.0</v>
      </c>
      <c r="AA44" s="8"/>
      <c r="AB44" s="8">
        <f t="shared" si="15"/>
        <v>0.01162790698</v>
      </c>
      <c r="AC44" s="8">
        <f t="shared" si="16"/>
        <v>0.01162790698</v>
      </c>
      <c r="AD44" s="8">
        <f t="shared" si="17"/>
        <v>1</v>
      </c>
      <c r="AE44" s="17"/>
      <c r="AF44" s="17">
        <v>10.0</v>
      </c>
      <c r="AG44" s="17" t="s">
        <v>190</v>
      </c>
      <c r="AH44" s="8">
        <f t="shared" si="18"/>
        <v>0</v>
      </c>
      <c r="AI44" s="8" t="str">
        <f t="shared" si="19"/>
        <v>BAJO</v>
      </c>
      <c r="AJ44" s="8">
        <f t="shared" si="20"/>
        <v>0</v>
      </c>
      <c r="AK44" s="8" t="s">
        <v>191</v>
      </c>
      <c r="AL44" s="8" t="s">
        <v>191</v>
      </c>
      <c r="AM44" s="8" t="s">
        <v>191</v>
      </c>
      <c r="AN44" s="8"/>
      <c r="AO44" s="8"/>
      <c r="AP44" s="8"/>
      <c r="AQ44" s="8">
        <f>IF( AP44&lt;&gt;0,AM$44,0)</f>
        <v>0</v>
      </c>
      <c r="AR44" s="8" t="s">
        <v>26</v>
      </c>
    </row>
    <row r="45" ht="33.0" customHeight="1">
      <c r="A45" s="1"/>
      <c r="B45" s="1"/>
      <c r="C45" s="43" t="str">
        <f t="shared" si="4"/>
        <v>Renzo Toscani</v>
      </c>
      <c r="D45" s="2"/>
      <c r="E45" s="53" t="s">
        <v>71</v>
      </c>
      <c r="F45" s="27">
        <v>0.7770833333333333</v>
      </c>
      <c r="G45" s="28" t="s">
        <v>206</v>
      </c>
      <c r="H45" s="2"/>
      <c r="I45" s="29" t="s">
        <v>196</v>
      </c>
      <c r="J45" s="4">
        <f t="shared" si="1"/>
        <v>18</v>
      </c>
      <c r="K45" s="5">
        <f t="shared" si="2"/>
        <v>5</v>
      </c>
      <c r="L45" s="6"/>
      <c r="M45" s="7"/>
      <c r="N45" s="17" t="s">
        <v>119</v>
      </c>
      <c r="O45" s="17">
        <v>18.0</v>
      </c>
      <c r="P45" s="8">
        <f t="shared" si="9"/>
        <v>0</v>
      </c>
      <c r="Q45" s="8">
        <f t="shared" si="10"/>
        <v>0</v>
      </c>
      <c r="R45" s="8"/>
      <c r="S45" s="8">
        <f t="shared" si="11"/>
        <v>1</v>
      </c>
      <c r="T45" s="8" t="str">
        <f t="shared" si="12"/>
        <v>oo</v>
      </c>
      <c r="U45" s="8">
        <f t="shared" si="13"/>
        <v>0</v>
      </c>
      <c r="V45" s="46">
        <f t="shared" si="14"/>
        <v>0</v>
      </c>
      <c r="W45" s="49" t="s">
        <v>196</v>
      </c>
      <c r="X45" s="50" t="s">
        <v>197</v>
      </c>
      <c r="Y45" s="51" t="s">
        <v>123</v>
      </c>
      <c r="Z45" s="17">
        <v>5.0</v>
      </c>
      <c r="AA45" s="8"/>
      <c r="AB45" s="8">
        <f t="shared" si="15"/>
        <v>0.01162790698</v>
      </c>
      <c r="AC45" s="8">
        <f t="shared" si="16"/>
        <v>0.01162790698</v>
      </c>
      <c r="AD45" s="8">
        <f t="shared" si="17"/>
        <v>1</v>
      </c>
      <c r="AE45" s="8"/>
      <c r="AF45" s="8"/>
      <c r="AG45" s="17" t="s">
        <v>190</v>
      </c>
      <c r="AH45" s="8">
        <f t="shared" si="18"/>
        <v>0</v>
      </c>
      <c r="AI45" s="8" t="str">
        <f t="shared" si="19"/>
        <v>BAJO</v>
      </c>
      <c r="AJ45" s="8">
        <f t="shared" si="20"/>
        <v>0</v>
      </c>
      <c r="AK45" s="8" t="s">
        <v>45</v>
      </c>
      <c r="AL45" s="8" t="s">
        <v>198</v>
      </c>
      <c r="AM45" s="52" t="s">
        <v>199</v>
      </c>
      <c r="AN45" s="8"/>
      <c r="AO45" s="8"/>
      <c r="AP45" s="8" t="str">
        <f>IF( AND(AI$45&lt;&gt;0,OR(AH$21&lt;&gt;0,AH$14&lt;&gt;0)),AL$45&amp;" - "&amp;AK$45,0)</f>
        <v>Estudiante requiere entrenamiento de subhabilidad Reconocimiento - Decisión</v>
      </c>
      <c r="AQ45" s="8"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8" t="s">
        <v>26</v>
      </c>
    </row>
    <row r="46" ht="25.5" customHeight="1">
      <c r="A46" s="1"/>
      <c r="B46" s="1"/>
      <c r="C46" s="43" t="str">
        <f t="shared" si="4"/>
        <v>Renzo Toscani</v>
      </c>
      <c r="D46" s="2"/>
      <c r="E46" s="42"/>
      <c r="F46" s="26"/>
      <c r="G46" s="26"/>
      <c r="H46" s="2"/>
      <c r="I46" s="1"/>
      <c r="J46" s="4">
        <f t="shared" si="1"/>
        <v>0</v>
      </c>
      <c r="K46" s="5">
        <f t="shared" si="2"/>
        <v>0</v>
      </c>
      <c r="L46" s="6"/>
      <c r="M46" s="7"/>
      <c r="N46" s="17" t="s">
        <v>119</v>
      </c>
      <c r="O46" s="17">
        <v>19.0</v>
      </c>
      <c r="P46" s="8">
        <f t="shared" si="9"/>
        <v>0</v>
      </c>
      <c r="Q46" s="8">
        <f t="shared" si="10"/>
        <v>0</v>
      </c>
      <c r="R46" s="8"/>
      <c r="S46" s="8">
        <f t="shared" si="11"/>
        <v>1</v>
      </c>
      <c r="T46" s="8" t="str">
        <f t="shared" si="12"/>
        <v>oo</v>
      </c>
      <c r="U46" s="8">
        <f t="shared" si="13"/>
        <v>0</v>
      </c>
      <c r="V46" s="46">
        <f t="shared" si="14"/>
        <v>0</v>
      </c>
      <c r="W46" s="49" t="s">
        <v>201</v>
      </c>
      <c r="X46" s="50" t="s">
        <v>202</v>
      </c>
      <c r="Y46" s="51" t="s">
        <v>136</v>
      </c>
      <c r="Z46" s="17">
        <v>7.0</v>
      </c>
      <c r="AA46" s="8"/>
      <c r="AB46" s="8">
        <f t="shared" si="15"/>
        <v>0.01162790698</v>
      </c>
      <c r="AC46" s="8">
        <f t="shared" si="16"/>
        <v>0.01162790698</v>
      </c>
      <c r="AD46" s="8">
        <f t="shared" si="17"/>
        <v>1</v>
      </c>
      <c r="AE46" s="17" t="s">
        <v>57</v>
      </c>
      <c r="AF46" s="17">
        <v>2.0</v>
      </c>
      <c r="AG46" s="17" t="s">
        <v>190</v>
      </c>
      <c r="AH46" s="8">
        <f t="shared" si="18"/>
        <v>0</v>
      </c>
      <c r="AI46" s="8" t="str">
        <f t="shared" si="19"/>
        <v>BAJO</v>
      </c>
      <c r="AJ46" s="8">
        <f t="shared" si="20"/>
        <v>0</v>
      </c>
      <c r="AK46" s="8" t="s">
        <v>57</v>
      </c>
      <c r="AL46" s="8" t="s">
        <v>198</v>
      </c>
      <c r="AM46" s="52" t="s">
        <v>203</v>
      </c>
      <c r="AN46" s="8" t="s">
        <v>26</v>
      </c>
      <c r="AO46" s="8"/>
      <c r="AP46" s="8" t="str">
        <f>IF( AND(AI$46&lt;&gt;0,AH$13&lt;&gt;0),AL$46&amp;" - "&amp;AK$46,0)</f>
        <v>Estudiante requiere entrenamiento de subhabilidad Reconocimiento - Reducción de tensión</v>
      </c>
      <c r="AQ46" s="8"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8" t="s">
        <v>26</v>
      </c>
    </row>
    <row r="47" ht="24.75" customHeight="1">
      <c r="A47" s="1"/>
      <c r="B47" s="1"/>
      <c r="C47" s="43" t="str">
        <f t="shared" si="4"/>
        <v>Renzo Toscani</v>
      </c>
      <c r="D47" s="2"/>
      <c r="E47" s="42"/>
      <c r="F47" s="26"/>
      <c r="G47" s="26"/>
      <c r="H47" s="2"/>
      <c r="I47" s="1"/>
      <c r="J47" s="4">
        <f t="shared" si="1"/>
        <v>0</v>
      </c>
      <c r="K47" s="5">
        <f t="shared" si="2"/>
        <v>0</v>
      </c>
      <c r="L47" s="6"/>
      <c r="M47" s="7"/>
      <c r="N47" s="17" t="s">
        <v>119</v>
      </c>
      <c r="O47" s="17">
        <v>20.0</v>
      </c>
      <c r="P47" s="8">
        <f t="shared" si="9"/>
        <v>0</v>
      </c>
      <c r="Q47" s="8">
        <f t="shared" si="10"/>
        <v>0</v>
      </c>
      <c r="R47" s="8"/>
      <c r="S47" s="8">
        <f t="shared" si="11"/>
        <v>2</v>
      </c>
      <c r="T47" s="8" t="str">
        <f t="shared" si="12"/>
        <v>oo</v>
      </c>
      <c r="U47" s="8">
        <f t="shared" si="13"/>
        <v>0</v>
      </c>
      <c r="V47" s="46">
        <f t="shared" si="14"/>
        <v>0</v>
      </c>
      <c r="W47" s="49" t="s">
        <v>127</v>
      </c>
      <c r="X47" s="50" t="s">
        <v>204</v>
      </c>
      <c r="Y47" s="51" t="s">
        <v>136</v>
      </c>
      <c r="Z47" s="17">
        <v>9.0</v>
      </c>
      <c r="AA47" s="8"/>
      <c r="AB47" s="8">
        <f t="shared" si="15"/>
        <v>0.01162790698</v>
      </c>
      <c r="AC47" s="8">
        <f t="shared" si="16"/>
        <v>0.01162790698</v>
      </c>
      <c r="AD47" s="8">
        <f t="shared" si="17"/>
        <v>1</v>
      </c>
      <c r="AE47" s="17"/>
      <c r="AF47" s="17">
        <v>11.0</v>
      </c>
      <c r="AG47" s="17" t="s">
        <v>130</v>
      </c>
      <c r="AH47" s="8">
        <f t="shared" si="18"/>
        <v>0</v>
      </c>
      <c r="AI47" s="8" t="str">
        <f t="shared" si="19"/>
        <v>BAJO</v>
      </c>
      <c r="AJ47" s="8">
        <f t="shared" si="20"/>
        <v>0</v>
      </c>
      <c r="AK47" s="8" t="s">
        <v>57</v>
      </c>
      <c r="AL47" s="8" t="s">
        <v>141</v>
      </c>
      <c r="AM47" s="8" t="s">
        <v>205</v>
      </c>
      <c r="AN47" s="8" t="s">
        <v>26</v>
      </c>
      <c r="AO47" s="8"/>
      <c r="AP47" s="8">
        <f>IF( AND(AI$47&lt;&gt;0,AH$22&lt;&gt;0),AL$47&amp;" - "&amp;AK$47,0)</f>
        <v>0</v>
      </c>
      <c r="AQ47" s="8">
        <f>IF( AP47&lt;&gt;0,AM$47,0)</f>
        <v>0</v>
      </c>
      <c r="AR47" s="8" t="s">
        <v>26</v>
      </c>
    </row>
    <row r="48" ht="24.0" customHeight="1">
      <c r="A48" s="1"/>
      <c r="B48" s="1"/>
      <c r="C48" s="43" t="str">
        <f t="shared" si="4"/>
        <v>Mariano Cocirio</v>
      </c>
      <c r="D48" s="2"/>
      <c r="E48" s="53" t="s">
        <v>51</v>
      </c>
      <c r="F48" s="27">
        <v>0.7777777777777778</v>
      </c>
      <c r="G48" s="28" t="s">
        <v>221</v>
      </c>
      <c r="H48" s="2"/>
      <c r="I48" s="29" t="s">
        <v>182</v>
      </c>
      <c r="J48" s="4">
        <f t="shared" si="1"/>
        <v>14</v>
      </c>
      <c r="K48" s="5">
        <f t="shared" si="2"/>
        <v>5</v>
      </c>
      <c r="L48" s="6"/>
      <c r="M48" s="7"/>
      <c r="N48" s="17" t="s">
        <v>119</v>
      </c>
      <c r="O48" s="17">
        <v>21.0</v>
      </c>
      <c r="P48" s="8">
        <f t="shared" si="9"/>
        <v>0</v>
      </c>
      <c r="Q48" s="8">
        <f t="shared" si="10"/>
        <v>0</v>
      </c>
      <c r="R48" s="8"/>
      <c r="S48" s="8">
        <f t="shared" si="11"/>
        <v>0</v>
      </c>
      <c r="T48" s="8" t="str">
        <f t="shared" si="12"/>
        <v>oo</v>
      </c>
      <c r="U48" s="8">
        <f t="shared" si="13"/>
        <v>0</v>
      </c>
      <c r="V48" s="46">
        <f t="shared" si="14"/>
        <v>0</v>
      </c>
      <c r="W48" s="49" t="s">
        <v>48</v>
      </c>
      <c r="X48" s="50" t="s">
        <v>207</v>
      </c>
      <c r="Y48" s="51" t="s">
        <v>136</v>
      </c>
      <c r="Z48" s="17">
        <v>7.0</v>
      </c>
      <c r="AA48" s="8"/>
      <c r="AB48" s="8">
        <f t="shared" si="15"/>
        <v>0.01162790698</v>
      </c>
      <c r="AC48" s="8">
        <f t="shared" si="16"/>
        <v>0.01162790698</v>
      </c>
      <c r="AD48" s="8">
        <f t="shared" si="17"/>
        <v>1</v>
      </c>
      <c r="AE48" s="17"/>
      <c r="AF48" s="17">
        <v>11.0</v>
      </c>
      <c r="AG48" s="17" t="s">
        <v>168</v>
      </c>
      <c r="AH48" s="8">
        <f t="shared" si="18"/>
        <v>0</v>
      </c>
      <c r="AI48" s="8" t="str">
        <f t="shared" si="19"/>
        <v>BAJO</v>
      </c>
      <c r="AJ48" s="8">
        <f t="shared" si="20"/>
        <v>0</v>
      </c>
      <c r="AK48" s="8" t="s">
        <v>57</v>
      </c>
      <c r="AL48" s="8" t="s">
        <v>169</v>
      </c>
      <c r="AM48" s="8" t="s">
        <v>205</v>
      </c>
      <c r="AN48" s="8" t="s">
        <v>26</v>
      </c>
      <c r="AO48" s="8"/>
      <c r="AP48" s="8">
        <f>IF( AND(AI$48&lt;&gt;0,AH$22&lt;&gt;0),AL$48&amp;" - "&amp;AK$48,0)</f>
        <v>0</v>
      </c>
      <c r="AQ48" s="8">
        <f>IF( AP48&lt;&gt;0,AM$48,0)</f>
        <v>0</v>
      </c>
      <c r="AR48" s="8" t="s">
        <v>26</v>
      </c>
    </row>
    <row r="49" ht="22.5" customHeight="1">
      <c r="A49" s="1"/>
      <c r="B49" s="1"/>
      <c r="C49" s="43" t="str">
        <f t="shared" si="4"/>
        <v>Mariano Cocirio</v>
      </c>
      <c r="D49" s="2"/>
      <c r="E49" s="42"/>
      <c r="F49" s="26"/>
      <c r="G49" s="26"/>
      <c r="H49" s="2"/>
      <c r="I49" s="1"/>
      <c r="J49" s="4">
        <f t="shared" si="1"/>
        <v>0</v>
      </c>
      <c r="K49" s="5">
        <f t="shared" si="2"/>
        <v>0</v>
      </c>
      <c r="L49" s="6"/>
      <c r="M49" s="7"/>
      <c r="N49" s="17" t="s">
        <v>119</v>
      </c>
      <c r="O49" s="17">
        <v>22.0</v>
      </c>
      <c r="P49" s="8">
        <f t="shared" si="9"/>
        <v>0</v>
      </c>
      <c r="Q49" s="8">
        <f t="shared" si="10"/>
        <v>0</v>
      </c>
      <c r="R49" s="8"/>
      <c r="S49" s="8">
        <f t="shared" si="11"/>
        <v>0</v>
      </c>
      <c r="T49" s="8" t="str">
        <f t="shared" si="12"/>
        <v>oo</v>
      </c>
      <c r="U49" s="8">
        <f t="shared" si="13"/>
        <v>0</v>
      </c>
      <c r="V49" s="46">
        <f t="shared" si="14"/>
        <v>0</v>
      </c>
      <c r="W49" s="49" t="s">
        <v>210</v>
      </c>
      <c r="X49" s="50" t="s">
        <v>211</v>
      </c>
      <c r="Y49" s="51" t="s">
        <v>136</v>
      </c>
      <c r="Z49" s="17">
        <v>8.0</v>
      </c>
      <c r="AA49" s="8"/>
      <c r="AB49" s="8">
        <f t="shared" si="15"/>
        <v>0.01162790698</v>
      </c>
      <c r="AC49" s="8">
        <f t="shared" si="16"/>
        <v>0.01162790698</v>
      </c>
      <c r="AD49" s="8">
        <f t="shared" si="17"/>
        <v>1</v>
      </c>
      <c r="AE49" s="17" t="s">
        <v>64</v>
      </c>
      <c r="AF49" s="17">
        <v>1.0</v>
      </c>
      <c r="AG49" s="17" t="s">
        <v>154</v>
      </c>
      <c r="AH49" s="8">
        <f t="shared" si="18"/>
        <v>0</v>
      </c>
      <c r="AI49" s="8" t="str">
        <f t="shared" si="19"/>
        <v>BAJO</v>
      </c>
      <c r="AJ49" s="8">
        <f t="shared" si="20"/>
        <v>0</v>
      </c>
      <c r="AK49" s="8" t="s">
        <v>64</v>
      </c>
      <c r="AL49" s="8" t="s">
        <v>212</v>
      </c>
      <c r="AM49" s="8" t="s">
        <v>213</v>
      </c>
      <c r="AN49" s="8" t="s">
        <v>26</v>
      </c>
      <c r="AO49" s="8"/>
      <c r="AP49" s="8" t="str">
        <f>IF( AND(AI$49&lt;&gt;0,AH$12&lt;&gt;0),AL$49&amp;" - "&amp;AK$49,0)</f>
        <v>Estudiante requiere entrenamiento de subhabilidad Motivar  - Reintegración</v>
      </c>
      <c r="AQ49" s="8"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8" t="s">
        <v>26</v>
      </c>
    </row>
    <row r="50" ht="20.25" customHeight="1">
      <c r="A50" s="1"/>
      <c r="B50" s="1"/>
      <c r="C50" s="43" t="str">
        <f t="shared" si="4"/>
        <v>Mariano Cocirio</v>
      </c>
      <c r="D50" s="2"/>
      <c r="E50" s="42"/>
      <c r="F50" s="26"/>
      <c r="G50" s="26"/>
      <c r="H50" s="2"/>
      <c r="I50" s="1"/>
      <c r="J50" s="4">
        <f t="shared" si="1"/>
        <v>0</v>
      </c>
      <c r="K50" s="5">
        <f t="shared" si="2"/>
        <v>0</v>
      </c>
      <c r="L50" s="6"/>
      <c r="M50" s="7"/>
      <c r="N50" s="17" t="s">
        <v>119</v>
      </c>
      <c r="O50" s="17">
        <v>23.0</v>
      </c>
      <c r="P50" s="8">
        <f t="shared" si="9"/>
        <v>0</v>
      </c>
      <c r="Q50" s="8">
        <f t="shared" si="10"/>
        <v>0</v>
      </c>
      <c r="R50" s="8"/>
      <c r="S50" s="8">
        <f t="shared" si="11"/>
        <v>0</v>
      </c>
      <c r="T50" s="8" t="str">
        <f t="shared" si="12"/>
        <v>oo</v>
      </c>
      <c r="U50" s="8">
        <f t="shared" si="13"/>
        <v>0</v>
      </c>
      <c r="V50" s="46">
        <f t="shared" si="14"/>
        <v>0</v>
      </c>
      <c r="W50" s="49" t="s">
        <v>214</v>
      </c>
      <c r="X50" s="50" t="s">
        <v>215</v>
      </c>
      <c r="Y50" s="51" t="s">
        <v>136</v>
      </c>
      <c r="Z50" s="17">
        <v>8.0</v>
      </c>
      <c r="AA50" s="8"/>
      <c r="AB50" s="8">
        <f t="shared" si="15"/>
        <v>0.01162790698</v>
      </c>
      <c r="AC50" s="8">
        <f t="shared" si="16"/>
        <v>0.01162790698</v>
      </c>
      <c r="AD50" s="8">
        <f t="shared" si="17"/>
        <v>1</v>
      </c>
      <c r="AE50" s="8"/>
      <c r="AF50" s="17">
        <v>1.0</v>
      </c>
      <c r="AG50" s="17" t="s">
        <v>168</v>
      </c>
      <c r="AH50" s="8">
        <f t="shared" si="18"/>
        <v>0</v>
      </c>
      <c r="AI50" s="8" t="str">
        <f t="shared" si="19"/>
        <v>BAJO</v>
      </c>
      <c r="AJ50" s="8">
        <f t="shared" si="20"/>
        <v>0</v>
      </c>
      <c r="AK50" s="8" t="s">
        <v>64</v>
      </c>
      <c r="AL50" s="8" t="s">
        <v>169</v>
      </c>
      <c r="AM50" s="52" t="s">
        <v>216</v>
      </c>
      <c r="AN50" s="8" t="s">
        <v>26</v>
      </c>
      <c r="AO50" s="8"/>
      <c r="AP50" s="8" t="str">
        <f>IF( AND(AI$50&lt;&gt;0,AH$12&lt;&gt;0),AL$50&amp;" - "&amp;AK$50,0)</f>
        <v>Estudiante requiere entrenamiento de subhabilidad Mantenimiento - Reintegración</v>
      </c>
      <c r="AQ50" s="8"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8" t="s">
        <v>26</v>
      </c>
    </row>
    <row r="51" ht="22.5" customHeight="1">
      <c r="A51" s="1"/>
      <c r="B51" s="1"/>
      <c r="C51" s="43" t="str">
        <f t="shared" si="4"/>
        <v>Renzo Toscani</v>
      </c>
      <c r="D51" s="2"/>
      <c r="E51" s="53" t="s">
        <v>71</v>
      </c>
      <c r="F51" s="27">
        <v>0.7784722222222222</v>
      </c>
      <c r="G51" s="28" t="s">
        <v>235</v>
      </c>
      <c r="H51" s="2"/>
      <c r="I51" s="29" t="s">
        <v>68</v>
      </c>
      <c r="J51" s="4">
        <f t="shared" si="1"/>
        <v>9</v>
      </c>
      <c r="K51" s="5">
        <f t="shared" si="2"/>
        <v>11</v>
      </c>
      <c r="L51" s="6"/>
      <c r="M51" s="7"/>
      <c r="N51" s="17" t="s">
        <v>119</v>
      </c>
      <c r="O51" s="17">
        <v>24.0</v>
      </c>
      <c r="P51" s="8">
        <f t="shared" si="9"/>
        <v>1</v>
      </c>
      <c r="Q51" s="8">
        <f t="shared" si="10"/>
        <v>0.01162790698</v>
      </c>
      <c r="R51" s="8"/>
      <c r="S51" s="8">
        <f t="shared" si="11"/>
        <v>1</v>
      </c>
      <c r="T51" s="8">
        <f t="shared" si="12"/>
        <v>1</v>
      </c>
      <c r="U51" s="8">
        <f t="shared" si="13"/>
        <v>1</v>
      </c>
      <c r="V51" s="46">
        <f t="shared" si="14"/>
        <v>0.01162790698</v>
      </c>
      <c r="W51" s="49" t="s">
        <v>74</v>
      </c>
      <c r="X51" s="50" t="s">
        <v>219</v>
      </c>
      <c r="Y51" s="51" t="s">
        <v>136</v>
      </c>
      <c r="Z51" s="17">
        <v>7.0</v>
      </c>
      <c r="AA51" s="8"/>
      <c r="AB51" s="8">
        <f t="shared" si="15"/>
        <v>0.01162790698</v>
      </c>
      <c r="AC51" s="8">
        <f t="shared" si="16"/>
        <v>0.01162790698</v>
      </c>
      <c r="AD51" s="8">
        <f t="shared" si="17"/>
        <v>1</v>
      </c>
      <c r="AE51" s="8"/>
      <c r="AF51" s="17">
        <v>1.0</v>
      </c>
      <c r="AG51" s="17" t="s">
        <v>131</v>
      </c>
      <c r="AH51" s="8">
        <f t="shared" si="18"/>
        <v>0</v>
      </c>
      <c r="AI51" s="8" t="str">
        <f t="shared" si="19"/>
        <v>BAJO</v>
      </c>
      <c r="AJ51" s="8">
        <f t="shared" si="20"/>
        <v>0</v>
      </c>
      <c r="AK51" s="8" t="s">
        <v>64</v>
      </c>
      <c r="AL51" s="8" t="s">
        <v>132</v>
      </c>
      <c r="AM51" s="8" t="s">
        <v>220</v>
      </c>
      <c r="AN51" s="8" t="s">
        <v>26</v>
      </c>
      <c r="AO51" s="8"/>
      <c r="AP51" s="8" t="str">
        <f>IF( AND(AI$51&lt;&gt;0,AH$12&lt;&gt;0),AL$51&amp;" - "&amp;AK$51,0)</f>
        <v>Estudiante requiere entrenamiento de subhabilidad Tarea - Reintegración</v>
      </c>
      <c r="AQ51" s="8"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8" t="s">
        <v>26</v>
      </c>
    </row>
    <row r="52" ht="18.75" customHeight="1">
      <c r="A52" s="1"/>
      <c r="B52" s="1"/>
      <c r="C52" s="43" t="str">
        <f t="shared" si="4"/>
        <v>Renzo Toscani</v>
      </c>
      <c r="D52" s="2"/>
      <c r="E52" s="42"/>
      <c r="F52" s="26"/>
      <c r="G52" s="55"/>
      <c r="H52" s="2"/>
      <c r="I52" s="1"/>
      <c r="J52" s="4">
        <f t="shared" si="1"/>
        <v>0</v>
      </c>
      <c r="K52" s="5">
        <f t="shared" si="2"/>
        <v>0</v>
      </c>
      <c r="L52" s="6"/>
      <c r="M52" s="7"/>
      <c r="N52" s="17" t="s">
        <v>119</v>
      </c>
      <c r="O52" s="17">
        <v>25.0</v>
      </c>
      <c r="P52" s="8">
        <f t="shared" si="9"/>
        <v>0</v>
      </c>
      <c r="Q52" s="8">
        <f t="shared" si="10"/>
        <v>0</v>
      </c>
      <c r="R52" s="8"/>
      <c r="S52" s="8">
        <f t="shared" si="11"/>
        <v>0</v>
      </c>
      <c r="T52" s="8" t="str">
        <f t="shared" si="12"/>
        <v>oo</v>
      </c>
      <c r="U52" s="8">
        <f t="shared" si="13"/>
        <v>0</v>
      </c>
      <c r="V52" s="46">
        <f t="shared" si="14"/>
        <v>0</v>
      </c>
      <c r="W52" s="49" t="s">
        <v>222</v>
      </c>
      <c r="X52" s="50" t="s">
        <v>223</v>
      </c>
      <c r="Y52" s="51" t="s">
        <v>190</v>
      </c>
      <c r="Z52" s="17">
        <v>2.0</v>
      </c>
      <c r="AA52" s="8"/>
      <c r="AB52" s="8">
        <f t="shared" si="15"/>
        <v>0</v>
      </c>
      <c r="AC52" s="8">
        <f t="shared" si="16"/>
        <v>0</v>
      </c>
      <c r="AD52" s="8">
        <f t="shared" si="17"/>
        <v>0</v>
      </c>
      <c r="AE52" s="8"/>
      <c r="AF52" s="17">
        <v>12.0</v>
      </c>
      <c r="AG52" s="17" t="s">
        <v>130</v>
      </c>
      <c r="AH52" s="8">
        <f t="shared" si="18"/>
        <v>0</v>
      </c>
      <c r="AI52" s="8" t="str">
        <f t="shared" si="19"/>
        <v>BAJO</v>
      </c>
      <c r="AJ52" s="8">
        <f t="shared" si="20"/>
        <v>0</v>
      </c>
      <c r="AK52" s="8" t="s">
        <v>64</v>
      </c>
      <c r="AL52" s="8" t="s">
        <v>141</v>
      </c>
      <c r="AM52" s="8" t="s">
        <v>224</v>
      </c>
      <c r="AN52" s="8" t="s">
        <v>26</v>
      </c>
      <c r="AO52" s="8"/>
      <c r="AP52" s="8">
        <f>IF( AND(AI$52&lt;&gt;0,AH$23&lt;&gt;0),AL$52&amp;" - "&amp;AK$52,0)</f>
        <v>0</v>
      </c>
      <c r="AQ52" s="8">
        <f>IF( AP52&lt;&gt;0,AM$52,0)</f>
        <v>0</v>
      </c>
      <c r="AR52" s="8" t="s">
        <v>26</v>
      </c>
    </row>
    <row r="53" ht="20.25" customHeight="1">
      <c r="A53" s="1"/>
      <c r="B53" s="1"/>
      <c r="C53" s="43" t="str">
        <f t="shared" si="4"/>
        <v>Renzo Toscani</v>
      </c>
      <c r="D53" s="2"/>
      <c r="E53" s="42"/>
      <c r="F53" s="26"/>
      <c r="G53" s="60"/>
      <c r="H53" s="2"/>
      <c r="I53" s="1"/>
      <c r="J53" s="4">
        <f t="shared" si="1"/>
        <v>0</v>
      </c>
      <c r="K53" s="5">
        <f t="shared" si="2"/>
        <v>0</v>
      </c>
      <c r="L53" s="6"/>
      <c r="M53" s="7"/>
      <c r="N53" s="17" t="s">
        <v>119</v>
      </c>
      <c r="O53" s="17">
        <v>26.0</v>
      </c>
      <c r="P53" s="8">
        <f t="shared" si="9"/>
        <v>0</v>
      </c>
      <c r="Q53" s="8">
        <f t="shared" si="10"/>
        <v>0</v>
      </c>
      <c r="R53" s="8"/>
      <c r="S53" s="8">
        <f t="shared" si="11"/>
        <v>1</v>
      </c>
      <c r="T53" s="8" t="str">
        <f t="shared" si="12"/>
        <v>oo</v>
      </c>
      <c r="U53" s="8">
        <f t="shared" si="13"/>
        <v>0</v>
      </c>
      <c r="V53" s="46">
        <f t="shared" si="14"/>
        <v>0</v>
      </c>
      <c r="W53" s="49" t="s">
        <v>226</v>
      </c>
      <c r="X53" s="50" t="s">
        <v>227</v>
      </c>
      <c r="Y53" s="51" t="s">
        <v>190</v>
      </c>
      <c r="Z53" s="17">
        <v>3.0</v>
      </c>
      <c r="AA53" s="8"/>
      <c r="AB53" s="8">
        <f t="shared" si="15"/>
        <v>0</v>
      </c>
      <c r="AC53" s="8">
        <f t="shared" si="16"/>
        <v>0</v>
      </c>
      <c r="AD53" s="8">
        <f t="shared" si="17"/>
        <v>0</v>
      </c>
      <c r="AE53" s="8"/>
      <c r="AF53" s="8"/>
      <c r="AG53" s="8"/>
      <c r="AH53" s="8"/>
      <c r="AI53" s="8"/>
      <c r="AJ53" s="8"/>
      <c r="AK53" s="8"/>
      <c r="AL53" s="8"/>
      <c r="AM53" s="8"/>
      <c r="AN53" s="8"/>
      <c r="AO53" s="8"/>
      <c r="AP53" s="17" t="s">
        <v>228</v>
      </c>
      <c r="AQ53" s="45"/>
      <c r="AR53" s="8"/>
    </row>
    <row r="54" ht="18.75" customHeight="1">
      <c r="A54" s="1"/>
      <c r="B54" s="1"/>
      <c r="C54" s="43" t="str">
        <f t="shared" si="4"/>
        <v>Renzo Toscani</v>
      </c>
      <c r="D54" s="2"/>
      <c r="E54" s="42"/>
      <c r="F54" s="26"/>
      <c r="G54" s="26"/>
      <c r="H54" s="2"/>
      <c r="I54" s="1"/>
      <c r="J54" s="4">
        <f t="shared" si="1"/>
        <v>0</v>
      </c>
      <c r="K54" s="5">
        <f t="shared" si="2"/>
        <v>0</v>
      </c>
      <c r="L54" s="6"/>
      <c r="M54" s="7"/>
      <c r="N54" s="17" t="s">
        <v>119</v>
      </c>
      <c r="O54" s="17">
        <v>27.0</v>
      </c>
      <c r="P54" s="8">
        <f t="shared" si="9"/>
        <v>0</v>
      </c>
      <c r="Q54" s="8">
        <f t="shared" si="10"/>
        <v>0</v>
      </c>
      <c r="R54" s="8"/>
      <c r="S54" s="8">
        <f t="shared" si="11"/>
        <v>0</v>
      </c>
      <c r="T54" s="8" t="str">
        <f t="shared" si="12"/>
        <v>oo</v>
      </c>
      <c r="U54" s="8">
        <f t="shared" si="13"/>
        <v>0</v>
      </c>
      <c r="V54" s="46">
        <f t="shared" si="14"/>
        <v>0</v>
      </c>
      <c r="W54" s="49" t="s">
        <v>229</v>
      </c>
      <c r="X54" s="50" t="s">
        <v>230</v>
      </c>
      <c r="Y54" s="51" t="s">
        <v>190</v>
      </c>
      <c r="Z54" s="17">
        <v>10.0</v>
      </c>
      <c r="AA54" s="8"/>
      <c r="AB54" s="8">
        <f t="shared" si="15"/>
        <v>0</v>
      </c>
      <c r="AC54" s="8">
        <f t="shared" si="16"/>
        <v>0</v>
      </c>
      <c r="AD54" s="8">
        <f t="shared" si="17"/>
        <v>0</v>
      </c>
      <c r="AE54" s="8"/>
      <c r="AF54" s="8"/>
      <c r="AG54" s="8"/>
      <c r="AH54" s="8"/>
      <c r="AI54" s="8"/>
      <c r="AJ54" s="8"/>
      <c r="AK54" s="8" t="s">
        <v>24</v>
      </c>
      <c r="AL54" s="8" t="s">
        <v>231</v>
      </c>
      <c r="AM54" s="52" t="s">
        <v>232</v>
      </c>
      <c r="AN54" s="8" t="s">
        <v>26</v>
      </c>
      <c r="AO54" s="8"/>
      <c r="AP54" s="8">
        <f>IF(AND(AD39&lt;0.5,AI$28&lt;&gt;0, AH$17&lt;&gt;0),AL$28&amp;" - "&amp;AK$28,0)</f>
        <v>0</v>
      </c>
      <c r="AQ54" s="8">
        <f t="shared" ref="AQ54:AQ78" si="21">IF( AP54&lt;&gt;0,AM54,0)</f>
        <v>0</v>
      </c>
      <c r="AR54" s="8" t="s">
        <v>26</v>
      </c>
    </row>
    <row r="55" ht="21.0" customHeight="1">
      <c r="A55" s="1"/>
      <c r="B55" s="1"/>
      <c r="C55" s="43" t="str">
        <f t="shared" si="4"/>
        <v>Renzo Toscani</v>
      </c>
      <c r="D55" s="2"/>
      <c r="E55" s="42"/>
      <c r="F55" s="26"/>
      <c r="G55" s="26"/>
      <c r="H55" s="2"/>
      <c r="I55" s="1"/>
      <c r="J55" s="4">
        <f t="shared" si="1"/>
        <v>0</v>
      </c>
      <c r="K55" s="5">
        <f t="shared" si="2"/>
        <v>0</v>
      </c>
      <c r="L55" s="6"/>
      <c r="M55" s="7"/>
      <c r="N55" s="17" t="s">
        <v>119</v>
      </c>
      <c r="O55" s="17">
        <v>28.0</v>
      </c>
      <c r="P55" s="8">
        <f t="shared" si="9"/>
        <v>0</v>
      </c>
      <c r="Q55" s="8">
        <f t="shared" si="10"/>
        <v>0</v>
      </c>
      <c r="R55" s="8"/>
      <c r="S55" s="8">
        <f t="shared" si="11"/>
        <v>1</v>
      </c>
      <c r="T55" s="8" t="str">
        <f t="shared" si="12"/>
        <v>oo</v>
      </c>
      <c r="U55" s="8">
        <f t="shared" si="13"/>
        <v>0</v>
      </c>
      <c r="V55" s="46">
        <f t="shared" si="14"/>
        <v>0</v>
      </c>
      <c r="W55" s="49" t="s">
        <v>236</v>
      </c>
      <c r="X55" s="50" t="s">
        <v>237</v>
      </c>
      <c r="Y55" s="51" t="s">
        <v>168</v>
      </c>
      <c r="Z55" s="17">
        <v>11.0</v>
      </c>
      <c r="AA55" s="8"/>
      <c r="AB55" s="8">
        <f t="shared" si="15"/>
        <v>0.03488372093</v>
      </c>
      <c r="AC55" s="8">
        <f t="shared" si="16"/>
        <v>0.02325581395</v>
      </c>
      <c r="AD55" s="8">
        <f t="shared" si="17"/>
        <v>1.5</v>
      </c>
      <c r="AE55" s="8"/>
      <c r="AF55" s="8"/>
      <c r="AG55" s="8"/>
      <c r="AH55" s="8"/>
      <c r="AI55" s="8"/>
      <c r="AJ55" s="8"/>
      <c r="AK55" s="8" t="s">
        <v>24</v>
      </c>
      <c r="AL55" s="8" t="s">
        <v>238</v>
      </c>
      <c r="AM55" s="52" t="s">
        <v>239</v>
      </c>
      <c r="AN55" s="8" t="s">
        <v>26</v>
      </c>
      <c r="AO55" s="8"/>
      <c r="AP55" s="8" t="str">
        <f>IF( AND(AD60&lt;0.5,AI$29&lt;&gt;0,AH$17&lt;&gt;0),AL$29&amp;" - "&amp;AK$29,0)</f>
        <v>Estudiante requiere entrenamiento de subhabilidad Tarea - Comunicación</v>
      </c>
      <c r="AQ55" s="8" t="str">
        <f t="shared" si="21"/>
        <v>Debe indicarle que cuando se efectúen un pedido de información, que realice una contribución a continuación de la oración de apertura “Resumiendo,…”.</v>
      </c>
      <c r="AR55" s="8" t="s">
        <v>26</v>
      </c>
    </row>
    <row r="56" ht="21.0" customHeight="1">
      <c r="A56" s="1"/>
      <c r="B56" s="1"/>
      <c r="C56" s="43" t="str">
        <f t="shared" si="4"/>
        <v>Renzo Toscani</v>
      </c>
      <c r="D56" s="2"/>
      <c r="E56" s="42"/>
      <c r="F56" s="26"/>
      <c r="G56" s="26"/>
      <c r="H56" s="2"/>
      <c r="I56" s="1"/>
      <c r="J56" s="4">
        <f t="shared" si="1"/>
        <v>0</v>
      </c>
      <c r="K56" s="5">
        <f t="shared" si="2"/>
        <v>0</v>
      </c>
      <c r="L56" s="6"/>
      <c r="M56" s="7"/>
      <c r="N56" s="17" t="s">
        <v>119</v>
      </c>
      <c r="O56" s="17">
        <v>29.0</v>
      </c>
      <c r="P56" s="8">
        <f t="shared" si="9"/>
        <v>0</v>
      </c>
      <c r="Q56" s="8">
        <f t="shared" si="10"/>
        <v>0</v>
      </c>
      <c r="R56" s="8"/>
      <c r="S56" s="8">
        <f t="shared" si="11"/>
        <v>0</v>
      </c>
      <c r="T56" s="8" t="str">
        <f t="shared" si="12"/>
        <v>oo</v>
      </c>
      <c r="U56" s="8">
        <f t="shared" si="13"/>
        <v>0</v>
      </c>
      <c r="V56" s="46">
        <f t="shared" si="14"/>
        <v>0</v>
      </c>
      <c r="W56" s="49" t="s">
        <v>209</v>
      </c>
      <c r="X56" s="50" t="s">
        <v>240</v>
      </c>
      <c r="Y56" s="51" t="s">
        <v>168</v>
      </c>
      <c r="Z56" s="17">
        <v>4.0</v>
      </c>
      <c r="AA56" s="8"/>
      <c r="AB56" s="8">
        <f t="shared" si="15"/>
        <v>0.03488372093</v>
      </c>
      <c r="AC56" s="8">
        <f t="shared" si="16"/>
        <v>0.02325581395</v>
      </c>
      <c r="AD56" s="8">
        <f t="shared" si="17"/>
        <v>1.5</v>
      </c>
      <c r="AE56" s="8"/>
      <c r="AF56" s="8"/>
      <c r="AG56" s="8"/>
      <c r="AH56" s="8"/>
      <c r="AI56" s="8"/>
      <c r="AJ56" s="8"/>
      <c r="AK56" s="8" t="s">
        <v>24</v>
      </c>
      <c r="AL56" s="8" t="s">
        <v>241</v>
      </c>
      <c r="AM56" s="52" t="s">
        <v>242</v>
      </c>
      <c r="AN56" s="8" t="s">
        <v>26</v>
      </c>
      <c r="AO56" s="8"/>
      <c r="AP56" s="8">
        <f>IF( AND(AD46&lt;0.5,AI$30&lt;&gt;0,AH$18&lt;&gt;0),AL$30&amp;" - "&amp;AK$30,0)</f>
        <v>0</v>
      </c>
      <c r="AQ56" s="8">
        <f t="shared" si="21"/>
        <v>0</v>
      </c>
      <c r="AR56" s="8" t="s">
        <v>26</v>
      </c>
    </row>
    <row r="57" ht="20.25" customHeight="1">
      <c r="A57" s="1"/>
      <c r="B57" s="1"/>
      <c r="C57" s="43" t="str">
        <f t="shared" si="4"/>
        <v>Antonella Palacios</v>
      </c>
      <c r="D57" s="2"/>
      <c r="E57" s="53" t="s">
        <v>30</v>
      </c>
      <c r="F57" s="27">
        <v>0.7798611111111111</v>
      </c>
      <c r="G57" s="28" t="s">
        <v>257</v>
      </c>
      <c r="H57" s="2"/>
      <c r="I57" s="29" t="s">
        <v>60</v>
      </c>
      <c r="J57" s="4">
        <f t="shared" si="1"/>
        <v>32</v>
      </c>
      <c r="K57" s="5">
        <f t="shared" si="2"/>
        <v>1</v>
      </c>
      <c r="L57" s="6"/>
      <c r="M57" s="7"/>
      <c r="N57" s="17" t="s">
        <v>119</v>
      </c>
      <c r="O57" s="17">
        <v>30.0</v>
      </c>
      <c r="P57" s="8">
        <f t="shared" si="9"/>
        <v>1</v>
      </c>
      <c r="Q57" s="8">
        <f t="shared" si="10"/>
        <v>0.01162790698</v>
      </c>
      <c r="R57" s="8"/>
      <c r="S57" s="8">
        <f t="shared" si="11"/>
        <v>3</v>
      </c>
      <c r="T57" s="8">
        <f t="shared" si="12"/>
        <v>3</v>
      </c>
      <c r="U57" s="8">
        <f t="shared" si="13"/>
        <v>3</v>
      </c>
      <c r="V57" s="46">
        <f t="shared" si="14"/>
        <v>0.03488372093</v>
      </c>
      <c r="W57" s="49" t="s">
        <v>87</v>
      </c>
      <c r="X57" s="50" t="s">
        <v>243</v>
      </c>
      <c r="Y57" s="51" t="s">
        <v>168</v>
      </c>
      <c r="Z57" s="17">
        <v>8.0</v>
      </c>
      <c r="AA57" s="8"/>
      <c r="AB57" s="8">
        <f t="shared" si="15"/>
        <v>0.03488372093</v>
      </c>
      <c r="AC57" s="8">
        <f t="shared" si="16"/>
        <v>0.02325581395</v>
      </c>
      <c r="AD57" s="8">
        <f t="shared" si="17"/>
        <v>1.5</v>
      </c>
      <c r="AE57" s="8"/>
      <c r="AF57" s="8"/>
      <c r="AG57" s="8"/>
      <c r="AH57" s="8"/>
      <c r="AI57" s="8"/>
      <c r="AJ57" s="8"/>
      <c r="AK57" s="8" t="s">
        <v>34</v>
      </c>
      <c r="AL57" s="8" t="s">
        <v>244</v>
      </c>
      <c r="AM57" s="52" t="s">
        <v>245</v>
      </c>
      <c r="AN57" s="8" t="s">
        <v>26</v>
      </c>
      <c r="AO57" s="8"/>
      <c r="AP57" s="8">
        <f>IF( AND(AD29&lt;0.5,AI$31&lt;&gt;0,AH$16&lt;&gt;0),AL$31&amp;" - "&amp;AK$31,0)</f>
        <v>0</v>
      </c>
      <c r="AQ57" s="8">
        <f t="shared" si="21"/>
        <v>0</v>
      </c>
      <c r="AR57" s="8" t="s">
        <v>26</v>
      </c>
    </row>
    <row r="58" ht="15.75" customHeight="1">
      <c r="A58" s="1"/>
      <c r="B58" s="1"/>
      <c r="C58" s="43" t="str">
        <f t="shared" si="4"/>
        <v>Antonella Palacios</v>
      </c>
      <c r="D58" s="2"/>
      <c r="E58" s="42"/>
      <c r="F58" s="26"/>
      <c r="G58" s="28" t="s">
        <v>261</v>
      </c>
      <c r="H58" s="2"/>
      <c r="I58" s="1"/>
      <c r="J58" s="4">
        <f t="shared" si="1"/>
        <v>0</v>
      </c>
      <c r="K58" s="5">
        <f t="shared" si="2"/>
        <v>0</v>
      </c>
      <c r="L58" s="6"/>
      <c r="M58" s="7"/>
      <c r="N58" s="17" t="s">
        <v>119</v>
      </c>
      <c r="O58" s="17">
        <v>31.0</v>
      </c>
      <c r="P58" s="8">
        <f t="shared" si="9"/>
        <v>0</v>
      </c>
      <c r="Q58" s="8">
        <f t="shared" si="10"/>
        <v>0</v>
      </c>
      <c r="R58" s="8"/>
      <c r="S58" s="8">
        <f t="shared" si="11"/>
        <v>0</v>
      </c>
      <c r="T58" s="8" t="str">
        <f t="shared" si="12"/>
        <v>oo</v>
      </c>
      <c r="U58" s="8">
        <f t="shared" si="13"/>
        <v>0</v>
      </c>
      <c r="V58" s="46">
        <f t="shared" si="14"/>
        <v>0</v>
      </c>
      <c r="W58" s="49" t="s">
        <v>246</v>
      </c>
      <c r="X58" s="50" t="s">
        <v>247</v>
      </c>
      <c r="Y58" s="51" t="s">
        <v>168</v>
      </c>
      <c r="Z58" s="17">
        <v>1.0</v>
      </c>
      <c r="AA58" s="8"/>
      <c r="AB58" s="8">
        <f t="shared" si="15"/>
        <v>0.03488372093</v>
      </c>
      <c r="AC58" s="8">
        <f t="shared" si="16"/>
        <v>0.02325581395</v>
      </c>
      <c r="AD58" s="8">
        <f t="shared" si="17"/>
        <v>1.5</v>
      </c>
      <c r="AE58" s="8"/>
      <c r="AF58" s="8"/>
      <c r="AG58" s="8"/>
      <c r="AH58" s="8"/>
      <c r="AI58" s="8"/>
      <c r="AJ58" s="8"/>
      <c r="AK58" s="8" t="s">
        <v>34</v>
      </c>
      <c r="AL58" s="8" t="s">
        <v>248</v>
      </c>
      <c r="AM58" s="52" t="s">
        <v>249</v>
      </c>
      <c r="AN58" s="8" t="s">
        <v>26</v>
      </c>
      <c r="AO58" s="8"/>
      <c r="AP58" s="8">
        <f>IF( AND(AD28&lt;0.5,AI$32&lt;&gt;0,AH$16&lt;&gt;0),AL$32&amp;" - "&amp;AK$32,0)</f>
        <v>0</v>
      </c>
      <c r="AQ58" s="8">
        <f t="shared" si="21"/>
        <v>0</v>
      </c>
      <c r="AR58" s="8" t="s">
        <v>26</v>
      </c>
    </row>
    <row r="59" ht="17.25" customHeight="1">
      <c r="A59" s="1"/>
      <c r="B59" s="1"/>
      <c r="C59" s="43" t="str">
        <f t="shared" si="4"/>
        <v>Antonella Palacios</v>
      </c>
      <c r="D59" s="2"/>
      <c r="E59" s="42"/>
      <c r="F59" s="26"/>
      <c r="G59" s="26"/>
      <c r="H59" s="2"/>
      <c r="I59" s="1"/>
      <c r="J59" s="4">
        <f t="shared" si="1"/>
        <v>0</v>
      </c>
      <c r="K59" s="5">
        <f t="shared" si="2"/>
        <v>0</v>
      </c>
      <c r="L59" s="61"/>
      <c r="M59" s="62"/>
      <c r="N59" s="17" t="s">
        <v>119</v>
      </c>
      <c r="O59" s="17">
        <v>32.0</v>
      </c>
      <c r="P59" s="8">
        <f t="shared" si="9"/>
        <v>1</v>
      </c>
      <c r="Q59" s="8">
        <f t="shared" si="10"/>
        <v>0.01162790698</v>
      </c>
      <c r="R59" s="8"/>
      <c r="S59" s="8">
        <f t="shared" si="11"/>
        <v>0</v>
      </c>
      <c r="T59" s="8">
        <f t="shared" si="12"/>
        <v>0</v>
      </c>
      <c r="U59" s="8">
        <f t="shared" si="13"/>
        <v>0</v>
      </c>
      <c r="V59" s="46">
        <f t="shared" si="14"/>
        <v>0</v>
      </c>
      <c r="W59" s="49" t="s">
        <v>60</v>
      </c>
      <c r="X59" s="50" t="s">
        <v>252</v>
      </c>
      <c r="Y59" s="51" t="s">
        <v>168</v>
      </c>
      <c r="Z59" s="17">
        <v>1.0</v>
      </c>
      <c r="AA59" s="8"/>
      <c r="AB59" s="8">
        <f t="shared" si="15"/>
        <v>0.03488372093</v>
      </c>
      <c r="AC59" s="8">
        <f t="shared" si="16"/>
        <v>0.02325581395</v>
      </c>
      <c r="AD59" s="8">
        <f t="shared" si="17"/>
        <v>1.5</v>
      </c>
      <c r="AE59" s="8"/>
      <c r="AF59" s="8"/>
      <c r="AG59" s="8"/>
      <c r="AH59" s="8"/>
      <c r="AI59" s="8"/>
      <c r="AJ59" s="8"/>
      <c r="AK59" s="8" t="s">
        <v>34</v>
      </c>
      <c r="AL59" s="8" t="s">
        <v>231</v>
      </c>
      <c r="AM59" s="52" t="s">
        <v>253</v>
      </c>
      <c r="AN59" s="8" t="s">
        <v>26</v>
      </c>
      <c r="AO59" s="8"/>
      <c r="AP59" s="8">
        <f>IF( AND(AD39&lt;0.5,AI$33&lt;&gt;0,AH$16&lt;&gt;0),AL$33&amp;" - "&amp;AK$33,0)</f>
        <v>0</v>
      </c>
      <c r="AQ59" s="8">
        <f t="shared" si="21"/>
        <v>0</v>
      </c>
      <c r="AR59" s="8" t="s">
        <v>26</v>
      </c>
    </row>
    <row r="60" ht="17.25" customHeight="1">
      <c r="A60" s="1"/>
      <c r="B60" s="1"/>
      <c r="C60" s="43" t="str">
        <f t="shared" si="4"/>
        <v>Antonella Palacios</v>
      </c>
      <c r="D60" s="2"/>
      <c r="E60" s="42"/>
      <c r="F60" s="26"/>
      <c r="G60" s="26"/>
      <c r="H60" s="2"/>
      <c r="I60" s="1"/>
      <c r="J60" s="4">
        <f t="shared" si="1"/>
        <v>0</v>
      </c>
      <c r="K60" s="5">
        <f t="shared" si="2"/>
        <v>0</v>
      </c>
      <c r="L60" s="6"/>
      <c r="M60" s="7"/>
      <c r="N60" s="17" t="s">
        <v>119</v>
      </c>
      <c r="O60" s="17">
        <v>33.0</v>
      </c>
      <c r="P60" s="8">
        <f t="shared" si="9"/>
        <v>0</v>
      </c>
      <c r="Q60" s="8">
        <f t="shared" si="10"/>
        <v>0</v>
      </c>
      <c r="R60" s="8"/>
      <c r="S60" s="8">
        <f t="shared" si="11"/>
        <v>3</v>
      </c>
      <c r="T60" s="8" t="str">
        <f t="shared" si="12"/>
        <v>oo</v>
      </c>
      <c r="U60" s="8">
        <f t="shared" si="13"/>
        <v>0</v>
      </c>
      <c r="V60" s="46">
        <f t="shared" si="14"/>
        <v>0</v>
      </c>
      <c r="W60" s="49" t="s">
        <v>95</v>
      </c>
      <c r="X60" s="50" t="s">
        <v>254</v>
      </c>
      <c r="Y60" s="51" t="s">
        <v>131</v>
      </c>
      <c r="Z60" s="17">
        <v>5.0</v>
      </c>
      <c r="AA60" s="8"/>
      <c r="AB60" s="8">
        <f t="shared" si="15"/>
        <v>0</v>
      </c>
      <c r="AC60" s="8">
        <f t="shared" si="16"/>
        <v>0</v>
      </c>
      <c r="AD60" s="8">
        <f t="shared" si="17"/>
        <v>0</v>
      </c>
      <c r="AE60" s="8"/>
      <c r="AF60" s="8"/>
      <c r="AG60" s="8"/>
      <c r="AH60" s="8"/>
      <c r="AI60" s="8"/>
      <c r="AJ60" s="8"/>
      <c r="AK60" s="8" t="s">
        <v>34</v>
      </c>
      <c r="AL60" s="8" t="s">
        <v>255</v>
      </c>
      <c r="AM60" s="52" t="s">
        <v>256</v>
      </c>
      <c r="AN60" s="8" t="s">
        <v>26</v>
      </c>
      <c r="AO60" s="8"/>
      <c r="AP60" s="8">
        <f>IF( AND(AD37&lt;0.5,AI$34&lt;&gt;0,AH$16&lt;&gt;0),AL$34&amp;" - "&amp;AK$34,0)</f>
        <v>0</v>
      </c>
      <c r="AQ60" s="8">
        <f t="shared" si="21"/>
        <v>0</v>
      </c>
      <c r="AR60" s="8" t="s">
        <v>26</v>
      </c>
    </row>
    <row r="61" ht="21.75" customHeight="1">
      <c r="A61" s="1"/>
      <c r="B61" s="1"/>
      <c r="C61" s="43" t="str">
        <f t="shared" si="4"/>
        <v>Mariano Cocirio</v>
      </c>
      <c r="D61" s="2"/>
      <c r="E61" s="53" t="s">
        <v>51</v>
      </c>
      <c r="F61" s="27">
        <v>0.7798611111111111</v>
      </c>
      <c r="G61" s="28" t="s">
        <v>270</v>
      </c>
      <c r="H61" s="2"/>
      <c r="I61" s="29" t="s">
        <v>144</v>
      </c>
      <c r="J61" s="4">
        <f t="shared" si="1"/>
        <v>5</v>
      </c>
      <c r="K61" s="5">
        <f t="shared" si="2"/>
        <v>4</v>
      </c>
      <c r="L61" s="6"/>
      <c r="M61" s="7"/>
      <c r="N61" s="17" t="s">
        <v>119</v>
      </c>
      <c r="O61" s="17">
        <v>34.0</v>
      </c>
      <c r="P61" s="8">
        <f t="shared" si="9"/>
        <v>0</v>
      </c>
      <c r="Q61" s="8">
        <f t="shared" si="10"/>
        <v>0</v>
      </c>
      <c r="R61" s="8"/>
      <c r="S61" s="8">
        <f t="shared" si="11"/>
        <v>0</v>
      </c>
      <c r="T61" s="8" t="str">
        <f t="shared" si="12"/>
        <v>oo</v>
      </c>
      <c r="U61" s="8">
        <f t="shared" si="13"/>
        <v>0</v>
      </c>
      <c r="V61" s="46">
        <f t="shared" si="14"/>
        <v>0</v>
      </c>
      <c r="W61" s="49" t="s">
        <v>258</v>
      </c>
      <c r="X61" s="50" t="s">
        <v>259</v>
      </c>
      <c r="Y61" s="51" t="s">
        <v>131</v>
      </c>
      <c r="Z61" s="17">
        <v>4.0</v>
      </c>
      <c r="AA61" s="8"/>
      <c r="AB61" s="8">
        <f t="shared" si="15"/>
        <v>0</v>
      </c>
      <c r="AC61" s="8">
        <f t="shared" si="16"/>
        <v>0</v>
      </c>
      <c r="AD61" s="8">
        <f t="shared" si="17"/>
        <v>0</v>
      </c>
      <c r="AE61" s="8"/>
      <c r="AF61" s="8"/>
      <c r="AG61" s="8"/>
      <c r="AH61" s="8"/>
      <c r="AI61" s="8"/>
      <c r="AJ61" s="8"/>
      <c r="AK61" s="8" t="s">
        <v>34</v>
      </c>
      <c r="AL61" s="8" t="s">
        <v>238</v>
      </c>
      <c r="AM61" s="52" t="s">
        <v>260</v>
      </c>
      <c r="AN61" s="8" t="s">
        <v>26</v>
      </c>
      <c r="AO61" s="8"/>
      <c r="AP61" s="8">
        <f>IF( AND(AD60&lt;0.5,AI$35&lt;&gt;0,AH$16&lt;&gt;0),AL$35&amp;" - "&amp;AK$35,0)</f>
        <v>0</v>
      </c>
      <c r="AQ61" s="8">
        <f t="shared" si="21"/>
        <v>0</v>
      </c>
      <c r="AR61" s="8" t="s">
        <v>26</v>
      </c>
    </row>
    <row r="62" ht="18.75" customHeight="1">
      <c r="A62" s="1"/>
      <c r="B62" s="1"/>
      <c r="C62" s="43" t="str">
        <f t="shared" si="4"/>
        <v>Mariano Cocirio</v>
      </c>
      <c r="D62" s="2"/>
      <c r="E62" s="42"/>
      <c r="F62" s="26"/>
      <c r="G62" s="55"/>
      <c r="H62" s="2"/>
      <c r="I62" s="1"/>
      <c r="J62" s="4">
        <f t="shared" si="1"/>
        <v>0</v>
      </c>
      <c r="K62" s="5">
        <f t="shared" si="2"/>
        <v>0</v>
      </c>
      <c r="L62" s="6"/>
      <c r="M62" s="7"/>
      <c r="N62" s="17" t="s">
        <v>119</v>
      </c>
      <c r="O62" s="17">
        <v>35.0</v>
      </c>
      <c r="P62" s="8">
        <f t="shared" si="9"/>
        <v>0</v>
      </c>
      <c r="Q62" s="8">
        <f t="shared" si="10"/>
        <v>0</v>
      </c>
      <c r="R62" s="8"/>
      <c r="S62" s="8">
        <f t="shared" si="11"/>
        <v>1</v>
      </c>
      <c r="T62" s="8" t="str">
        <f t="shared" si="12"/>
        <v>oo</v>
      </c>
      <c r="U62" s="8">
        <f t="shared" si="13"/>
        <v>0</v>
      </c>
      <c r="V62" s="46">
        <f t="shared" si="14"/>
        <v>0</v>
      </c>
      <c r="W62" s="49" t="s">
        <v>175</v>
      </c>
      <c r="X62" s="50" t="s">
        <v>262</v>
      </c>
      <c r="Y62" s="51" t="s">
        <v>131</v>
      </c>
      <c r="Z62" s="17">
        <v>6.0</v>
      </c>
      <c r="AA62" s="8"/>
      <c r="AB62" s="8">
        <f t="shared" si="15"/>
        <v>0</v>
      </c>
      <c r="AC62" s="8">
        <f t="shared" si="16"/>
        <v>0</v>
      </c>
      <c r="AD62" s="8">
        <f t="shared" si="17"/>
        <v>0</v>
      </c>
      <c r="AE62" s="8"/>
      <c r="AF62" s="8"/>
      <c r="AG62" s="8"/>
      <c r="AH62" s="8"/>
      <c r="AI62" s="8"/>
      <c r="AJ62" s="8"/>
      <c r="AK62" s="8" t="s">
        <v>34</v>
      </c>
      <c r="AL62" s="8" t="s">
        <v>241</v>
      </c>
      <c r="AM62" s="52" t="s">
        <v>263</v>
      </c>
      <c r="AN62" s="8"/>
      <c r="AO62" s="8"/>
      <c r="AP62" s="8">
        <f>IF( AND(AD46&lt;0.5,AI$36&lt;&gt;0,AH$19&lt;&gt;0),AL$36&amp;" - "&amp;AK$36,0)</f>
        <v>0</v>
      </c>
      <c r="AQ62" s="8">
        <f t="shared" si="21"/>
        <v>0</v>
      </c>
      <c r="AR62" s="8" t="s">
        <v>26</v>
      </c>
    </row>
    <row r="63" ht="18.0" customHeight="1">
      <c r="A63" s="1"/>
      <c r="B63" s="1"/>
      <c r="C63" s="43" t="str">
        <f t="shared" si="4"/>
        <v>Mariano Cocirio</v>
      </c>
      <c r="D63" s="2"/>
      <c r="E63" s="42"/>
      <c r="F63" s="26"/>
      <c r="G63" s="55"/>
      <c r="H63" s="2"/>
      <c r="I63" s="1"/>
      <c r="J63" s="4">
        <f t="shared" si="1"/>
        <v>0</v>
      </c>
      <c r="K63" s="5">
        <f t="shared" si="2"/>
        <v>0</v>
      </c>
      <c r="L63" s="6"/>
      <c r="M63" s="7"/>
      <c r="N63" s="17" t="s">
        <v>119</v>
      </c>
      <c r="O63" s="17">
        <v>36.0</v>
      </c>
      <c r="P63" s="8">
        <f t="shared" si="9"/>
        <v>0</v>
      </c>
      <c r="Q63" s="8">
        <f t="shared" si="10"/>
        <v>0</v>
      </c>
      <c r="R63" s="8"/>
      <c r="S63" s="8">
        <f t="shared" si="11"/>
        <v>2</v>
      </c>
      <c r="T63" s="8" t="str">
        <f t="shared" si="12"/>
        <v>oo</v>
      </c>
      <c r="U63" s="8">
        <f t="shared" si="13"/>
        <v>0</v>
      </c>
      <c r="V63" s="46">
        <f t="shared" si="14"/>
        <v>0</v>
      </c>
      <c r="W63" s="49" t="s">
        <v>265</v>
      </c>
      <c r="X63" s="50" t="s">
        <v>266</v>
      </c>
      <c r="Y63" s="51" t="s">
        <v>131</v>
      </c>
      <c r="Z63" s="17">
        <v>1.0</v>
      </c>
      <c r="AA63" s="8"/>
      <c r="AB63" s="8">
        <f t="shared" si="15"/>
        <v>0</v>
      </c>
      <c r="AC63" s="8">
        <f t="shared" si="16"/>
        <v>0</v>
      </c>
      <c r="AD63" s="8">
        <f t="shared" si="17"/>
        <v>0</v>
      </c>
      <c r="AE63" s="8"/>
      <c r="AF63" s="8"/>
      <c r="AG63" s="8"/>
      <c r="AH63" s="8"/>
      <c r="AI63" s="8"/>
      <c r="AJ63" s="8"/>
      <c r="AK63" s="8" t="s">
        <v>34</v>
      </c>
      <c r="AL63" s="8" t="s">
        <v>267</v>
      </c>
      <c r="AM63" s="52" t="s">
        <v>268</v>
      </c>
      <c r="AN63" s="8" t="s">
        <v>26</v>
      </c>
      <c r="AO63" s="8"/>
      <c r="AP63" s="8">
        <f>IF( AND(AD55&lt;0.5,AI$37&lt;&gt;0,AH$19&lt;&gt;0),AL$37&amp;" - "&amp;AK$37,0)</f>
        <v>0</v>
      </c>
      <c r="AQ63" s="8">
        <f t="shared" si="21"/>
        <v>0</v>
      </c>
      <c r="AR63" s="8" t="s">
        <v>26</v>
      </c>
    </row>
    <row r="64" ht="25.5" customHeight="1">
      <c r="A64" s="1"/>
      <c r="B64" s="1"/>
      <c r="C64" s="43" t="str">
        <f t="shared" si="4"/>
        <v>Mariano Cocirio</v>
      </c>
      <c r="D64" s="2"/>
      <c r="E64" s="21"/>
      <c r="F64" s="26"/>
      <c r="G64" s="26"/>
      <c r="H64" s="2"/>
      <c r="I64" s="1"/>
      <c r="J64" s="4">
        <f t="shared" si="1"/>
        <v>0</v>
      </c>
      <c r="K64" s="5">
        <f t="shared" si="2"/>
        <v>0</v>
      </c>
      <c r="L64" s="6"/>
      <c r="M64" s="7"/>
      <c r="N64" s="8"/>
      <c r="O64" s="8"/>
      <c r="P64" s="8"/>
      <c r="Q64" s="8"/>
      <c r="R64" s="8"/>
      <c r="S64" s="8"/>
      <c r="T64" s="8"/>
      <c r="U64" s="8"/>
      <c r="V64" s="46"/>
      <c r="W64" s="46"/>
      <c r="X64" s="46"/>
      <c r="Y64" s="46"/>
      <c r="Z64" s="8"/>
      <c r="AA64" s="8"/>
      <c r="AB64" s="8"/>
      <c r="AC64" s="8"/>
      <c r="AD64" s="8"/>
      <c r="AE64" s="8"/>
      <c r="AF64" s="8"/>
      <c r="AG64" s="8"/>
      <c r="AH64" s="8"/>
      <c r="AI64" s="8"/>
      <c r="AJ64" s="8"/>
      <c r="AK64" s="8" t="s">
        <v>40</v>
      </c>
      <c r="AL64" s="8" t="s">
        <v>244</v>
      </c>
      <c r="AM64" s="52" t="s">
        <v>269</v>
      </c>
      <c r="AN64" s="8" t="s">
        <v>26</v>
      </c>
      <c r="AO64" s="8"/>
      <c r="AP64" s="8">
        <f>IF( AND(AD29&lt;0.5,AI$38&lt;&gt;0,AH$15&lt;&gt;0),AL$38&amp;" - "&amp;AK$38,0)</f>
        <v>0</v>
      </c>
      <c r="AQ64" s="8">
        <f t="shared" si="21"/>
        <v>0</v>
      </c>
      <c r="AR64" s="8" t="s">
        <v>26</v>
      </c>
    </row>
    <row r="65" ht="30.75" customHeight="1">
      <c r="A65" s="1"/>
      <c r="B65" s="1"/>
      <c r="C65" s="43" t="str">
        <f t="shared" si="4"/>
        <v>Mariano Cocirio</v>
      </c>
      <c r="D65" s="2"/>
      <c r="E65" s="21"/>
      <c r="F65" s="26"/>
      <c r="G65" s="26"/>
      <c r="H65" s="2"/>
      <c r="I65" s="1"/>
      <c r="J65" s="4">
        <f t="shared" si="1"/>
        <v>0</v>
      </c>
      <c r="K65" s="5">
        <f t="shared" si="2"/>
        <v>0</v>
      </c>
      <c r="L65" s="6"/>
      <c r="M65" s="7"/>
      <c r="N65" s="8"/>
      <c r="O65" s="8"/>
      <c r="P65" s="8"/>
      <c r="Q65" s="8"/>
      <c r="R65" s="8"/>
      <c r="S65" s="8"/>
      <c r="T65" s="8"/>
      <c r="U65" s="8"/>
      <c r="V65" s="46"/>
      <c r="W65" s="46"/>
      <c r="X65" s="46"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46"/>
      <c r="Z65" s="8"/>
      <c r="AA65" s="8"/>
      <c r="AB65" s="8"/>
      <c r="AC65" s="8"/>
      <c r="AD65" s="8"/>
      <c r="AE65" s="8"/>
      <c r="AF65" s="8"/>
      <c r="AG65" s="8"/>
      <c r="AH65" s="8"/>
      <c r="AI65" s="8"/>
      <c r="AJ65" s="8"/>
      <c r="AK65" s="8" t="s">
        <v>40</v>
      </c>
      <c r="AL65" s="8" t="s">
        <v>231</v>
      </c>
      <c r="AM65" s="52" t="s">
        <v>271</v>
      </c>
      <c r="AN65" s="8" t="s">
        <v>26</v>
      </c>
      <c r="AO65" s="8"/>
      <c r="AP65" s="8">
        <f>IF( AND(AD39&lt;0.5,AI$39&lt;&gt;0,AH$15&lt;&gt;0),AL$39&amp;" - "&amp;AK$39,0)</f>
        <v>0</v>
      </c>
      <c r="AQ65" s="8">
        <f t="shared" si="21"/>
        <v>0</v>
      </c>
      <c r="AR65" s="8" t="s">
        <v>26</v>
      </c>
    </row>
    <row r="66" ht="24.75" customHeight="1">
      <c r="A66" s="1"/>
      <c r="B66" s="1"/>
      <c r="C66" s="22" t="str">
        <f t="shared" si="4"/>
        <v>Renzo Toscani</v>
      </c>
      <c r="D66" s="2"/>
      <c r="E66" s="63" t="s">
        <v>71</v>
      </c>
      <c r="F66" s="27">
        <v>0.7805555555555556</v>
      </c>
      <c r="G66" s="28" t="s">
        <v>278</v>
      </c>
      <c r="H66" s="2"/>
      <c r="I66" s="29" t="s">
        <v>175</v>
      </c>
      <c r="J66" s="4">
        <f t="shared" si="1"/>
        <v>35</v>
      </c>
      <c r="K66" s="5">
        <f t="shared" si="2"/>
        <v>6</v>
      </c>
      <c r="L66" s="6"/>
      <c r="M66" s="7"/>
      <c r="N66" s="46"/>
      <c r="O66" s="46"/>
      <c r="P66" s="46"/>
      <c r="Q66" s="46"/>
      <c r="R66" s="46"/>
      <c r="S66" s="46"/>
      <c r="T66" s="46"/>
      <c r="U66" s="46"/>
      <c r="V66" s="46"/>
      <c r="W66" s="46"/>
      <c r="X66" s="46"/>
      <c r="Y66" s="46"/>
      <c r="Z66" s="8"/>
      <c r="AA66" s="8"/>
      <c r="AB66" s="8"/>
      <c r="AC66" s="8"/>
      <c r="AD66" s="8"/>
      <c r="AE66" s="8"/>
      <c r="AF66" s="8"/>
      <c r="AG66" s="8"/>
      <c r="AH66" s="8"/>
      <c r="AI66" s="8"/>
      <c r="AJ66" s="8"/>
      <c r="AK66" s="8" t="s">
        <v>40</v>
      </c>
      <c r="AL66" s="8" t="s">
        <v>267</v>
      </c>
      <c r="AM66" s="52" t="s">
        <v>272</v>
      </c>
      <c r="AN66" s="8" t="s">
        <v>26</v>
      </c>
      <c r="AO66" s="8"/>
      <c r="AP66" s="8">
        <f>IF( AND(AD55&lt;0.5,AI$40&lt;&gt;0,AH$15&lt;&gt;0),AL$40&amp;" - "&amp;AK$40,0)</f>
        <v>0</v>
      </c>
      <c r="AQ66" s="8">
        <f t="shared" si="21"/>
        <v>0</v>
      </c>
      <c r="AR66" s="8" t="s">
        <v>26</v>
      </c>
    </row>
    <row r="67" ht="27.0" customHeight="1">
      <c r="A67" s="1"/>
      <c r="B67" s="1"/>
      <c r="C67" s="22" t="str">
        <f t="shared" si="4"/>
        <v>Renzo Toscani</v>
      </c>
      <c r="D67" s="2"/>
      <c r="E67" s="21"/>
      <c r="F67" s="26"/>
      <c r="G67" s="28" t="s">
        <v>282</v>
      </c>
      <c r="H67" s="2"/>
      <c r="I67" s="1"/>
      <c r="J67" s="4">
        <f t="shared" si="1"/>
        <v>0</v>
      </c>
      <c r="K67" s="5">
        <f t="shared" si="2"/>
        <v>0</v>
      </c>
      <c r="L67" s="6"/>
      <c r="M67" s="7"/>
      <c r="N67" s="46"/>
      <c r="O67" s="46"/>
      <c r="P67" s="46"/>
      <c r="Q67" s="46"/>
      <c r="R67" s="46"/>
      <c r="S67" s="46"/>
      <c r="T67" s="46"/>
      <c r="U67" s="46"/>
      <c r="V67" s="46"/>
      <c r="W67" s="46"/>
      <c r="X67" s="46"/>
      <c r="Y67" s="46"/>
      <c r="Z67" s="8"/>
      <c r="AA67" s="8"/>
      <c r="AB67" s="8"/>
      <c r="AC67" s="8"/>
      <c r="AD67" s="8"/>
      <c r="AE67" s="8"/>
      <c r="AF67" s="8"/>
      <c r="AG67" s="8"/>
      <c r="AH67" s="8"/>
      <c r="AI67" s="8"/>
      <c r="AJ67" s="8"/>
      <c r="AK67" s="8" t="s">
        <v>40</v>
      </c>
      <c r="AL67" s="8" t="s">
        <v>238</v>
      </c>
      <c r="AM67" s="52" t="s">
        <v>275</v>
      </c>
      <c r="AN67" s="8" t="s">
        <v>26</v>
      </c>
      <c r="AO67" s="8"/>
      <c r="AP67" s="8">
        <f>IF( AND(AD60&lt;0.5,AI$41&lt;&gt;0,AH$15&lt;&gt;0),AL$41&amp;" - "&amp;AK$41,0)</f>
        <v>0</v>
      </c>
      <c r="AQ67" s="8">
        <f t="shared" si="21"/>
        <v>0</v>
      </c>
      <c r="AR67" s="8" t="s">
        <v>26</v>
      </c>
    </row>
    <row r="68" ht="24.0" customHeight="1">
      <c r="A68" s="1"/>
      <c r="B68" s="1"/>
      <c r="C68" s="22" t="str">
        <f t="shared" si="4"/>
        <v>Renzo Toscani</v>
      </c>
      <c r="D68" s="2"/>
      <c r="E68" s="21"/>
      <c r="F68" s="26"/>
      <c r="G68" s="28" t="s">
        <v>284</v>
      </c>
      <c r="H68" s="2"/>
      <c r="I68" s="1"/>
      <c r="J68" s="4">
        <f t="shared" si="1"/>
        <v>0</v>
      </c>
      <c r="K68" s="5">
        <f t="shared" si="2"/>
        <v>0</v>
      </c>
      <c r="L68" s="6"/>
      <c r="M68" s="7"/>
      <c r="N68" s="46"/>
      <c r="O68" s="46"/>
      <c r="P68" s="46"/>
      <c r="Q68" s="46"/>
      <c r="R68" s="46"/>
      <c r="S68" s="46"/>
      <c r="T68" s="46"/>
      <c r="U68" s="46"/>
      <c r="V68" s="46"/>
      <c r="W68" s="46"/>
      <c r="X68" s="46"/>
      <c r="Y68" s="46"/>
      <c r="Z68" s="8"/>
      <c r="AA68" s="8"/>
      <c r="AB68" s="8"/>
      <c r="AC68" s="8"/>
      <c r="AD68" s="8"/>
      <c r="AE68" s="8"/>
      <c r="AF68" s="8"/>
      <c r="AG68" s="8"/>
      <c r="AH68" s="8"/>
      <c r="AI68" s="8"/>
      <c r="AJ68" s="8"/>
      <c r="AK68" s="8" t="s">
        <v>40</v>
      </c>
      <c r="AL68" s="8" t="s">
        <v>241</v>
      </c>
      <c r="AM68" s="52" t="s">
        <v>276</v>
      </c>
      <c r="AN68" s="8" t="s">
        <v>26</v>
      </c>
      <c r="AO68" s="8"/>
      <c r="AP68" s="8">
        <f>IF( AND(AD46&lt;0.5,AI$42&lt;&gt;0,AH$20&lt;&gt;0),AL$42&amp;" - "&amp;AK$42,0)</f>
        <v>0</v>
      </c>
      <c r="AQ68" s="8">
        <f t="shared" si="21"/>
        <v>0</v>
      </c>
      <c r="AR68" s="8" t="s">
        <v>26</v>
      </c>
    </row>
    <row r="69" ht="15.0" customHeight="1">
      <c r="A69" s="1"/>
      <c r="B69" s="1"/>
      <c r="C69" s="22" t="str">
        <f t="shared" si="4"/>
        <v>Renzo Toscani</v>
      </c>
      <c r="D69" s="2"/>
      <c r="E69" s="21"/>
      <c r="F69" s="26"/>
      <c r="G69" s="26"/>
      <c r="H69" s="2"/>
      <c r="I69" s="1"/>
      <c r="J69" s="4">
        <f t="shared" si="1"/>
        <v>0</v>
      </c>
      <c r="K69" s="5">
        <f t="shared" si="2"/>
        <v>0</v>
      </c>
      <c r="L69" s="6"/>
      <c r="M69" s="7"/>
      <c r="N69" s="46"/>
      <c r="O69" s="46"/>
      <c r="P69" s="46"/>
      <c r="Q69" s="46"/>
      <c r="R69" s="46"/>
      <c r="S69" s="46"/>
      <c r="T69" s="46"/>
      <c r="U69" s="46"/>
      <c r="V69" s="46"/>
      <c r="W69" s="46"/>
      <c r="X69" s="46"/>
      <c r="Y69" s="46"/>
      <c r="Z69" s="8"/>
      <c r="AA69" s="8"/>
      <c r="AB69" s="8"/>
      <c r="AC69" s="8"/>
      <c r="AD69" s="8"/>
      <c r="AE69" s="8"/>
      <c r="AF69" s="8"/>
      <c r="AG69" s="8"/>
      <c r="AH69" s="8"/>
      <c r="AI69" s="8"/>
      <c r="AJ69" s="8"/>
      <c r="AK69" s="8" t="s">
        <v>191</v>
      </c>
      <c r="AL69" s="8" t="s">
        <v>191</v>
      </c>
      <c r="AM69" s="8" t="s">
        <v>191</v>
      </c>
      <c r="AN69" s="8" t="s">
        <v>26</v>
      </c>
      <c r="AO69" s="8"/>
      <c r="AP69" s="8"/>
      <c r="AQ69" s="8">
        <f t="shared" si="21"/>
        <v>0</v>
      </c>
      <c r="AR69" s="8" t="s">
        <v>26</v>
      </c>
    </row>
    <row r="70" ht="15.0" customHeight="1">
      <c r="A70" s="1"/>
      <c r="B70" s="1"/>
      <c r="C70" s="22" t="str">
        <f t="shared" si="4"/>
        <v>Renzo Toscani</v>
      </c>
      <c r="D70" s="2"/>
      <c r="E70" s="21"/>
      <c r="F70" s="26"/>
      <c r="G70" s="26"/>
      <c r="H70" s="2"/>
      <c r="I70" s="1"/>
      <c r="J70" s="4">
        <f t="shared" si="1"/>
        <v>0</v>
      </c>
      <c r="K70" s="5">
        <f t="shared" si="2"/>
        <v>0</v>
      </c>
      <c r="L70" s="6"/>
      <c r="M70" s="7"/>
      <c r="N70" s="46"/>
      <c r="O70" s="46"/>
      <c r="P70" s="46"/>
      <c r="Q70" s="46"/>
      <c r="R70" s="46"/>
      <c r="S70" s="46"/>
      <c r="T70" s="46"/>
      <c r="U70" s="46"/>
      <c r="V70" s="46"/>
      <c r="W70" s="46"/>
      <c r="X70" s="46"/>
      <c r="Y70" s="46"/>
      <c r="Z70" s="8"/>
      <c r="AA70" s="8"/>
      <c r="AB70" s="8"/>
      <c r="AC70" s="8"/>
      <c r="AD70" s="8"/>
      <c r="AE70" s="8"/>
      <c r="AF70" s="8"/>
      <c r="AG70" s="8"/>
      <c r="AH70" s="8"/>
      <c r="AI70" s="8"/>
      <c r="AJ70" s="8"/>
      <c r="AK70" s="8" t="s">
        <v>191</v>
      </c>
      <c r="AL70" s="8" t="s">
        <v>191</v>
      </c>
      <c r="AM70" s="8" t="s">
        <v>191</v>
      </c>
      <c r="AN70" s="8" t="s">
        <v>26</v>
      </c>
      <c r="AO70" s="8"/>
      <c r="AP70" s="8"/>
      <c r="AQ70" s="8">
        <f t="shared" si="21"/>
        <v>0</v>
      </c>
      <c r="AR70" s="8" t="s">
        <v>26</v>
      </c>
    </row>
    <row r="71" ht="24.0" customHeight="1">
      <c r="A71" s="1"/>
      <c r="B71" s="1"/>
      <c r="C71" s="22" t="str">
        <f t="shared" si="4"/>
        <v>Mariano Cocirio</v>
      </c>
      <c r="D71" s="2"/>
      <c r="E71" s="63" t="s">
        <v>51</v>
      </c>
      <c r="F71" s="27">
        <v>0.7805555555555556</v>
      </c>
      <c r="G71" s="28" t="s">
        <v>288</v>
      </c>
      <c r="H71" s="2"/>
      <c r="I71" s="29" t="s">
        <v>193</v>
      </c>
      <c r="J71" s="4">
        <f t="shared" si="1"/>
        <v>17</v>
      </c>
      <c r="K71" s="5">
        <f t="shared" si="2"/>
        <v>5</v>
      </c>
      <c r="L71" s="6"/>
      <c r="M71" s="7"/>
      <c r="N71" s="46"/>
      <c r="O71" s="46"/>
      <c r="P71" s="46"/>
      <c r="Q71" s="46"/>
      <c r="R71" s="46"/>
      <c r="S71" s="46"/>
      <c r="T71" s="46"/>
      <c r="U71" s="46"/>
      <c r="V71" s="46"/>
      <c r="W71" s="46"/>
      <c r="X71" s="46"/>
      <c r="Y71" s="46"/>
      <c r="Z71" s="8"/>
      <c r="AA71" s="8"/>
      <c r="AB71" s="8"/>
      <c r="AC71" s="8"/>
      <c r="AD71" s="8"/>
      <c r="AE71" s="8"/>
      <c r="AF71" s="8"/>
      <c r="AG71" s="8"/>
      <c r="AH71" s="8"/>
      <c r="AI71" s="8"/>
      <c r="AJ71" s="8"/>
      <c r="AK71" s="8" t="s">
        <v>45</v>
      </c>
      <c r="AL71" s="8" t="s">
        <v>280</v>
      </c>
      <c r="AM71" s="52" t="s">
        <v>281</v>
      </c>
      <c r="AN71" s="8"/>
      <c r="AO71" s="8"/>
      <c r="AP71" s="8" t="str">
        <f>IF( AND(AD52&lt;0.5,AI$45&lt;&gt;0,OR(AH$21&lt;&gt;0,AH$14&lt;&gt;0)),AL$45&amp;" - "&amp;AK$45,0)</f>
        <v>Estudiante requiere entrenamiento de subhabilidad Reconocimiento - Decisión</v>
      </c>
      <c r="AQ71" s="8" t="str">
        <f t="shared" si="21"/>
        <v>Indicar que en un futuro debe formular al menos una muestra de aprobación al grupo. El estudiante debe hacer su contribución a continuación de la oración de apertura “Sí, estoy de acuerdo…”.</v>
      </c>
      <c r="AR71" s="8" t="s">
        <v>26</v>
      </c>
    </row>
    <row r="72" ht="24.75" customHeight="1">
      <c r="A72" s="1"/>
      <c r="B72" s="1"/>
      <c r="C72" s="22" t="str">
        <f t="shared" si="4"/>
        <v>Mariano Cocirio</v>
      </c>
      <c r="D72" s="2"/>
      <c r="E72" s="21"/>
      <c r="F72" s="26"/>
      <c r="G72" s="26"/>
      <c r="H72" s="2"/>
      <c r="I72" s="1"/>
      <c r="J72" s="4">
        <f t="shared" si="1"/>
        <v>0</v>
      </c>
      <c r="K72" s="5">
        <f t="shared" si="2"/>
        <v>0</v>
      </c>
      <c r="L72" s="6"/>
      <c r="M72" s="7"/>
      <c r="N72" s="46"/>
      <c r="O72" s="46"/>
      <c r="P72" s="46"/>
      <c r="Q72" s="46"/>
      <c r="R72" s="46"/>
      <c r="S72" s="46"/>
      <c r="T72" s="46"/>
      <c r="U72" s="46"/>
      <c r="V72" s="46"/>
      <c r="W72" s="46"/>
      <c r="X72" s="46"/>
      <c r="Y72" s="46"/>
      <c r="Z72" s="8"/>
      <c r="AA72" s="8"/>
      <c r="AB72" s="8"/>
      <c r="AC72" s="8"/>
      <c r="AD72" s="8"/>
      <c r="AE72" s="8"/>
      <c r="AF72" s="8"/>
      <c r="AG72" s="8"/>
      <c r="AH72" s="8"/>
      <c r="AI72" s="8"/>
      <c r="AJ72" s="8"/>
      <c r="AK72" s="8" t="s">
        <v>57</v>
      </c>
      <c r="AL72" s="8" t="s">
        <v>280</v>
      </c>
      <c r="AM72" s="52" t="s">
        <v>283</v>
      </c>
      <c r="AN72" s="8" t="s">
        <v>26</v>
      </c>
      <c r="AO72" s="8"/>
      <c r="AP72" s="8" t="str">
        <f>IF( AND(AD52&lt;0.5,AI$46&lt;&gt;0,AH$13&lt;&gt;0),AL$46&amp;" - "&amp;AK$46,0)</f>
        <v>Estudiante requiere entrenamiento de subhabilidad Reconocimiento - Reducción de tensión</v>
      </c>
      <c r="AQ72" s="8" t="str">
        <f t="shared" si="21"/>
        <v>Indicar que en un futuro debe formular al menos una muestra de relajamiento al grupo. El estudiante debe hacer su contribución a continuación de la oración de apertura “Gracias amigos,…”.</v>
      </c>
      <c r="AR72" s="8" t="s">
        <v>26</v>
      </c>
    </row>
    <row r="73" ht="15.0" customHeight="1">
      <c r="A73" s="1"/>
      <c r="B73" s="1"/>
      <c r="C73" s="22" t="str">
        <f t="shared" si="4"/>
        <v>Mariano Cocirio</v>
      </c>
      <c r="D73" s="2"/>
      <c r="E73" s="21"/>
      <c r="F73" s="26"/>
      <c r="G73" s="26"/>
      <c r="H73" s="2"/>
      <c r="I73" s="1"/>
      <c r="J73" s="4">
        <f t="shared" si="1"/>
        <v>0</v>
      </c>
      <c r="K73" s="5">
        <f t="shared" si="2"/>
        <v>0</v>
      </c>
      <c r="L73" s="6"/>
      <c r="M73" s="7"/>
      <c r="N73" s="46"/>
      <c r="O73" s="46"/>
      <c r="P73" s="46"/>
      <c r="Q73" s="46"/>
      <c r="R73" s="46"/>
      <c r="S73" s="46"/>
      <c r="T73" s="46"/>
      <c r="U73" s="46"/>
      <c r="V73" s="46"/>
      <c r="W73" s="46"/>
      <c r="X73" s="46"/>
      <c r="Y73" s="46"/>
      <c r="Z73" s="8"/>
      <c r="AA73" s="8"/>
      <c r="AB73" s="8"/>
      <c r="AC73" s="8"/>
      <c r="AD73" s="8"/>
      <c r="AE73" s="8"/>
      <c r="AF73" s="8"/>
      <c r="AG73" s="8"/>
      <c r="AH73" s="8"/>
      <c r="AI73" s="8"/>
      <c r="AJ73" s="8"/>
      <c r="AK73" s="8" t="s">
        <v>57</v>
      </c>
      <c r="AL73" s="8" t="s">
        <v>244</v>
      </c>
      <c r="AM73" s="8" t="s">
        <v>285</v>
      </c>
      <c r="AN73" s="8" t="s">
        <v>26</v>
      </c>
      <c r="AO73" s="8"/>
      <c r="AP73" s="8">
        <f>IF( AND(AD29&lt;0.5,AI$47&lt;&gt;0,AH$22&lt;&gt;0),AL$47&amp;" - "&amp;AK$47,0)</f>
        <v>0</v>
      </c>
      <c r="AQ73" s="8">
        <f t="shared" si="21"/>
        <v>0</v>
      </c>
      <c r="AR73" s="8" t="s">
        <v>26</v>
      </c>
    </row>
    <row r="74" ht="15.0" customHeight="1">
      <c r="A74" s="1"/>
      <c r="B74" s="1"/>
      <c r="C74" s="22" t="str">
        <f t="shared" si="4"/>
        <v>Antonella Palacios</v>
      </c>
      <c r="D74" s="2"/>
      <c r="E74" s="63" t="s">
        <v>30</v>
      </c>
      <c r="F74" s="27">
        <v>0.7805555555555556</v>
      </c>
      <c r="G74" s="28" t="s">
        <v>294</v>
      </c>
      <c r="H74" s="2"/>
      <c r="I74" s="29" t="s">
        <v>226</v>
      </c>
      <c r="J74" s="4">
        <f t="shared" si="1"/>
        <v>26</v>
      </c>
      <c r="K74" s="5">
        <f t="shared" si="2"/>
        <v>3</v>
      </c>
      <c r="L74" s="6"/>
      <c r="M74" s="7"/>
      <c r="N74" s="46"/>
      <c r="O74" s="46"/>
      <c r="P74" s="46"/>
      <c r="Q74" s="46"/>
      <c r="R74" s="46"/>
      <c r="S74" s="46"/>
      <c r="T74" s="46"/>
      <c r="U74" s="46"/>
      <c r="V74" s="46"/>
      <c r="W74" s="46"/>
      <c r="X74" s="46"/>
      <c r="Y74" s="46"/>
      <c r="Z74" s="8"/>
      <c r="AA74" s="8"/>
      <c r="AB74" s="8"/>
      <c r="AC74" s="8"/>
      <c r="AD74" s="8"/>
      <c r="AE74" s="8"/>
      <c r="AF74" s="8"/>
      <c r="AG74" s="8"/>
      <c r="AH74" s="8"/>
      <c r="AI74" s="8"/>
      <c r="AJ74" s="8"/>
      <c r="AK74" s="8" t="s">
        <v>57</v>
      </c>
      <c r="AL74" s="8" t="s">
        <v>267</v>
      </c>
      <c r="AM74" s="8" t="s">
        <v>285</v>
      </c>
      <c r="AN74" s="8" t="s">
        <v>26</v>
      </c>
      <c r="AO74" s="8"/>
      <c r="AP74" s="8">
        <f>IF( AND(AD55&lt;0.5,AI$48&lt;&gt;0,AH$22&lt;&gt;0),AL$48&amp;" - "&amp;AK$48,0)</f>
        <v>0</v>
      </c>
      <c r="AQ74" s="8">
        <f t="shared" si="21"/>
        <v>0</v>
      </c>
      <c r="AR74" s="8" t="s">
        <v>26</v>
      </c>
    </row>
    <row r="75" ht="15.0" customHeight="1">
      <c r="A75" s="1"/>
      <c r="B75" s="1"/>
      <c r="C75" s="22" t="str">
        <f t="shared" si="4"/>
        <v>Antonella Palacios</v>
      </c>
      <c r="D75" s="2"/>
      <c r="E75" s="21"/>
      <c r="F75" s="26"/>
      <c r="G75" s="30" t="s">
        <v>36</v>
      </c>
      <c r="H75" s="2"/>
      <c r="I75" s="1"/>
      <c r="J75" s="4">
        <f t="shared" si="1"/>
        <v>0</v>
      </c>
      <c r="K75" s="5">
        <f t="shared" si="2"/>
        <v>0</v>
      </c>
      <c r="L75" s="6"/>
      <c r="M75" s="7"/>
      <c r="N75" s="46"/>
      <c r="O75" s="46"/>
      <c r="P75" s="46"/>
      <c r="Q75" s="46"/>
      <c r="R75" s="46"/>
      <c r="S75" s="46"/>
      <c r="T75" s="46"/>
      <c r="U75" s="46"/>
      <c r="V75" s="46"/>
      <c r="W75" s="46"/>
      <c r="X75" s="46"/>
      <c r="Y75" s="46"/>
      <c r="Z75" s="8"/>
      <c r="AA75" s="8"/>
      <c r="AB75" s="8"/>
      <c r="AC75" s="8"/>
      <c r="AD75" s="8"/>
      <c r="AE75" s="8"/>
      <c r="AF75" s="8"/>
      <c r="AG75" s="8"/>
      <c r="AH75" s="8"/>
      <c r="AI75" s="8"/>
      <c r="AJ75" s="8"/>
      <c r="AK75" s="8" t="s">
        <v>64</v>
      </c>
      <c r="AL75" s="8" t="s">
        <v>289</v>
      </c>
      <c r="AM75" s="8" t="s">
        <v>290</v>
      </c>
      <c r="AN75" s="8" t="s">
        <v>26</v>
      </c>
      <c r="AO75" s="8"/>
      <c r="AP75" s="8" t="str">
        <f>IF( AND(AD37&lt;0.5,AI$49&lt;&gt;0,AH$12&lt;&gt;0),AL$49&amp;" - "&amp;AK$49,0)</f>
        <v>Estudiante requiere entrenamiento de subhabilidad Motivar  - Reintegración</v>
      </c>
      <c r="AQ75" s="8" t="str">
        <f t="shared" si="21"/>
        <v>Indicar que en un futuro debe formular al menos una muestra de solidaridad al grupo. El estudiante debe hacer su contribución a continuación de la oración de apertura “¡vamos por buen camino!...”.</v>
      </c>
      <c r="AR75" s="8" t="s">
        <v>26</v>
      </c>
    </row>
    <row r="76" ht="24.75" customHeight="1">
      <c r="A76" s="1"/>
      <c r="B76" s="1"/>
      <c r="C76" s="22" t="str">
        <f t="shared" si="4"/>
        <v>Antonella Palacios</v>
      </c>
      <c r="D76" s="2"/>
      <c r="E76" s="21"/>
      <c r="F76" s="26"/>
      <c r="G76" s="26"/>
      <c r="H76" s="2"/>
      <c r="I76" s="1"/>
      <c r="J76" s="4">
        <f t="shared" si="1"/>
        <v>0</v>
      </c>
      <c r="K76" s="5">
        <f t="shared" si="2"/>
        <v>0</v>
      </c>
      <c r="L76" s="6"/>
      <c r="M76" s="7"/>
      <c r="N76" s="46"/>
      <c r="O76" s="46"/>
      <c r="P76" s="46"/>
      <c r="Q76" s="46"/>
      <c r="R76" s="46"/>
      <c r="S76" s="46"/>
      <c r="T76" s="46"/>
      <c r="U76" s="46"/>
      <c r="V76" s="46"/>
      <c r="W76" s="46"/>
      <c r="X76" s="46"/>
      <c r="Y76" s="46"/>
      <c r="Z76" s="8"/>
      <c r="AA76" s="8"/>
      <c r="AB76" s="8"/>
      <c r="AC76" s="8"/>
      <c r="AD76" s="8"/>
      <c r="AE76" s="8"/>
      <c r="AF76" s="8"/>
      <c r="AG76" s="8"/>
      <c r="AH76" s="8"/>
      <c r="AI76" s="8"/>
      <c r="AJ76" s="8"/>
      <c r="AK76" s="8" t="s">
        <v>64</v>
      </c>
      <c r="AL76" s="8" t="s">
        <v>267</v>
      </c>
      <c r="AM76" s="52" t="s">
        <v>292</v>
      </c>
      <c r="AN76" s="8" t="s">
        <v>26</v>
      </c>
      <c r="AO76" s="8"/>
      <c r="AP76" s="8">
        <f>IF( AND(AD55&lt;0.5,AI$50&lt;&gt;0,AH$12&lt;&gt;0),AL$50&amp;" - "&amp;AK$50,0)</f>
        <v>0</v>
      </c>
      <c r="AQ76" s="8">
        <f t="shared" si="21"/>
        <v>0</v>
      </c>
      <c r="AR76" s="8" t="s">
        <v>26</v>
      </c>
    </row>
    <row r="77" ht="15.0" customHeight="1">
      <c r="A77" s="1"/>
      <c r="B77" s="1"/>
      <c r="C77" s="22" t="str">
        <f t="shared" si="4"/>
        <v>Antonella Palacios</v>
      </c>
      <c r="D77" s="2"/>
      <c r="E77" s="21"/>
      <c r="F77" s="26"/>
      <c r="G77" s="26"/>
      <c r="H77" s="2"/>
      <c r="I77" s="1"/>
      <c r="J77" s="4">
        <f t="shared" si="1"/>
        <v>0</v>
      </c>
      <c r="K77" s="5">
        <f t="shared" si="2"/>
        <v>0</v>
      </c>
      <c r="L77" s="6"/>
      <c r="M77" s="7"/>
      <c r="N77" s="46"/>
      <c r="O77" s="46"/>
      <c r="P77" s="46"/>
      <c r="Q77" s="46"/>
      <c r="R77" s="46"/>
      <c r="S77" s="46"/>
      <c r="T77" s="46"/>
      <c r="U77" s="46"/>
      <c r="V77" s="46"/>
      <c r="W77" s="46"/>
      <c r="X77" s="46"/>
      <c r="Y77" s="46"/>
      <c r="Z77" s="8"/>
      <c r="AA77" s="8"/>
      <c r="AB77" s="8"/>
      <c r="AC77" s="8"/>
      <c r="AD77" s="8"/>
      <c r="AE77" s="8"/>
      <c r="AF77" s="8"/>
      <c r="AG77" s="8"/>
      <c r="AH77" s="8"/>
      <c r="AI77" s="8"/>
      <c r="AJ77" s="8"/>
      <c r="AK77" s="8" t="s">
        <v>64</v>
      </c>
      <c r="AL77" s="8" t="s">
        <v>238</v>
      </c>
      <c r="AM77" s="8" t="s">
        <v>293</v>
      </c>
      <c r="AN77" s="8" t="s">
        <v>26</v>
      </c>
      <c r="AO77" s="8"/>
      <c r="AP77" s="8" t="str">
        <f>IF( AND(AD60&lt;0.5,AI$51&lt;&gt;0,AH$12&lt;&gt;0),AL$51&amp;" - "&amp;AK$51,0)</f>
        <v>Estudiante requiere entrenamiento de subhabilidad Tarea - Reintegración</v>
      </c>
      <c r="AQ77" s="8" t="str">
        <f t="shared" si="21"/>
        <v>Indicar que en un futuro debe formular al menos una muestra de solidaridad al grupo. El estudiante debe hacer su contribución a continuación de la oración de apertura “¡Hasta la próxima!...”.</v>
      </c>
      <c r="AR77" s="8" t="s">
        <v>26</v>
      </c>
    </row>
    <row r="78" ht="15.0" customHeight="1">
      <c r="A78" s="1"/>
      <c r="B78" s="1"/>
      <c r="C78" s="22" t="str">
        <f t="shared" si="4"/>
        <v>Mariano Cocirio</v>
      </c>
      <c r="D78" s="2"/>
      <c r="E78" s="63" t="s">
        <v>51</v>
      </c>
      <c r="F78" s="27">
        <v>0.7819444444444444</v>
      </c>
      <c r="G78" s="28" t="s">
        <v>298</v>
      </c>
      <c r="H78" s="2"/>
      <c r="I78" s="29" t="s">
        <v>175</v>
      </c>
      <c r="J78" s="4">
        <f t="shared" si="1"/>
        <v>35</v>
      </c>
      <c r="K78" s="5">
        <f t="shared" si="2"/>
        <v>6</v>
      </c>
      <c r="L78" s="6"/>
      <c r="M78" s="7"/>
      <c r="N78" s="46"/>
      <c r="O78" s="46"/>
      <c r="P78" s="46"/>
      <c r="Q78" s="46"/>
      <c r="R78" s="46"/>
      <c r="S78" s="46"/>
      <c r="T78" s="46"/>
      <c r="U78" s="46"/>
      <c r="V78" s="46"/>
      <c r="W78" s="46"/>
      <c r="X78" s="46"/>
      <c r="Y78" s="46"/>
      <c r="Z78" s="8"/>
      <c r="AA78" s="8"/>
      <c r="AB78" s="8"/>
      <c r="AC78" s="8"/>
      <c r="AD78" s="8"/>
      <c r="AE78" s="8"/>
      <c r="AF78" s="8"/>
      <c r="AG78" s="8"/>
      <c r="AH78" s="8"/>
      <c r="AI78" s="8"/>
      <c r="AJ78" s="8"/>
      <c r="AK78" s="8" t="s">
        <v>64</v>
      </c>
      <c r="AL78" s="8" t="s">
        <v>244</v>
      </c>
      <c r="AM78" s="8" t="s">
        <v>295</v>
      </c>
      <c r="AN78" s="8" t="s">
        <v>26</v>
      </c>
      <c r="AO78" s="8"/>
      <c r="AP78" s="8">
        <f>IF( AND(AD29&lt;0.5,AI$52&lt;&gt;0,AH$23&lt;&gt;0),AL$52&amp;" - "&amp;AK$52,0)</f>
        <v>0</v>
      </c>
      <c r="AQ78" s="8">
        <f t="shared" si="21"/>
        <v>0</v>
      </c>
      <c r="AR78" s="8" t="s">
        <v>26</v>
      </c>
    </row>
    <row r="79" ht="15.0" customHeight="1">
      <c r="A79" s="1"/>
      <c r="B79" s="1"/>
      <c r="C79" s="22" t="str">
        <f t="shared" si="4"/>
        <v>Mariano Cocirio</v>
      </c>
      <c r="D79" s="2"/>
      <c r="E79" s="21"/>
      <c r="F79" s="26"/>
      <c r="G79" s="64" t="s">
        <v>299</v>
      </c>
      <c r="H79" s="2"/>
      <c r="I79" s="1"/>
      <c r="J79" s="4">
        <f t="shared" si="1"/>
        <v>0</v>
      </c>
      <c r="K79" s="5">
        <f t="shared" si="2"/>
        <v>0</v>
      </c>
      <c r="L79" s="6"/>
      <c r="M79" s="7"/>
      <c r="N79" s="46"/>
      <c r="O79" s="46"/>
      <c r="P79" s="46"/>
      <c r="Q79" s="46"/>
      <c r="R79" s="46"/>
      <c r="S79" s="46"/>
      <c r="T79" s="46"/>
      <c r="U79" s="46"/>
      <c r="V79" s="46"/>
      <c r="W79" s="46"/>
      <c r="X79" s="46"/>
      <c r="Y79" s="46"/>
      <c r="Z79" s="8"/>
      <c r="AA79" s="8"/>
      <c r="AB79" s="8"/>
      <c r="AC79" s="8"/>
      <c r="AD79" s="8"/>
      <c r="AE79" s="8"/>
      <c r="AF79" s="8"/>
      <c r="AG79" s="8"/>
      <c r="AH79" s="8"/>
      <c r="AI79" s="8"/>
      <c r="AJ79" s="8"/>
      <c r="AK79" s="8"/>
      <c r="AL79" s="8"/>
      <c r="AM79" s="8"/>
      <c r="AN79" s="8"/>
      <c r="AO79" s="8"/>
      <c r="AP79" s="8"/>
      <c r="AQ79" s="8"/>
      <c r="AR79" s="8" t="s">
        <v>26</v>
      </c>
    </row>
    <row r="80" ht="15.0" customHeight="1">
      <c r="A80" s="1"/>
      <c r="B80" s="1"/>
      <c r="C80" s="22" t="str">
        <f t="shared" si="4"/>
        <v>Mariano Cocirio</v>
      </c>
      <c r="D80" s="2"/>
      <c r="E80" s="21"/>
      <c r="F80" s="26"/>
      <c r="G80" s="28" t="s">
        <v>301</v>
      </c>
      <c r="H80" s="2"/>
      <c r="I80" s="1"/>
      <c r="J80" s="4">
        <f t="shared" si="1"/>
        <v>0</v>
      </c>
      <c r="K80" s="5">
        <f t="shared" si="2"/>
        <v>0</v>
      </c>
      <c r="L80" s="6"/>
      <c r="M80" s="7"/>
      <c r="N80" s="46"/>
      <c r="O80" s="46"/>
      <c r="P80" s="46"/>
      <c r="Q80" s="46"/>
      <c r="R80" s="46"/>
      <c r="S80" s="46"/>
      <c r="T80" s="46"/>
      <c r="U80" s="46"/>
      <c r="V80" s="46"/>
      <c r="W80" s="46"/>
      <c r="X80" s="46"/>
      <c r="Y80" s="46"/>
      <c r="Z80" s="8"/>
      <c r="AA80" s="8"/>
      <c r="AB80" s="8"/>
      <c r="AC80" s="8"/>
      <c r="AD80" s="8"/>
      <c r="AE80" s="8"/>
      <c r="AF80" s="8"/>
      <c r="AG80" s="8"/>
      <c r="AH80" s="8"/>
      <c r="AI80" s="8"/>
      <c r="AJ80" s="8"/>
      <c r="AK80" s="8"/>
      <c r="AL80" s="8"/>
      <c r="AM80" s="8"/>
      <c r="AN80" s="8"/>
      <c r="AO80" s="8"/>
      <c r="AP80" s="8"/>
      <c r="AQ80" s="8"/>
      <c r="AR80" s="8"/>
    </row>
    <row r="81" ht="15.0" customHeight="1">
      <c r="A81" s="1"/>
      <c r="B81" s="1"/>
      <c r="C81" s="22" t="str">
        <f t="shared" si="4"/>
        <v>Mariano Cocirio</v>
      </c>
      <c r="D81" s="2"/>
      <c r="E81" s="21"/>
      <c r="F81" s="26"/>
      <c r="G81" s="28" t="s">
        <v>302</v>
      </c>
      <c r="H81" s="2"/>
      <c r="I81" s="1"/>
      <c r="J81" s="4">
        <f t="shared" si="1"/>
        <v>0</v>
      </c>
      <c r="K81" s="5">
        <f t="shared" si="2"/>
        <v>0</v>
      </c>
      <c r="L81" s="6"/>
      <c r="M81" s="7"/>
      <c r="N81" s="46"/>
      <c r="O81" s="46"/>
      <c r="P81" s="46"/>
      <c r="Q81" s="46"/>
      <c r="R81" s="46"/>
      <c r="S81" s="46"/>
      <c r="T81" s="46"/>
      <c r="U81" s="46"/>
      <c r="V81" s="46"/>
      <c r="W81" s="46"/>
      <c r="X81" s="46"/>
      <c r="Y81" s="46"/>
      <c r="Z81" s="8"/>
      <c r="AA81" s="8"/>
      <c r="AB81" s="8"/>
      <c r="AC81" s="8"/>
      <c r="AD81" s="8"/>
      <c r="AE81" s="8"/>
      <c r="AF81" s="8"/>
      <c r="AG81" s="8"/>
      <c r="AH81" s="8"/>
      <c r="AI81" s="8"/>
      <c r="AJ81" s="8"/>
      <c r="AK81" s="8"/>
      <c r="AL81" s="8"/>
      <c r="AM81" s="8"/>
      <c r="AN81" s="8"/>
      <c r="AO81" s="8"/>
      <c r="AP81" s="8"/>
      <c r="AQ81" s="8"/>
      <c r="AR81" s="8"/>
    </row>
    <row r="82" ht="15.0" customHeight="1">
      <c r="A82" s="1"/>
      <c r="B82" s="1"/>
      <c r="C82" s="22" t="str">
        <f t="shared" si="4"/>
        <v>Mariano Cocirio</v>
      </c>
      <c r="D82" s="2"/>
      <c r="E82" s="21"/>
      <c r="F82" s="26"/>
      <c r="G82" s="26"/>
      <c r="H82" s="2"/>
      <c r="I82" s="1"/>
      <c r="J82" s="4">
        <f t="shared" si="1"/>
        <v>0</v>
      </c>
      <c r="K82" s="5">
        <f t="shared" si="2"/>
        <v>0</v>
      </c>
      <c r="L82" s="6"/>
      <c r="M82" s="7"/>
      <c r="N82" s="46"/>
      <c r="O82" s="46"/>
      <c r="P82" s="46"/>
      <c r="Q82" s="46"/>
      <c r="R82" s="46"/>
      <c r="S82" s="46"/>
      <c r="T82" s="46"/>
      <c r="U82" s="46"/>
      <c r="V82" s="46"/>
      <c r="W82" s="46"/>
      <c r="X82" s="46"/>
      <c r="Y82" s="46"/>
      <c r="Z82" s="8"/>
      <c r="AA82" s="8"/>
      <c r="AB82" s="8"/>
      <c r="AC82" s="8"/>
      <c r="AD82" s="8"/>
      <c r="AE82" s="8"/>
      <c r="AF82" s="8"/>
      <c r="AG82" s="8"/>
      <c r="AH82" s="8"/>
      <c r="AI82" s="8"/>
      <c r="AJ82" s="8"/>
      <c r="AK82" s="8"/>
      <c r="AL82" s="8"/>
      <c r="AM82" s="8"/>
      <c r="AN82" s="8"/>
      <c r="AO82" s="8"/>
      <c r="AP82" s="8"/>
      <c r="AQ82" s="8"/>
      <c r="AR82" s="8"/>
    </row>
    <row r="83" ht="15.0" customHeight="1">
      <c r="A83" s="1"/>
      <c r="B83" s="1"/>
      <c r="C83" s="22" t="str">
        <f t="shared" si="4"/>
        <v>Mariano Cocirio</v>
      </c>
      <c r="D83" s="2"/>
      <c r="E83" s="21"/>
      <c r="F83" s="26"/>
      <c r="G83" s="26"/>
      <c r="H83" s="2"/>
      <c r="I83" s="1"/>
      <c r="J83" s="4">
        <f t="shared" si="1"/>
        <v>0</v>
      </c>
      <c r="K83" s="5">
        <f t="shared" si="2"/>
        <v>0</v>
      </c>
      <c r="L83" s="6"/>
      <c r="M83" s="7"/>
      <c r="N83" s="46"/>
      <c r="O83" s="46"/>
      <c r="P83" s="46"/>
      <c r="Q83" s="46"/>
      <c r="R83" s="46"/>
      <c r="S83" s="46"/>
      <c r="T83" s="46"/>
      <c r="U83" s="46"/>
      <c r="V83" s="46"/>
      <c r="W83" s="46"/>
      <c r="X83" s="46"/>
      <c r="Y83" s="46"/>
      <c r="Z83" s="8"/>
      <c r="AA83" s="8"/>
      <c r="AB83" s="8"/>
      <c r="AC83" s="8"/>
      <c r="AD83" s="8"/>
      <c r="AE83" s="8"/>
      <c r="AF83" s="8"/>
      <c r="AG83" s="8"/>
      <c r="AH83" s="8"/>
      <c r="AI83" s="8"/>
      <c r="AJ83" s="8"/>
      <c r="AK83" s="8"/>
      <c r="AL83" s="8"/>
      <c r="AM83" s="8"/>
      <c r="AN83" s="8"/>
      <c r="AO83" s="8"/>
      <c r="AP83" s="8"/>
      <c r="AQ83" s="8"/>
      <c r="AR83" s="8"/>
    </row>
    <row r="84" ht="15.0" customHeight="1">
      <c r="A84" s="1"/>
      <c r="B84" s="1"/>
      <c r="C84" s="22" t="str">
        <f t="shared" si="4"/>
        <v>Renzo Toscani</v>
      </c>
      <c r="D84" s="2"/>
      <c r="E84" s="63" t="s">
        <v>71</v>
      </c>
      <c r="F84" s="27">
        <v>0.7833333333333333</v>
      </c>
      <c r="G84" s="28" t="s">
        <v>304</v>
      </c>
      <c r="H84" s="2"/>
      <c r="I84" s="1"/>
      <c r="J84" s="4">
        <f t="shared" si="1"/>
        <v>0</v>
      </c>
      <c r="K84" s="5">
        <f t="shared" si="2"/>
        <v>0</v>
      </c>
      <c r="L84" s="6"/>
      <c r="M84" s="7"/>
      <c r="N84" s="46"/>
      <c r="O84" s="46"/>
      <c r="P84" s="46"/>
      <c r="Q84" s="46"/>
      <c r="R84" s="46"/>
      <c r="S84" s="46"/>
      <c r="T84" s="46"/>
      <c r="U84" s="46"/>
      <c r="V84" s="46"/>
      <c r="W84" s="46"/>
      <c r="X84" s="46"/>
      <c r="Y84" s="46"/>
      <c r="Z84" s="8"/>
      <c r="AA84" s="8"/>
      <c r="AB84" s="8"/>
      <c r="AC84" s="8"/>
      <c r="AD84" s="8"/>
      <c r="AE84" s="8"/>
      <c r="AF84" s="8"/>
      <c r="AG84" s="8"/>
      <c r="AH84" s="8"/>
      <c r="AI84" s="8"/>
      <c r="AJ84" s="8"/>
      <c r="AK84" s="8"/>
      <c r="AL84" s="8"/>
      <c r="AM84" s="8"/>
      <c r="AN84" s="8"/>
      <c r="AO84" s="8"/>
      <c r="AP84" s="8"/>
      <c r="AQ84" s="8"/>
      <c r="AR84" s="8"/>
    </row>
    <row r="85" ht="15.0" customHeight="1">
      <c r="A85" s="1"/>
      <c r="B85" s="1"/>
      <c r="C85" s="22" t="str">
        <f t="shared" si="4"/>
        <v>Renzo Toscani</v>
      </c>
      <c r="D85" s="2"/>
      <c r="E85" s="21"/>
      <c r="F85" s="26"/>
      <c r="G85" s="28" t="s">
        <v>305</v>
      </c>
      <c r="H85" s="2"/>
      <c r="I85" s="29" t="s">
        <v>95</v>
      </c>
      <c r="J85" s="4">
        <f t="shared" si="1"/>
        <v>33</v>
      </c>
      <c r="K85" s="5">
        <f t="shared" si="2"/>
        <v>5</v>
      </c>
      <c r="L85" s="6"/>
      <c r="M85" s="7"/>
      <c r="N85" s="46"/>
      <c r="O85" s="46"/>
      <c r="P85" s="46"/>
      <c r="Q85" s="46"/>
      <c r="R85" s="46"/>
      <c r="S85" s="46"/>
      <c r="T85" s="46"/>
      <c r="U85" s="46"/>
      <c r="V85" s="46"/>
      <c r="W85" s="46"/>
      <c r="X85" s="46"/>
      <c r="Y85" s="46"/>
      <c r="Z85" s="8"/>
      <c r="AA85" s="8"/>
      <c r="AB85" s="8"/>
      <c r="AC85" s="8"/>
      <c r="AD85" s="8"/>
      <c r="AE85" s="8"/>
      <c r="AF85" s="8"/>
      <c r="AG85" s="8"/>
      <c r="AH85" s="8"/>
      <c r="AI85" s="8"/>
      <c r="AJ85" s="8"/>
      <c r="AK85" s="8"/>
      <c r="AL85" s="8"/>
      <c r="AM85" s="8"/>
      <c r="AN85" s="8"/>
      <c r="AO85" s="8"/>
      <c r="AP85" s="8"/>
      <c r="AQ85" s="8"/>
      <c r="AR85" s="8"/>
    </row>
    <row r="86" ht="15.0" customHeight="1">
      <c r="A86" s="1"/>
      <c r="B86" s="1"/>
      <c r="C86" s="22" t="str">
        <f t="shared" si="4"/>
        <v>Renzo Toscani</v>
      </c>
      <c r="D86" s="2"/>
      <c r="E86" s="21"/>
      <c r="F86" s="26"/>
      <c r="G86" s="26"/>
      <c r="H86" s="2"/>
      <c r="I86" s="1"/>
      <c r="J86" s="4">
        <f t="shared" si="1"/>
        <v>0</v>
      </c>
      <c r="K86" s="5">
        <f t="shared" si="2"/>
        <v>0</v>
      </c>
      <c r="L86" s="6"/>
      <c r="M86" s="7"/>
      <c r="N86" s="46"/>
      <c r="O86" s="46"/>
      <c r="P86" s="46"/>
      <c r="Q86" s="46"/>
      <c r="R86" s="46"/>
      <c r="S86" s="46"/>
      <c r="T86" s="46"/>
      <c r="U86" s="46"/>
      <c r="V86" s="46"/>
      <c r="W86" s="46"/>
      <c r="X86" s="46"/>
      <c r="Y86" s="46"/>
      <c r="Z86" s="8"/>
      <c r="AA86" s="8"/>
      <c r="AB86" s="8"/>
      <c r="AC86" s="8"/>
      <c r="AD86" s="8"/>
      <c r="AE86" s="8"/>
      <c r="AF86" s="8"/>
      <c r="AG86" s="8"/>
      <c r="AH86" s="8"/>
      <c r="AI86" s="8"/>
      <c r="AJ86" s="8"/>
      <c r="AK86" s="8"/>
      <c r="AL86" s="8"/>
      <c r="AM86" s="8"/>
      <c r="AN86" s="8"/>
      <c r="AO86" s="8"/>
      <c r="AP86" s="8"/>
      <c r="AQ86" s="8"/>
      <c r="AR86" s="8"/>
    </row>
    <row r="87" ht="15.0" customHeight="1">
      <c r="A87" s="1"/>
      <c r="B87" s="1"/>
      <c r="C87" s="22" t="str">
        <f t="shared" si="4"/>
        <v>Renzo Toscani</v>
      </c>
      <c r="D87" s="2"/>
      <c r="E87" s="21"/>
      <c r="F87" s="26"/>
      <c r="G87" s="26"/>
      <c r="H87" s="2"/>
      <c r="I87" s="1"/>
      <c r="J87" s="4">
        <f t="shared" si="1"/>
        <v>0</v>
      </c>
      <c r="K87" s="5">
        <f t="shared" si="2"/>
        <v>0</v>
      </c>
      <c r="L87" s="6"/>
      <c r="M87" s="7"/>
      <c r="N87" s="46"/>
      <c r="O87" s="46"/>
      <c r="P87" s="46"/>
      <c r="Q87" s="46"/>
      <c r="R87" s="46"/>
      <c r="S87" s="46"/>
      <c r="T87" s="46"/>
      <c r="U87" s="46"/>
      <c r="V87" s="46"/>
      <c r="W87" s="46"/>
      <c r="X87" s="46"/>
      <c r="Y87" s="46"/>
      <c r="Z87" s="8"/>
      <c r="AA87" s="8"/>
      <c r="AB87" s="8"/>
      <c r="AC87" s="8"/>
      <c r="AD87" s="8"/>
      <c r="AE87" s="8"/>
      <c r="AF87" s="8"/>
      <c r="AG87" s="8"/>
      <c r="AH87" s="8"/>
      <c r="AI87" s="8"/>
      <c r="AJ87" s="8"/>
      <c r="AK87" s="8"/>
      <c r="AL87" s="8"/>
      <c r="AM87" s="8"/>
      <c r="AN87" s="8"/>
      <c r="AO87" s="8"/>
      <c r="AP87" s="8"/>
      <c r="AQ87" s="8"/>
      <c r="AR87" s="8"/>
    </row>
    <row r="88" ht="15.0" customHeight="1">
      <c r="A88" s="1"/>
      <c r="B88" s="1"/>
      <c r="C88" s="22" t="str">
        <f t="shared" si="4"/>
        <v>Mariano Cocirio</v>
      </c>
      <c r="D88" s="2"/>
      <c r="E88" s="63" t="s">
        <v>51</v>
      </c>
      <c r="F88" s="27">
        <v>0.7840277777777778</v>
      </c>
      <c r="G88" s="28" t="s">
        <v>308</v>
      </c>
      <c r="H88" s="2"/>
      <c r="I88" s="29" t="s">
        <v>95</v>
      </c>
      <c r="J88" s="4">
        <f t="shared" si="1"/>
        <v>33</v>
      </c>
      <c r="K88" s="5">
        <f t="shared" si="2"/>
        <v>5</v>
      </c>
      <c r="L88" s="6"/>
      <c r="M88" s="7"/>
      <c r="N88" s="46"/>
      <c r="O88" s="46"/>
      <c r="P88" s="46"/>
      <c r="Q88" s="46"/>
      <c r="R88" s="46"/>
      <c r="S88" s="46"/>
      <c r="T88" s="46"/>
      <c r="U88" s="46"/>
      <c r="V88" s="46"/>
      <c r="W88" s="46"/>
      <c r="X88" s="46"/>
      <c r="Y88" s="46"/>
      <c r="Z88" s="8"/>
      <c r="AA88" s="8"/>
      <c r="AB88" s="8"/>
      <c r="AC88" s="8"/>
      <c r="AD88" s="8"/>
      <c r="AE88" s="8"/>
      <c r="AF88" s="8"/>
      <c r="AG88" s="8"/>
      <c r="AH88" s="8"/>
      <c r="AI88" s="8"/>
      <c r="AJ88" s="8"/>
      <c r="AK88" s="8"/>
      <c r="AL88" s="8"/>
      <c r="AM88" s="8"/>
      <c r="AN88" s="8"/>
      <c r="AO88" s="8"/>
      <c r="AP88" s="8"/>
      <c r="AQ88" s="8"/>
      <c r="AR88" s="8"/>
    </row>
    <row r="89" ht="15.0" customHeight="1">
      <c r="A89" s="1"/>
      <c r="B89" s="1"/>
      <c r="C89" s="22" t="str">
        <f t="shared" si="4"/>
        <v>Mariano Cocirio</v>
      </c>
      <c r="D89" s="2"/>
      <c r="E89" s="21"/>
      <c r="F89" s="26"/>
      <c r="G89" s="26"/>
      <c r="H89" s="2"/>
      <c r="I89" s="1"/>
      <c r="J89" s="4">
        <f t="shared" si="1"/>
        <v>0</v>
      </c>
      <c r="K89" s="5">
        <f t="shared" si="2"/>
        <v>0</v>
      </c>
      <c r="L89" s="6"/>
      <c r="M89" s="7"/>
      <c r="N89" s="46"/>
      <c r="O89" s="46"/>
      <c r="P89" s="46"/>
      <c r="Q89" s="46"/>
      <c r="R89" s="46"/>
      <c r="S89" s="46"/>
      <c r="T89" s="46"/>
      <c r="U89" s="46"/>
      <c r="V89" s="46"/>
      <c r="W89" s="46"/>
      <c r="X89" s="46"/>
      <c r="Y89" s="46"/>
      <c r="Z89" s="46"/>
      <c r="AA89" s="46"/>
      <c r="AB89" s="46"/>
      <c r="AC89" s="46"/>
      <c r="AD89" s="46"/>
      <c r="AE89" s="46"/>
      <c r="AF89" s="46"/>
      <c r="AG89" s="46"/>
      <c r="AH89" s="1"/>
      <c r="AI89" s="1"/>
      <c r="AJ89" s="1"/>
      <c r="AK89" s="1"/>
      <c r="AL89" s="1"/>
      <c r="AM89" s="1"/>
      <c r="AN89" s="1"/>
      <c r="AO89" s="1"/>
      <c r="AP89" s="1"/>
      <c r="AQ89" s="1"/>
      <c r="AR89" s="9"/>
    </row>
    <row r="90" ht="15.0" customHeight="1">
      <c r="C90" s="22" t="str">
        <f t="shared" si="4"/>
        <v>Mariano Cocirio</v>
      </c>
      <c r="E90" s="21"/>
      <c r="F90" s="26"/>
      <c r="G90" s="26"/>
      <c r="I90" s="1"/>
      <c r="J90" s="4">
        <f t="shared" si="1"/>
        <v>0</v>
      </c>
      <c r="K90" s="5">
        <f t="shared" si="2"/>
        <v>0</v>
      </c>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row>
    <row r="91" ht="15.0" customHeight="1">
      <c r="C91" s="22" t="str">
        <f t="shared" si="4"/>
        <v>Renzo Toscani</v>
      </c>
      <c r="E91" s="63" t="s">
        <v>71</v>
      </c>
      <c r="F91" s="27">
        <v>0.7847222222222222</v>
      </c>
      <c r="G91" s="28" t="s">
        <v>310</v>
      </c>
      <c r="I91" s="29" t="s">
        <v>171</v>
      </c>
      <c r="J91" s="4">
        <f t="shared" si="1"/>
        <v>11</v>
      </c>
      <c r="K91" s="5">
        <f t="shared" si="2"/>
        <v>5</v>
      </c>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row>
    <row r="92" ht="15.0" customHeight="1">
      <c r="C92" s="22" t="str">
        <f t="shared" si="4"/>
        <v>Renzo Toscani</v>
      </c>
      <c r="E92" s="21"/>
      <c r="F92" s="26"/>
      <c r="G92" s="26"/>
      <c r="I92" s="1"/>
      <c r="J92" s="4">
        <f t="shared" si="1"/>
        <v>0</v>
      </c>
      <c r="K92" s="5">
        <f t="shared" si="2"/>
        <v>0</v>
      </c>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row>
    <row r="93" ht="15.0" customHeight="1">
      <c r="C93" s="22" t="str">
        <f t="shared" si="4"/>
        <v>Renzo Toscani</v>
      </c>
      <c r="E93" s="21"/>
      <c r="F93" s="26"/>
      <c r="G93" s="26"/>
      <c r="I93" s="1"/>
      <c r="J93" s="4">
        <f t="shared" si="1"/>
        <v>0</v>
      </c>
      <c r="K93" s="5">
        <f t="shared" si="2"/>
        <v>0</v>
      </c>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row>
    <row r="94" ht="15.0" customHeight="1">
      <c r="C94" s="22" t="str">
        <f t="shared" si="4"/>
        <v>Mariano Cocirio</v>
      </c>
      <c r="E94" s="63" t="s">
        <v>51</v>
      </c>
      <c r="F94" s="27">
        <v>0.7847222222222222</v>
      </c>
      <c r="G94" s="28" t="s">
        <v>311</v>
      </c>
      <c r="I94" s="1"/>
      <c r="J94" s="4">
        <f t="shared" si="1"/>
        <v>0</v>
      </c>
      <c r="K94" s="5">
        <f t="shared" si="2"/>
        <v>0</v>
      </c>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row>
    <row r="95" ht="15.0" customHeight="1">
      <c r="C95" s="22" t="str">
        <f t="shared" si="4"/>
        <v>Mariano Cocirio</v>
      </c>
      <c r="E95" s="21"/>
      <c r="F95" s="26"/>
      <c r="G95" s="26"/>
      <c r="I95" s="1"/>
      <c r="J95" s="4">
        <f t="shared" si="1"/>
        <v>0</v>
      </c>
      <c r="K95" s="5">
        <f t="shared" si="2"/>
        <v>0</v>
      </c>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row>
    <row r="96" ht="15.0" customHeight="1">
      <c r="C96" s="22" t="str">
        <f t="shared" si="4"/>
        <v>Mariano Cocirio</v>
      </c>
      <c r="E96" s="21"/>
      <c r="F96" s="26"/>
      <c r="G96" s="26"/>
      <c r="I96" s="1"/>
      <c r="J96" s="4">
        <f t="shared" si="1"/>
        <v>0</v>
      </c>
      <c r="K96" s="5">
        <f t="shared" si="2"/>
        <v>0</v>
      </c>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row>
    <row r="97" ht="15.0" customHeight="1">
      <c r="C97" s="22" t="str">
        <f t="shared" si="4"/>
        <v>Renzo Toscani</v>
      </c>
      <c r="E97" s="63" t="s">
        <v>71</v>
      </c>
      <c r="F97" s="27">
        <v>0.7854166666666667</v>
      </c>
      <c r="G97" s="28" t="s">
        <v>313</v>
      </c>
      <c r="I97" s="29" t="s">
        <v>127</v>
      </c>
      <c r="J97" s="4">
        <f t="shared" si="1"/>
        <v>20</v>
      </c>
      <c r="K97" s="5">
        <f t="shared" si="2"/>
        <v>9</v>
      </c>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row>
    <row r="98" ht="15.0" customHeight="1">
      <c r="C98" s="22" t="str">
        <f t="shared" si="4"/>
        <v>Renzo Toscani</v>
      </c>
      <c r="E98" s="21"/>
      <c r="F98" s="26"/>
      <c r="G98" s="26"/>
      <c r="I98" s="1"/>
      <c r="J98" s="4">
        <f t="shared" si="1"/>
        <v>0</v>
      </c>
      <c r="K98" s="5">
        <f t="shared" si="2"/>
        <v>0</v>
      </c>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row>
    <row r="99" ht="15.0" customHeight="1">
      <c r="C99" s="22" t="str">
        <f t="shared" si="4"/>
        <v>Renzo Toscani</v>
      </c>
      <c r="E99" s="21"/>
      <c r="F99" s="26"/>
      <c r="G99" s="26"/>
      <c r="I99" s="1"/>
      <c r="J99" s="4">
        <f t="shared" si="1"/>
        <v>0</v>
      </c>
      <c r="K99" s="5">
        <f t="shared" si="2"/>
        <v>0</v>
      </c>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row>
    <row r="100" ht="15.0" customHeight="1">
      <c r="C100" s="22" t="str">
        <f t="shared" si="4"/>
        <v>Mariano Cocirio</v>
      </c>
      <c r="E100" s="63" t="s">
        <v>51</v>
      </c>
      <c r="F100" s="27">
        <v>0.7861111111111111</v>
      </c>
      <c r="G100" s="28" t="s">
        <v>314</v>
      </c>
      <c r="I100" s="29" t="s">
        <v>22</v>
      </c>
      <c r="J100" s="4">
        <f t="shared" si="1"/>
        <v>15</v>
      </c>
      <c r="K100" s="5">
        <f t="shared" si="2"/>
        <v>4</v>
      </c>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row>
    <row r="101" ht="15.0" customHeight="1">
      <c r="C101" s="22" t="str">
        <f t="shared" si="4"/>
        <v>Mariano Cocirio</v>
      </c>
      <c r="E101" s="21"/>
      <c r="F101" s="26"/>
      <c r="G101" s="28" t="s">
        <v>315</v>
      </c>
      <c r="I101" s="1"/>
      <c r="J101" s="4">
        <f t="shared" si="1"/>
        <v>0</v>
      </c>
      <c r="K101" s="5">
        <f t="shared" si="2"/>
        <v>0</v>
      </c>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row>
    <row r="102" ht="15.0" customHeight="1">
      <c r="C102" s="22" t="str">
        <f t="shared" si="4"/>
        <v>Mariano Cocirio</v>
      </c>
      <c r="E102" s="21"/>
      <c r="F102" s="26"/>
      <c r="G102" s="28" t="s">
        <v>316</v>
      </c>
      <c r="I102" s="29" t="s">
        <v>265</v>
      </c>
      <c r="J102" s="4">
        <f t="shared" si="1"/>
        <v>36</v>
      </c>
      <c r="K102" s="5">
        <f t="shared" si="2"/>
        <v>1</v>
      </c>
    </row>
    <row r="103" ht="15.0" customHeight="1">
      <c r="C103" s="22" t="str">
        <f t="shared" si="4"/>
        <v>Mariano Cocirio</v>
      </c>
      <c r="E103" s="21"/>
      <c r="F103" s="26"/>
      <c r="G103" s="26"/>
      <c r="I103" s="1"/>
      <c r="J103" s="4">
        <f t="shared" si="1"/>
        <v>0</v>
      </c>
      <c r="K103" s="5">
        <f t="shared" si="2"/>
        <v>0</v>
      </c>
    </row>
    <row r="104" ht="15.0" customHeight="1">
      <c r="C104" s="22" t="str">
        <f t="shared" si="4"/>
        <v>Mariano Cocirio</v>
      </c>
      <c r="E104" s="21"/>
      <c r="F104" s="26"/>
      <c r="G104" s="26"/>
      <c r="I104" s="1"/>
      <c r="J104" s="4">
        <f t="shared" si="1"/>
        <v>0</v>
      </c>
      <c r="K104" s="5">
        <f t="shared" si="2"/>
        <v>0</v>
      </c>
    </row>
    <row r="105" ht="15.0" customHeight="1">
      <c r="C105" s="22" t="str">
        <f t="shared" si="4"/>
        <v>Renzo Toscani</v>
      </c>
      <c r="E105" s="63" t="s">
        <v>71</v>
      </c>
      <c r="F105" s="27">
        <v>0.7861111111111111</v>
      </c>
      <c r="G105" s="28" t="s">
        <v>319</v>
      </c>
      <c r="I105" s="29" t="s">
        <v>265</v>
      </c>
      <c r="J105" s="4">
        <f t="shared" si="1"/>
        <v>36</v>
      </c>
      <c r="K105" s="5">
        <f t="shared" si="2"/>
        <v>1</v>
      </c>
    </row>
    <row r="106" ht="15.0" customHeight="1">
      <c r="C106" s="22" t="str">
        <f t="shared" si="4"/>
        <v>Renzo Toscani</v>
      </c>
      <c r="E106" s="21"/>
      <c r="F106" s="26"/>
      <c r="G106" s="28" t="s">
        <v>320</v>
      </c>
      <c r="I106" s="1"/>
      <c r="J106" s="4">
        <f t="shared" si="1"/>
        <v>0</v>
      </c>
      <c r="K106" s="5">
        <f t="shared" si="2"/>
        <v>0</v>
      </c>
    </row>
    <row r="107" ht="15.0" customHeight="1">
      <c r="C107" s="22" t="str">
        <f t="shared" si="4"/>
        <v>Renzo Toscani</v>
      </c>
      <c r="E107" s="21"/>
      <c r="F107" s="26"/>
      <c r="G107" s="26"/>
      <c r="I107" s="1"/>
      <c r="J107" s="4">
        <f t="shared" si="1"/>
        <v>0</v>
      </c>
      <c r="K107" s="5">
        <f t="shared" si="2"/>
        <v>0</v>
      </c>
    </row>
    <row r="108" ht="15.0" customHeight="1">
      <c r="C108" s="22" t="str">
        <f t="shared" si="4"/>
        <v>Renzo Toscani</v>
      </c>
      <c r="E108" s="21"/>
      <c r="F108" s="26"/>
      <c r="G108" s="26"/>
      <c r="I108" s="1"/>
      <c r="J108" s="4">
        <f t="shared" si="1"/>
        <v>0</v>
      </c>
      <c r="K108" s="5">
        <f t="shared" si="2"/>
        <v>0</v>
      </c>
    </row>
    <row r="109" ht="15.0" customHeight="1">
      <c r="C109" s="22" t="str">
        <f t="shared" si="4"/>
        <v>Renzo Toscani</v>
      </c>
      <c r="E109" s="21"/>
      <c r="F109" s="26"/>
      <c r="G109" s="26"/>
      <c r="I109" s="1"/>
      <c r="J109" s="4">
        <f t="shared" si="1"/>
        <v>0</v>
      </c>
      <c r="K109" s="5">
        <f t="shared" si="2"/>
        <v>0</v>
      </c>
    </row>
    <row r="110" ht="15.0" customHeight="1">
      <c r="C110" s="22" t="str">
        <f t="shared" si="4"/>
        <v>Antonella Palacios</v>
      </c>
      <c r="E110" s="66" t="s">
        <v>30</v>
      </c>
      <c r="F110" s="67">
        <v>0.8708333333333333</v>
      </c>
      <c r="G110" s="21" t="s">
        <v>324</v>
      </c>
      <c r="I110" s="1"/>
      <c r="J110" s="4">
        <f t="shared" si="1"/>
        <v>0</v>
      </c>
      <c r="K110" s="5">
        <f t="shared" si="2"/>
        <v>0</v>
      </c>
    </row>
    <row r="111" ht="15.0" customHeight="1">
      <c r="C111" s="22" t="str">
        <f t="shared" si="4"/>
        <v>Antonella Palacios</v>
      </c>
      <c r="E111" s="21"/>
      <c r="F111" s="26"/>
      <c r="G111" s="68" t="s">
        <v>325</v>
      </c>
      <c r="I111" s="29" t="s">
        <v>95</v>
      </c>
      <c r="J111" s="4">
        <f t="shared" si="1"/>
        <v>33</v>
      </c>
      <c r="K111" s="5">
        <f t="shared" si="2"/>
        <v>5</v>
      </c>
    </row>
    <row r="112" ht="15.0" customHeight="1">
      <c r="C112" s="22" t="str">
        <f t="shared" si="4"/>
        <v>Antonella Palacios</v>
      </c>
      <c r="E112" s="21"/>
      <c r="F112" s="26"/>
      <c r="G112" s="26"/>
      <c r="I112" s="1"/>
      <c r="J112" s="4">
        <f t="shared" si="1"/>
        <v>0</v>
      </c>
      <c r="K112" s="5">
        <f t="shared" si="2"/>
        <v>0</v>
      </c>
    </row>
    <row r="113" ht="15.0" customHeight="1">
      <c r="C113" s="22" t="str">
        <f t="shared" si="4"/>
        <v>Antonella Palacios</v>
      </c>
      <c r="E113" s="21"/>
      <c r="F113" s="26"/>
      <c r="G113" s="26"/>
      <c r="I113" s="1"/>
      <c r="J113" s="4">
        <f t="shared" si="1"/>
        <v>0</v>
      </c>
      <c r="K113" s="5">
        <f t="shared" si="2"/>
        <v>0</v>
      </c>
    </row>
    <row r="114" ht="15.0" customHeight="1">
      <c r="C114" s="22" t="str">
        <f t="shared" si="4"/>
        <v>Mariano Cocirio</v>
      </c>
      <c r="E114" s="66" t="s">
        <v>51</v>
      </c>
      <c r="F114" s="67">
        <v>0.9104166666666667</v>
      </c>
      <c r="G114" s="21" t="s">
        <v>324</v>
      </c>
      <c r="J114" s="4">
        <f t="shared" si="1"/>
        <v>0</v>
      </c>
      <c r="K114" s="5">
        <f t="shared" si="2"/>
        <v>0</v>
      </c>
    </row>
    <row r="115" ht="15.0" customHeight="1">
      <c r="C115" s="22" t="str">
        <f t="shared" si="4"/>
        <v>Mariano Cocirio</v>
      </c>
      <c r="E115" s="21"/>
      <c r="F115" s="26"/>
      <c r="G115" s="68" t="s">
        <v>59</v>
      </c>
      <c r="I115" s="65" t="s">
        <v>95</v>
      </c>
      <c r="J115" s="4">
        <f t="shared" si="1"/>
        <v>33</v>
      </c>
      <c r="K115" s="5">
        <f t="shared" si="2"/>
        <v>5</v>
      </c>
    </row>
    <row r="116" ht="15.0" customHeight="1">
      <c r="C116" s="22" t="str">
        <f t="shared" si="4"/>
        <v>Mariano Cocirio</v>
      </c>
      <c r="E116" s="21"/>
      <c r="F116" s="26"/>
      <c r="G116" s="26"/>
      <c r="J116" s="4">
        <f t="shared" si="1"/>
        <v>0</v>
      </c>
      <c r="K116" s="5">
        <f t="shared" si="2"/>
        <v>0</v>
      </c>
    </row>
    <row r="117" ht="15.0" customHeight="1">
      <c r="C117" s="22" t="str">
        <f t="shared" si="4"/>
        <v>Mariano Cocirio</v>
      </c>
      <c r="E117" s="21"/>
      <c r="F117" s="26"/>
      <c r="G117" s="26"/>
      <c r="J117" s="4">
        <f t="shared" si="1"/>
        <v>0</v>
      </c>
      <c r="K117" s="5">
        <f t="shared" si="2"/>
        <v>0</v>
      </c>
    </row>
    <row r="118" ht="15.0" customHeight="1">
      <c r="C118" s="22" t="str">
        <f t="shared" si="4"/>
        <v>Mariano Cocirio</v>
      </c>
      <c r="E118" s="21"/>
      <c r="F118" s="68" t="s">
        <v>71</v>
      </c>
      <c r="G118" s="21" t="s">
        <v>73</v>
      </c>
      <c r="J118" s="4">
        <f t="shared" si="1"/>
        <v>0</v>
      </c>
      <c r="K118" s="5">
        <f t="shared" si="2"/>
        <v>0</v>
      </c>
    </row>
    <row r="119" ht="15.0" customHeight="1">
      <c r="C119" s="22" t="str">
        <f t="shared" si="4"/>
        <v>Mariano Cocirio</v>
      </c>
      <c r="E119" s="21"/>
      <c r="F119" s="26"/>
      <c r="G119" s="26"/>
      <c r="J119" s="4">
        <f t="shared" si="1"/>
        <v>0</v>
      </c>
      <c r="K119" s="5">
        <f t="shared" si="2"/>
        <v>0</v>
      </c>
    </row>
    <row r="120" ht="15.0" customHeight="1">
      <c r="C120" s="22" t="str">
        <f t="shared" si="4"/>
        <v>Mariano Cocirio</v>
      </c>
      <c r="E120" s="21"/>
      <c r="F120" s="26"/>
      <c r="G120" s="26"/>
      <c r="J120" s="4">
        <f t="shared" si="1"/>
        <v>0</v>
      </c>
      <c r="K120" s="5">
        <f t="shared" si="2"/>
        <v>0</v>
      </c>
    </row>
    <row r="121" ht="15.0" customHeight="1">
      <c r="C121" s="22" t="str">
        <f t="shared" si="4"/>
        <v>Mariano Cocirio</v>
      </c>
      <c r="E121" s="21"/>
      <c r="F121" s="66" t="s">
        <v>51</v>
      </c>
      <c r="G121" s="21" t="s">
        <v>86</v>
      </c>
      <c r="I121" s="65" t="s">
        <v>87</v>
      </c>
      <c r="J121" s="4">
        <f t="shared" si="1"/>
        <v>30</v>
      </c>
      <c r="K121" s="5">
        <f t="shared" si="2"/>
        <v>8</v>
      </c>
    </row>
    <row r="122" ht="15.0" customHeight="1">
      <c r="C122" s="22" t="str">
        <f t="shared" si="4"/>
        <v>Mariano Cocirio</v>
      </c>
      <c r="E122" s="21"/>
      <c r="F122" s="26"/>
      <c r="G122" s="26"/>
      <c r="I122" s="65"/>
      <c r="J122" s="4">
        <f t="shared" si="1"/>
        <v>0</v>
      </c>
      <c r="K122" s="5">
        <f t="shared" si="2"/>
        <v>0</v>
      </c>
    </row>
    <row r="123" ht="15.0" customHeight="1">
      <c r="C123" s="22" t="str">
        <f t="shared" si="4"/>
        <v>Mariano Cocirio</v>
      </c>
      <c r="E123" s="21"/>
      <c r="F123" s="26"/>
      <c r="G123" s="26"/>
      <c r="J123" s="4">
        <f t="shared" si="1"/>
        <v>0</v>
      </c>
      <c r="K123" s="5">
        <f t="shared" si="2"/>
        <v>0</v>
      </c>
    </row>
    <row r="124" ht="15.0" customHeight="1">
      <c r="C124" s="22" t="str">
        <f t="shared" si="4"/>
        <v>Mariano Cocirio</v>
      </c>
      <c r="E124" s="21"/>
      <c r="F124" s="68" t="s">
        <v>30</v>
      </c>
      <c r="G124" s="21" t="s">
        <v>335</v>
      </c>
      <c r="I124" s="65" t="s">
        <v>209</v>
      </c>
      <c r="J124" s="4">
        <f t="shared" si="1"/>
        <v>29</v>
      </c>
      <c r="K124" s="5">
        <f t="shared" si="2"/>
        <v>4</v>
      </c>
    </row>
    <row r="125" ht="15.0" customHeight="1">
      <c r="C125" s="22" t="str">
        <f t="shared" si="4"/>
        <v>Mariano Cocirio</v>
      </c>
      <c r="E125" s="21"/>
      <c r="F125" s="26"/>
      <c r="G125" s="26"/>
      <c r="J125" s="4">
        <f t="shared" si="1"/>
        <v>0</v>
      </c>
      <c r="K125" s="5">
        <f t="shared" si="2"/>
        <v>0</v>
      </c>
    </row>
    <row r="126" ht="15.0" customHeight="1">
      <c r="C126" s="22" t="str">
        <f t="shared" si="4"/>
        <v>Mariano Cocirio</v>
      </c>
      <c r="E126" s="21"/>
      <c r="F126" s="26"/>
      <c r="G126" s="26"/>
      <c r="J126" s="4">
        <f t="shared" si="1"/>
        <v>0</v>
      </c>
      <c r="K126" s="5">
        <f t="shared" si="2"/>
        <v>0</v>
      </c>
    </row>
    <row r="127" ht="15.0" customHeight="1">
      <c r="C127" s="22" t="str">
        <f t="shared" si="4"/>
        <v>Mariano Cocirio</v>
      </c>
      <c r="E127" s="21"/>
      <c r="F127" s="66" t="s">
        <v>51</v>
      </c>
      <c r="G127" s="21" t="s">
        <v>117</v>
      </c>
      <c r="I127" s="65" t="s">
        <v>226</v>
      </c>
      <c r="J127" s="4">
        <f t="shared" si="1"/>
        <v>26</v>
      </c>
      <c r="K127" s="5">
        <f t="shared" si="2"/>
        <v>3</v>
      </c>
    </row>
    <row r="128" ht="15.0" customHeight="1">
      <c r="C128" s="22" t="str">
        <f t="shared" si="4"/>
        <v>Mariano Cocirio</v>
      </c>
      <c r="E128" s="21"/>
      <c r="F128" s="26"/>
      <c r="G128" s="26"/>
      <c r="J128" s="4">
        <f t="shared" si="1"/>
        <v>0</v>
      </c>
      <c r="K128" s="5">
        <f t="shared" si="2"/>
        <v>0</v>
      </c>
    </row>
    <row r="129" ht="15.0" customHeight="1">
      <c r="C129" s="22" t="str">
        <f t="shared" si="4"/>
        <v>Mariano Cocirio</v>
      </c>
      <c r="E129" s="21"/>
      <c r="F129" s="26"/>
      <c r="G129" s="26"/>
      <c r="J129" s="4">
        <f t="shared" si="1"/>
        <v>0</v>
      </c>
      <c r="K129" s="5">
        <f t="shared" si="2"/>
        <v>0</v>
      </c>
    </row>
    <row r="130" ht="15.0" customHeight="1">
      <c r="C130" s="22" t="str">
        <f t="shared" si="4"/>
        <v>Mariano Cocirio</v>
      </c>
      <c r="E130" s="21"/>
      <c r="F130" s="68" t="s">
        <v>71</v>
      </c>
      <c r="G130" s="21" t="s">
        <v>338</v>
      </c>
      <c r="J130" s="4">
        <f t="shared" si="1"/>
        <v>0</v>
      </c>
      <c r="K130" s="5">
        <f t="shared" si="2"/>
        <v>0</v>
      </c>
    </row>
    <row r="131" ht="15.0" customHeight="1">
      <c r="C131" s="22" t="str">
        <f t="shared" si="4"/>
        <v>Mariano Cocirio</v>
      </c>
      <c r="E131" s="21"/>
      <c r="F131" s="26"/>
      <c r="G131" s="66" t="s">
        <v>339</v>
      </c>
      <c r="I131" s="65" t="s">
        <v>236</v>
      </c>
      <c r="J131" s="4">
        <f t="shared" si="1"/>
        <v>28</v>
      </c>
      <c r="K131" s="5">
        <f t="shared" si="2"/>
        <v>11</v>
      </c>
    </row>
    <row r="132" ht="15.0" customHeight="1">
      <c r="C132" s="22" t="str">
        <f t="shared" si="4"/>
        <v>Mariano Cocirio</v>
      </c>
      <c r="E132" s="21"/>
      <c r="F132" s="26"/>
      <c r="G132" s="26"/>
      <c r="J132" s="4">
        <f t="shared" si="1"/>
        <v>0</v>
      </c>
      <c r="K132" s="5">
        <f t="shared" si="2"/>
        <v>0</v>
      </c>
    </row>
    <row r="133" ht="15.0" customHeight="1">
      <c r="C133" s="22" t="str">
        <f t="shared" si="4"/>
        <v>Mariano Cocirio</v>
      </c>
      <c r="E133" s="21"/>
      <c r="F133" s="26"/>
      <c r="G133" s="26"/>
      <c r="J133" s="4">
        <f t="shared" si="1"/>
        <v>0</v>
      </c>
      <c r="K133" s="5">
        <f t="shared" si="2"/>
        <v>0</v>
      </c>
    </row>
    <row r="134" ht="15.0" customHeight="1">
      <c r="C134" s="22" t="str">
        <f t="shared" si="4"/>
        <v>Mariano Cocirio</v>
      </c>
      <c r="E134" s="21"/>
      <c r="F134" s="68" t="s">
        <v>51</v>
      </c>
      <c r="G134" s="21" t="s">
        <v>342</v>
      </c>
      <c r="I134" s="65" t="s">
        <v>193</v>
      </c>
      <c r="J134" s="4">
        <f t="shared" si="1"/>
        <v>17</v>
      </c>
      <c r="K134" s="5">
        <f t="shared" si="2"/>
        <v>5</v>
      </c>
    </row>
    <row r="135" ht="15.0" customHeight="1">
      <c r="C135" s="22" t="str">
        <f t="shared" si="4"/>
        <v>Mariano Cocirio</v>
      </c>
      <c r="E135" s="21"/>
      <c r="F135" s="26"/>
      <c r="G135" s="26"/>
      <c r="J135" s="4">
        <f t="shared" si="1"/>
        <v>0</v>
      </c>
      <c r="K135" s="5">
        <f t="shared" si="2"/>
        <v>0</v>
      </c>
    </row>
    <row r="136" ht="15.0" customHeight="1">
      <c r="C136" s="22" t="str">
        <f t="shared" si="4"/>
        <v>Mariano Cocirio</v>
      </c>
      <c r="E136" s="21"/>
      <c r="F136" s="26"/>
      <c r="G136" s="26"/>
      <c r="J136" s="4">
        <f t="shared" si="1"/>
        <v>0</v>
      </c>
      <c r="K136" s="5">
        <f t="shared" si="2"/>
        <v>0</v>
      </c>
    </row>
    <row r="137" ht="15.0" customHeight="1">
      <c r="C137" s="22" t="str">
        <f t="shared" si="4"/>
        <v>Mariano Cocirio</v>
      </c>
      <c r="E137" s="21"/>
      <c r="F137" s="68" t="s">
        <v>30</v>
      </c>
      <c r="G137" s="21" t="s">
        <v>343</v>
      </c>
      <c r="I137" s="65" t="s">
        <v>236</v>
      </c>
      <c r="J137" s="4">
        <f t="shared" si="1"/>
        <v>28</v>
      </c>
      <c r="K137" s="5">
        <f t="shared" si="2"/>
        <v>11</v>
      </c>
    </row>
    <row r="138" ht="15.0" customHeight="1">
      <c r="C138" s="22" t="str">
        <f t="shared" si="4"/>
        <v>Mariano Cocirio</v>
      </c>
      <c r="E138" s="21"/>
      <c r="F138" s="26"/>
      <c r="G138" s="26"/>
      <c r="J138" s="4">
        <f t="shared" si="1"/>
        <v>0</v>
      </c>
      <c r="K138" s="5">
        <f t="shared" si="2"/>
        <v>0</v>
      </c>
    </row>
    <row r="139" ht="15.0" customHeight="1">
      <c r="C139" s="22" t="str">
        <f t="shared" si="4"/>
        <v>Mariano Cocirio</v>
      </c>
      <c r="E139" s="21"/>
      <c r="F139" s="26"/>
      <c r="G139" s="26"/>
      <c r="J139" s="4">
        <f t="shared" si="1"/>
        <v>0</v>
      </c>
      <c r="K139" s="5">
        <f t="shared" si="2"/>
        <v>0</v>
      </c>
    </row>
    <row r="140" ht="15.0" customHeight="1">
      <c r="C140" s="22" t="str">
        <f t="shared" si="4"/>
        <v>Mariano Cocirio</v>
      </c>
      <c r="E140" s="21"/>
      <c r="F140" s="68" t="s">
        <v>71</v>
      </c>
      <c r="G140" s="21" t="s">
        <v>344</v>
      </c>
      <c r="I140" s="65" t="s">
        <v>229</v>
      </c>
      <c r="J140" s="4">
        <f t="shared" si="1"/>
        <v>27</v>
      </c>
      <c r="K140" s="5">
        <f t="shared" si="2"/>
        <v>10</v>
      </c>
    </row>
    <row r="141" ht="15.0" customHeight="1">
      <c r="C141" s="22" t="str">
        <f t="shared" si="4"/>
        <v>Mariano Cocirio</v>
      </c>
      <c r="E141" s="21"/>
      <c r="F141" s="26"/>
      <c r="G141" s="26"/>
      <c r="J141" s="4">
        <f t="shared" si="1"/>
        <v>0</v>
      </c>
      <c r="K141" s="5">
        <f t="shared" si="2"/>
        <v>0</v>
      </c>
    </row>
    <row r="142" ht="15.0" customHeight="1">
      <c r="C142" s="22" t="str">
        <f t="shared" si="4"/>
        <v>Mariano Cocirio</v>
      </c>
      <c r="E142" s="21"/>
      <c r="F142" s="26"/>
      <c r="G142" s="26"/>
      <c r="J142" s="4">
        <f t="shared" si="1"/>
        <v>0</v>
      </c>
      <c r="K142" s="5">
        <f t="shared" si="2"/>
        <v>0</v>
      </c>
    </row>
    <row r="143" ht="15.0" customHeight="1">
      <c r="C143" s="22" t="str">
        <f t="shared" si="4"/>
        <v>Mariano Cocirio</v>
      </c>
      <c r="E143" s="21"/>
      <c r="F143" s="68" t="s">
        <v>51</v>
      </c>
      <c r="G143" s="21" t="s">
        <v>345</v>
      </c>
      <c r="I143" s="65" t="s">
        <v>229</v>
      </c>
      <c r="J143" s="4">
        <f t="shared" si="1"/>
        <v>27</v>
      </c>
      <c r="K143" s="5">
        <f t="shared" si="2"/>
        <v>10</v>
      </c>
    </row>
    <row r="144" ht="15.0" customHeight="1">
      <c r="C144" s="22" t="str">
        <f t="shared" si="4"/>
        <v>Mariano Cocirio</v>
      </c>
      <c r="E144" s="21"/>
      <c r="F144" s="26"/>
      <c r="G144" s="26"/>
      <c r="J144" s="4">
        <f t="shared" si="1"/>
        <v>0</v>
      </c>
      <c r="K144" s="5">
        <f t="shared" si="2"/>
        <v>0</v>
      </c>
    </row>
    <row r="145" ht="15.0" customHeight="1">
      <c r="C145" s="22" t="str">
        <f t="shared" si="4"/>
        <v>Mariano Cocirio</v>
      </c>
      <c r="E145" s="21"/>
      <c r="F145" s="26"/>
      <c r="G145" s="26"/>
      <c r="J145" s="4">
        <f t="shared" si="1"/>
        <v>0</v>
      </c>
      <c r="K145" s="5">
        <f t="shared" si="2"/>
        <v>0</v>
      </c>
    </row>
    <row r="146" ht="15.0" customHeight="1">
      <c r="C146" s="22" t="str">
        <f t="shared" si="4"/>
        <v>Mariano Cocirio</v>
      </c>
      <c r="E146" s="21"/>
      <c r="F146" s="68" t="s">
        <v>51</v>
      </c>
      <c r="G146" s="21" t="s">
        <v>346</v>
      </c>
      <c r="I146" s="65" t="s">
        <v>95</v>
      </c>
      <c r="J146" s="4">
        <f t="shared" si="1"/>
        <v>33</v>
      </c>
      <c r="K146" s="5">
        <f t="shared" si="2"/>
        <v>5</v>
      </c>
    </row>
    <row r="147" ht="15.0" customHeight="1">
      <c r="C147" s="22" t="str">
        <f t="shared" si="4"/>
        <v>Mariano Cocirio</v>
      </c>
      <c r="E147" s="21"/>
      <c r="F147" s="26"/>
      <c r="G147" s="26"/>
      <c r="J147" s="4">
        <f t="shared" si="1"/>
        <v>0</v>
      </c>
      <c r="K147" s="5">
        <f t="shared" si="2"/>
        <v>0</v>
      </c>
    </row>
    <row r="148" ht="15.0" customHeight="1">
      <c r="C148" s="22" t="str">
        <f t="shared" si="4"/>
        <v>Mariano Cocirio</v>
      </c>
      <c r="E148" s="21"/>
      <c r="F148" s="20">
        <v>41961.0</v>
      </c>
      <c r="G148" s="26"/>
      <c r="J148" s="4">
        <f t="shared" si="1"/>
        <v>0</v>
      </c>
      <c r="K148" s="5">
        <f t="shared" si="2"/>
        <v>0</v>
      </c>
    </row>
    <row r="149" ht="15.0" customHeight="1">
      <c r="C149" s="22" t="str">
        <f t="shared" si="4"/>
        <v>Mariano Cocirio</v>
      </c>
      <c r="E149" s="66" t="s">
        <v>51</v>
      </c>
      <c r="F149" s="67">
        <v>0.7708333333333334</v>
      </c>
      <c r="G149" s="26"/>
      <c r="J149" s="4">
        <f t="shared" si="1"/>
        <v>0</v>
      </c>
      <c r="K149" s="5">
        <f t="shared" si="2"/>
        <v>0</v>
      </c>
    </row>
    <row r="150" ht="15.0" customHeight="1">
      <c r="C150" s="22" t="str">
        <f t="shared" si="4"/>
        <v>Mariano Cocirio</v>
      </c>
      <c r="E150" s="21"/>
      <c r="F150" s="26"/>
      <c r="G150" s="21" t="s">
        <v>347</v>
      </c>
      <c r="J150" s="4">
        <f t="shared" si="1"/>
        <v>0</v>
      </c>
      <c r="K150" s="5">
        <f t="shared" si="2"/>
        <v>0</v>
      </c>
    </row>
    <row r="151" ht="15.0" customHeight="1">
      <c r="C151" s="22" t="str">
        <f t="shared" si="4"/>
        <v>Mariano Cocirio</v>
      </c>
      <c r="E151" s="21"/>
      <c r="F151" s="26"/>
      <c r="G151" s="68" t="s">
        <v>348</v>
      </c>
      <c r="J151" s="4">
        <f t="shared" si="1"/>
        <v>0</v>
      </c>
      <c r="K151" s="5">
        <f t="shared" si="2"/>
        <v>0</v>
      </c>
    </row>
    <row r="152" ht="15.0" customHeight="1">
      <c r="C152" s="22" t="str">
        <f t="shared" si="4"/>
        <v>Mariano Cocirio</v>
      </c>
      <c r="E152" s="21"/>
      <c r="F152" s="26"/>
      <c r="G152" s="55"/>
      <c r="J152" s="4">
        <f t="shared" si="1"/>
        <v>0</v>
      </c>
      <c r="K152" s="5">
        <f t="shared" si="2"/>
        <v>0</v>
      </c>
    </row>
    <row r="153" ht="15.0" customHeight="1">
      <c r="C153" s="22" t="str">
        <f t="shared" si="4"/>
        <v>Mariano Cocirio</v>
      </c>
      <c r="E153" s="21"/>
      <c r="F153" s="26"/>
      <c r="G153" s="69" t="s">
        <v>299</v>
      </c>
      <c r="J153" s="4">
        <f t="shared" si="1"/>
        <v>0</v>
      </c>
      <c r="K153" s="5">
        <f t="shared" si="2"/>
        <v>0</v>
      </c>
    </row>
    <row r="154" ht="15.0" customHeight="1">
      <c r="C154" s="22" t="str">
        <f t="shared" si="4"/>
        <v>Mariano Cocirio</v>
      </c>
      <c r="E154" s="21"/>
      <c r="F154" s="26"/>
      <c r="G154" s="26"/>
      <c r="J154" s="4">
        <f t="shared" si="1"/>
        <v>0</v>
      </c>
      <c r="K154" s="5">
        <f t="shared" si="2"/>
        <v>0</v>
      </c>
    </row>
    <row r="155" ht="15.0" customHeight="1">
      <c r="C155" s="22" t="str">
        <f t="shared" si="4"/>
        <v>Mariano Cocirio</v>
      </c>
      <c r="E155" s="21"/>
      <c r="F155" s="26"/>
      <c r="G155" s="26"/>
      <c r="J155" s="4">
        <f t="shared" si="1"/>
        <v>0</v>
      </c>
      <c r="K155" s="5">
        <f t="shared" si="2"/>
        <v>0</v>
      </c>
    </row>
    <row r="156" ht="15.0" customHeight="1">
      <c r="C156" s="22" t="str">
        <f t="shared" si="4"/>
        <v>Mariano Cocirio</v>
      </c>
      <c r="E156" s="21"/>
      <c r="F156" s="20">
        <v>41962.0</v>
      </c>
      <c r="G156" s="26"/>
      <c r="J156" s="4">
        <f t="shared" si="1"/>
        <v>0</v>
      </c>
      <c r="K156" s="5">
        <f t="shared" si="2"/>
        <v>0</v>
      </c>
    </row>
    <row r="157" ht="15.0" customHeight="1">
      <c r="C157" s="22" t="str">
        <f t="shared" si="4"/>
        <v>Mariano</v>
      </c>
      <c r="E157" s="57" t="s">
        <v>89</v>
      </c>
      <c r="F157" s="57" t="s">
        <v>349</v>
      </c>
      <c r="G157" s="58" t="s">
        <v>350</v>
      </c>
      <c r="I157" s="65" t="s">
        <v>60</v>
      </c>
      <c r="J157" s="4">
        <f t="shared" si="1"/>
        <v>32</v>
      </c>
      <c r="K157" s="5">
        <f t="shared" si="2"/>
        <v>1</v>
      </c>
    </row>
    <row r="158" ht="15.0" customHeight="1">
      <c r="C158" s="22" t="str">
        <f t="shared" si="4"/>
        <v>Mariano</v>
      </c>
      <c r="E158" s="21"/>
      <c r="F158" s="26"/>
      <c r="G158" s="26"/>
      <c r="J158" s="4">
        <f t="shared" si="1"/>
        <v>0</v>
      </c>
      <c r="K158" s="5">
        <f t="shared" si="2"/>
        <v>0</v>
      </c>
    </row>
    <row r="159" ht="15.0" customHeight="1">
      <c r="C159" s="22" t="str">
        <f t="shared" si="4"/>
        <v>Mariano</v>
      </c>
      <c r="E159" s="21"/>
      <c r="F159" s="26"/>
      <c r="G159" s="59" t="s">
        <v>225</v>
      </c>
      <c r="J159" s="4">
        <f t="shared" si="1"/>
        <v>0</v>
      </c>
      <c r="K159" s="5">
        <f t="shared" si="2"/>
        <v>0</v>
      </c>
    </row>
    <row r="160" ht="15.0" customHeight="1">
      <c r="C160" s="22" t="str">
        <f t="shared" si="4"/>
        <v>Mariano</v>
      </c>
      <c r="E160" s="21"/>
      <c r="F160" s="26"/>
      <c r="G160" s="26"/>
      <c r="J160" s="4">
        <f t="shared" si="1"/>
        <v>0</v>
      </c>
      <c r="K160" s="5">
        <f t="shared" si="2"/>
        <v>0</v>
      </c>
    </row>
    <row r="161" ht="15.0" customHeight="1">
      <c r="C161" s="22" t="str">
        <f t="shared" si="4"/>
        <v>Renzo</v>
      </c>
      <c r="E161" s="57" t="s">
        <v>83</v>
      </c>
      <c r="F161" s="57" t="s">
        <v>351</v>
      </c>
      <c r="G161" s="58" t="s">
        <v>352</v>
      </c>
      <c r="J161" s="4">
        <f t="shared" si="1"/>
        <v>0</v>
      </c>
      <c r="K161" s="5">
        <f t="shared" si="2"/>
        <v>0</v>
      </c>
    </row>
    <row r="162" ht="15.0" customHeight="1">
      <c r="C162" s="22" t="str">
        <f t="shared" si="4"/>
        <v>Renzo</v>
      </c>
      <c r="E162" s="21"/>
      <c r="F162" s="26"/>
      <c r="G162" s="26"/>
      <c r="J162" s="4">
        <f t="shared" si="1"/>
        <v>0</v>
      </c>
      <c r="K162" s="5">
        <f t="shared" si="2"/>
        <v>0</v>
      </c>
    </row>
    <row r="163" ht="15.0" customHeight="1">
      <c r="C163" s="22" t="str">
        <f t="shared" si="4"/>
        <v>Renzo</v>
      </c>
      <c r="E163" s="21"/>
      <c r="F163" s="26"/>
      <c r="G163" s="59" t="s">
        <v>225</v>
      </c>
      <c r="J163" s="4">
        <f t="shared" si="1"/>
        <v>0</v>
      </c>
      <c r="K163" s="5">
        <f t="shared" si="2"/>
        <v>0</v>
      </c>
    </row>
    <row r="164" ht="15.0" customHeight="1">
      <c r="C164" s="22" t="str">
        <f t="shared" si="4"/>
        <v>Renzo</v>
      </c>
      <c r="E164" s="21"/>
      <c r="F164" s="26"/>
      <c r="G164" s="26"/>
      <c r="J164" s="4">
        <f t="shared" si="1"/>
        <v>0</v>
      </c>
      <c r="K164" s="5">
        <f t="shared" si="2"/>
        <v>0</v>
      </c>
    </row>
    <row r="165" ht="15.0" customHeight="1">
      <c r="C165" s="22" t="str">
        <f t="shared" si="4"/>
        <v>Mariano</v>
      </c>
      <c r="E165" s="57" t="s">
        <v>89</v>
      </c>
      <c r="F165" s="57" t="s">
        <v>353</v>
      </c>
      <c r="G165" s="58" t="s">
        <v>354</v>
      </c>
      <c r="I165" s="65" t="s">
        <v>175</v>
      </c>
      <c r="J165" s="4">
        <f t="shared" si="1"/>
        <v>35</v>
      </c>
      <c r="K165" s="5">
        <f t="shared" si="2"/>
        <v>6</v>
      </c>
    </row>
    <row r="166" ht="15.0" customHeight="1">
      <c r="C166" s="22" t="str">
        <f t="shared" si="4"/>
        <v>Mariano</v>
      </c>
      <c r="E166" s="21"/>
      <c r="F166" s="26"/>
      <c r="G166" s="26"/>
      <c r="J166" s="4">
        <f t="shared" si="1"/>
        <v>0</v>
      </c>
      <c r="K166" s="5">
        <f t="shared" si="2"/>
        <v>0</v>
      </c>
    </row>
    <row r="167" ht="15.0" customHeight="1">
      <c r="C167" s="22" t="str">
        <f t="shared" si="4"/>
        <v>Mariano</v>
      </c>
      <c r="E167" s="21"/>
      <c r="F167" s="26"/>
      <c r="G167" s="59" t="s">
        <v>225</v>
      </c>
      <c r="J167" s="4">
        <f t="shared" si="1"/>
        <v>0</v>
      </c>
      <c r="K167" s="5">
        <f t="shared" si="2"/>
        <v>0</v>
      </c>
    </row>
    <row r="168" ht="15.0" customHeight="1">
      <c r="C168" s="22" t="str">
        <f t="shared" si="4"/>
        <v>Mariano</v>
      </c>
      <c r="E168" s="21"/>
      <c r="F168" s="26"/>
      <c r="G168" s="26"/>
      <c r="J168" s="4">
        <f t="shared" si="1"/>
        <v>0</v>
      </c>
      <c r="K168" s="5">
        <f t="shared" si="2"/>
        <v>0</v>
      </c>
    </row>
    <row r="169" ht="15.0" customHeight="1">
      <c r="C169" s="22" t="str">
        <f t="shared" si="4"/>
        <v>Antonella</v>
      </c>
      <c r="E169" s="57" t="s">
        <v>84</v>
      </c>
      <c r="F169" s="57" t="s">
        <v>355</v>
      </c>
      <c r="G169" s="58" t="s">
        <v>356</v>
      </c>
      <c r="I169" s="65" t="s">
        <v>95</v>
      </c>
      <c r="J169" s="4">
        <f t="shared" si="1"/>
        <v>33</v>
      </c>
      <c r="K169" s="5">
        <f t="shared" si="2"/>
        <v>5</v>
      </c>
    </row>
    <row r="170" ht="15.0" customHeight="1">
      <c r="C170" s="22" t="str">
        <f t="shared" si="4"/>
        <v>Antonella</v>
      </c>
      <c r="E170" s="21"/>
      <c r="F170" s="26"/>
      <c r="G170" s="26"/>
      <c r="J170" s="4">
        <f t="shared" si="1"/>
        <v>0</v>
      </c>
      <c r="K170" s="5">
        <f t="shared" si="2"/>
        <v>0</v>
      </c>
    </row>
    <row r="171" ht="15.0" customHeight="1">
      <c r="C171" s="22" t="str">
        <f t="shared" si="4"/>
        <v>Antonella</v>
      </c>
      <c r="E171" s="21"/>
      <c r="F171" s="26"/>
      <c r="G171" s="59" t="s">
        <v>225</v>
      </c>
      <c r="J171" s="4">
        <f t="shared" si="1"/>
        <v>0</v>
      </c>
      <c r="K171" s="5">
        <f t="shared" si="2"/>
        <v>0</v>
      </c>
    </row>
    <row r="172" ht="15.0" customHeight="1">
      <c r="C172" s="22" t="str">
        <f t="shared" si="4"/>
        <v>Antonella</v>
      </c>
      <c r="E172" s="21"/>
      <c r="F172" s="26"/>
      <c r="G172" s="26"/>
      <c r="J172" s="4">
        <f t="shared" si="1"/>
        <v>0</v>
      </c>
      <c r="K172" s="5">
        <f t="shared" si="2"/>
        <v>0</v>
      </c>
    </row>
    <row r="173" ht="15.0" customHeight="1">
      <c r="C173" s="22" t="str">
        <f t="shared" si="4"/>
        <v>Renzo</v>
      </c>
      <c r="E173" s="57" t="s">
        <v>83</v>
      </c>
      <c r="F173" s="57" t="s">
        <v>355</v>
      </c>
      <c r="G173" s="58" t="s">
        <v>357</v>
      </c>
      <c r="I173" s="65" t="s">
        <v>166</v>
      </c>
      <c r="J173" s="4">
        <f t="shared" si="1"/>
        <v>10</v>
      </c>
      <c r="K173" s="5">
        <f t="shared" si="2"/>
        <v>1</v>
      </c>
    </row>
    <row r="174" ht="15.0" customHeight="1">
      <c r="C174" s="22" t="str">
        <f t="shared" si="4"/>
        <v>Renzo</v>
      </c>
      <c r="E174" s="21"/>
      <c r="F174" s="26"/>
      <c r="G174" s="26"/>
      <c r="J174" s="4">
        <f t="shared" si="1"/>
        <v>0</v>
      </c>
      <c r="K174" s="5">
        <f t="shared" si="2"/>
        <v>0</v>
      </c>
    </row>
    <row r="175" ht="15.0" customHeight="1">
      <c r="C175" s="22" t="str">
        <f t="shared" si="4"/>
        <v>Renzo</v>
      </c>
      <c r="E175" s="21"/>
      <c r="F175" s="26"/>
      <c r="G175" s="59" t="s">
        <v>225</v>
      </c>
      <c r="J175" s="4">
        <f t="shared" si="1"/>
        <v>0</v>
      </c>
      <c r="K175" s="5">
        <f t="shared" si="2"/>
        <v>0</v>
      </c>
    </row>
    <row r="176" ht="15.0" customHeight="1">
      <c r="C176" s="22" t="str">
        <f t="shared" si="4"/>
        <v>Renzo</v>
      </c>
      <c r="E176" s="21"/>
      <c r="F176" s="26"/>
      <c r="G176" s="26"/>
      <c r="J176" s="4">
        <f t="shared" si="1"/>
        <v>0</v>
      </c>
      <c r="K176" s="5">
        <f t="shared" si="2"/>
        <v>0</v>
      </c>
    </row>
    <row r="177" ht="15.0" customHeight="1">
      <c r="C177" s="22" t="str">
        <f t="shared" si="4"/>
        <v>Mariano</v>
      </c>
      <c r="E177" s="57" t="s">
        <v>89</v>
      </c>
      <c r="F177" s="57" t="s">
        <v>358</v>
      </c>
      <c r="G177" s="58" t="s">
        <v>359</v>
      </c>
      <c r="J177" s="4">
        <f t="shared" si="1"/>
        <v>0</v>
      </c>
      <c r="K177" s="5">
        <f t="shared" si="2"/>
        <v>0</v>
      </c>
    </row>
    <row r="178" ht="15.0" customHeight="1">
      <c r="C178" s="22" t="str">
        <f t="shared" si="4"/>
        <v>Mariano</v>
      </c>
      <c r="E178" s="21"/>
      <c r="F178" s="26"/>
      <c r="G178" s="26"/>
      <c r="J178" s="4">
        <f t="shared" si="1"/>
        <v>0</v>
      </c>
      <c r="K178" s="5">
        <f t="shared" si="2"/>
        <v>0</v>
      </c>
    </row>
    <row r="179" ht="15.0" customHeight="1">
      <c r="C179" s="22" t="str">
        <f t="shared" si="4"/>
        <v>Mariano</v>
      </c>
      <c r="E179" s="21"/>
      <c r="F179" s="26"/>
      <c r="G179" s="59" t="s">
        <v>225</v>
      </c>
      <c r="J179" s="4">
        <f t="shared" si="1"/>
        <v>0</v>
      </c>
      <c r="K179" s="5">
        <f t="shared" si="2"/>
        <v>0</v>
      </c>
    </row>
    <row r="180" ht="15.0" customHeight="1">
      <c r="C180" s="22" t="str">
        <f t="shared" si="4"/>
        <v>Mariano</v>
      </c>
      <c r="E180" s="21"/>
      <c r="F180" s="26"/>
      <c r="G180" s="26"/>
      <c r="J180" s="4">
        <f t="shared" si="1"/>
        <v>0</v>
      </c>
      <c r="K180" s="5">
        <f t="shared" si="2"/>
        <v>0</v>
      </c>
    </row>
    <row r="181" ht="15.0" customHeight="1">
      <c r="C181" s="22" t="str">
        <f t="shared" si="4"/>
        <v>Renzo</v>
      </c>
      <c r="E181" s="57" t="s">
        <v>83</v>
      </c>
      <c r="F181" s="57" t="s">
        <v>360</v>
      </c>
      <c r="G181" s="58" t="s">
        <v>361</v>
      </c>
      <c r="I181" s="65" t="s">
        <v>127</v>
      </c>
      <c r="J181" s="4">
        <f t="shared" si="1"/>
        <v>20</v>
      </c>
      <c r="K181" s="5">
        <f t="shared" si="2"/>
        <v>9</v>
      </c>
    </row>
    <row r="182" ht="15.0" customHeight="1">
      <c r="C182" s="22" t="str">
        <f t="shared" si="4"/>
        <v>Renzo</v>
      </c>
      <c r="E182" s="21"/>
      <c r="F182" s="26"/>
      <c r="G182" s="58" t="s">
        <v>362</v>
      </c>
      <c r="J182" s="4">
        <f t="shared" si="1"/>
        <v>0</v>
      </c>
      <c r="K182" s="5">
        <f t="shared" si="2"/>
        <v>0</v>
      </c>
    </row>
    <row r="183" ht="15.0" customHeight="1">
      <c r="C183" s="22" t="str">
        <f t="shared" si="4"/>
        <v>Renzo</v>
      </c>
      <c r="E183" s="21"/>
      <c r="F183" s="26"/>
      <c r="G183" s="26"/>
      <c r="J183" s="4">
        <f t="shared" si="1"/>
        <v>0</v>
      </c>
      <c r="K183" s="5">
        <f t="shared" si="2"/>
        <v>0</v>
      </c>
    </row>
    <row r="184" ht="15.0" customHeight="1">
      <c r="C184" s="22" t="str">
        <f t="shared" si="4"/>
        <v>Renzo</v>
      </c>
      <c r="E184" s="21"/>
      <c r="F184" s="26"/>
      <c r="G184" s="59" t="s">
        <v>225</v>
      </c>
      <c r="J184" s="4">
        <f t="shared" si="1"/>
        <v>0</v>
      </c>
      <c r="K184" s="5">
        <f t="shared" si="2"/>
        <v>0</v>
      </c>
    </row>
    <row r="185" ht="15.0" customHeight="1">
      <c r="C185" s="22" t="str">
        <f t="shared" si="4"/>
        <v>Renzo</v>
      </c>
      <c r="E185" s="21"/>
      <c r="F185" s="26"/>
      <c r="G185" s="26"/>
      <c r="J185" s="4">
        <f t="shared" si="1"/>
        <v>0</v>
      </c>
      <c r="K185" s="5">
        <f t="shared" si="2"/>
        <v>0</v>
      </c>
    </row>
    <row r="186" ht="15.0" customHeight="1">
      <c r="C186" s="22" t="str">
        <f t="shared" si="4"/>
        <v>Antonella</v>
      </c>
      <c r="E186" s="57" t="s">
        <v>84</v>
      </c>
      <c r="F186" s="57" t="s">
        <v>360</v>
      </c>
      <c r="G186" s="58" t="s">
        <v>363</v>
      </c>
      <c r="J186" s="4">
        <f t="shared" si="1"/>
        <v>0</v>
      </c>
      <c r="K186" s="5">
        <f t="shared" si="2"/>
        <v>0</v>
      </c>
    </row>
    <row r="187" ht="15.0" customHeight="1">
      <c r="C187" s="22" t="str">
        <f t="shared" si="4"/>
        <v>Antonella</v>
      </c>
      <c r="E187" s="21"/>
      <c r="F187" s="26"/>
      <c r="G187" s="58" t="s">
        <v>364</v>
      </c>
      <c r="J187" s="4">
        <f t="shared" si="1"/>
        <v>0</v>
      </c>
      <c r="K187" s="5">
        <f t="shared" si="2"/>
        <v>0</v>
      </c>
    </row>
    <row r="188" ht="15.0" customHeight="1">
      <c r="C188" s="22" t="str">
        <f t="shared" si="4"/>
        <v>Antonella</v>
      </c>
      <c r="E188" s="21"/>
      <c r="F188" s="26"/>
      <c r="G188" s="26"/>
      <c r="J188" s="4">
        <f t="shared" si="1"/>
        <v>0</v>
      </c>
      <c r="K188" s="5">
        <f t="shared" si="2"/>
        <v>0</v>
      </c>
    </row>
    <row r="189" ht="15.0" customHeight="1">
      <c r="C189" s="22" t="str">
        <f t="shared" si="4"/>
        <v>Antonella</v>
      </c>
      <c r="E189" s="21"/>
      <c r="F189" s="26"/>
      <c r="G189" s="59" t="s">
        <v>225</v>
      </c>
      <c r="J189" s="4">
        <f t="shared" si="1"/>
        <v>0</v>
      </c>
      <c r="K189" s="5">
        <f t="shared" si="2"/>
        <v>0</v>
      </c>
    </row>
    <row r="190" ht="15.0" customHeight="1">
      <c r="C190" s="22" t="str">
        <f t="shared" si="4"/>
        <v>Antonella</v>
      </c>
      <c r="E190" s="21"/>
      <c r="F190" s="26"/>
      <c r="G190" s="26"/>
      <c r="J190" s="4">
        <f t="shared" si="1"/>
        <v>0</v>
      </c>
      <c r="K190" s="5">
        <f t="shared" si="2"/>
        <v>0</v>
      </c>
    </row>
    <row r="191" ht="15.0" customHeight="1">
      <c r="C191" s="22" t="str">
        <f t="shared" si="4"/>
        <v>Mariano</v>
      </c>
      <c r="E191" s="57" t="s">
        <v>89</v>
      </c>
      <c r="F191" s="57" t="s">
        <v>360</v>
      </c>
      <c r="G191" s="58" t="s">
        <v>365</v>
      </c>
      <c r="I191" s="65" t="s">
        <v>175</v>
      </c>
      <c r="J191" s="4">
        <f t="shared" si="1"/>
        <v>35</v>
      </c>
      <c r="K191" s="5">
        <f t="shared" si="2"/>
        <v>6</v>
      </c>
    </row>
    <row r="192" ht="15.0" customHeight="1">
      <c r="C192" s="22" t="str">
        <f t="shared" si="4"/>
        <v>Mariano</v>
      </c>
      <c r="E192" s="21"/>
      <c r="F192" s="26"/>
      <c r="G192" s="26"/>
      <c r="J192" s="4">
        <f t="shared" si="1"/>
        <v>0</v>
      </c>
      <c r="K192" s="5">
        <f t="shared" si="2"/>
        <v>0</v>
      </c>
    </row>
    <row r="193" ht="15.0" customHeight="1">
      <c r="C193" s="22" t="str">
        <f t="shared" si="4"/>
        <v>Mariano</v>
      </c>
      <c r="E193" s="21"/>
      <c r="F193" s="26"/>
      <c r="G193" s="59" t="s">
        <v>225</v>
      </c>
      <c r="J193" s="4">
        <f t="shared" si="1"/>
        <v>0</v>
      </c>
      <c r="K193" s="5">
        <f t="shared" si="2"/>
        <v>0</v>
      </c>
    </row>
    <row r="194" ht="15.0" customHeight="1">
      <c r="C194" s="22" t="str">
        <f t="shared" si="4"/>
        <v>Mariano</v>
      </c>
      <c r="E194" s="21"/>
      <c r="F194" s="26"/>
      <c r="G194" s="26"/>
      <c r="J194" s="4">
        <f t="shared" si="1"/>
        <v>0</v>
      </c>
      <c r="K194" s="5">
        <f t="shared" si="2"/>
        <v>0</v>
      </c>
    </row>
    <row r="195" ht="15.0" customHeight="1">
      <c r="C195" s="22" t="str">
        <f t="shared" si="4"/>
        <v>Antonella</v>
      </c>
      <c r="E195" s="57" t="s">
        <v>84</v>
      </c>
      <c r="F195" s="57" t="s">
        <v>360</v>
      </c>
      <c r="G195" s="58" t="s">
        <v>366</v>
      </c>
      <c r="J195" s="4">
        <f t="shared" si="1"/>
        <v>0</v>
      </c>
      <c r="K195" s="5">
        <f t="shared" si="2"/>
        <v>0</v>
      </c>
    </row>
    <row r="196" ht="15.0" customHeight="1">
      <c r="C196" s="22" t="str">
        <f t="shared" si="4"/>
        <v>Antonella</v>
      </c>
      <c r="E196" s="21"/>
      <c r="F196" s="26"/>
      <c r="G196" s="26"/>
      <c r="J196" s="4">
        <f t="shared" si="1"/>
        <v>0</v>
      </c>
      <c r="K196" s="5">
        <f t="shared" si="2"/>
        <v>0</v>
      </c>
    </row>
    <row r="197" ht="15.0" customHeight="1">
      <c r="C197" s="22" t="str">
        <f t="shared" si="4"/>
        <v>Antonella</v>
      </c>
      <c r="E197" s="21"/>
      <c r="F197" s="26"/>
      <c r="G197" s="59" t="s">
        <v>225</v>
      </c>
      <c r="J197" s="4">
        <f t="shared" si="1"/>
        <v>0</v>
      </c>
      <c r="K197" s="5">
        <f t="shared" si="2"/>
        <v>0</v>
      </c>
    </row>
    <row r="198" ht="15.0" customHeight="1">
      <c r="C198" s="22" t="str">
        <f t="shared" si="4"/>
        <v>Antonella</v>
      </c>
      <c r="E198" s="21"/>
      <c r="F198" s="26"/>
      <c r="G198" s="26"/>
      <c r="J198" s="4">
        <f t="shared" si="1"/>
        <v>0</v>
      </c>
      <c r="K198" s="5">
        <f t="shared" si="2"/>
        <v>0</v>
      </c>
    </row>
    <row r="199" ht="15.0" customHeight="1">
      <c r="C199" s="22" t="str">
        <f t="shared" si="4"/>
        <v>Mariano</v>
      </c>
      <c r="E199" s="57" t="s">
        <v>89</v>
      </c>
      <c r="F199" s="57" t="s">
        <v>367</v>
      </c>
      <c r="G199" s="58" t="s">
        <v>368</v>
      </c>
      <c r="I199" s="65" t="s">
        <v>196</v>
      </c>
      <c r="J199" s="4">
        <f t="shared" si="1"/>
        <v>18</v>
      </c>
      <c r="K199" s="5">
        <f t="shared" si="2"/>
        <v>5</v>
      </c>
    </row>
    <row r="200" ht="15.0" customHeight="1">
      <c r="C200" s="22" t="str">
        <f t="shared" si="4"/>
        <v>Mariano</v>
      </c>
      <c r="E200" s="21"/>
      <c r="F200" s="26"/>
      <c r="G200" s="26"/>
      <c r="J200" s="4">
        <f t="shared" si="1"/>
        <v>0</v>
      </c>
      <c r="K200" s="5">
        <f t="shared" si="2"/>
        <v>0</v>
      </c>
    </row>
    <row r="201" ht="15.0" customHeight="1">
      <c r="C201" s="22" t="str">
        <f t="shared" si="4"/>
        <v>Mariano</v>
      </c>
      <c r="E201" s="21"/>
      <c r="F201" s="26"/>
      <c r="G201" s="59" t="s">
        <v>225</v>
      </c>
      <c r="J201" s="4">
        <f t="shared" si="1"/>
        <v>0</v>
      </c>
      <c r="K201" s="5">
        <f t="shared" si="2"/>
        <v>0</v>
      </c>
    </row>
    <row r="202" ht="15.0" customHeight="1">
      <c r="C202" s="22" t="str">
        <f t="shared" si="4"/>
        <v>Mariano</v>
      </c>
      <c r="E202" s="21"/>
      <c r="F202" s="26"/>
      <c r="G202" s="26"/>
      <c r="J202" s="4">
        <f t="shared" si="1"/>
        <v>0</v>
      </c>
      <c r="K202" s="5">
        <f t="shared" si="2"/>
        <v>0</v>
      </c>
    </row>
    <row r="203" ht="15.0" customHeight="1">
      <c r="C203" s="22" t="str">
        <f t="shared" si="4"/>
        <v>Renzo</v>
      </c>
      <c r="E203" s="57" t="s">
        <v>83</v>
      </c>
      <c r="F203" s="57" t="s">
        <v>369</v>
      </c>
      <c r="G203" s="58" t="s">
        <v>370</v>
      </c>
      <c r="I203" s="65" t="s">
        <v>166</v>
      </c>
      <c r="J203" s="4">
        <f t="shared" si="1"/>
        <v>10</v>
      </c>
      <c r="K203" s="5">
        <f t="shared" si="2"/>
        <v>1</v>
      </c>
    </row>
    <row r="204" ht="15.0" customHeight="1">
      <c r="C204" s="22" t="str">
        <f t="shared" si="4"/>
        <v>Renzo</v>
      </c>
      <c r="E204" s="21"/>
      <c r="F204" s="26"/>
      <c r="G204" s="58" t="s">
        <v>371</v>
      </c>
      <c r="J204" s="4">
        <f t="shared" si="1"/>
        <v>0</v>
      </c>
      <c r="K204" s="5">
        <f t="shared" si="2"/>
        <v>0</v>
      </c>
    </row>
    <row r="205" ht="15.0" customHeight="1">
      <c r="C205" s="22" t="str">
        <f t="shared" si="4"/>
        <v>Renzo</v>
      </c>
      <c r="E205" s="21"/>
      <c r="F205" s="26"/>
      <c r="G205" s="26"/>
      <c r="J205" s="4">
        <f t="shared" si="1"/>
        <v>0</v>
      </c>
      <c r="K205" s="5">
        <f t="shared" si="2"/>
        <v>0</v>
      </c>
    </row>
    <row r="206" ht="15.0" customHeight="1">
      <c r="C206" s="22" t="str">
        <f t="shared" si="4"/>
        <v>Renzo</v>
      </c>
      <c r="E206" s="21"/>
      <c r="F206" s="26"/>
      <c r="G206" s="59" t="s">
        <v>225</v>
      </c>
      <c r="J206" s="4">
        <f t="shared" si="1"/>
        <v>0</v>
      </c>
      <c r="K206" s="5">
        <f t="shared" si="2"/>
        <v>0</v>
      </c>
    </row>
    <row r="207" ht="15.0" customHeight="1">
      <c r="C207" s="22" t="str">
        <f t="shared" si="4"/>
        <v>Renzo</v>
      </c>
      <c r="E207" s="21"/>
      <c r="F207" s="26"/>
      <c r="G207" s="26"/>
      <c r="J207" s="4">
        <f t="shared" si="1"/>
        <v>0</v>
      </c>
      <c r="K207" s="5">
        <f t="shared" si="2"/>
        <v>0</v>
      </c>
    </row>
    <row r="208" ht="15.0" customHeight="1">
      <c r="C208" s="22" t="str">
        <f t="shared" si="4"/>
        <v>Mariano</v>
      </c>
      <c r="E208" s="57" t="s">
        <v>89</v>
      </c>
      <c r="F208" s="57" t="s">
        <v>369</v>
      </c>
      <c r="G208" s="58" t="s">
        <v>372</v>
      </c>
      <c r="I208" s="65" t="s">
        <v>188</v>
      </c>
      <c r="J208" s="4">
        <f t="shared" si="1"/>
        <v>16</v>
      </c>
      <c r="K208" s="5">
        <f t="shared" si="2"/>
        <v>6</v>
      </c>
    </row>
    <row r="209" ht="15.0" customHeight="1">
      <c r="C209" s="22" t="str">
        <f t="shared" si="4"/>
        <v>Mariano</v>
      </c>
      <c r="E209" s="21"/>
      <c r="F209" s="26"/>
      <c r="G209" s="26"/>
      <c r="J209" s="4">
        <f t="shared" si="1"/>
        <v>0</v>
      </c>
      <c r="K209" s="5">
        <f t="shared" si="2"/>
        <v>0</v>
      </c>
    </row>
    <row r="210" ht="15.0" customHeight="1">
      <c r="C210" s="22" t="str">
        <f t="shared" si="4"/>
        <v>Mariano</v>
      </c>
      <c r="E210" s="21"/>
      <c r="F210" s="26"/>
      <c r="G210" s="59" t="s">
        <v>225</v>
      </c>
      <c r="J210" s="4">
        <f t="shared" si="1"/>
        <v>0</v>
      </c>
      <c r="K210" s="5">
        <f t="shared" si="2"/>
        <v>0</v>
      </c>
    </row>
    <row r="211" ht="15.0" customHeight="1">
      <c r="C211" s="22" t="str">
        <f t="shared" si="4"/>
        <v>Mariano</v>
      </c>
      <c r="E211" s="21"/>
      <c r="F211" s="26"/>
      <c r="G211" s="26"/>
      <c r="J211" s="4">
        <f t="shared" si="1"/>
        <v>0</v>
      </c>
      <c r="K211" s="5">
        <f t="shared" si="2"/>
        <v>0</v>
      </c>
    </row>
    <row r="212" ht="15.0" customHeight="1">
      <c r="C212" s="22" t="str">
        <f t="shared" si="4"/>
        <v>Renzo</v>
      </c>
      <c r="E212" s="57" t="s">
        <v>83</v>
      </c>
      <c r="F212" s="57" t="s">
        <v>373</v>
      </c>
      <c r="G212" s="58" t="s">
        <v>374</v>
      </c>
      <c r="I212" s="65" t="s">
        <v>176</v>
      </c>
      <c r="J212" s="4">
        <f t="shared" si="1"/>
        <v>12</v>
      </c>
      <c r="K212" s="5">
        <f t="shared" si="2"/>
        <v>6</v>
      </c>
    </row>
    <row r="213" ht="15.0" customHeight="1">
      <c r="C213" s="22" t="str">
        <f t="shared" si="4"/>
        <v>Renzo</v>
      </c>
      <c r="E213" s="21"/>
      <c r="F213" s="26"/>
      <c r="G213" s="26"/>
      <c r="J213" s="4">
        <f t="shared" si="1"/>
        <v>0</v>
      </c>
      <c r="K213" s="5">
        <f t="shared" si="2"/>
        <v>0</v>
      </c>
    </row>
    <row r="214" ht="15.0" customHeight="1">
      <c r="C214" s="22" t="str">
        <f t="shared" si="4"/>
        <v>Renzo</v>
      </c>
      <c r="E214" s="21"/>
      <c r="F214" s="26"/>
      <c r="G214" s="59" t="s">
        <v>225</v>
      </c>
      <c r="J214" s="4">
        <f t="shared" si="1"/>
        <v>0</v>
      </c>
      <c r="K214" s="5">
        <f t="shared" si="2"/>
        <v>0</v>
      </c>
    </row>
    <row r="215" ht="15.0" customHeight="1">
      <c r="C215" s="22" t="str">
        <f t="shared" si="4"/>
        <v>Renzo</v>
      </c>
      <c r="E215" s="21"/>
      <c r="F215" s="26"/>
      <c r="G215" s="26"/>
      <c r="J215" s="4">
        <f t="shared" si="1"/>
        <v>0</v>
      </c>
      <c r="K215" s="5">
        <f t="shared" si="2"/>
        <v>0</v>
      </c>
    </row>
    <row r="216" ht="15.0" customHeight="1">
      <c r="C216" s="22" t="str">
        <f t="shared" si="4"/>
        <v>Mariano</v>
      </c>
      <c r="E216" s="57" t="s">
        <v>89</v>
      </c>
      <c r="F216" s="57" t="s">
        <v>375</v>
      </c>
      <c r="G216" s="58" t="s">
        <v>376</v>
      </c>
      <c r="I216" s="65" t="s">
        <v>175</v>
      </c>
      <c r="J216" s="4">
        <f t="shared" si="1"/>
        <v>35</v>
      </c>
      <c r="K216" s="5">
        <f t="shared" si="2"/>
        <v>6</v>
      </c>
    </row>
    <row r="217" ht="15.0" customHeight="1">
      <c r="C217" s="22" t="str">
        <f t="shared" si="4"/>
        <v>Mariano</v>
      </c>
      <c r="E217" s="21"/>
      <c r="F217" s="26"/>
      <c r="G217" s="26"/>
      <c r="J217" s="4">
        <f t="shared" si="1"/>
        <v>0</v>
      </c>
      <c r="K217" s="5">
        <f t="shared" si="2"/>
        <v>0</v>
      </c>
    </row>
    <row r="218" ht="15.0" customHeight="1">
      <c r="C218" s="22" t="str">
        <f t="shared" si="4"/>
        <v>Mariano</v>
      </c>
      <c r="E218" s="21"/>
      <c r="F218" s="26"/>
      <c r="G218" s="59" t="s">
        <v>225</v>
      </c>
      <c r="J218" s="4">
        <f t="shared" si="1"/>
        <v>0</v>
      </c>
      <c r="K218" s="5">
        <f t="shared" si="2"/>
        <v>0</v>
      </c>
    </row>
    <row r="219" ht="15.0" customHeight="1">
      <c r="C219" s="22" t="str">
        <f t="shared" si="4"/>
        <v>Mariano</v>
      </c>
      <c r="E219" s="21"/>
      <c r="F219" s="26"/>
      <c r="G219" s="26"/>
      <c r="J219" s="4">
        <f t="shared" si="1"/>
        <v>0</v>
      </c>
      <c r="K219" s="5">
        <f t="shared" si="2"/>
        <v>0</v>
      </c>
    </row>
    <row r="220" ht="15.0" customHeight="1">
      <c r="C220" s="22" t="str">
        <f t="shared" si="4"/>
        <v>Antonella</v>
      </c>
      <c r="E220" s="57" t="s">
        <v>84</v>
      </c>
      <c r="F220" s="57" t="s">
        <v>377</v>
      </c>
      <c r="G220" s="58" t="s">
        <v>378</v>
      </c>
      <c r="I220" s="65" t="s">
        <v>226</v>
      </c>
      <c r="J220" s="4">
        <f t="shared" si="1"/>
        <v>26</v>
      </c>
      <c r="K220" s="5">
        <f t="shared" si="2"/>
        <v>3</v>
      </c>
    </row>
    <row r="221" ht="15.0" customHeight="1">
      <c r="C221" s="22" t="str">
        <f t="shared" si="4"/>
        <v>Antonella</v>
      </c>
      <c r="E221" s="21"/>
      <c r="F221" s="26"/>
      <c r="G221" s="26"/>
      <c r="J221" s="4">
        <f t="shared" si="1"/>
        <v>0</v>
      </c>
      <c r="K221" s="5">
        <f t="shared" si="2"/>
        <v>0</v>
      </c>
    </row>
    <row r="222" ht="15.0" customHeight="1">
      <c r="C222" s="22" t="str">
        <f t="shared" si="4"/>
        <v>Antonella</v>
      </c>
      <c r="E222" s="21"/>
      <c r="F222" s="26"/>
      <c r="G222" s="59" t="s">
        <v>225</v>
      </c>
      <c r="J222" s="4">
        <f t="shared" si="1"/>
        <v>0</v>
      </c>
      <c r="K222" s="5">
        <f t="shared" si="2"/>
        <v>0</v>
      </c>
    </row>
    <row r="223" ht="15.0" customHeight="1">
      <c r="C223" s="22" t="str">
        <f t="shared" si="4"/>
        <v>Antonella</v>
      </c>
      <c r="E223" s="21"/>
      <c r="F223" s="26"/>
      <c r="G223" s="26"/>
      <c r="J223" s="4">
        <f t="shared" si="1"/>
        <v>0</v>
      </c>
      <c r="K223" s="5">
        <f t="shared" si="2"/>
        <v>0</v>
      </c>
    </row>
    <row r="224" ht="15.0" customHeight="1">
      <c r="C224" s="22" t="str">
        <f t="shared" si="4"/>
        <v>Mariano</v>
      </c>
      <c r="E224" s="57" t="s">
        <v>89</v>
      </c>
      <c r="F224" s="57" t="s">
        <v>377</v>
      </c>
      <c r="G224" s="58" t="s">
        <v>379</v>
      </c>
      <c r="I224" s="65" t="s">
        <v>171</v>
      </c>
      <c r="J224" s="4">
        <f t="shared" si="1"/>
        <v>11</v>
      </c>
      <c r="K224" s="5">
        <f t="shared" si="2"/>
        <v>5</v>
      </c>
    </row>
    <row r="225" ht="15.0" customHeight="1">
      <c r="C225" s="22" t="str">
        <f t="shared" si="4"/>
        <v>Mariano</v>
      </c>
      <c r="E225" s="21"/>
      <c r="F225" s="26"/>
      <c r="G225" s="26"/>
      <c r="J225" s="4">
        <f t="shared" si="1"/>
        <v>0</v>
      </c>
      <c r="K225" s="5">
        <f t="shared" si="2"/>
        <v>0</v>
      </c>
    </row>
    <row r="226" ht="15.0" customHeight="1">
      <c r="C226" s="22" t="str">
        <f t="shared" si="4"/>
        <v>Mariano</v>
      </c>
      <c r="E226" s="21"/>
      <c r="F226" s="26"/>
      <c r="G226" s="59" t="s">
        <v>225</v>
      </c>
      <c r="J226" s="4">
        <f t="shared" si="1"/>
        <v>0</v>
      </c>
      <c r="K226" s="5">
        <f t="shared" si="2"/>
        <v>0</v>
      </c>
    </row>
    <row r="227" ht="15.0" customHeight="1">
      <c r="C227" s="22" t="str">
        <f t="shared" si="4"/>
        <v>Mariano</v>
      </c>
      <c r="E227" s="21"/>
      <c r="F227" s="26"/>
      <c r="G227" s="26"/>
      <c r="J227" s="4">
        <f t="shared" si="1"/>
        <v>0</v>
      </c>
      <c r="K227" s="5">
        <f t="shared" si="2"/>
        <v>0</v>
      </c>
    </row>
    <row r="228" ht="15.0" customHeight="1">
      <c r="C228" s="22" t="str">
        <f t="shared" si="4"/>
        <v>Renzo</v>
      </c>
      <c r="E228" s="57" t="s">
        <v>83</v>
      </c>
      <c r="F228" s="57" t="s">
        <v>380</v>
      </c>
      <c r="G228" s="58" t="s">
        <v>381</v>
      </c>
      <c r="I228" s="65"/>
      <c r="J228" s="4">
        <f t="shared" si="1"/>
        <v>0</v>
      </c>
      <c r="K228" s="5">
        <f t="shared" si="2"/>
        <v>0</v>
      </c>
    </row>
    <row r="229" ht="15.0" customHeight="1">
      <c r="C229" s="22" t="str">
        <f t="shared" si="4"/>
        <v>Renzo</v>
      </c>
      <c r="E229" s="21"/>
      <c r="F229" s="26"/>
      <c r="G229" s="58" t="s">
        <v>382</v>
      </c>
      <c r="I229" s="65" t="s">
        <v>201</v>
      </c>
      <c r="J229" s="4">
        <f t="shared" si="1"/>
        <v>19</v>
      </c>
      <c r="K229" s="5">
        <f t="shared" si="2"/>
        <v>7</v>
      </c>
    </row>
    <row r="230" ht="15.0" customHeight="1">
      <c r="C230" s="22" t="str">
        <f t="shared" si="4"/>
        <v>Renzo</v>
      </c>
      <c r="E230" s="21"/>
      <c r="F230" s="26"/>
      <c r="G230" s="58" t="s">
        <v>383</v>
      </c>
      <c r="J230" s="4">
        <f t="shared" si="1"/>
        <v>0</v>
      </c>
      <c r="K230" s="5">
        <f t="shared" si="2"/>
        <v>0</v>
      </c>
    </row>
    <row r="231" ht="15.0" customHeight="1">
      <c r="C231" s="22" t="str">
        <f t="shared" si="4"/>
        <v>Renzo</v>
      </c>
      <c r="E231" s="21"/>
      <c r="F231" s="26"/>
      <c r="G231" s="26"/>
      <c r="J231" s="4">
        <f t="shared" si="1"/>
        <v>0</v>
      </c>
      <c r="K231" s="5">
        <f t="shared" si="2"/>
        <v>0</v>
      </c>
    </row>
    <row r="232" ht="15.0" customHeight="1">
      <c r="C232" s="22" t="str">
        <f t="shared" si="4"/>
        <v>Renzo</v>
      </c>
      <c r="E232" s="21"/>
      <c r="F232" s="26"/>
      <c r="G232" s="59" t="s">
        <v>225</v>
      </c>
      <c r="J232" s="4">
        <f t="shared" si="1"/>
        <v>0</v>
      </c>
      <c r="K232" s="5">
        <f t="shared" si="2"/>
        <v>0</v>
      </c>
    </row>
    <row r="233" ht="15.0" customHeight="1">
      <c r="C233" s="22" t="str">
        <f t="shared" si="4"/>
        <v>Renzo</v>
      </c>
      <c r="E233" s="21"/>
      <c r="F233" s="26"/>
      <c r="G233" s="26"/>
      <c r="J233" s="4">
        <f t="shared" si="1"/>
        <v>0</v>
      </c>
      <c r="K233" s="5">
        <f t="shared" si="2"/>
        <v>0</v>
      </c>
    </row>
    <row r="234" ht="15.0" customHeight="1">
      <c r="C234" s="22" t="str">
        <f t="shared" si="4"/>
        <v>Antonella</v>
      </c>
      <c r="E234" s="57" t="s">
        <v>84</v>
      </c>
      <c r="F234" s="57" t="s">
        <v>384</v>
      </c>
      <c r="G234" s="58" t="s">
        <v>385</v>
      </c>
      <c r="J234" s="4">
        <f t="shared" si="1"/>
        <v>0</v>
      </c>
      <c r="K234" s="5">
        <f t="shared" si="2"/>
        <v>0</v>
      </c>
    </row>
    <row r="235" ht="15.0" customHeight="1">
      <c r="C235" s="22" t="str">
        <f t="shared" si="4"/>
        <v>Antonella</v>
      </c>
      <c r="E235" s="21"/>
      <c r="F235" s="26"/>
      <c r="G235" s="26" t="s">
        <v>386</v>
      </c>
      <c r="J235" s="4">
        <f t="shared" si="1"/>
        <v>0</v>
      </c>
      <c r="K235" s="5">
        <f t="shared" si="2"/>
        <v>0</v>
      </c>
    </row>
    <row r="236" ht="15.0" customHeight="1">
      <c r="C236" s="22" t="str">
        <f t="shared" si="4"/>
        <v>Antonella</v>
      </c>
      <c r="E236" s="21"/>
      <c r="F236" s="26"/>
      <c r="G236" s="58" t="s">
        <v>387</v>
      </c>
      <c r="J236" s="4">
        <f t="shared" si="1"/>
        <v>0</v>
      </c>
      <c r="K236" s="5">
        <f t="shared" si="2"/>
        <v>0</v>
      </c>
    </row>
    <row r="237" ht="15.0" customHeight="1">
      <c r="C237" s="22" t="str">
        <f t="shared" si="4"/>
        <v>Antonella</v>
      </c>
      <c r="E237" s="21"/>
      <c r="F237" s="26"/>
      <c r="G237" s="26"/>
      <c r="J237" s="4">
        <f t="shared" si="1"/>
        <v>0</v>
      </c>
      <c r="K237" s="5">
        <f t="shared" si="2"/>
        <v>0</v>
      </c>
    </row>
    <row r="238" ht="15.0" customHeight="1">
      <c r="C238" s="22" t="str">
        <f t="shared" si="4"/>
        <v>Antonella</v>
      </c>
      <c r="E238" s="21"/>
      <c r="F238" s="26"/>
      <c r="G238" s="59" t="s">
        <v>225</v>
      </c>
      <c r="J238" s="4">
        <f t="shared" si="1"/>
        <v>0</v>
      </c>
      <c r="K238" s="5">
        <f t="shared" si="2"/>
        <v>0</v>
      </c>
    </row>
    <row r="239" ht="15.0" customHeight="1">
      <c r="C239" s="22" t="str">
        <f t="shared" si="4"/>
        <v>Antonella</v>
      </c>
      <c r="E239" s="21"/>
      <c r="F239" s="26"/>
      <c r="G239" s="26"/>
      <c r="J239" s="4">
        <f t="shared" si="1"/>
        <v>0</v>
      </c>
      <c r="K239" s="5">
        <f t="shared" si="2"/>
        <v>0</v>
      </c>
    </row>
    <row r="240" ht="15.0" customHeight="1">
      <c r="C240" s="22" t="str">
        <f t="shared" si="4"/>
        <v>Mariano</v>
      </c>
      <c r="E240" s="57" t="s">
        <v>89</v>
      </c>
      <c r="F240" s="57" t="s">
        <v>388</v>
      </c>
      <c r="G240" s="58" t="s">
        <v>389</v>
      </c>
      <c r="I240" s="65" t="s">
        <v>127</v>
      </c>
      <c r="J240" s="4">
        <f t="shared" si="1"/>
        <v>20</v>
      </c>
      <c r="K240" s="5">
        <f t="shared" si="2"/>
        <v>9</v>
      </c>
    </row>
    <row r="241" ht="15.0" customHeight="1">
      <c r="C241" s="22" t="str">
        <f t="shared" si="4"/>
        <v>Mariano</v>
      </c>
      <c r="E241" s="21"/>
      <c r="F241" s="26"/>
      <c r="G241" s="58" t="s">
        <v>390</v>
      </c>
      <c r="J241" s="4">
        <f t="shared" si="1"/>
        <v>0</v>
      </c>
      <c r="K241" s="5">
        <f t="shared" si="2"/>
        <v>0</v>
      </c>
    </row>
    <row r="242" ht="15.0" customHeight="1">
      <c r="C242" s="22" t="str">
        <f t="shared" si="4"/>
        <v>Mariano</v>
      </c>
      <c r="E242" s="21"/>
      <c r="F242" s="26"/>
      <c r="G242" s="26"/>
      <c r="J242" s="4">
        <f t="shared" si="1"/>
        <v>0</v>
      </c>
      <c r="K242" s="5">
        <f t="shared" si="2"/>
        <v>0</v>
      </c>
    </row>
    <row r="243" ht="15.0" customHeight="1">
      <c r="C243" s="22" t="str">
        <f t="shared" si="4"/>
        <v>Mariano</v>
      </c>
      <c r="E243" s="21"/>
      <c r="F243" s="26"/>
      <c r="G243" s="59" t="s">
        <v>225</v>
      </c>
      <c r="J243" s="4">
        <f t="shared" si="1"/>
        <v>0</v>
      </c>
      <c r="K243" s="5">
        <f t="shared" si="2"/>
        <v>0</v>
      </c>
    </row>
    <row r="244" ht="15.0" customHeight="1">
      <c r="C244" s="22" t="str">
        <f t="shared" si="4"/>
        <v>Mariano</v>
      </c>
      <c r="E244" s="21"/>
      <c r="F244" s="26"/>
      <c r="G244" s="26"/>
      <c r="J244" s="4">
        <f t="shared" si="1"/>
        <v>0</v>
      </c>
      <c r="K244" s="5">
        <f t="shared" si="2"/>
        <v>0</v>
      </c>
    </row>
    <row r="245" ht="15.0" customHeight="1">
      <c r="C245" s="22" t="str">
        <f t="shared" si="4"/>
        <v>Antonella</v>
      </c>
      <c r="E245" s="57" t="s">
        <v>84</v>
      </c>
      <c r="F245" s="57" t="s">
        <v>388</v>
      </c>
      <c r="G245" s="58" t="s">
        <v>391</v>
      </c>
      <c r="I245" s="65" t="s">
        <v>226</v>
      </c>
      <c r="J245" s="4">
        <f t="shared" si="1"/>
        <v>26</v>
      </c>
      <c r="K245" s="5">
        <f t="shared" si="2"/>
        <v>3</v>
      </c>
    </row>
    <row r="246" ht="15.0" customHeight="1">
      <c r="C246" s="22" t="str">
        <f t="shared" si="4"/>
        <v>Antonella</v>
      </c>
      <c r="E246" s="21"/>
      <c r="F246" s="26"/>
      <c r="G246" s="58" t="s">
        <v>392</v>
      </c>
      <c r="J246" s="4">
        <f t="shared" si="1"/>
        <v>0</v>
      </c>
      <c r="K246" s="5">
        <f t="shared" si="2"/>
        <v>0</v>
      </c>
    </row>
    <row r="247" ht="15.0" customHeight="1">
      <c r="C247" s="22" t="str">
        <f t="shared" si="4"/>
        <v>Antonella</v>
      </c>
      <c r="E247" s="21"/>
      <c r="F247" s="26"/>
      <c r="G247" s="58" t="s">
        <v>393</v>
      </c>
      <c r="J247" s="4">
        <f t="shared" si="1"/>
        <v>0</v>
      </c>
      <c r="K247" s="5">
        <f t="shared" si="2"/>
        <v>0</v>
      </c>
    </row>
    <row r="248" ht="15.0" customHeight="1">
      <c r="C248" s="22" t="str">
        <f t="shared" si="4"/>
        <v>Antonella</v>
      </c>
      <c r="E248" s="21"/>
      <c r="F248" s="26"/>
      <c r="G248" s="26"/>
      <c r="J248" s="4">
        <f t="shared" si="1"/>
        <v>0</v>
      </c>
      <c r="K248" s="5">
        <f t="shared" si="2"/>
        <v>0</v>
      </c>
    </row>
    <row r="249" ht="15.0" customHeight="1">
      <c r="C249" s="22" t="str">
        <f t="shared" si="4"/>
        <v>Antonella</v>
      </c>
      <c r="E249" s="21"/>
      <c r="F249" s="26"/>
      <c r="G249" s="59" t="s">
        <v>225</v>
      </c>
      <c r="J249" s="4">
        <f t="shared" si="1"/>
        <v>0</v>
      </c>
      <c r="K249" s="5">
        <f t="shared" si="2"/>
        <v>0</v>
      </c>
    </row>
    <row r="250" ht="15.0" customHeight="1">
      <c r="C250" s="22" t="str">
        <f t="shared" si="4"/>
        <v>Antonella</v>
      </c>
      <c r="E250" s="21"/>
      <c r="F250" s="26"/>
      <c r="G250" s="26"/>
      <c r="J250" s="4">
        <f t="shared" si="1"/>
        <v>0</v>
      </c>
      <c r="K250" s="5">
        <f t="shared" si="2"/>
        <v>0</v>
      </c>
    </row>
    <row r="251" ht="15.0" customHeight="1">
      <c r="C251" s="22" t="str">
        <f t="shared" si="4"/>
        <v>Renzo</v>
      </c>
      <c r="E251" s="57" t="s">
        <v>83</v>
      </c>
      <c r="F251" s="57" t="s">
        <v>394</v>
      </c>
      <c r="G251" s="58" t="s">
        <v>395</v>
      </c>
      <c r="I251" s="65" t="s">
        <v>22</v>
      </c>
      <c r="J251" s="4">
        <f t="shared" si="1"/>
        <v>15</v>
      </c>
      <c r="K251" s="5">
        <f t="shared" si="2"/>
        <v>4</v>
      </c>
    </row>
    <row r="252" ht="15.0" customHeight="1">
      <c r="C252" s="22" t="str">
        <f t="shared" si="4"/>
        <v>Renzo</v>
      </c>
      <c r="E252" s="21"/>
      <c r="F252" s="26"/>
      <c r="G252" s="26"/>
      <c r="J252" s="4">
        <f t="shared" si="1"/>
        <v>0</v>
      </c>
      <c r="K252" s="5">
        <f t="shared" si="2"/>
        <v>0</v>
      </c>
    </row>
    <row r="253" ht="15.0" customHeight="1">
      <c r="C253" s="22" t="str">
        <f t="shared" si="4"/>
        <v>Renzo</v>
      </c>
      <c r="E253" s="21"/>
      <c r="F253" s="26"/>
      <c r="G253" s="59" t="s">
        <v>225</v>
      </c>
      <c r="J253" s="4">
        <f t="shared" si="1"/>
        <v>0</v>
      </c>
      <c r="K253" s="5">
        <f t="shared" si="2"/>
        <v>0</v>
      </c>
    </row>
    <row r="254" ht="15.0" customHeight="1">
      <c r="C254" s="22" t="str">
        <f t="shared" si="4"/>
        <v>Renzo</v>
      </c>
      <c r="E254" s="21"/>
      <c r="F254" s="26"/>
      <c r="G254" s="26"/>
      <c r="J254" s="4">
        <f t="shared" si="1"/>
        <v>0</v>
      </c>
      <c r="K254" s="5">
        <f t="shared" si="2"/>
        <v>0</v>
      </c>
    </row>
    <row r="255" ht="15.0" customHeight="1">
      <c r="C255" s="22" t="str">
        <f t="shared" si="4"/>
        <v>Antonella</v>
      </c>
      <c r="E255" s="57" t="s">
        <v>84</v>
      </c>
      <c r="F255" s="57" t="s">
        <v>396</v>
      </c>
      <c r="G255" s="58" t="s">
        <v>397</v>
      </c>
      <c r="J255" s="4">
        <f t="shared" si="1"/>
        <v>0</v>
      </c>
      <c r="K255" s="5">
        <f t="shared" si="2"/>
        <v>0</v>
      </c>
    </row>
    <row r="256" ht="15.0" customHeight="1">
      <c r="C256" s="22" t="str">
        <f t="shared" si="4"/>
        <v>Antonella</v>
      </c>
      <c r="E256" s="21"/>
      <c r="F256" s="26"/>
      <c r="G256" s="58" t="s">
        <v>398</v>
      </c>
      <c r="I256" s="65" t="s">
        <v>87</v>
      </c>
      <c r="J256" s="4">
        <f t="shared" si="1"/>
        <v>30</v>
      </c>
      <c r="K256" s="5">
        <f t="shared" si="2"/>
        <v>8</v>
      </c>
    </row>
    <row r="257" ht="15.0" customHeight="1">
      <c r="C257" s="22" t="str">
        <f t="shared" si="4"/>
        <v>Antonella</v>
      </c>
      <c r="E257" s="21"/>
      <c r="F257" s="26"/>
      <c r="G257" s="26"/>
      <c r="J257" s="4">
        <f t="shared" si="1"/>
        <v>0</v>
      </c>
      <c r="K257" s="5">
        <f t="shared" si="2"/>
        <v>0</v>
      </c>
    </row>
    <row r="258" ht="15.0" customHeight="1">
      <c r="C258" s="22" t="str">
        <f t="shared" si="4"/>
        <v>Antonella</v>
      </c>
      <c r="E258" s="21"/>
      <c r="F258" s="26"/>
      <c r="G258" s="59" t="s">
        <v>225</v>
      </c>
      <c r="J258" s="4">
        <f t="shared" si="1"/>
        <v>0</v>
      </c>
      <c r="K258" s="5">
        <f t="shared" si="2"/>
        <v>0</v>
      </c>
    </row>
    <row r="259" ht="15.0" customHeight="1">
      <c r="C259" s="22" t="str">
        <f t="shared" si="4"/>
        <v>Antonella</v>
      </c>
      <c r="E259" s="21"/>
      <c r="F259" s="26"/>
      <c r="G259" s="26"/>
      <c r="J259" s="4">
        <f t="shared" si="1"/>
        <v>0</v>
      </c>
      <c r="K259" s="5">
        <f t="shared" si="2"/>
        <v>0</v>
      </c>
    </row>
    <row r="260" ht="15.0" customHeight="1">
      <c r="C260" s="22" t="str">
        <f t="shared" si="4"/>
        <v>Mariano</v>
      </c>
      <c r="E260" s="57" t="s">
        <v>89</v>
      </c>
      <c r="F260" s="57" t="s">
        <v>396</v>
      </c>
      <c r="G260" s="58" t="s">
        <v>399</v>
      </c>
      <c r="I260" s="65" t="s">
        <v>226</v>
      </c>
      <c r="J260" s="4">
        <f t="shared" si="1"/>
        <v>26</v>
      </c>
      <c r="K260" s="5">
        <f t="shared" si="2"/>
        <v>3</v>
      </c>
    </row>
    <row r="261" ht="15.0" customHeight="1">
      <c r="C261" s="22" t="str">
        <f t="shared" si="4"/>
        <v>Mariano</v>
      </c>
      <c r="E261" s="21"/>
      <c r="F261" s="26"/>
      <c r="G261" s="26"/>
      <c r="J261" s="4">
        <f t="shared" si="1"/>
        <v>0</v>
      </c>
      <c r="K261" s="5">
        <f t="shared" si="2"/>
        <v>0</v>
      </c>
    </row>
    <row r="262" ht="15.0" customHeight="1">
      <c r="C262" s="22" t="str">
        <f t="shared" si="4"/>
        <v>Mariano</v>
      </c>
      <c r="E262" s="21"/>
      <c r="F262" s="26"/>
      <c r="G262" s="59" t="s">
        <v>225</v>
      </c>
      <c r="J262" s="4">
        <f t="shared" si="1"/>
        <v>0</v>
      </c>
      <c r="K262" s="5">
        <f t="shared" si="2"/>
        <v>0</v>
      </c>
    </row>
    <row r="263" ht="15.0" customHeight="1">
      <c r="C263" s="22" t="str">
        <f t="shared" si="4"/>
        <v>Mariano</v>
      </c>
      <c r="E263" s="21"/>
      <c r="F263" s="26"/>
      <c r="G263" s="26"/>
      <c r="J263" s="4">
        <f t="shared" si="1"/>
        <v>0</v>
      </c>
      <c r="K263" s="5">
        <f t="shared" si="2"/>
        <v>0</v>
      </c>
    </row>
    <row r="264" ht="15.0" customHeight="1">
      <c r="C264" s="22" t="str">
        <f t="shared" si="4"/>
        <v>Renzo</v>
      </c>
      <c r="E264" s="57" t="s">
        <v>83</v>
      </c>
      <c r="F264" s="57" t="s">
        <v>400</v>
      </c>
      <c r="G264" s="58" t="s">
        <v>401</v>
      </c>
      <c r="I264" s="65" t="s">
        <v>87</v>
      </c>
      <c r="J264" s="4">
        <f t="shared" si="1"/>
        <v>30</v>
      </c>
      <c r="K264" s="5">
        <f t="shared" si="2"/>
        <v>8</v>
      </c>
    </row>
    <row r="265" ht="15.0" customHeight="1">
      <c r="C265" s="22" t="str">
        <f t="shared" si="4"/>
        <v>Renzo</v>
      </c>
      <c r="E265" s="21"/>
      <c r="F265" s="26"/>
      <c r="G265" s="58" t="s">
        <v>402</v>
      </c>
      <c r="J265" s="4">
        <f t="shared" si="1"/>
        <v>0</v>
      </c>
      <c r="K265" s="5">
        <f t="shared" si="2"/>
        <v>0</v>
      </c>
    </row>
    <row r="266" ht="15.0" customHeight="1">
      <c r="C266" s="22" t="str">
        <f t="shared" si="4"/>
        <v>Renzo</v>
      </c>
      <c r="E266" s="21"/>
      <c r="F266" s="26"/>
      <c r="G266" s="26"/>
      <c r="J266" s="4">
        <f t="shared" si="1"/>
        <v>0</v>
      </c>
      <c r="K266" s="5">
        <f t="shared" si="2"/>
        <v>0</v>
      </c>
    </row>
    <row r="267" ht="15.0" customHeight="1">
      <c r="C267" s="22" t="str">
        <f t="shared" si="4"/>
        <v>Renzo</v>
      </c>
      <c r="E267" s="21"/>
      <c r="F267" s="26"/>
      <c r="G267" s="59" t="s">
        <v>225</v>
      </c>
      <c r="J267" s="4">
        <f t="shared" si="1"/>
        <v>0</v>
      </c>
      <c r="K267" s="5">
        <f t="shared" si="2"/>
        <v>0</v>
      </c>
    </row>
    <row r="268" ht="15.0" customHeight="1">
      <c r="C268" s="22" t="str">
        <f t="shared" si="4"/>
        <v>Renzo</v>
      </c>
      <c r="E268" s="21"/>
      <c r="F268" s="26"/>
      <c r="G268" s="26"/>
      <c r="J268" s="4">
        <f t="shared" si="1"/>
        <v>0</v>
      </c>
      <c r="K268" s="5">
        <f t="shared" si="2"/>
        <v>0</v>
      </c>
    </row>
    <row r="269" ht="15.0" customHeight="1">
      <c r="C269" s="22" t="str">
        <f t="shared" si="4"/>
        <v>Antonella</v>
      </c>
      <c r="E269" s="57" t="s">
        <v>84</v>
      </c>
      <c r="F269" s="57" t="s">
        <v>400</v>
      </c>
      <c r="G269" s="58" t="s">
        <v>403</v>
      </c>
      <c r="I269" s="65" t="s">
        <v>226</v>
      </c>
      <c r="J269" s="4">
        <f t="shared" si="1"/>
        <v>26</v>
      </c>
      <c r="K269" s="5">
        <f t="shared" si="2"/>
        <v>3</v>
      </c>
    </row>
    <row r="270" ht="15.0" customHeight="1">
      <c r="C270" s="22" t="str">
        <f t="shared" si="4"/>
        <v>Antonella</v>
      </c>
      <c r="E270" s="21"/>
      <c r="F270" s="26"/>
      <c r="G270" s="26"/>
      <c r="J270" s="4">
        <f t="shared" si="1"/>
        <v>0</v>
      </c>
      <c r="K270" s="5">
        <f t="shared" si="2"/>
        <v>0</v>
      </c>
    </row>
    <row r="271" ht="15.0" customHeight="1">
      <c r="C271" s="22" t="str">
        <f t="shared" si="4"/>
        <v>Antonella</v>
      </c>
      <c r="E271" s="21"/>
      <c r="F271" s="26"/>
      <c r="G271" s="59" t="s">
        <v>225</v>
      </c>
      <c r="J271" s="4">
        <f t="shared" si="1"/>
        <v>0</v>
      </c>
      <c r="K271" s="5">
        <f t="shared" si="2"/>
        <v>0</v>
      </c>
    </row>
    <row r="272" ht="15.0" customHeight="1">
      <c r="C272" s="22" t="str">
        <f t="shared" si="4"/>
        <v>Antonella</v>
      </c>
      <c r="E272" s="21"/>
      <c r="F272" s="26"/>
      <c r="G272" s="26"/>
      <c r="J272" s="4">
        <f t="shared" si="1"/>
        <v>0</v>
      </c>
      <c r="K272" s="5">
        <f t="shared" si="2"/>
        <v>0</v>
      </c>
    </row>
    <row r="273" ht="15.0" customHeight="1">
      <c r="C273" s="22" t="str">
        <f t="shared" si="4"/>
        <v>Mariano</v>
      </c>
      <c r="E273" s="57" t="s">
        <v>89</v>
      </c>
      <c r="F273" s="57" t="s">
        <v>400</v>
      </c>
      <c r="G273" s="58" t="s">
        <v>404</v>
      </c>
      <c r="I273" s="65" t="s">
        <v>171</v>
      </c>
      <c r="J273" s="4">
        <f t="shared" si="1"/>
        <v>11</v>
      </c>
      <c r="K273" s="5">
        <f t="shared" si="2"/>
        <v>5</v>
      </c>
    </row>
    <row r="274" ht="15.0" customHeight="1">
      <c r="C274" s="22" t="str">
        <f t="shared" si="4"/>
        <v>Mariano</v>
      </c>
      <c r="E274" s="21"/>
      <c r="F274" s="26"/>
      <c r="G274" s="58" t="s">
        <v>405</v>
      </c>
      <c r="J274" s="4">
        <f t="shared" si="1"/>
        <v>0</v>
      </c>
      <c r="K274" s="5">
        <f t="shared" si="2"/>
        <v>0</v>
      </c>
    </row>
    <row r="275" ht="15.0" customHeight="1">
      <c r="C275" s="22" t="str">
        <f t="shared" si="4"/>
        <v>Mariano</v>
      </c>
      <c r="E275" s="21"/>
      <c r="F275" s="26"/>
      <c r="G275" s="26"/>
      <c r="J275" s="4">
        <f t="shared" si="1"/>
        <v>0</v>
      </c>
      <c r="K275" s="5">
        <f t="shared" si="2"/>
        <v>0</v>
      </c>
    </row>
    <row r="276" ht="15.0" customHeight="1">
      <c r="C276" s="22" t="str">
        <f t="shared" si="4"/>
        <v>Mariano</v>
      </c>
      <c r="E276" s="21"/>
      <c r="F276" s="26"/>
      <c r="G276" s="59" t="s">
        <v>225</v>
      </c>
      <c r="J276" s="4">
        <f t="shared" si="1"/>
        <v>0</v>
      </c>
      <c r="K276" s="5">
        <f t="shared" si="2"/>
        <v>0</v>
      </c>
    </row>
    <row r="277" ht="15.0" customHeight="1">
      <c r="C277" s="22" t="str">
        <f t="shared" si="4"/>
        <v>Mariano</v>
      </c>
      <c r="E277" s="21"/>
      <c r="F277" s="26"/>
      <c r="G277" s="26"/>
      <c r="J277" s="4">
        <f t="shared" si="1"/>
        <v>0</v>
      </c>
      <c r="K277" s="5">
        <f t="shared" si="2"/>
        <v>0</v>
      </c>
    </row>
    <row r="278" ht="15.0" customHeight="1">
      <c r="C278" s="22" t="str">
        <f t="shared" si="4"/>
        <v>Renzo</v>
      </c>
      <c r="E278" s="57" t="s">
        <v>83</v>
      </c>
      <c r="F278" s="57" t="s">
        <v>406</v>
      </c>
      <c r="G278" s="58" t="s">
        <v>407</v>
      </c>
      <c r="I278" s="65" t="s">
        <v>87</v>
      </c>
      <c r="J278" s="4">
        <f t="shared" si="1"/>
        <v>30</v>
      </c>
      <c r="K278" s="5">
        <f t="shared" si="2"/>
        <v>8</v>
      </c>
    </row>
    <row r="279" ht="15.0" customHeight="1">
      <c r="C279" s="22" t="str">
        <f t="shared" si="4"/>
        <v>Renzo</v>
      </c>
      <c r="E279" s="21"/>
      <c r="F279" s="26"/>
      <c r="G279" s="26"/>
      <c r="J279" s="4">
        <f t="shared" si="1"/>
        <v>0</v>
      </c>
      <c r="K279" s="5">
        <f t="shared" si="2"/>
        <v>0</v>
      </c>
    </row>
    <row r="280" ht="15.0" customHeight="1">
      <c r="C280" s="22" t="str">
        <f t="shared" si="4"/>
        <v>Renzo</v>
      </c>
      <c r="E280" s="21"/>
      <c r="F280" s="26"/>
      <c r="G280" s="59" t="s">
        <v>225</v>
      </c>
      <c r="J280" s="4">
        <f t="shared" si="1"/>
        <v>0</v>
      </c>
      <c r="K280" s="5">
        <f t="shared" si="2"/>
        <v>0</v>
      </c>
    </row>
    <row r="281" ht="15.0" customHeight="1">
      <c r="C281" s="22" t="str">
        <f t="shared" si="4"/>
        <v>Renzo</v>
      </c>
      <c r="E281" s="21"/>
      <c r="F281" s="26"/>
      <c r="G281" s="26"/>
      <c r="J281" s="4">
        <f t="shared" si="1"/>
        <v>0</v>
      </c>
      <c r="K281" s="5">
        <f t="shared" si="2"/>
        <v>0</v>
      </c>
    </row>
    <row r="282" ht="15.0" customHeight="1">
      <c r="C282" s="22" t="str">
        <f t="shared" si="4"/>
        <v>Mariano</v>
      </c>
      <c r="E282" s="57" t="s">
        <v>89</v>
      </c>
      <c r="F282" s="57" t="s">
        <v>408</v>
      </c>
      <c r="G282" s="58" t="s">
        <v>409</v>
      </c>
      <c r="I282" s="65" t="s">
        <v>226</v>
      </c>
      <c r="J282" s="4">
        <f t="shared" si="1"/>
        <v>26</v>
      </c>
      <c r="K282" s="5">
        <f t="shared" si="2"/>
        <v>3</v>
      </c>
    </row>
    <row r="283" ht="15.0" customHeight="1">
      <c r="C283" s="22" t="str">
        <f t="shared" si="4"/>
        <v>Mariano</v>
      </c>
      <c r="E283" s="21"/>
      <c r="F283" s="26"/>
      <c r="G283" s="26"/>
      <c r="I283" s="65" t="s">
        <v>87</v>
      </c>
      <c r="J283" s="4">
        <f t="shared" si="1"/>
        <v>30</v>
      </c>
      <c r="K283" s="5">
        <f t="shared" si="2"/>
        <v>8</v>
      </c>
    </row>
    <row r="284" ht="15.0" customHeight="1">
      <c r="C284" s="22" t="str">
        <f t="shared" si="4"/>
        <v>Mariano</v>
      </c>
      <c r="E284" s="21"/>
      <c r="F284" s="26"/>
      <c r="G284" s="59" t="s">
        <v>225</v>
      </c>
      <c r="J284" s="4">
        <f t="shared" si="1"/>
        <v>0</v>
      </c>
      <c r="K284" s="5">
        <f t="shared" si="2"/>
        <v>0</v>
      </c>
    </row>
    <row r="285" ht="15.0" customHeight="1">
      <c r="C285" s="22" t="str">
        <f t="shared" si="4"/>
        <v>Mariano</v>
      </c>
      <c r="E285" s="21"/>
      <c r="F285" s="26"/>
      <c r="G285" s="26"/>
      <c r="J285" s="4">
        <f t="shared" si="1"/>
        <v>0</v>
      </c>
      <c r="K285" s="5">
        <f t="shared" si="2"/>
        <v>0</v>
      </c>
    </row>
    <row r="286" ht="15.0" customHeight="1">
      <c r="C286" s="22" t="str">
        <f t="shared" si="4"/>
        <v>Antonella</v>
      </c>
      <c r="E286" s="57" t="s">
        <v>84</v>
      </c>
      <c r="F286" s="57" t="s">
        <v>410</v>
      </c>
      <c r="G286" s="58" t="s">
        <v>411</v>
      </c>
      <c r="I286" s="65" t="s">
        <v>226</v>
      </c>
      <c r="J286" s="4">
        <f t="shared" si="1"/>
        <v>26</v>
      </c>
      <c r="K286" s="5">
        <f t="shared" si="2"/>
        <v>3</v>
      </c>
    </row>
    <row r="287" ht="15.0" customHeight="1">
      <c r="C287" s="22" t="str">
        <f t="shared" si="4"/>
        <v>Antonella</v>
      </c>
      <c r="E287" s="21"/>
      <c r="F287" s="26"/>
      <c r="G287" s="58" t="s">
        <v>412</v>
      </c>
      <c r="I287" s="65" t="s">
        <v>87</v>
      </c>
      <c r="J287" s="4">
        <f t="shared" si="1"/>
        <v>30</v>
      </c>
      <c r="K287" s="5">
        <f t="shared" si="2"/>
        <v>8</v>
      </c>
    </row>
    <row r="288" ht="15.0" customHeight="1">
      <c r="C288" s="22" t="str">
        <f t="shared" si="4"/>
        <v>Antonella</v>
      </c>
      <c r="E288" s="21"/>
      <c r="F288" s="26"/>
      <c r="G288" s="26"/>
      <c r="J288" s="4">
        <f t="shared" si="1"/>
        <v>0</v>
      </c>
      <c r="K288" s="5">
        <f t="shared" si="2"/>
        <v>0</v>
      </c>
    </row>
    <row r="289" ht="15.0" customHeight="1">
      <c r="C289" s="22" t="str">
        <f t="shared" si="4"/>
        <v>Antonella</v>
      </c>
      <c r="E289" s="21"/>
      <c r="F289" s="26"/>
      <c r="G289" s="59" t="s">
        <v>225</v>
      </c>
      <c r="J289" s="4">
        <f t="shared" si="1"/>
        <v>0</v>
      </c>
      <c r="K289" s="5">
        <f t="shared" si="2"/>
        <v>0</v>
      </c>
    </row>
    <row r="290" ht="15.0" customHeight="1">
      <c r="C290" s="22" t="str">
        <f t="shared" si="4"/>
        <v>Antonella</v>
      </c>
      <c r="E290" s="21"/>
      <c r="F290" s="26"/>
      <c r="G290" s="26"/>
      <c r="J290" s="4">
        <f t="shared" si="1"/>
        <v>0</v>
      </c>
      <c r="K290" s="5">
        <f t="shared" si="2"/>
        <v>0</v>
      </c>
    </row>
    <row r="291" ht="15.0" customHeight="1">
      <c r="C291" s="22" t="str">
        <f t="shared" si="4"/>
        <v>Mariano</v>
      </c>
      <c r="E291" s="57" t="s">
        <v>89</v>
      </c>
      <c r="F291" s="57" t="s">
        <v>413</v>
      </c>
      <c r="G291" s="58" t="s">
        <v>414</v>
      </c>
      <c r="I291" s="65" t="s">
        <v>87</v>
      </c>
      <c r="J291" s="4">
        <f t="shared" si="1"/>
        <v>30</v>
      </c>
      <c r="K291" s="5">
        <f t="shared" si="2"/>
        <v>8</v>
      </c>
    </row>
    <row r="292" ht="15.0" customHeight="1">
      <c r="C292" s="22" t="str">
        <f t="shared" si="4"/>
        <v>Mariano</v>
      </c>
      <c r="E292" s="21"/>
      <c r="F292" s="26"/>
      <c r="G292" s="58" t="s">
        <v>415</v>
      </c>
      <c r="J292" s="4">
        <f t="shared" si="1"/>
        <v>0</v>
      </c>
      <c r="K292" s="5">
        <f t="shared" si="2"/>
        <v>0</v>
      </c>
    </row>
    <row r="293" ht="15.0" customHeight="1">
      <c r="C293" s="22" t="str">
        <f t="shared" si="4"/>
        <v>Mariano</v>
      </c>
      <c r="E293" s="21"/>
      <c r="F293" s="26"/>
      <c r="G293" s="58" t="s">
        <v>416</v>
      </c>
      <c r="J293" s="4">
        <f t="shared" si="1"/>
        <v>0</v>
      </c>
      <c r="K293" s="5">
        <f t="shared" si="2"/>
        <v>0</v>
      </c>
    </row>
    <row r="294" ht="15.0" customHeight="1">
      <c r="C294" s="22" t="str">
        <f t="shared" si="4"/>
        <v>Mariano</v>
      </c>
      <c r="E294" s="21"/>
      <c r="F294" s="26"/>
      <c r="G294" s="26"/>
      <c r="J294" s="4">
        <f t="shared" si="1"/>
        <v>0</v>
      </c>
      <c r="K294" s="5">
        <f t="shared" si="2"/>
        <v>0</v>
      </c>
    </row>
    <row r="295" ht="15.0" customHeight="1">
      <c r="C295" s="22" t="str">
        <f t="shared" si="4"/>
        <v>Mariano</v>
      </c>
      <c r="E295" s="21"/>
      <c r="F295" s="26"/>
      <c r="G295" s="59" t="s">
        <v>225</v>
      </c>
      <c r="J295" s="4">
        <f t="shared" si="1"/>
        <v>0</v>
      </c>
      <c r="K295" s="5">
        <f t="shared" si="2"/>
        <v>0</v>
      </c>
    </row>
    <row r="296" ht="15.0" customHeight="1">
      <c r="C296" s="22" t="str">
        <f t="shared" si="4"/>
        <v>Mariano</v>
      </c>
      <c r="E296" s="21"/>
      <c r="F296" s="26"/>
      <c r="G296" s="26"/>
      <c r="J296" s="4">
        <f t="shared" si="1"/>
        <v>0</v>
      </c>
      <c r="K296" s="5">
        <f t="shared" si="2"/>
        <v>0</v>
      </c>
    </row>
    <row r="297" ht="15.0" customHeight="1">
      <c r="C297" s="22" t="str">
        <f t="shared" si="4"/>
        <v>Antonella</v>
      </c>
      <c r="E297" s="57" t="s">
        <v>84</v>
      </c>
      <c r="F297" s="57" t="s">
        <v>413</v>
      </c>
      <c r="G297" s="58" t="s">
        <v>417</v>
      </c>
      <c r="I297" s="65" t="s">
        <v>226</v>
      </c>
      <c r="J297" s="4">
        <f t="shared" si="1"/>
        <v>26</v>
      </c>
      <c r="K297" s="5">
        <f t="shared" si="2"/>
        <v>3</v>
      </c>
    </row>
    <row r="298" ht="15.0" customHeight="1">
      <c r="C298" s="22" t="str">
        <f t="shared" si="4"/>
        <v>Antonella</v>
      </c>
      <c r="E298" s="21"/>
      <c r="F298" s="26"/>
      <c r="G298" s="26"/>
      <c r="J298" s="4">
        <f t="shared" si="1"/>
        <v>0</v>
      </c>
      <c r="K298" s="5">
        <f t="shared" si="2"/>
        <v>0</v>
      </c>
    </row>
    <row r="299" ht="15.0" customHeight="1">
      <c r="C299" s="22" t="str">
        <f t="shared" si="4"/>
        <v>Antonella</v>
      </c>
      <c r="E299" s="21"/>
      <c r="F299" s="26"/>
      <c r="G299" s="59" t="s">
        <v>225</v>
      </c>
      <c r="J299" s="4">
        <f t="shared" si="1"/>
        <v>0</v>
      </c>
      <c r="K299" s="5">
        <f t="shared" si="2"/>
        <v>0</v>
      </c>
    </row>
    <row r="300" ht="15.0" customHeight="1">
      <c r="C300" s="22" t="str">
        <f t="shared" si="4"/>
        <v>Antonella</v>
      </c>
      <c r="E300" s="21"/>
      <c r="F300" s="26"/>
      <c r="G300" s="26"/>
      <c r="J300" s="4">
        <f t="shared" si="1"/>
        <v>0</v>
      </c>
      <c r="K300" s="5">
        <f t="shared" si="2"/>
        <v>0</v>
      </c>
    </row>
    <row r="301" ht="15.0" customHeight="1">
      <c r="C301" s="22" t="str">
        <f t="shared" si="4"/>
        <v>Renzo</v>
      </c>
      <c r="E301" s="57" t="s">
        <v>83</v>
      </c>
      <c r="F301" s="57" t="s">
        <v>413</v>
      </c>
      <c r="G301" s="58" t="s">
        <v>310</v>
      </c>
      <c r="I301" s="65" t="s">
        <v>95</v>
      </c>
      <c r="J301" s="4">
        <f t="shared" si="1"/>
        <v>33</v>
      </c>
      <c r="K301" s="5">
        <f t="shared" si="2"/>
        <v>5</v>
      </c>
    </row>
    <row r="302" ht="15.0" customHeight="1">
      <c r="C302" s="22" t="str">
        <f t="shared" si="4"/>
        <v>Renzo</v>
      </c>
      <c r="E302" s="21"/>
      <c r="F302" s="26"/>
      <c r="G302" s="26"/>
      <c r="J302" s="4">
        <f t="shared" si="1"/>
        <v>0</v>
      </c>
      <c r="K302" s="5">
        <f t="shared" si="2"/>
        <v>0</v>
      </c>
    </row>
    <row r="303" ht="15.0" customHeight="1">
      <c r="C303" s="22" t="str">
        <f t="shared" si="4"/>
        <v>Renzo</v>
      </c>
      <c r="E303" s="21"/>
      <c r="F303" s="26"/>
      <c r="G303" s="59" t="s">
        <v>225</v>
      </c>
      <c r="J303" s="4">
        <f t="shared" si="1"/>
        <v>0</v>
      </c>
      <c r="K303" s="5">
        <f t="shared" si="2"/>
        <v>0</v>
      </c>
    </row>
    <row r="304" ht="15.0" customHeight="1">
      <c r="C304" s="22" t="str">
        <f t="shared" si="4"/>
        <v>Renzo</v>
      </c>
      <c r="E304" s="21"/>
      <c r="F304" s="26"/>
      <c r="G304" s="26"/>
      <c r="J304" s="4">
        <f t="shared" si="1"/>
        <v>0</v>
      </c>
      <c r="K304" s="5">
        <f t="shared" si="2"/>
        <v>0</v>
      </c>
    </row>
    <row r="305" ht="15.0" customHeight="1">
      <c r="C305" s="22" t="str">
        <f t="shared" si="4"/>
        <v>Antonella</v>
      </c>
      <c r="E305" s="57" t="s">
        <v>84</v>
      </c>
      <c r="F305" s="57" t="s">
        <v>418</v>
      </c>
      <c r="G305" s="58" t="s">
        <v>419</v>
      </c>
      <c r="I305" s="65" t="s">
        <v>201</v>
      </c>
      <c r="J305" s="4">
        <f t="shared" si="1"/>
        <v>19</v>
      </c>
      <c r="K305" s="5">
        <f t="shared" si="2"/>
        <v>7</v>
      </c>
    </row>
    <row r="306" ht="15.0" customHeight="1">
      <c r="C306" s="22" t="str">
        <f t="shared" si="4"/>
        <v>Antonella</v>
      </c>
      <c r="E306" s="21"/>
      <c r="F306" s="26"/>
      <c r="G306" s="26"/>
      <c r="J306" s="4">
        <f t="shared" si="1"/>
        <v>0</v>
      </c>
      <c r="K306" s="5">
        <f t="shared" si="2"/>
        <v>0</v>
      </c>
    </row>
    <row r="307" ht="15.0" customHeight="1">
      <c r="C307" s="22" t="str">
        <f t="shared" si="4"/>
        <v>Antonella</v>
      </c>
      <c r="E307" s="21"/>
      <c r="F307" s="26"/>
      <c r="G307" s="59" t="s">
        <v>225</v>
      </c>
      <c r="J307" s="4">
        <f t="shared" si="1"/>
        <v>0</v>
      </c>
      <c r="K307" s="5">
        <f t="shared" si="2"/>
        <v>0</v>
      </c>
    </row>
    <row r="308" ht="15.0" customHeight="1">
      <c r="C308" s="22" t="str">
        <f t="shared" si="4"/>
        <v>Antonella</v>
      </c>
      <c r="E308" s="21"/>
      <c r="F308" s="26"/>
      <c r="G308" s="26"/>
      <c r="J308" s="4">
        <f t="shared" si="1"/>
        <v>0</v>
      </c>
      <c r="K308" s="5">
        <f t="shared" si="2"/>
        <v>0</v>
      </c>
    </row>
    <row r="309" ht="15.0" customHeight="1">
      <c r="C309" s="22" t="str">
        <f t="shared" si="4"/>
        <v>Mariano</v>
      </c>
      <c r="E309" s="57" t="s">
        <v>89</v>
      </c>
      <c r="F309" s="57" t="s">
        <v>420</v>
      </c>
      <c r="G309" s="58" t="s">
        <v>421</v>
      </c>
      <c r="I309" s="65" t="s">
        <v>87</v>
      </c>
      <c r="J309" s="4">
        <f t="shared" si="1"/>
        <v>30</v>
      </c>
      <c r="K309" s="5">
        <f t="shared" si="2"/>
        <v>8</v>
      </c>
    </row>
    <row r="310" ht="15.0" customHeight="1">
      <c r="C310" s="22" t="str">
        <f t="shared" si="4"/>
        <v>Mariano</v>
      </c>
      <c r="E310" s="21"/>
      <c r="F310" s="26"/>
      <c r="G310" s="26"/>
      <c r="J310" s="4">
        <f t="shared" si="1"/>
        <v>0</v>
      </c>
      <c r="K310" s="5">
        <f t="shared" si="2"/>
        <v>0</v>
      </c>
    </row>
    <row r="311" ht="15.0" customHeight="1">
      <c r="C311" s="22" t="str">
        <f t="shared" si="4"/>
        <v>Mariano</v>
      </c>
      <c r="E311" s="21"/>
      <c r="F311" s="26"/>
      <c r="G311" s="59" t="s">
        <v>225</v>
      </c>
      <c r="J311" s="4">
        <f t="shared" si="1"/>
        <v>0</v>
      </c>
      <c r="K311" s="5">
        <f t="shared" si="2"/>
        <v>0</v>
      </c>
    </row>
    <row r="312" ht="15.0" customHeight="1">
      <c r="C312" s="22" t="str">
        <f t="shared" si="4"/>
        <v>Mariano</v>
      </c>
      <c r="E312" s="21"/>
      <c r="F312" s="26"/>
      <c r="G312" s="26"/>
      <c r="J312" s="4">
        <f t="shared" si="1"/>
        <v>0</v>
      </c>
      <c r="K312" s="5">
        <f t="shared" si="2"/>
        <v>0</v>
      </c>
    </row>
    <row r="313" ht="15.0" customHeight="1">
      <c r="C313" s="22" t="str">
        <f t="shared" si="4"/>
        <v>Renzo</v>
      </c>
      <c r="E313" s="57" t="s">
        <v>83</v>
      </c>
      <c r="F313" s="57" t="s">
        <v>422</v>
      </c>
      <c r="G313" s="58" t="s">
        <v>423</v>
      </c>
      <c r="I313" s="65" t="s">
        <v>226</v>
      </c>
      <c r="J313" s="4">
        <f t="shared" si="1"/>
        <v>26</v>
      </c>
      <c r="K313" s="5">
        <f t="shared" si="2"/>
        <v>3</v>
      </c>
    </row>
    <row r="314" ht="15.0" customHeight="1">
      <c r="C314" s="22" t="str">
        <f t="shared" si="4"/>
        <v>Renzo</v>
      </c>
      <c r="E314" s="21"/>
      <c r="F314" s="26"/>
      <c r="G314" s="26"/>
      <c r="J314" s="4">
        <f t="shared" si="1"/>
        <v>0</v>
      </c>
      <c r="K314" s="5">
        <f t="shared" si="2"/>
        <v>0</v>
      </c>
    </row>
    <row r="315" ht="15.0" customHeight="1">
      <c r="C315" s="22" t="str">
        <f t="shared" si="4"/>
        <v>Renzo</v>
      </c>
      <c r="E315" s="21"/>
      <c r="F315" s="26"/>
      <c r="G315" s="59" t="s">
        <v>225</v>
      </c>
      <c r="J315" s="4">
        <f t="shared" si="1"/>
        <v>0</v>
      </c>
      <c r="K315" s="5">
        <f t="shared" si="2"/>
        <v>0</v>
      </c>
    </row>
    <row r="316" ht="15.0" customHeight="1">
      <c r="C316" s="22" t="str">
        <f t="shared" si="4"/>
        <v>Renzo</v>
      </c>
      <c r="E316" s="21"/>
      <c r="F316" s="26"/>
      <c r="G316" s="26"/>
      <c r="J316" s="4">
        <f t="shared" si="1"/>
        <v>0</v>
      </c>
      <c r="K316" s="5">
        <f t="shared" si="2"/>
        <v>0</v>
      </c>
    </row>
    <row r="317" ht="15.0" customHeight="1">
      <c r="C317" s="22" t="str">
        <f t="shared" si="4"/>
        <v>Antonella</v>
      </c>
      <c r="E317" s="57" t="s">
        <v>84</v>
      </c>
      <c r="F317" s="57" t="s">
        <v>422</v>
      </c>
      <c r="G317" s="58" t="s">
        <v>424</v>
      </c>
      <c r="J317" s="4">
        <f t="shared" si="1"/>
        <v>0</v>
      </c>
      <c r="K317" s="5">
        <f t="shared" si="2"/>
        <v>0</v>
      </c>
    </row>
    <row r="318" ht="15.0" customHeight="1">
      <c r="C318" s="22" t="str">
        <f t="shared" si="4"/>
        <v>Antonella</v>
      </c>
      <c r="E318" s="21"/>
      <c r="F318" s="26"/>
      <c r="G318" s="58" t="s">
        <v>425</v>
      </c>
      <c r="I318" s="65" t="s">
        <v>226</v>
      </c>
      <c r="J318" s="4">
        <f t="shared" si="1"/>
        <v>26</v>
      </c>
      <c r="K318" s="5">
        <f t="shared" si="2"/>
        <v>3</v>
      </c>
    </row>
    <row r="319" ht="15.0" customHeight="1">
      <c r="C319" s="22" t="str">
        <f t="shared" si="4"/>
        <v>Antonella</v>
      </c>
      <c r="E319" s="21"/>
      <c r="F319" s="26"/>
      <c r="G319" s="26"/>
      <c r="J319" s="4">
        <f t="shared" si="1"/>
        <v>0</v>
      </c>
      <c r="K319" s="5">
        <f t="shared" si="2"/>
        <v>0</v>
      </c>
    </row>
    <row r="320" ht="15.0" customHeight="1">
      <c r="C320" s="22" t="str">
        <f t="shared" si="4"/>
        <v>Antonella</v>
      </c>
      <c r="E320" s="21"/>
      <c r="F320" s="26"/>
      <c r="G320" s="59" t="s">
        <v>225</v>
      </c>
      <c r="J320" s="4">
        <f t="shared" si="1"/>
        <v>0</v>
      </c>
      <c r="K320" s="5">
        <f t="shared" si="2"/>
        <v>0</v>
      </c>
    </row>
    <row r="321" ht="15.0" customHeight="1">
      <c r="C321" s="22" t="str">
        <f t="shared" si="4"/>
        <v>Antonella</v>
      </c>
      <c r="E321" s="21"/>
      <c r="F321" s="26"/>
      <c r="G321" s="26"/>
      <c r="J321" s="4">
        <f t="shared" si="1"/>
        <v>0</v>
      </c>
      <c r="K321" s="5">
        <f t="shared" si="2"/>
        <v>0</v>
      </c>
    </row>
    <row r="322" ht="15.0" customHeight="1">
      <c r="C322" s="22" t="str">
        <f t="shared" si="4"/>
        <v>Mariano</v>
      </c>
      <c r="E322" s="57" t="s">
        <v>89</v>
      </c>
      <c r="F322" s="57" t="s">
        <v>426</v>
      </c>
      <c r="G322" s="58" t="s">
        <v>427</v>
      </c>
      <c r="I322" s="65" t="s">
        <v>87</v>
      </c>
      <c r="J322" s="4">
        <f t="shared" si="1"/>
        <v>30</v>
      </c>
      <c r="K322" s="5">
        <f t="shared" si="2"/>
        <v>8</v>
      </c>
    </row>
    <row r="323" ht="15.0" customHeight="1">
      <c r="C323" s="22" t="str">
        <f t="shared" si="4"/>
        <v>Mariano</v>
      </c>
      <c r="E323" s="21"/>
      <c r="F323" s="26"/>
      <c r="G323" s="26"/>
      <c r="J323" s="4">
        <f t="shared" si="1"/>
        <v>0</v>
      </c>
      <c r="K323" s="5">
        <f t="shared" si="2"/>
        <v>0</v>
      </c>
    </row>
    <row r="324" ht="15.0" customHeight="1">
      <c r="C324" s="22" t="str">
        <f t="shared" si="4"/>
        <v>Mariano</v>
      </c>
      <c r="E324" s="21"/>
      <c r="F324" s="26"/>
      <c r="G324" s="59" t="s">
        <v>225</v>
      </c>
      <c r="J324" s="4">
        <f t="shared" si="1"/>
        <v>0</v>
      </c>
      <c r="K324" s="5">
        <f t="shared" si="2"/>
        <v>0</v>
      </c>
    </row>
    <row r="325" ht="15.0" customHeight="1">
      <c r="C325" s="22" t="str">
        <f t="shared" si="4"/>
        <v>Mariano</v>
      </c>
      <c r="E325" s="21"/>
      <c r="F325" s="26"/>
      <c r="G325" s="26"/>
      <c r="J325" s="4">
        <f t="shared" si="1"/>
        <v>0</v>
      </c>
      <c r="K325" s="5">
        <f t="shared" si="2"/>
        <v>0</v>
      </c>
    </row>
    <row r="326" ht="15.0" customHeight="1">
      <c r="C326" s="22" t="str">
        <f t="shared" si="4"/>
        <v>Antonella</v>
      </c>
      <c r="E326" s="57" t="s">
        <v>84</v>
      </c>
      <c r="F326" s="57" t="s">
        <v>428</v>
      </c>
      <c r="G326" s="58" t="s">
        <v>429</v>
      </c>
      <c r="I326" s="65" t="s">
        <v>226</v>
      </c>
      <c r="J326" s="4">
        <f t="shared" si="1"/>
        <v>26</v>
      </c>
      <c r="K326" s="5">
        <f t="shared" si="2"/>
        <v>3</v>
      </c>
    </row>
    <row r="327" ht="15.0" customHeight="1">
      <c r="C327" s="22" t="str">
        <f t="shared" si="4"/>
        <v>Antonella</v>
      </c>
      <c r="E327" s="21"/>
      <c r="F327" s="26"/>
      <c r="G327" s="26"/>
      <c r="I327" s="65" t="s">
        <v>22</v>
      </c>
      <c r="J327" s="4">
        <f t="shared" si="1"/>
        <v>15</v>
      </c>
      <c r="K327" s="5">
        <f t="shared" si="2"/>
        <v>4</v>
      </c>
    </row>
    <row r="328" ht="15.0" customHeight="1">
      <c r="C328" s="22" t="str">
        <f t="shared" si="4"/>
        <v>Antonella</v>
      </c>
      <c r="E328" s="21"/>
      <c r="F328" s="26"/>
      <c r="G328" s="59" t="s">
        <v>225</v>
      </c>
      <c r="J328" s="4">
        <f t="shared" si="1"/>
        <v>0</v>
      </c>
      <c r="K328" s="5">
        <f t="shared" si="2"/>
        <v>0</v>
      </c>
    </row>
    <row r="329" ht="15.0" customHeight="1">
      <c r="C329" s="22" t="str">
        <f t="shared" si="4"/>
        <v>Antonella</v>
      </c>
      <c r="E329" s="21"/>
      <c r="F329" s="26"/>
      <c r="G329" s="26"/>
      <c r="J329" s="4">
        <f t="shared" si="1"/>
        <v>0</v>
      </c>
      <c r="K329" s="5">
        <f t="shared" si="2"/>
        <v>0</v>
      </c>
    </row>
    <row r="330" ht="15.0" customHeight="1">
      <c r="C330" s="22" t="str">
        <f t="shared" si="4"/>
        <v>Mariano</v>
      </c>
      <c r="E330" s="57" t="s">
        <v>89</v>
      </c>
      <c r="F330" s="57" t="s">
        <v>430</v>
      </c>
      <c r="G330" s="58" t="s">
        <v>431</v>
      </c>
      <c r="I330" s="65" t="s">
        <v>87</v>
      </c>
      <c r="J330" s="4">
        <f t="shared" si="1"/>
        <v>30</v>
      </c>
      <c r="K330" s="5">
        <f t="shared" si="2"/>
        <v>8</v>
      </c>
    </row>
    <row r="331" ht="15.0" customHeight="1">
      <c r="C331" s="22" t="str">
        <f t="shared" si="4"/>
        <v>Mariano</v>
      </c>
      <c r="E331" s="21"/>
      <c r="F331" s="26"/>
      <c r="G331" s="26"/>
      <c r="J331" s="4">
        <f t="shared" si="1"/>
        <v>0</v>
      </c>
      <c r="K331" s="5">
        <f t="shared" si="2"/>
        <v>0</v>
      </c>
    </row>
    <row r="332" ht="15.0" customHeight="1">
      <c r="C332" s="22" t="str">
        <f t="shared" si="4"/>
        <v>Mariano</v>
      </c>
      <c r="E332" s="21"/>
      <c r="F332" s="26"/>
      <c r="G332" s="59" t="s">
        <v>225</v>
      </c>
      <c r="J332" s="4">
        <f t="shared" si="1"/>
        <v>0</v>
      </c>
      <c r="K332" s="5">
        <f t="shared" si="2"/>
        <v>0</v>
      </c>
    </row>
    <row r="333" ht="15.0" customHeight="1">
      <c r="C333" s="22" t="str">
        <f t="shared" si="4"/>
        <v>Mariano</v>
      </c>
      <c r="E333" s="21"/>
      <c r="F333" s="26"/>
      <c r="G333" s="26"/>
      <c r="J333" s="4">
        <f t="shared" si="1"/>
        <v>0</v>
      </c>
      <c r="K333" s="5">
        <f t="shared" si="2"/>
        <v>0</v>
      </c>
    </row>
    <row r="334" ht="15.0" customHeight="1">
      <c r="C334" s="22" t="str">
        <f t="shared" si="4"/>
        <v>Antonella</v>
      </c>
      <c r="E334" s="57" t="s">
        <v>84</v>
      </c>
      <c r="F334" s="57" t="s">
        <v>432</v>
      </c>
      <c r="G334" s="58" t="s">
        <v>433</v>
      </c>
      <c r="I334" s="65" t="s">
        <v>171</v>
      </c>
      <c r="J334" s="4">
        <f t="shared" si="1"/>
        <v>11</v>
      </c>
      <c r="K334" s="5">
        <f t="shared" si="2"/>
        <v>5</v>
      </c>
    </row>
    <row r="335" ht="15.0" customHeight="1">
      <c r="C335" s="22" t="str">
        <f t="shared" si="4"/>
        <v>Antonella</v>
      </c>
      <c r="E335" s="21"/>
      <c r="F335" s="26"/>
      <c r="G335" s="26"/>
      <c r="J335" s="4">
        <f t="shared" si="1"/>
        <v>0</v>
      </c>
      <c r="K335" s="5">
        <f t="shared" si="2"/>
        <v>0</v>
      </c>
    </row>
    <row r="336" ht="15.0" customHeight="1">
      <c r="C336" s="22" t="str">
        <f t="shared" si="4"/>
        <v>Antonella</v>
      </c>
      <c r="E336" s="21"/>
      <c r="F336" s="26"/>
      <c r="G336" s="59" t="s">
        <v>225</v>
      </c>
      <c r="J336" s="4">
        <f t="shared" si="1"/>
        <v>0</v>
      </c>
      <c r="K336" s="5">
        <f t="shared" si="2"/>
        <v>0</v>
      </c>
    </row>
    <row r="337" ht="15.0" customHeight="1">
      <c r="C337" s="22" t="str">
        <f t="shared" si="4"/>
        <v>Antonella</v>
      </c>
      <c r="E337" s="21"/>
      <c r="F337" s="26"/>
      <c r="G337" s="26"/>
      <c r="J337" s="4">
        <f t="shared" si="1"/>
        <v>0</v>
      </c>
      <c r="K337" s="5">
        <f t="shared" si="2"/>
        <v>0</v>
      </c>
    </row>
    <row r="338" ht="15.0" customHeight="1">
      <c r="C338" s="22" t="str">
        <f t="shared" si="4"/>
        <v>Renzo</v>
      </c>
      <c r="E338" s="57" t="s">
        <v>83</v>
      </c>
      <c r="F338" s="57" t="s">
        <v>434</v>
      </c>
      <c r="G338" s="58" t="s">
        <v>357</v>
      </c>
      <c r="J338" s="4">
        <f t="shared" si="1"/>
        <v>0</v>
      </c>
      <c r="K338" s="5">
        <f t="shared" si="2"/>
        <v>0</v>
      </c>
    </row>
    <row r="339" ht="15.0" customHeight="1">
      <c r="C339" s="22" t="str">
        <f t="shared" si="4"/>
        <v>Renzo</v>
      </c>
      <c r="E339" s="21"/>
      <c r="F339" s="26"/>
      <c r="G339" s="26"/>
      <c r="J339" s="4">
        <f t="shared" si="1"/>
        <v>0</v>
      </c>
      <c r="K339" s="5">
        <f t="shared" si="2"/>
        <v>0</v>
      </c>
    </row>
    <row r="340" ht="15.0" customHeight="1">
      <c r="C340" s="22" t="str">
        <f t="shared" si="4"/>
        <v>Renzo</v>
      </c>
      <c r="E340" s="21"/>
      <c r="F340" s="26"/>
      <c r="G340" s="59" t="s">
        <v>225</v>
      </c>
      <c r="J340" s="4">
        <f t="shared" si="1"/>
        <v>0</v>
      </c>
      <c r="K340" s="5">
        <f t="shared" si="2"/>
        <v>0</v>
      </c>
    </row>
    <row r="341" ht="15.0" customHeight="1">
      <c r="C341" s="22" t="str">
        <f t="shared" si="4"/>
        <v>Renzo</v>
      </c>
      <c r="E341" s="21"/>
      <c r="F341" s="26"/>
      <c r="G341" s="26"/>
      <c r="J341" s="4">
        <f t="shared" si="1"/>
        <v>0</v>
      </c>
      <c r="K341" s="5">
        <f t="shared" si="2"/>
        <v>0</v>
      </c>
    </row>
    <row r="342" ht="15.0" customHeight="1">
      <c r="C342" s="22" t="str">
        <f t="shared" si="4"/>
        <v>Mariano</v>
      </c>
      <c r="E342" s="57" t="s">
        <v>89</v>
      </c>
      <c r="F342" s="57" t="s">
        <v>434</v>
      </c>
      <c r="G342" s="58" t="s">
        <v>435</v>
      </c>
      <c r="I342" s="65" t="s">
        <v>60</v>
      </c>
      <c r="J342" s="4">
        <f t="shared" si="1"/>
        <v>32</v>
      </c>
      <c r="K342" s="5">
        <f t="shared" si="2"/>
        <v>1</v>
      </c>
    </row>
    <row r="343" ht="15.0" customHeight="1">
      <c r="C343" s="22" t="str">
        <f t="shared" si="4"/>
        <v>Mariano</v>
      </c>
      <c r="E343" s="21"/>
      <c r="F343" s="26"/>
      <c r="G343" s="58" t="s">
        <v>436</v>
      </c>
      <c r="J343" s="4">
        <f t="shared" si="1"/>
        <v>0</v>
      </c>
      <c r="K343" s="5">
        <f t="shared" si="2"/>
        <v>0</v>
      </c>
    </row>
    <row r="344" ht="15.0" customHeight="1">
      <c r="C344" s="22" t="str">
        <f t="shared" si="4"/>
        <v>Mariano</v>
      </c>
      <c r="E344" s="21"/>
      <c r="F344" s="26"/>
      <c r="G344" s="26"/>
      <c r="J344" s="4">
        <f t="shared" si="1"/>
        <v>0</v>
      </c>
      <c r="K344" s="5">
        <f t="shared" si="2"/>
        <v>0</v>
      </c>
    </row>
    <row r="345" ht="15.0" customHeight="1">
      <c r="C345" s="22" t="str">
        <f t="shared" si="4"/>
        <v>Mariano</v>
      </c>
      <c r="E345" s="21"/>
      <c r="F345" s="26"/>
      <c r="G345" s="59" t="s">
        <v>225</v>
      </c>
      <c r="J345" s="4">
        <f t="shared" si="1"/>
        <v>0</v>
      </c>
      <c r="K345" s="5">
        <f t="shared" si="2"/>
        <v>0</v>
      </c>
    </row>
    <row r="346" ht="15.0" customHeight="1">
      <c r="C346" s="22" t="str">
        <f t="shared" si="4"/>
        <v>Mariano</v>
      </c>
      <c r="E346" s="21"/>
      <c r="F346" s="26"/>
      <c r="G346" s="26"/>
      <c r="J346" s="4">
        <f t="shared" si="1"/>
        <v>0</v>
      </c>
      <c r="K346" s="5">
        <f t="shared" si="2"/>
        <v>0</v>
      </c>
    </row>
    <row r="347" ht="15.0" customHeight="1">
      <c r="C347" s="22" t="str">
        <f t="shared" si="4"/>
        <v>Renzo</v>
      </c>
      <c r="E347" s="57" t="s">
        <v>83</v>
      </c>
      <c r="F347" s="57" t="s">
        <v>437</v>
      </c>
      <c r="G347" s="58" t="s">
        <v>438</v>
      </c>
      <c r="I347" s="65" t="s">
        <v>95</v>
      </c>
      <c r="J347" s="4">
        <f t="shared" si="1"/>
        <v>33</v>
      </c>
      <c r="K347" s="5">
        <f t="shared" si="2"/>
        <v>5</v>
      </c>
    </row>
    <row r="348" ht="15.0" customHeight="1">
      <c r="C348" s="22" t="str">
        <f t="shared" si="4"/>
        <v>Renzo</v>
      </c>
      <c r="E348" s="21"/>
      <c r="F348" s="26"/>
      <c r="G348" s="26"/>
      <c r="J348" s="4">
        <f t="shared" si="1"/>
        <v>0</v>
      </c>
      <c r="K348" s="5">
        <f t="shared" si="2"/>
        <v>0</v>
      </c>
    </row>
    <row r="349" ht="15.0" customHeight="1">
      <c r="C349" s="22" t="str">
        <f t="shared" si="4"/>
        <v>Renzo</v>
      </c>
      <c r="E349" s="21"/>
      <c r="F349" s="26"/>
      <c r="G349" s="59" t="s">
        <v>225</v>
      </c>
      <c r="J349" s="4">
        <f t="shared" si="1"/>
        <v>0</v>
      </c>
      <c r="K349" s="5">
        <f t="shared" si="2"/>
        <v>0</v>
      </c>
    </row>
    <row r="350" ht="15.0" customHeight="1">
      <c r="C350" s="22" t="str">
        <f t="shared" si="4"/>
        <v>Antonella</v>
      </c>
      <c r="E350" s="57" t="s">
        <v>84</v>
      </c>
      <c r="F350" s="57" t="s">
        <v>439</v>
      </c>
      <c r="G350" s="26"/>
      <c r="J350" s="4">
        <f t="shared" si="1"/>
        <v>0</v>
      </c>
      <c r="K350" s="5">
        <f t="shared" si="2"/>
        <v>0</v>
      </c>
    </row>
    <row r="351" ht="15.0" customHeight="1">
      <c r="C351" s="22" t="str">
        <f t="shared" si="4"/>
        <v>Antonella</v>
      </c>
      <c r="E351" s="21"/>
      <c r="F351" s="26"/>
      <c r="G351" s="58" t="s">
        <v>440</v>
      </c>
      <c r="I351" s="65" t="s">
        <v>95</v>
      </c>
      <c r="J351" s="4">
        <f t="shared" si="1"/>
        <v>33</v>
      </c>
      <c r="K351" s="5">
        <f t="shared" si="2"/>
        <v>5</v>
      </c>
    </row>
    <row r="352" ht="15.0" customHeight="1">
      <c r="C352" s="22" t="str">
        <f t="shared" si="4"/>
        <v>Antonella</v>
      </c>
      <c r="E352" s="21"/>
      <c r="F352" s="26"/>
      <c r="G352" s="26"/>
      <c r="J352" s="4">
        <f t="shared" si="1"/>
        <v>0</v>
      </c>
      <c r="K352" s="5">
        <f t="shared" si="2"/>
        <v>0</v>
      </c>
    </row>
    <row r="353" ht="15.0" customHeight="1">
      <c r="C353" s="22" t="str">
        <f t="shared" si="4"/>
        <v>Antonella</v>
      </c>
      <c r="E353" s="21"/>
      <c r="F353" s="26"/>
      <c r="G353" s="59" t="s">
        <v>225</v>
      </c>
      <c r="J353" s="4">
        <f t="shared" si="1"/>
        <v>0</v>
      </c>
      <c r="K353" s="5">
        <f t="shared" si="2"/>
        <v>0</v>
      </c>
    </row>
    <row r="354" ht="15.0" customHeight="1">
      <c r="C354" s="22" t="str">
        <f t="shared" si="4"/>
        <v>Antonella</v>
      </c>
      <c r="E354" s="21"/>
      <c r="F354" s="26"/>
      <c r="G354" s="26"/>
      <c r="J354" s="4">
        <f t="shared" si="1"/>
        <v>0</v>
      </c>
      <c r="K354" s="5">
        <f t="shared" si="2"/>
        <v>0</v>
      </c>
    </row>
    <row r="355" ht="15.0" customHeight="1">
      <c r="C355" s="22" t="str">
        <f t="shared" si="4"/>
        <v>Mariano</v>
      </c>
      <c r="E355" s="57" t="s">
        <v>89</v>
      </c>
      <c r="F355" s="57" t="s">
        <v>439</v>
      </c>
      <c r="G355" s="58" t="s">
        <v>441</v>
      </c>
      <c r="I355" s="65" t="s">
        <v>265</v>
      </c>
      <c r="J355" s="4">
        <f t="shared" si="1"/>
        <v>36</v>
      </c>
      <c r="K355" s="5">
        <f t="shared" si="2"/>
        <v>1</v>
      </c>
    </row>
    <row r="356" ht="15.0" customHeight="1">
      <c r="C356" s="22" t="str">
        <f t="shared" si="4"/>
        <v>Mariano</v>
      </c>
      <c r="E356" s="21"/>
      <c r="F356" s="26"/>
      <c r="G356" s="26"/>
      <c r="J356" s="4">
        <f t="shared" si="1"/>
        <v>0</v>
      </c>
      <c r="K356" s="5">
        <f t="shared" si="2"/>
        <v>0</v>
      </c>
    </row>
    <row r="357" ht="15.0" customHeight="1">
      <c r="C357" s="22" t="str">
        <f t="shared" si="4"/>
        <v>Mariano</v>
      </c>
      <c r="E357" s="21"/>
      <c r="F357" s="26"/>
      <c r="G357" s="59" t="s">
        <v>225</v>
      </c>
      <c r="J357" s="4">
        <f t="shared" si="1"/>
        <v>0</v>
      </c>
      <c r="K357" s="5">
        <f t="shared" si="2"/>
        <v>0</v>
      </c>
    </row>
    <row r="358" ht="15.0" customHeight="1">
      <c r="C358" s="22" t="str">
        <f t="shared" si="4"/>
        <v>Mariano</v>
      </c>
      <c r="E358" s="21"/>
      <c r="F358" s="26"/>
      <c r="G358" s="26"/>
      <c r="J358" s="4">
        <f t="shared" si="1"/>
        <v>0</v>
      </c>
      <c r="K358" s="5">
        <f t="shared" si="2"/>
        <v>0</v>
      </c>
    </row>
    <row r="359" ht="15.0" customHeight="1">
      <c r="C359" s="22" t="str">
        <f t="shared" si="4"/>
        <v>Renzo</v>
      </c>
      <c r="E359" s="57" t="s">
        <v>83</v>
      </c>
      <c r="F359" s="57" t="s">
        <v>442</v>
      </c>
      <c r="G359" s="58" t="s">
        <v>443</v>
      </c>
      <c r="J359" s="4">
        <f t="shared" si="1"/>
        <v>0</v>
      </c>
      <c r="K359" s="5">
        <f t="shared" si="2"/>
        <v>0</v>
      </c>
    </row>
    <row r="360" ht="15.0" customHeight="1">
      <c r="C360" s="22" t="str">
        <f t="shared" si="4"/>
        <v>Renzo</v>
      </c>
      <c r="E360" s="21"/>
      <c r="F360" s="26"/>
      <c r="G360" s="58" t="s">
        <v>444</v>
      </c>
      <c r="I360" s="65" t="s">
        <v>236</v>
      </c>
      <c r="J360" s="4">
        <f t="shared" si="1"/>
        <v>28</v>
      </c>
      <c r="K360" s="5">
        <f t="shared" si="2"/>
        <v>11</v>
      </c>
    </row>
    <row r="361" ht="15.0" customHeight="1">
      <c r="C361" s="22" t="str">
        <f t="shared" si="4"/>
        <v>Renzo</v>
      </c>
      <c r="E361" s="21"/>
      <c r="F361" s="26"/>
      <c r="G361" s="26"/>
      <c r="J361" s="4">
        <f t="shared" si="1"/>
        <v>0</v>
      </c>
      <c r="K361" s="5">
        <f t="shared" si="2"/>
        <v>0</v>
      </c>
    </row>
    <row r="362" ht="15.0" customHeight="1">
      <c r="C362" s="22" t="str">
        <f t="shared" si="4"/>
        <v>Renzo</v>
      </c>
      <c r="E362" s="21"/>
      <c r="F362" s="26"/>
      <c r="G362" s="59" t="s">
        <v>225</v>
      </c>
      <c r="J362" s="4">
        <f t="shared" si="1"/>
        <v>0</v>
      </c>
      <c r="K362" s="5">
        <f t="shared" si="2"/>
        <v>0</v>
      </c>
    </row>
    <row r="363" ht="15.0" customHeight="1">
      <c r="C363" s="22" t="str">
        <f t="shared" si="4"/>
        <v>Renzo</v>
      </c>
      <c r="E363" s="21"/>
      <c r="F363" s="26"/>
      <c r="G363" s="26"/>
      <c r="J363" s="4">
        <f t="shared" si="1"/>
        <v>0</v>
      </c>
      <c r="K363" s="5">
        <f t="shared" si="2"/>
        <v>0</v>
      </c>
    </row>
    <row r="364" ht="15.0" customHeight="1">
      <c r="C364" s="22" t="str">
        <f t="shared" si="4"/>
        <v>Antonella</v>
      </c>
      <c r="E364" s="57" t="s">
        <v>84</v>
      </c>
      <c r="F364" s="57" t="s">
        <v>445</v>
      </c>
      <c r="G364" s="58" t="s">
        <v>446</v>
      </c>
      <c r="I364" s="65" t="s">
        <v>87</v>
      </c>
      <c r="J364" s="4">
        <f t="shared" si="1"/>
        <v>30</v>
      </c>
      <c r="K364" s="5">
        <f t="shared" si="2"/>
        <v>8</v>
      </c>
    </row>
    <row r="365" ht="15.0" customHeight="1">
      <c r="C365" s="22" t="str">
        <f t="shared" si="4"/>
        <v>Antonella</v>
      </c>
      <c r="E365" s="21"/>
      <c r="F365" s="26"/>
      <c r="G365" s="58" t="s">
        <v>447</v>
      </c>
      <c r="J365" s="4">
        <f t="shared" si="1"/>
        <v>0</v>
      </c>
      <c r="K365" s="5">
        <f t="shared" si="2"/>
        <v>0</v>
      </c>
    </row>
    <row r="366" ht="15.0" customHeight="1">
      <c r="C366" s="22" t="str">
        <f t="shared" si="4"/>
        <v>Renzo</v>
      </c>
      <c r="E366" s="57" t="s">
        <v>83</v>
      </c>
      <c r="F366" s="57" t="s">
        <v>445</v>
      </c>
      <c r="G366" s="58" t="s">
        <v>448</v>
      </c>
      <c r="J366" s="4">
        <f t="shared" si="1"/>
        <v>0</v>
      </c>
      <c r="K366" s="5">
        <f t="shared" si="2"/>
        <v>0</v>
      </c>
    </row>
    <row r="367" ht="15.0" customHeight="1">
      <c r="C367" s="22" t="str">
        <f t="shared" si="4"/>
        <v>Renzo</v>
      </c>
      <c r="E367" s="21"/>
      <c r="F367" s="26"/>
      <c r="G367" s="26"/>
      <c r="J367" s="4">
        <f t="shared" si="1"/>
        <v>0</v>
      </c>
      <c r="K367" s="5">
        <f t="shared" si="2"/>
        <v>0</v>
      </c>
    </row>
    <row r="368" ht="15.0" customHeight="1">
      <c r="C368" s="22" t="str">
        <f t="shared" si="4"/>
        <v>Renzo</v>
      </c>
      <c r="E368" s="21"/>
      <c r="F368" s="26"/>
      <c r="G368" s="59" t="s">
        <v>225</v>
      </c>
      <c r="J368" s="4">
        <f t="shared" si="1"/>
        <v>0</v>
      </c>
      <c r="K368" s="5">
        <f t="shared" si="2"/>
        <v>0</v>
      </c>
    </row>
    <row r="369" ht="15.0" customHeight="1">
      <c r="C369" s="22" t="str">
        <f t="shared" si="4"/>
        <v>Renzo</v>
      </c>
      <c r="E369" s="21"/>
      <c r="F369" s="26"/>
      <c r="G369" s="26"/>
      <c r="J369" s="4">
        <f t="shared" si="1"/>
        <v>0</v>
      </c>
      <c r="K369" s="5">
        <f t="shared" si="2"/>
        <v>0</v>
      </c>
    </row>
    <row r="370" ht="15.0" customHeight="1">
      <c r="C370" s="22" t="str">
        <f t="shared" si="4"/>
        <v>Antonella</v>
      </c>
      <c r="E370" s="57" t="s">
        <v>84</v>
      </c>
      <c r="F370" s="57" t="s">
        <v>449</v>
      </c>
      <c r="G370" s="58" t="s">
        <v>450</v>
      </c>
      <c r="I370" s="65" t="s">
        <v>265</v>
      </c>
      <c r="J370" s="4">
        <f t="shared" si="1"/>
        <v>36</v>
      </c>
      <c r="K370" s="5">
        <f t="shared" si="2"/>
        <v>1</v>
      </c>
    </row>
    <row r="371" ht="15.0" customHeight="1">
      <c r="C371" s="22" t="str">
        <f t="shared" si="4"/>
        <v>Antonella</v>
      </c>
      <c r="E371" s="21"/>
      <c r="F371" s="26"/>
      <c r="G371" s="26"/>
      <c r="J371" s="4">
        <f t="shared" si="1"/>
        <v>0</v>
      </c>
      <c r="K371" s="5">
        <f t="shared" si="2"/>
        <v>0</v>
      </c>
    </row>
    <row r="372" ht="15.0" customHeight="1">
      <c r="C372" s="22" t="str">
        <f t="shared" si="4"/>
        <v>Antonella</v>
      </c>
      <c r="E372" s="21"/>
      <c r="F372" s="26"/>
      <c r="G372" s="59" t="s">
        <v>225</v>
      </c>
      <c r="J372" s="4">
        <f t="shared" si="1"/>
        <v>0</v>
      </c>
      <c r="K372" s="5">
        <f t="shared" si="2"/>
        <v>0</v>
      </c>
    </row>
    <row r="373" ht="15.0" customHeight="1">
      <c r="C373" s="22" t="str">
        <f t="shared" si="4"/>
        <v>Antonella</v>
      </c>
      <c r="E373" s="21"/>
      <c r="F373" s="26"/>
      <c r="G373" s="26"/>
      <c r="J373" s="4">
        <f t="shared" si="1"/>
        <v>0</v>
      </c>
      <c r="K373" s="5">
        <f t="shared" si="2"/>
        <v>0</v>
      </c>
    </row>
    <row r="374" ht="15.0" customHeight="1">
      <c r="C374" s="22" t="str">
        <f t="shared" si="4"/>
        <v>Renzo</v>
      </c>
      <c r="E374" s="57" t="s">
        <v>83</v>
      </c>
      <c r="F374" s="57" t="s">
        <v>451</v>
      </c>
      <c r="G374" s="58" t="s">
        <v>452</v>
      </c>
      <c r="J374" s="4">
        <f t="shared" si="1"/>
        <v>0</v>
      </c>
      <c r="K374" s="5">
        <f t="shared" si="2"/>
        <v>0</v>
      </c>
    </row>
    <row r="375" ht="15.0" customHeight="1">
      <c r="C375" s="22" t="str">
        <f t="shared" si="4"/>
        <v>Renzo</v>
      </c>
      <c r="E375" s="21"/>
      <c r="F375" s="26"/>
      <c r="G375" s="26"/>
      <c r="J375" s="4">
        <f t="shared" si="1"/>
        <v>0</v>
      </c>
      <c r="K375" s="5">
        <f t="shared" si="2"/>
        <v>0</v>
      </c>
    </row>
    <row r="376" ht="15.0" customHeight="1">
      <c r="C376" s="22" t="str">
        <f t="shared" si="4"/>
        <v>Renzo</v>
      </c>
      <c r="E376" s="21"/>
      <c r="F376" s="26"/>
      <c r="G376" s="59" t="s">
        <v>225</v>
      </c>
      <c r="J376" s="4">
        <f t="shared" si="1"/>
        <v>0</v>
      </c>
      <c r="K376" s="5">
        <f t="shared" si="2"/>
        <v>0</v>
      </c>
    </row>
    <row r="377" ht="15.0" customHeight="1">
      <c r="C377" s="22" t="str">
        <f t="shared" si="4"/>
        <v>Renzo</v>
      </c>
      <c r="E377" s="21"/>
      <c r="F377" s="26"/>
      <c r="G377" s="26"/>
      <c r="J377" s="4">
        <f t="shared" si="1"/>
        <v>0</v>
      </c>
      <c r="K377" s="5">
        <f t="shared" si="2"/>
        <v>0</v>
      </c>
    </row>
    <row r="378" ht="15.0" customHeight="1">
      <c r="C378" s="22" t="str">
        <f t="shared" si="4"/>
        <v>Renzo</v>
      </c>
      <c r="E378" s="57" t="s">
        <v>83</v>
      </c>
      <c r="F378" s="57" t="s">
        <v>453</v>
      </c>
      <c r="G378" s="58" t="s">
        <v>454</v>
      </c>
      <c r="I378" s="65" t="s">
        <v>87</v>
      </c>
      <c r="J378" s="4">
        <f t="shared" si="1"/>
        <v>30</v>
      </c>
      <c r="K378" s="5">
        <f t="shared" si="2"/>
        <v>8</v>
      </c>
    </row>
    <row r="379" ht="15.0" customHeight="1">
      <c r="C379" s="22" t="str">
        <f t="shared" si="4"/>
        <v>Renzo</v>
      </c>
      <c r="E379" s="21"/>
      <c r="F379" s="26"/>
      <c r="G379" s="26"/>
      <c r="J379" s="4">
        <f t="shared" si="1"/>
        <v>0</v>
      </c>
      <c r="K379" s="5">
        <f t="shared" si="2"/>
        <v>0</v>
      </c>
    </row>
    <row r="380" ht="15.0" customHeight="1">
      <c r="C380" s="22" t="str">
        <f t="shared" si="4"/>
        <v>Renzo</v>
      </c>
      <c r="E380" s="21"/>
      <c r="F380" s="26"/>
      <c r="G380" s="59" t="s">
        <v>225</v>
      </c>
      <c r="J380" s="4">
        <f t="shared" si="1"/>
        <v>0</v>
      </c>
      <c r="K380" s="5">
        <f t="shared" si="2"/>
        <v>0</v>
      </c>
    </row>
    <row r="381" ht="15.0" customHeight="1">
      <c r="C381" s="22" t="str">
        <f t="shared" si="4"/>
        <v>Renzo</v>
      </c>
      <c r="E381" s="21"/>
      <c r="F381" s="26"/>
      <c r="G381" s="26"/>
      <c r="J381" s="4">
        <f t="shared" si="1"/>
        <v>0</v>
      </c>
      <c r="K381" s="5">
        <f t="shared" si="2"/>
        <v>0</v>
      </c>
    </row>
    <row r="382" ht="15.0" customHeight="1">
      <c r="C382" s="22" t="str">
        <f t="shared" si="4"/>
        <v>Renzo</v>
      </c>
      <c r="E382" s="57" t="s">
        <v>83</v>
      </c>
      <c r="F382" s="57" t="s">
        <v>455</v>
      </c>
      <c r="G382" s="58" t="s">
        <v>456</v>
      </c>
      <c r="I382" s="65" t="s">
        <v>265</v>
      </c>
      <c r="J382" s="4">
        <f t="shared" si="1"/>
        <v>36</v>
      </c>
      <c r="K382" s="5">
        <f t="shared" si="2"/>
        <v>1</v>
      </c>
    </row>
    <row r="383" ht="15.0" customHeight="1">
      <c r="C383" s="22" t="str">
        <f t="shared" si="4"/>
        <v>Renzo</v>
      </c>
      <c r="E383" s="21"/>
      <c r="F383" s="26"/>
      <c r="G383" s="26"/>
      <c r="J383" s="4">
        <f t="shared" si="1"/>
        <v>0</v>
      </c>
      <c r="K383" s="5">
        <f t="shared" si="2"/>
        <v>0</v>
      </c>
    </row>
    <row r="384" ht="15.0" customHeight="1">
      <c r="C384" s="22" t="str">
        <f t="shared" si="4"/>
        <v>Renzo</v>
      </c>
      <c r="E384" s="21"/>
      <c r="F384" s="26"/>
      <c r="G384" s="59" t="s">
        <v>225</v>
      </c>
      <c r="J384" s="4">
        <f t="shared" si="1"/>
        <v>0</v>
      </c>
      <c r="K384" s="5">
        <f t="shared" si="2"/>
        <v>0</v>
      </c>
    </row>
    <row r="385" ht="15.0" customHeight="1">
      <c r="C385" s="22" t="str">
        <f t="shared" si="4"/>
        <v>Renzo</v>
      </c>
      <c r="E385" s="21"/>
      <c r="F385" s="26"/>
      <c r="G385" s="26"/>
      <c r="J385" s="4">
        <f t="shared" si="1"/>
        <v>0</v>
      </c>
      <c r="K385" s="5">
        <f t="shared" si="2"/>
        <v>0</v>
      </c>
    </row>
    <row r="386" ht="15.0" customHeight="1">
      <c r="C386" s="22" t="str">
        <f t="shared" si="4"/>
        <v>Mariano</v>
      </c>
      <c r="E386" s="57" t="s">
        <v>89</v>
      </c>
      <c r="F386" s="57" t="s">
        <v>457</v>
      </c>
      <c r="G386" s="58" t="s">
        <v>458</v>
      </c>
      <c r="I386" s="65" t="s">
        <v>60</v>
      </c>
      <c r="J386" s="4">
        <f t="shared" si="1"/>
        <v>32</v>
      </c>
      <c r="K386" s="5">
        <f t="shared" si="2"/>
        <v>1</v>
      </c>
    </row>
    <row r="387" ht="15.0" customHeight="1">
      <c r="C387" s="22" t="str">
        <f t="shared" si="4"/>
        <v>Mariano</v>
      </c>
      <c r="E387" s="21"/>
      <c r="F387" s="26"/>
      <c r="G387" s="58" t="s">
        <v>459</v>
      </c>
      <c r="J387" s="4">
        <f t="shared" si="1"/>
        <v>0</v>
      </c>
      <c r="K387" s="5">
        <f t="shared" si="2"/>
        <v>0</v>
      </c>
    </row>
    <row r="388" ht="15.0" customHeight="1">
      <c r="C388" s="22" t="str">
        <f t="shared" si="4"/>
        <v>Mariano</v>
      </c>
      <c r="E388" s="21"/>
      <c r="F388" s="26"/>
      <c r="G388" s="58" t="s">
        <v>460</v>
      </c>
      <c r="I388" s="65" t="s">
        <v>209</v>
      </c>
      <c r="J388" s="4">
        <f t="shared" si="1"/>
        <v>29</v>
      </c>
      <c r="K388" s="5">
        <f t="shared" si="2"/>
        <v>4</v>
      </c>
    </row>
    <row r="389" ht="15.0" customHeight="1">
      <c r="C389" s="22" t="str">
        <f t="shared" si="4"/>
        <v>Mariano</v>
      </c>
      <c r="E389" s="21"/>
      <c r="F389" s="26"/>
      <c r="G389" s="26"/>
      <c r="J389" s="4">
        <f t="shared" si="1"/>
        <v>0</v>
      </c>
      <c r="K389" s="5">
        <f t="shared" si="2"/>
        <v>0</v>
      </c>
    </row>
    <row r="390" ht="15.0" customHeight="1">
      <c r="C390" s="22" t="str">
        <f t="shared" si="4"/>
        <v>Mariano</v>
      </c>
      <c r="E390" s="21"/>
      <c r="F390" s="26"/>
      <c r="G390" s="59" t="s">
        <v>225</v>
      </c>
      <c r="J390" s="4">
        <f t="shared" si="1"/>
        <v>0</v>
      </c>
      <c r="K390" s="5">
        <f t="shared" si="2"/>
        <v>0</v>
      </c>
    </row>
    <row r="391" ht="15.0" customHeight="1">
      <c r="C391" s="22" t="str">
        <f t="shared" si="4"/>
        <v>Mariano</v>
      </c>
      <c r="E391" s="21"/>
      <c r="F391" s="26"/>
      <c r="G391" s="26"/>
      <c r="J391" s="4">
        <f t="shared" si="1"/>
        <v>0</v>
      </c>
      <c r="K391" s="5">
        <f t="shared" si="2"/>
        <v>0</v>
      </c>
    </row>
    <row r="392" ht="15.0" customHeight="1">
      <c r="C392" s="22" t="str">
        <f t="shared" si="4"/>
        <v>Antonella</v>
      </c>
      <c r="E392" s="57" t="s">
        <v>84</v>
      </c>
      <c r="F392" s="57" t="s">
        <v>461</v>
      </c>
      <c r="G392" s="58" t="s">
        <v>462</v>
      </c>
      <c r="I392" s="65" t="s">
        <v>226</v>
      </c>
      <c r="J392" s="4">
        <f t="shared" si="1"/>
        <v>26</v>
      </c>
      <c r="K392" s="5">
        <f t="shared" si="2"/>
        <v>3</v>
      </c>
    </row>
    <row r="393" ht="15.0" customHeight="1">
      <c r="C393" s="22" t="str">
        <f t="shared" si="4"/>
        <v>Antonella</v>
      </c>
      <c r="E393" s="21"/>
      <c r="F393" s="26"/>
      <c r="G393" s="26"/>
      <c r="J393" s="4">
        <f t="shared" si="1"/>
        <v>0</v>
      </c>
      <c r="K393" s="5">
        <f t="shared" si="2"/>
        <v>0</v>
      </c>
    </row>
    <row r="394" ht="15.0" customHeight="1">
      <c r="C394" s="22" t="str">
        <f t="shared" si="4"/>
        <v>Antonella</v>
      </c>
      <c r="E394" s="21"/>
      <c r="F394" s="26"/>
      <c r="G394" s="59" t="s">
        <v>225</v>
      </c>
      <c r="J394" s="4">
        <f t="shared" si="1"/>
        <v>0</v>
      </c>
      <c r="K394" s="5">
        <f t="shared" si="2"/>
        <v>0</v>
      </c>
    </row>
    <row r="395" ht="15.0" customHeight="1">
      <c r="C395" s="22" t="str">
        <f t="shared" si="4"/>
        <v>Antonella</v>
      </c>
      <c r="E395" s="21"/>
      <c r="F395" s="26"/>
      <c r="G395" s="26"/>
      <c r="J395" s="4">
        <f t="shared" si="1"/>
        <v>0</v>
      </c>
      <c r="K395" s="5">
        <f t="shared" si="2"/>
        <v>0</v>
      </c>
    </row>
    <row r="396" ht="15.0" customHeight="1">
      <c r="C396" s="22" t="str">
        <f t="shared" si="4"/>
        <v>Mariano</v>
      </c>
      <c r="E396" s="57" t="s">
        <v>89</v>
      </c>
      <c r="F396" s="57" t="s">
        <v>463</v>
      </c>
      <c r="G396" s="58" t="s">
        <v>464</v>
      </c>
      <c r="I396" s="65" t="s">
        <v>226</v>
      </c>
      <c r="J396" s="4">
        <f t="shared" si="1"/>
        <v>26</v>
      </c>
      <c r="K396" s="5">
        <f t="shared" si="2"/>
        <v>3</v>
      </c>
    </row>
    <row r="397" ht="15.0" customHeight="1">
      <c r="E397" s="21"/>
      <c r="F397" s="26"/>
      <c r="G397" s="26"/>
      <c r="J397" s="4">
        <f t="shared" si="1"/>
        <v>0</v>
      </c>
      <c r="K397" s="5">
        <f t="shared" si="2"/>
        <v>0</v>
      </c>
    </row>
  </sheetData>
  <dataValidations>
    <dataValidation type="list" allowBlank="1" showErrorMessage="1" sqref="I3:I16 I18:I397">
      <formula1>$W$28:$W$63</formula1>
    </dataValidation>
    <dataValidation type="list" allowBlank="1" showErrorMessage="1" sqref="K1:K2">
      <formula1>$O$4:$O$15</formula1>
    </dataValidation>
  </dataValidations>
  <drawing r:id="rId2"/>
  <legacyDrawing r:id="rId3"/>
</worksheet>
</file>