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1_wg 13" sheetId="1" r:id="rId3"/>
    <sheet state="visible" name="t1_ wg14" sheetId="2" r:id="rId4"/>
  </sheets>
  <definedNames>
    <definedName localSheetId="1" name="k">'t1_ wg14'!$K$17</definedName>
    <definedName localSheetId="0" name="k">'t1_wg 13'!$K$17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<sst xmlns="http://schemas.openxmlformats.org/spreadsheetml/2006/main" count="1612" uniqueCount="518">
  <si>
    <t>FECHA</t>
  </si>
  <si>
    <t>AUTOR</t>
  </si>
  <si>
    <t>DESCRIPCION</t>
  </si>
  <si>
    <t>HORA</t>
  </si>
  <si>
    <t>MENSAJE</t>
  </si>
  <si>
    <t>Patrón Comunicación</t>
  </si>
  <si>
    <t>ATRIBUTO</t>
  </si>
  <si>
    <t>CONDUCTA</t>
  </si>
  <si>
    <t>Conducta (Descripción)</t>
  </si>
  <si>
    <t># interacc.</t>
  </si>
  <si>
    <t>% del equipo</t>
  </si>
  <si>
    <t>Problemas Grupales</t>
  </si>
  <si>
    <t>Ind de interac intragrupal</t>
  </si>
  <si>
    <t xml:space="preserve">Muro </t>
  </si>
  <si>
    <t xml:space="preserve">mié. 16:22 </t>
  </si>
  <si>
    <t>Ah ok joya..</t>
  </si>
  <si>
    <t>totales &gt;&gt;</t>
  </si>
  <si>
    <t>Conflicto</t>
  </si>
  <si>
    <t>Conducta</t>
  </si>
  <si>
    <t>limi. Sup</t>
  </si>
  <si>
    <t>lim. Inf.</t>
  </si>
  <si>
    <t>IPA</t>
  </si>
  <si>
    <t>% por sub-h</t>
  </si>
  <si>
    <t xml:space="preserve">Bruno Rios </t>
  </si>
  <si>
    <t xml:space="preserve">mié. 16:23 </t>
  </si>
  <si>
    <t>?</t>
  </si>
  <si>
    <t>Muestra solidaridad</t>
  </si>
  <si>
    <t>Comunicación</t>
  </si>
  <si>
    <t>c6</t>
  </si>
  <si>
    <t>.</t>
  </si>
  <si>
    <t xml:space="preserve">mié. 16:24 </t>
  </si>
  <si>
    <t>Yo en un ratito llego a casa y me pongo a escribir un poco.. Y ven que les parece. ?</t>
  </si>
  <si>
    <t>Muestra relajamiento o moderación</t>
  </si>
  <si>
    <t>c7</t>
  </si>
  <si>
    <t>Juan Ignacio Martel</t>
  </si>
  <si>
    <t>datos</t>
  </si>
  <si>
    <t xml:space="preserve">mié. 16:25 </t>
  </si>
  <si>
    <t>Yo puse algo recien antes que me olvide</t>
  </si>
  <si>
    <t>Muestra acuerdo o aprueba</t>
  </si>
  <si>
    <t>Evaluación</t>
  </si>
  <si>
    <t>c5</t>
  </si>
  <si>
    <t xml:space="preserve">mié. 16:26 </t>
  </si>
  <si>
    <t>Jeje ok yo no estoy en casa por eso..</t>
  </si>
  <si>
    <t>Miren a ver que les parece lo q agregue</t>
  </si>
  <si>
    <t>¿Están de acuerdo...?</t>
  </si>
  <si>
    <t>Da sugerencia u orientación</t>
  </si>
  <si>
    <t>c8</t>
  </si>
  <si>
    <t xml:space="preserve">Diego Said </t>
  </si>
  <si>
    <t xml:space="preserve">mié. 16:57 </t>
  </si>
  <si>
    <t>chicos para los que no lo tienen, hay una aplicacion de hangouts para la compu que es lo mas comodo para chatear acá</t>
  </si>
  <si>
    <t>Da opiniones</t>
  </si>
  <si>
    <t>Control</t>
  </si>
  <si>
    <t>c4</t>
  </si>
  <si>
    <t xml:space="preserve">mié. 16:58 </t>
  </si>
  <si>
    <t>Sisi yo tengo esa app</t>
  </si>
  <si>
    <t>Da información</t>
  </si>
  <si>
    <t>c9</t>
  </si>
  <si>
    <t xml:space="preserve">Alfredo </t>
  </si>
  <si>
    <t xml:space="preserve">mié. 18:40 </t>
  </si>
  <si>
    <t>estamos todos en el chat este ya ??</t>
  </si>
  <si>
    <t>Kevin Ruau</t>
  </si>
  <si>
    <t>Discúlpenme…</t>
  </si>
  <si>
    <t>yo creo qeu se podría utilizar! después fundamento por qué</t>
  </si>
  <si>
    <t>Yo creo que… porque…</t>
  </si>
  <si>
    <t>Pide información</t>
  </si>
  <si>
    <t>Decisión</t>
  </si>
  <si>
    <t>c3</t>
  </si>
  <si>
    <t xml:space="preserve">Bruno Rudenick </t>
  </si>
  <si>
    <t>Nos agregaron a todos si</t>
  </si>
  <si>
    <t>Resumiendo,…</t>
  </si>
  <si>
    <t>Pide opinión</t>
  </si>
  <si>
    <t>c10</t>
  </si>
  <si>
    <t>problema !!!</t>
  </si>
  <si>
    <t xml:space="preserve">mié. 18:44 </t>
  </si>
  <si>
    <t>hay alguien que esta , pero no tiene la app.</t>
  </si>
  <si>
    <t>MateoCannata</t>
  </si>
  <si>
    <t>Yo creo que también. No se bien como justificarlo, pero quizás, por que prolog tiene una sintaxis similar a la lógica formal, provee un backtracking para hacer búsquedas mas simples.</t>
  </si>
  <si>
    <t>Si, estoy de acuerdo…</t>
  </si>
  <si>
    <t>Pide sugerencias u orientación</t>
  </si>
  <si>
    <t>Reducción de tensión</t>
  </si>
  <si>
    <t>c2</t>
  </si>
  <si>
    <t xml:space="preserve">mié. 18:50 </t>
  </si>
  <si>
    <t>yo la acabo de descargar</t>
  </si>
  <si>
    <t>Muestra desacuerdo o desaprobación</t>
  </si>
  <si>
    <t>c11</t>
  </si>
  <si>
    <t>Supongo que para darle un conocimiento nuevo se puede hacer un assert de un hecho que le brinda información. También permite obtener información de un programa realizando consultas.</t>
  </si>
  <si>
    <t>aunque la tenia en el cel</t>
  </si>
  <si>
    <t>Muestra tensión o molestia</t>
  </si>
  <si>
    <t>Reintegración</t>
  </si>
  <si>
    <t>c1</t>
  </si>
  <si>
    <t>(son solo ideas)</t>
  </si>
  <si>
    <t>Muestra antagonismo o agresividad</t>
  </si>
  <si>
    <t>c12</t>
  </si>
  <si>
    <t xml:space="preserve">mié. 18:51 </t>
  </si>
  <si>
    <t>Yo estoy.. Y tengo la app</t>
  </si>
  <si>
    <t>ahora me voy pero mas tarde conectemonos todos tipo 8 maso. yo escribi algo</t>
  </si>
  <si>
    <t xml:space="preserve"> % de interacción por atributo</t>
  </si>
  <si>
    <t>si lo lei hace un rato. esta bien.</t>
  </si>
  <si>
    <t>Alumno: &gt;&gt;&gt;&gt;&gt;</t>
  </si>
  <si>
    <t>&gt;&gt;&gt;</t>
  </si>
  <si>
    <t>hernan</t>
  </si>
  <si>
    <t>exactamente eso iba a decir, más que nada por el hecho del assert, que te permite agregar información "aprendida"</t>
  </si>
  <si>
    <t xml:space="preserve">mié. 18:52 </t>
  </si>
  <si>
    <t>igual no se que tanto hay que escribir</t>
  </si>
  <si>
    <t>¿Qué falta considerar?...</t>
  </si>
  <si>
    <t>Interacciones de :</t>
  </si>
  <si>
    <t>faltaria explicarlo con nuestas palabras, y capaz que desarrollar un poco mas no ?</t>
  </si>
  <si>
    <t>claro, poner mas</t>
  </si>
  <si>
    <t xml:space="preserve">Juan Ignacio </t>
  </si>
  <si>
    <t>yo lo explique con mis palabras peroo como que parece poco ajaja</t>
  </si>
  <si>
    <t>No estoy seguro…</t>
  </si>
  <si>
    <t>jajaja esta bien</t>
  </si>
  <si>
    <t xml:space="preserve">Kevin </t>
  </si>
  <si>
    <t xml:space="preserve">mié. 18:53 </t>
  </si>
  <si>
    <t>Recién llego a casa.. Ahí me conecto y leo todo</t>
  </si>
  <si>
    <t xml:space="preserve">Mateo </t>
  </si>
  <si>
    <t xml:space="preserve">mié. 19:15 </t>
  </si>
  <si>
    <t>Ahí estoy agregando algunas cosas..</t>
  </si>
  <si>
    <t xml:space="preserve">Emmanuel </t>
  </si>
  <si>
    <t>Emmanuel Zamora</t>
  </si>
  <si>
    <t>Desp mirenlas y me dicen que opinan..</t>
  </si>
  <si>
    <t xml:space="preserve">Alejandro </t>
  </si>
  <si>
    <t># del equipo</t>
  </si>
  <si>
    <t xml:space="preserve"> # individuo</t>
  </si>
  <si>
    <t>% individuo</t>
  </si>
  <si>
    <t>% ind X % grupal</t>
  </si>
  <si>
    <t>SUB HABILIDAD</t>
  </si>
  <si>
    <t>RESULTADOS</t>
  </si>
  <si>
    <t>Mas que nada desarrollo un poquito mas eso mismo que esta..</t>
  </si>
  <si>
    <t>clustering</t>
  </si>
  <si>
    <t>Interacciones &gt;&gt;</t>
  </si>
  <si>
    <t>&gt;&gt;&gt;&gt;&gt;</t>
  </si>
  <si>
    <t>Patrón de comunicación</t>
  </si>
  <si>
    <t>Atributo (Descripción)</t>
  </si>
  <si>
    <t>me parece que ahí va quedando.. quizás se peude agregar alguna que otra cosita, pero la idea está</t>
  </si>
  <si>
    <t>A mi me parece bien…</t>
  </si>
  <si>
    <t>Sub-Habilidad</t>
  </si>
  <si>
    <t xml:space="preserve">% individual </t>
  </si>
  <si>
    <t>% equipo</t>
  </si>
  <si>
    <t xml:space="preserve">% </t>
  </si>
  <si>
    <t>sub-habilidad</t>
  </si>
  <si>
    <t>% parcial x atributo y sub habilidad</t>
  </si>
  <si>
    <t>PROBLEMA</t>
  </si>
  <si>
    <t>SITUACION</t>
  </si>
  <si>
    <t>ESTRATEGIA</t>
  </si>
  <si>
    <t xml:space="preserve">mié. 22:50 </t>
  </si>
  <si>
    <t>ahi lei, y acomode un poco, pero esta bien. dsp vemos lo de las aplicaciones</t>
  </si>
  <si>
    <t>Atributo</t>
  </si>
  <si>
    <t>Preguntemos al profesor…</t>
  </si>
  <si>
    <t>Mediación docente</t>
  </si>
  <si>
    <t>Mediación</t>
  </si>
  <si>
    <t>Comunicacióm</t>
  </si>
  <si>
    <t>Informar</t>
  </si>
  <si>
    <t>Miren lo que agruegue, si les parece podemos comentar un poco de eso...</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</si>
  <si>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</si>
  <si>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</si>
  <si>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 xml:space="preserve">mié. 22:51 </t>
  </si>
  <si>
    <t>Dale dale..</t>
  </si>
  <si>
    <t>Continuemos…</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</si>
  <si>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</si>
  <si>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</si>
  <si>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</si>
  <si>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</si>
  <si>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</si>
  <si>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</si>
  <si>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Aplicaciones me parecen bien esas.. Pero habría que ampliar un poco..</t>
  </si>
  <si>
    <t>Intentemos…</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</si>
  <si>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</si>
  <si>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</si>
  <si>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</si>
  <si>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</si>
  <si>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si obio</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</si>
  <si>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</si>
  <si>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</si>
  <si>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</si>
  <si>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</si>
  <si>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 xml:space="preserve">mié. 22:52 </t>
  </si>
  <si>
    <t>Osea hablar de cada aplicación un poco..</t>
  </si>
  <si>
    <t>Hay que hacer lo siguiente…</t>
  </si>
  <si>
    <t>pero es lo que puse más arriba :P son los dos tipos de aprendizaje. si querés, podés modificar lo que puse con algunas cosas que pusiste, no hay problema</t>
  </si>
  <si>
    <t>En lugar de eso podríamos…</t>
  </si>
  <si>
    <t>Ofrecer alternativa</t>
  </si>
  <si>
    <t>En otras palabras…</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</si>
  <si>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</si>
  <si>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</si>
  <si>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Y alguien encontró algo del punto 3??</t>
  </si>
  <si>
    <t>No entiendo, ¿alguien puede...?</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</si>
  <si>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</si>
  <si>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</si>
  <si>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</si>
  <si>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yo lo que te conte hoy, no mas</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</si>
  <si>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</si>
  <si>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</si>
  <si>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</si>
  <si>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</si>
  <si>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</si>
  <si>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 xml:space="preserve">mié. 22:53 </t>
  </si>
  <si>
    <t>Claro clafo</t>
  </si>
  <si>
    <t>Pero podría ocurrir que…</t>
  </si>
  <si>
    <t>Proponer excepciones</t>
  </si>
  <si>
    <t>Claro, por ahi podriamos relacionar el aprendizaje memoristico con el supervisado y el cognoscitivo con el no supervisado, no?</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</si>
  <si>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</si>
  <si>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El resto?</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</si>
  <si>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</si>
  <si>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</si>
  <si>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 xml:space="preserve">mié. 22:55 </t>
  </si>
  <si>
    <t>Yo vi un par de papers de prolog implementando machine learning, pero hay que ver como justificar que se puede</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</si>
  <si>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</si>
  <si>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</si>
  <si>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</si>
  <si>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</si>
  <si>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</si>
  <si>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 xml:space="preserve">mié. 22:56 </t>
  </si>
  <si>
    <t>yo algo que lei es que, los datos sobre los cuales de basa un sistema para aprender, pueden estar en bases logicas</t>
  </si>
  <si>
    <t>exacto!</t>
  </si>
  <si>
    <t>¡Esto va bien! Sigamos…</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</si>
  <si>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</si>
  <si>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</si>
  <si>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 xml:space="preserve">mié. 23:40 </t>
  </si>
  <si>
    <t>muchachos... ahora me pongo la 10</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</si>
  <si>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</si>
  <si>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</si>
  <si>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y voy a emepezar a aportar !!!</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</si>
  <si>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</si>
  <si>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</si>
  <si>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bajo a pasear al perro y arranco</t>
  </si>
  <si>
    <t>Yo pienso que…</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</si>
  <si>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</si>
  <si>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</si>
  <si>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estos</t>
  </si>
  <si>
    <t xml:space="preserve">jue. 18:05 </t>
  </si>
  <si>
    <t>agregaron algo mas? ademas de lo mio y lo de mauro</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</si>
  <si>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</si>
  <si>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</si>
  <si>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es como una idea más amplia del optical character recognition? si es así, cambiamos el ejemplo de OCR...</t>
  </si>
  <si>
    <t xml:space="preserve">jue. 18:08 </t>
  </si>
  <si>
    <t>No pude entrar hoy.. Pero anoche dijo Alfredo que tocaba algo mas..</t>
  </si>
  <si>
    <t>Yo lo explicaría así…</t>
  </si>
  <si>
    <t>Explicar/Clarificar</t>
  </si>
  <si>
    <t>Reconocimiento</t>
  </si>
  <si>
    <t>XXXX</t>
  </si>
  <si>
    <t>Ahora cuando llegue a casa me fijo..</t>
  </si>
  <si>
    <t>Justificar</t>
  </si>
  <si>
    <t xml:space="preserve">jue. 19:07 </t>
  </si>
  <si>
    <t>Hola chicos.. Alguno esta?</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</si>
  <si>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</si>
  <si>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</si>
  <si>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</si>
  <si>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</si>
  <si>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 xml:space="preserve">jue. 19:09 </t>
  </si>
  <si>
    <t>Si?</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</si>
  <si>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</si>
  <si>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</si>
  <si>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Si, parece ser la idea general del OCR</t>
  </si>
  <si>
    <t>estoy</t>
  </si>
  <si>
    <t>¿Qué hacemos ahora?...</t>
  </si>
  <si>
    <t>Elaboración</t>
  </si>
  <si>
    <t>Puesto que la conducta “Muestra tensión” es calificada por (Bales, 1950) como una conducta negativa, no se considera conveniente entrenar al grupo para que la manifieste.</t>
  </si>
  <si>
    <t>estoy armando una respuesta el 3), en un rato lo paso al google docs</t>
  </si>
  <si>
    <t>Por favor, expliqueme…</t>
  </si>
  <si>
    <t>Clarificación</t>
  </si>
  <si>
    <t xml:space="preserve">jue. 19:11 </t>
  </si>
  <si>
    <t>Ah okok era para eso.. Para ir armando lo que falta</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</si>
  <si>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</si>
  <si>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</si>
  <si>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</si>
  <si>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</si>
  <si>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Yo ahora toco algo de la dos así ya tenemos todo terminado</t>
  </si>
  <si>
    <t>¿Se puede…?</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</si>
  <si>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</si>
  <si>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</si>
  <si>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 xml:space="preserve">jue. 19:12 </t>
  </si>
  <si>
    <t>estoy armando algo con esto, y otras cosas que busque</t>
  </si>
  <si>
    <t>bueno, lo cambio por otro. Me parece que queda mejor el caso general y no es específico (OCR)</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</si>
  <si>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</si>
  <si>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</si>
  <si>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</si>
  <si>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http://comunidad.udistrital.edu.co/revistavinculos/files/2013/09/El-uso-de-Prolog-en-el-aula-de-logica-a-inteligencia-artificial.pdf</t>
  </si>
  <si>
    <t>Gracias amigos…</t>
  </si>
  <si>
    <t>Apreciación</t>
  </si>
  <si>
    <t>Puesto que la conducta “Muestra antagonismo” es calificada por (Bales, 1950) como una conducta negativa, no se considera conveniente entrenar al grupo para que la manifieste.</t>
  </si>
  <si>
    <t>Aceptación/Confirmación</t>
  </si>
  <si>
    <t>R (MEJORADO)</t>
  </si>
  <si>
    <t xml:space="preserve">jue. 19:48 </t>
  </si>
  <si>
    <t>tengo algo armado para la pregunta 3. ahi lo paso</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</si>
  <si>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</si>
  <si>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</si>
  <si>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</si>
  <si>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</si>
  <si>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seguramente algunas cosas estaran bien, otras mal. lean, y sean libres de agregar o borrar jaja.</t>
  </si>
  <si>
    <t>Requerir atención</t>
  </si>
  <si>
    <t>Estudiante a requiere entrenamiento de subhabilidad Tarea</t>
  </si>
  <si>
    <t>http://www.forbes.com/sites/85broads/2014/01/06/six-novel-machine-learning-applications/ aca hay un par interesantes</t>
  </si>
  <si>
    <t>Debe indicarle que cuando se efectúen un pedido de información, que realice una contribución a continuación de la oración de apertura “Resumiendo,…”.</t>
  </si>
  <si>
    <t>creo que faltaria una conclusion un poco mas cerrada</t>
  </si>
  <si>
    <t>Yo creo que debemos intentar…</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</si>
  <si>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</si>
  <si>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</si>
  <si>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</si>
  <si>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lean y me dicen</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</si>
  <si>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</si>
  <si>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</si>
  <si>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</si>
  <si>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 xml:space="preserve">jue. 19:51 </t>
  </si>
  <si>
    <t>Dale dale.. Yo me ducho y lo leo</t>
  </si>
  <si>
    <t>Te explico….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</si>
  <si>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</si>
  <si>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</si>
  <si>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</si>
  <si>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Esta faltando una descripción de una aplicación..</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</si>
  <si>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</si>
  <si>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</si>
  <si>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Y ya estaríamos.. ?</t>
  </si>
  <si>
    <t>Ahi lo acomode como una conclusion, despues fijense que les parece.</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</si>
  <si>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</si>
  <si>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</si>
  <si>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</si>
  <si>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 xml:space="preserve">jue. 19:53 </t>
  </si>
  <si>
    <t>Me estaba bañando. Ahi miro. El enlace que puse en el doc tiene explicada varias aplicaciones</t>
  </si>
  <si>
    <t>En vez de… Probemos…</t>
  </si>
  <si>
    <t>Requerir cambio de enfoque</t>
  </si>
  <si>
    <t>Indicar que en un futuro debe formular al menos un requerimiento al grupo. El estudiante debe hacer su contribución a continuación de la oración de apertura “Continuemos…”.</t>
  </si>
  <si>
    <t xml:space="preserve">jue. 19:54 </t>
  </si>
  <si>
    <t>capaz que lo hice un poco largo, borren lo que crean que no va.</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</si>
  <si>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</si>
  <si>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</si>
  <si>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en un rato me conecto</t>
  </si>
  <si>
    <t>¡Hasta la próxima!</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</si>
  <si>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</si>
  <si>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</si>
  <si>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</si>
  <si>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jue. 20:59 </t>
  </si>
  <si>
    <t>No me parece mal lo que pusiste Diego.. Pero se me da como que no queda claro si se puede o no usa prolog para eso..</t>
  </si>
  <si>
    <t xml:space="preserve">Debe indicarle que cuando se efectúen un pedido de sugerencia u orientación, que realice una contribución a continuación de la oración de apertura “En lugar de eso podríamos…”.
</t>
  </si>
  <si>
    <t>Estaría para poner antes de eso algo como..."pensamos que si se podría usar prolog, ya que... "Y el texto..</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</si>
  <si>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</si>
  <si>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Que opinan..</t>
  </si>
  <si>
    <t xml:space="preserve">Debe indicarle que cuando se efectúen un pedido de sugerencia u orientación, que realice una contribución a continuación de la oración de apertura “Yo creo que debemos intentar…”.
</t>
  </si>
  <si>
    <t>También agrege la tercera aplicación mirenla y digan que les parece desp</t>
  </si>
  <si>
    <t xml:space="preserve">Debe indicarle que cuando se efectúen un pedido de sugerencia u orientación, que realice una contribución a continuación de la oración de apertura “En vez de… probemos…”.
</t>
  </si>
  <si>
    <t xml:space="preserve">jue. 21:42 </t>
  </si>
  <si>
    <t>si a mi tambien me daba la sensación de que falta cerrar la pregunta</t>
  </si>
  <si>
    <t>Indicar que en un futuro debe formular al menos un requerimiento al grupo. El estudiante debe hacer su contribución a continuación de la oración de apertura “¿Qué hacemos ahora…?”.</t>
  </si>
  <si>
    <t>despues del doparti miro lo que hiciste</t>
  </si>
  <si>
    <t>Termina el partido y veo</t>
  </si>
  <si>
    <t xml:space="preserve">21/11/2014 - 9:54 </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</si>
  <si>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</si>
  <si>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</si>
  <si>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leí lo del doc, y me parece bien lo que esta, pero hay que acortarlo, hay cosas que nose si irian, como ponerse a explicar con detalle prolog.</t>
  </si>
  <si>
    <t>Indicar que en un futuro debe formular al menos una muestra de relajamiento al grupo. El estudiante debe hacer su contribución a continuación de la oración de apertura “Gracias amigos,…”.</t>
  </si>
  <si>
    <t xml:space="preserve">21/11/2014 - 9:59 </t>
  </si>
  <si>
    <t>Sisi, no me parece mal..</t>
  </si>
  <si>
    <t>Puesto que la conducta “Muestra tensión” es calificada como una conducta negativa, no se considera conveniente entrenarla.</t>
  </si>
  <si>
    <t>A mi también me pareció muy largo.. P</t>
  </si>
  <si>
    <t xml:space="preserve">21/11/2014 - 10:1 </t>
  </si>
  <si>
    <t>Ahora estoy repasando lenguajes porque rindo a las 2 pero dsp me pongo a acomodarlo</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</si>
  <si>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</si>
  <si>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</si>
  <si>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 xml:space="preserve">21/11/2014 - 10:29 </t>
  </si>
  <si>
    <t>mas que nada lo agregue por el hecho de describir las herramientas que presenta prolog, y poder hacer una comparacion con lo que es necesario para la IA. Pero si, esta largo.</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</si>
  <si>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</si>
  <si>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exitos en lenguajes, si quieren nos conectamos todos tipo 6-7 y cerramos todo. a mi me parece que el 1 y el 2 ya están liquidados</t>
  </si>
  <si>
    <t>Indicar que en un futuro debe formular al menos una muestra de solidaridad al grupo. El estudiante debe hacer su contribución a continuación de la oración de apertura “¡Hasta la próxima!...”.</t>
  </si>
  <si>
    <t xml:space="preserve">21/11/2014 - 10:32 </t>
  </si>
  <si>
    <t>Yo viajo en un ratito a mar del.. Pero si quieren tipo 6-7 nos conectamos como dijo Diego..</t>
  </si>
  <si>
    <t>Puesto que la conducta “Muestra antagonismo” es calificada como una conducta negativa, no se considera conveniente entrenarla.</t>
  </si>
  <si>
    <t>Para mi también el 1 y 2 están terminados..f</t>
  </si>
  <si>
    <t>Faltaría redondear un poco el tercero nomas..</t>
  </si>
  <si>
    <t>yo me encargo muchachos !</t>
  </si>
  <si>
    <t>Tenemos hasta mañana a la 6 no?</t>
  </si>
  <si>
    <t>Leí, que se aplica también a los juegos, como por ejemplo los de tablero. Decía que en juego de damas, teniendo un algoritmo de busqueda con una poda. y usando el algoritmo minimax, se había implementado un algoritmo de aprendizaje con el cual, el programa recordaba cada posición que ya había visto, junto con el valor final de la función de recompensa. Tal vez podría servir. Aunque quizás se refiera a aplicaciones mas actuales</t>
  </si>
  <si>
    <t xml:space="preserve">21/11/2014 - 10:33 </t>
  </si>
  <si>
    <t>estuve buscando y elaborando la respuesta aca en un word...</t>
  </si>
  <si>
    <t>dp me dicen que les parece !</t>
  </si>
  <si>
    <t>pero leiste lo que puse en gdocs?</t>
  </si>
  <si>
    <t>sisi</t>
  </si>
  <si>
    <t>yo creo que puede servir eso tambien</t>
  </si>
  <si>
    <t xml:space="preserve">21/11/2014 - 10:34 </t>
  </si>
  <si>
    <t>Okok</t>
  </si>
  <si>
    <t>Sisi hasta mañana a las 18</t>
  </si>
  <si>
    <t>Pero me parece que hoy lo terminamos.. No queda nada..</t>
  </si>
  <si>
    <t>Osea terminarlo hoy, lo mandamos y listo</t>
  </si>
  <si>
    <t>Nos sacamos la primer entrega de encima..</t>
  </si>
  <si>
    <t xml:space="preserve">21/11/2014 - 10:35 </t>
  </si>
  <si>
    <t>claro</t>
  </si>
  <si>
    <t>si yo creo que si nos conectamos y lo charlamos un ratito a la tarde, lo terminamos</t>
  </si>
  <si>
    <t xml:space="preserve">21/11/2014 - 10:36 </t>
  </si>
  <si>
    <t>Yo a la noche me conecto, porque a la tarde viajo</t>
  </si>
  <si>
    <t>Y veo todo</t>
  </si>
  <si>
    <t xml:space="preserve">21/11/2014 - 10:37 </t>
  </si>
  <si>
    <t>dale no hay problema</t>
  </si>
  <si>
    <t>quedo bien, bastante completo</t>
  </si>
  <si>
    <t>si te parece bien, tratamos de terminarlo y esperamos a ver que te parece.</t>
  </si>
  <si>
    <t>y despues lo mandamos</t>
  </si>
  <si>
    <t>Sisi dale</t>
  </si>
  <si>
    <t xml:space="preserve">21/11/2014 - 10:40 </t>
  </si>
  <si>
    <t>Tipo 6:30 pueden?</t>
  </si>
  <si>
    <t xml:space="preserve">jue. 9:08 </t>
  </si>
  <si>
    <t>Estaria bueno que coordinemos un horario y nos conectemos todos para debatir un poco el ultimo punto</t>
  </si>
  <si>
    <t xml:space="preserve">21/11/2014 - 10:56 </t>
  </si>
  <si>
    <t>sisis</t>
  </si>
  <si>
    <t xml:space="preserve">jue. 9:17 </t>
  </si>
  <si>
    <t>me parece bien, yo puedo a la tarde recien cuando salgo del trabajo</t>
  </si>
  <si>
    <t xml:space="preserve">21/11/2014 - 11:55 </t>
  </si>
  <si>
    <t>(Y)</t>
  </si>
  <si>
    <t>despues de las 17</t>
  </si>
  <si>
    <t xml:space="preserve">jue. 13:23 </t>
  </si>
  <si>
    <t>Ok, yo llego a mi casa también de las 17. A partir de esa hora voy a estar conectado</t>
  </si>
  <si>
    <t>*despues</t>
  </si>
  <si>
    <t xml:space="preserve">21/11/2014 - 17:33 </t>
  </si>
  <si>
    <t>muchachos, al final de la pregunta 3 separe con una linea la respuesta que venia armando... dp me dicen que les parece</t>
  </si>
  <si>
    <t xml:space="preserve">jue. 18:39 </t>
  </si>
  <si>
    <t>Hola gente, disculpen que colgue!</t>
  </si>
  <si>
    <t>la complemente mucho con la respuesta que estaba ahi anteriormente</t>
  </si>
  <si>
    <t>Tuve que venir a buenos aires a hacer unos tramites</t>
  </si>
  <si>
    <t>me tengo que ir a entrenar ahora, no voy a estar a las 18:30 seguramente... pero cuando vuelvo me pongo al dia</t>
  </si>
  <si>
    <t>Mañana voy a estar conectado a la tarde, si tipo 17 queren que debatamos el ultimo punto yo me sumo</t>
  </si>
  <si>
    <t xml:space="preserve">21/11/2014 - 17:41 </t>
  </si>
  <si>
    <t>Okok.. No hay drama.. Desp mira lo que hicimos..</t>
  </si>
  <si>
    <t xml:space="preserve">jue. 18:55 </t>
  </si>
  <si>
    <t>estuve leyendo lo que puso Kevin para el punto 3. para mi esta bien.. se entiende todo</t>
  </si>
  <si>
    <t>Yo 18:30 me conectado</t>
  </si>
  <si>
    <t>Conecto</t>
  </si>
  <si>
    <t xml:space="preserve">21/11/2014 - 14:40 </t>
  </si>
  <si>
    <t>lo que esta en el doc? sisi lo vi</t>
  </si>
  <si>
    <t>Buenas! estuve repasando el doc y pareciera estar completo ya. que opinan? no nos olvidemos de mandarlo, alguno quiere hacer algún cambio?</t>
  </si>
  <si>
    <t xml:space="preserve">21/11/2014 - 17:42 </t>
  </si>
  <si>
    <t>Nono.. Que desp mires lo que vamos a hacer en un rato jaja</t>
  </si>
  <si>
    <t xml:space="preserve">21/11/2014 - 16:38 </t>
  </si>
  <si>
    <t>chicos, ahi termine de releer el trabajo, concuerdo con que me parece que ya está completo. El punto tres me parece q se entiende muy bien y tiene un buen ejemplo de prueba</t>
  </si>
  <si>
    <t xml:space="preserve">21/11/2014 - 17:59 </t>
  </si>
  <si>
    <t>ahhh</t>
  </si>
  <si>
    <t xml:space="preserve">21/11/2014 - 16:48 </t>
  </si>
  <si>
    <t>Tambien se puede agregar a la blibliografia el pdf que les mande con los diferentes algoritmos, ya q en el punto tres hablamos sobre Explanation-based learning</t>
  </si>
  <si>
    <t>jaja</t>
  </si>
  <si>
    <t>http://www.cs.unm.edu/~luger/ai-final2/CH7_Machine%20Learning%20Algorithms%20in%20Prolog.pdf (ese es el pdf q digo, lo paso por aca xq al borrar lo q puse se borro el comentario)</t>
  </si>
  <si>
    <t>sisi dale !</t>
  </si>
  <si>
    <t xml:space="preserve">21/11/2014 - 18:44 </t>
  </si>
  <si>
    <t>Quedo muy bien explicado el punto 3</t>
  </si>
  <si>
    <t xml:space="preserve">21/11/2014 - 18:29 </t>
  </si>
  <si>
    <t>ahi leo lo que hiciste !</t>
  </si>
  <si>
    <t xml:space="preserve">21/11/2014 - 22:5 </t>
  </si>
  <si>
    <t xml:space="preserve">21/11/2014 - 18:34 </t>
  </si>
  <si>
    <t>ahora chequeo todo de vuelta, y ya mañana lo mando</t>
  </si>
  <si>
    <t>esta bien lo que hiciste alfredo</t>
  </si>
  <si>
    <t>y cierra mucho mas que el texto que hice yo jaja</t>
  </si>
  <si>
    <t>lo que hice en el punto 3 me parece que está... no es muy extenso, pero explica lo que pide</t>
  </si>
  <si>
    <t>Ahí leo</t>
  </si>
  <si>
    <t>Bueno, yo sino no tengo drama en mandarlo</t>
  </si>
  <si>
    <t xml:space="preserve">21/11/2014 - 18:39 </t>
  </si>
  <si>
    <t>estamos todos ?</t>
  </si>
  <si>
    <t>Si, además xq esta claro</t>
  </si>
  <si>
    <t xml:space="preserve">21/11/2014 - 18:40 </t>
  </si>
  <si>
    <t>Yo si</t>
  </si>
  <si>
    <t xml:space="preserve">21/11/2014 - 22:6 </t>
  </si>
  <si>
    <t>no te preocupés, después lo mando ?</t>
  </si>
  <si>
    <t>Estoy leyendo lo que puso alfredi</t>
  </si>
  <si>
    <t xml:space="preserve">22/11/2014 - 12:11 </t>
  </si>
  <si>
    <t>Listo chicos! Enviado :P</t>
  </si>
  <si>
    <t>Alfredo</t>
  </si>
  <si>
    <t>Un gusto hacer el trabajo! Nos hablamos luego! Abrazooo</t>
  </si>
  <si>
    <t xml:space="preserve">21/11/2014 - 18:41 </t>
  </si>
  <si>
    <t>ah, oka. avisame cuando termines</t>
  </si>
  <si>
    <t xml:space="preserve">21/11/2014 - 18:47 </t>
  </si>
  <si>
    <t>Che me gusto mucho</t>
  </si>
  <si>
    <t xml:space="preserve">22/11/2014 - 12:13 </t>
  </si>
  <si>
    <t>Genial! Un abrazo muchachos!</t>
  </si>
  <si>
    <t>genial</t>
  </si>
  <si>
    <t xml:space="preserve">22/11/2014 - 17:16 </t>
  </si>
  <si>
    <t>Buenisimo Kevin!, saludos</t>
  </si>
  <si>
    <t xml:space="preserve">21/11/2014 - 18:48 </t>
  </si>
  <si>
    <t>Borro lo que había antes?</t>
  </si>
  <si>
    <t>ya lo borre</t>
  </si>
  <si>
    <t xml:space="preserve">22/11/2014 - 19:36 </t>
  </si>
  <si>
    <t>ok gracias! saludos</t>
  </si>
  <si>
    <t>Jaja oka</t>
  </si>
  <si>
    <t>de ultima lo tengo guardado en un doc jaja</t>
  </si>
  <si>
    <t>Dejemos que desp lean lo que faltan..</t>
  </si>
  <si>
    <t>Y si estan todos de acuerdo ya lo mandamos..</t>
  </si>
  <si>
    <t xml:space="preserve">21/11/2014 - 18:49 </t>
  </si>
  <si>
    <t>si les gusta damos por cerrado el practico</t>
  </si>
  <si>
    <t>Sisi</t>
  </si>
  <si>
    <t xml:space="preserve">21/11/2014 - 19:2 </t>
  </si>
  <si>
    <t>Diego?</t>
  </si>
  <si>
    <t>si, sigo aca</t>
  </si>
  <si>
    <t>jajajaja</t>
  </si>
  <si>
    <t>nos e que toque, no me aparecia</t>
  </si>
  <si>
    <t>Jaja ok fue</t>
  </si>
  <si>
    <t xml:space="preserve">21/11/2014 - 20:29 </t>
  </si>
  <si>
    <t>por mi tambien lo damos por terminado !</t>
  </si>
  <si>
    <t xml:space="preserve">21/11/2014 - 20:38 </t>
  </si>
  <si>
    <t>Okas mandenlo entonces</t>
  </si>
  <si>
    <t xml:space="preserve">21/11/2014 - 21:3 </t>
  </si>
  <si>
    <t>alguien que lo mande?</t>
  </si>
  <si>
    <t xml:space="preserve">21/11/2014 - 21:4 </t>
  </si>
  <si>
    <t>Yo estoy en la guardia en mar del plata.. Mande lo alguno mas..</t>
  </si>
  <si>
    <t>Hay que pasarlo a PDF creo y mandarlo por mail</t>
  </si>
  <si>
    <t xml:space="preserve">21/11/2014 - 21:9 </t>
  </si>
  <si>
    <t>al mail de programacion.exploratoria?</t>
  </si>
  <si>
    <t>oka, ahi lo mando</t>
  </si>
  <si>
    <t xml:space="preserve">21/11/2014 - 21:13 </t>
  </si>
  <si>
    <t>Sisi al mismo mail... Fíjate que en el mail que nos mandaron ellos esta todo escrito lo que tenemos que hacer para mandarlo..</t>
  </si>
  <si>
    <t>see</t>
  </si>
  <si>
    <t>justo ahi lo vi, grax</t>
  </si>
  <si>
    <t xml:space="preserve">21/11/2014 - 21:17 </t>
  </si>
  <si>
    <t>genial, abrazos</t>
  </si>
  <si>
    <t xml:space="preserve">22/11/2014 - 5:7 </t>
  </si>
  <si>
    <t>ya mandaron el tp?</t>
  </si>
  <si>
    <t xml:space="preserve">22/11/2014 - 9:34 </t>
  </si>
  <si>
    <t>Lo enviaron? Yo llegue de viajar a las 12 anoche</t>
  </si>
  <si>
    <t xml:space="preserve">22/11/2014 - 9:46 </t>
  </si>
  <si>
    <t>Alfredo lo mandaba creo</t>
  </si>
  <si>
    <t xml:space="preserve">22/11/2014 - 10:13 </t>
  </si>
  <si>
    <t>sisi ya lo mande el mail</t>
  </si>
  <si>
    <t xml:space="preserve">22/11/2014 - 10:21 </t>
  </si>
  <si>
    <t>Ah joya.. Gracias!</t>
  </si>
  <si>
    <t xml:space="preserve">22/11/2014 - 13:6 </t>
  </si>
  <si>
    <t>buenisimo!</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</si>
</sst>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sz val="8.0"/>
      <color rgb="FF000000"/>
      <name val="Calibri"/>
    </font>
    <font>
      <color rgb="FF000000"/>
    </font>
    <font>
      <b/>
      <sz val="11.0"/>
      <color rgb="FF000000"/>
      <name val="Calibri"/>
    </font>
    <font>
      <b/>
      <sz val="8.0"/>
      <color rgb="FF000000"/>
      <name val="Calibri"/>
    </font>
    <font>
      <sz val="10.0"/>
    </font>
    <font>
      <b/>
      <sz val="11.0"/>
      <color rgb="FF222222"/>
      <name val="Arial"/>
    </font>
    <font>
      <sz val="10.0"/>
      <color rgb="FF000000"/>
      <name val="Arial"/>
    </font>
    <font>
      <sz val="8.0"/>
      <color rgb="FF000000"/>
      <name val="Arial"/>
    </font>
    <font>
      <sz val="8.0"/>
      <color rgb="FF777777"/>
      <name val="Arial"/>
    </font>
    <font>
      <sz val="8.0"/>
      <color rgb="FF222222"/>
      <name val="Arial"/>
    </font>
    <font>
      <sz val="10.0"/>
      <color rgb="FF888888"/>
    </font>
    <font>
      <sz val="10.0"/>
      <color rgb="FF222222"/>
    </font>
    <font>
      <sz val="8.0"/>
      <color rgb="FF262626"/>
      <name val="Arial"/>
    </font>
    <font>
      <u/>
      <sz val="8.0"/>
      <color rgb="FF262626"/>
      <name val="Arial"/>
    </font>
    <font>
      <sz val="11.0"/>
      <color rgb="FF000000"/>
      <name val="Arial"/>
    </font>
    <font/>
  </fonts>
  <fills count="10">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5">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3" fontId="0" numFmtId="0" xfId="0" applyBorder="1" applyFill="1" applyFont="1"/>
    <xf borderId="0" fillId="4" fontId="0" numFmtId="0" xfId="0" applyBorder="1" applyFill="1" applyFont="1"/>
    <xf borderId="0" fillId="5" fontId="0" numFmtId="0" xfId="0" applyFill="1" applyFont="1"/>
    <xf borderId="0" fillId="2" fontId="0" numFmtId="0" xfId="0" applyFont="1"/>
    <xf borderId="0" fillId="6" fontId="0" numFmtId="0" xfId="0" applyFill="1" applyFont="1"/>
    <xf borderId="0" fillId="4" fontId="0" numFmtId="0" xfId="0" applyBorder="1" applyFont="1"/>
    <xf borderId="0" fillId="5" fontId="0" numFmtId="0" xfId="0" applyBorder="1" applyFont="1"/>
    <xf borderId="0" fillId="2" fontId="0" numFmtId="0" xfId="0" applyBorder="1" applyFont="1"/>
    <xf borderId="0" fillId="6" fontId="0" numFmtId="0" xfId="0" applyAlignment="1" applyFont="1">
      <alignment/>
    </xf>
    <xf borderId="0" fillId="0" fontId="2" numFmtId="0" xfId="0" applyFont="1"/>
    <xf borderId="0" fillId="7" fontId="3" numFmtId="0" xfId="0" applyBorder="1" applyFill="1" applyFont="1"/>
    <xf borderId="0" fillId="2" fontId="3" numFmtId="0" xfId="0" applyBorder="1" applyFont="1"/>
    <xf borderId="0" fillId="7" fontId="4" numFmtId="0" xfId="0" applyBorder="1" applyFont="1"/>
    <xf borderId="0" fillId="3" fontId="3" numFmtId="0" xfId="0" applyBorder="1" applyFont="1"/>
    <xf borderId="0" fillId="4" fontId="3" numFmtId="0" xfId="0" applyBorder="1" applyFont="1"/>
    <xf borderId="0" fillId="5" fontId="3" numFmtId="0" xfId="0" applyFont="1"/>
    <xf borderId="0" fillId="2" fontId="3" numFmtId="0" xfId="0" applyFont="1"/>
    <xf borderId="0" fillId="4" fontId="3" numFmtId="0" xfId="0" applyBorder="1" applyFont="1"/>
    <xf borderId="0" fillId="5" fontId="3" numFmtId="0" xfId="0" applyBorder="1" applyFont="1"/>
    <xf borderId="0" fillId="2" fontId="3" numFmtId="0" xfId="0" applyBorder="1" applyFont="1"/>
    <xf borderId="0" fillId="6" fontId="3" numFmtId="0" xfId="0" applyFont="1"/>
    <xf borderId="0" fillId="0" fontId="3" numFmtId="0" xfId="0" applyFont="1"/>
    <xf borderId="0" fillId="0" fontId="5" numFmtId="14" xfId="0" applyAlignment="1" applyFont="1" applyNumberFormat="1">
      <alignment/>
    </xf>
    <xf borderId="1" fillId="6" fontId="6" numFmtId="0" xfId="0" applyAlignment="1" applyBorder="1" applyFont="1">
      <alignment horizontal="left"/>
    </xf>
    <xf borderId="0" fillId="0" fontId="5" numFmtId="14" xfId="0" applyAlignment="1" applyFont="1" applyNumberFormat="1">
      <alignment horizontal="right"/>
    </xf>
    <xf borderId="1" fillId="0" fontId="7" numFmtId="0" xfId="0" applyAlignment="1" applyBorder="1" applyFont="1">
      <alignment wrapText="1"/>
    </xf>
    <xf borderId="1" fillId="0" fontId="8" numFmtId="0" xfId="0" applyAlignment="1" applyBorder="1" applyFont="1">
      <alignment wrapText="1"/>
    </xf>
    <xf borderId="0" fillId="0" fontId="5" numFmtId="20" xfId="0" applyAlignment="1" applyFont="1" applyNumberFormat="1">
      <alignment/>
    </xf>
    <xf borderId="0" fillId="0" fontId="5" numFmtId="0" xfId="0" applyFont="1"/>
    <xf borderId="1" fillId="6" fontId="9" numFmtId="0" xfId="0" applyAlignment="1" applyBorder="1" applyFont="1">
      <alignment horizontal="right"/>
    </xf>
    <xf borderId="1" fillId="6" fontId="10" numFmtId="0" xfId="0" applyAlignment="1" applyBorder="1" applyFont="1">
      <alignment wrapText="1"/>
    </xf>
    <xf borderId="0" fillId="6" fontId="5" numFmtId="20" xfId="0" applyAlignment="1" applyFont="1" applyNumberFormat="1">
      <alignment/>
    </xf>
    <xf borderId="0" fillId="6" fontId="5" numFmtId="0" xfId="0" applyAlignment="1" applyFont="1">
      <alignment/>
    </xf>
    <xf borderId="0" fillId="0" fontId="0" numFmtId="20" xfId="0" applyFont="1" applyNumberFormat="1"/>
    <xf borderId="0" fillId="6" fontId="11" numFmtId="20" xfId="0" applyAlignment="1" applyFont="1" applyNumberFormat="1">
      <alignment horizontal="left"/>
    </xf>
    <xf borderId="0" fillId="0" fontId="5" numFmtId="20" xfId="0" applyAlignment="1" applyFont="1" applyNumberFormat="1">
      <alignment horizontal="right"/>
    </xf>
    <xf borderId="0" fillId="0" fontId="5" numFmtId="0" xfId="0" applyAlignment="1" applyFont="1">
      <alignment/>
    </xf>
    <xf borderId="0" fillId="6" fontId="12" numFmtId="0" xfId="0" applyAlignment="1" applyFont="1">
      <alignment horizontal="left"/>
    </xf>
    <xf borderId="0" fillId="0" fontId="0" numFmtId="0" xfId="0" applyAlignment="1" applyFont="1">
      <alignment/>
    </xf>
    <xf borderId="0" fillId="0" fontId="5" numFmtId="20" xfId="0" applyAlignment="1" applyFont="1" applyNumberFormat="1">
      <alignment/>
    </xf>
    <xf borderId="1" fillId="0" fontId="7" numFmtId="0" xfId="0" applyAlignment="1" applyBorder="1" applyFont="1">
      <alignment horizontal="right" wrapText="1"/>
    </xf>
    <xf borderId="0" fillId="6" fontId="11" numFmtId="0" xfId="0" applyAlignment="1" applyFont="1">
      <alignment horizontal="left"/>
    </xf>
    <xf borderId="1" fillId="6" fontId="10" numFmtId="0" xfId="0" applyAlignment="1" applyBorder="1" applyFont="1">
      <alignment horizontal="left" wrapText="1"/>
    </xf>
    <xf borderId="0" fillId="0" fontId="0" numFmtId="14" xfId="0" applyFont="1" applyNumberFormat="1"/>
    <xf borderId="0" fillId="6" fontId="12" numFmtId="14" xfId="0" applyAlignment="1" applyFont="1" applyNumberFormat="1">
      <alignment horizontal="left"/>
    </xf>
    <xf borderId="1" fillId="0" fontId="7" numFmtId="20" xfId="0" applyAlignment="1" applyBorder="1" applyFont="1" applyNumberFormat="1">
      <alignment horizontal="right" wrapText="1"/>
    </xf>
    <xf borderId="1" fillId="0" fontId="8" numFmtId="0" xfId="0" applyAlignment="1" applyBorder="1" applyFont="1">
      <alignment wrapText="1"/>
    </xf>
    <xf borderId="1" fillId="0" fontId="13" numFmtId="0" xfId="0" applyAlignment="1" applyBorder="1" applyFont="1">
      <alignment wrapText="1"/>
    </xf>
    <xf borderId="1" fillId="0" fontId="8" numFmtId="0" xfId="0" applyAlignment="1" applyBorder="1" applyFont="1">
      <alignment horizontal="right" wrapText="1"/>
    </xf>
    <xf borderId="1" fillId="0" fontId="8" numFmtId="22" xfId="0" applyAlignment="1" applyBorder="1" applyFont="1" applyNumberFormat="1">
      <alignment horizontal="right" wrapText="1"/>
    </xf>
    <xf borderId="0" fillId="0" fontId="5" numFmtId="22" xfId="0" applyAlignment="1" applyFont="1" applyNumberFormat="1">
      <alignment/>
    </xf>
    <xf borderId="0" fillId="6" fontId="12" numFmtId="22" xfId="0" applyAlignment="1" applyFont="1" applyNumberFormat="1">
      <alignment horizontal="left"/>
    </xf>
    <xf borderId="0" fillId="6" fontId="5" numFmtId="22" xfId="0" applyAlignment="1" applyFont="1" applyNumberFormat="1">
      <alignment/>
    </xf>
    <xf borderId="0" fillId="0" fontId="0" numFmtId="22" xfId="0" applyFont="1" applyNumberFormat="1"/>
    <xf borderId="0" fillId="6" fontId="11" numFmtId="22" xfId="0" applyAlignment="1" applyFont="1" applyNumberFormat="1">
      <alignment horizontal="left"/>
    </xf>
    <xf borderId="0" fillId="0" fontId="0" numFmtId="0" xfId="0" applyFont="1"/>
    <xf borderId="0" fillId="7" fontId="0" numFmtId="0" xfId="0" applyFont="1"/>
    <xf borderId="0" fillId="7" fontId="3" numFmtId="0" xfId="0" applyFont="1"/>
    <xf borderId="0" fillId="8" fontId="0" numFmtId="0" xfId="0" applyFill="1" applyFont="1"/>
    <xf borderId="0" fillId="8" fontId="3" numFmtId="0" xfId="0" applyFont="1"/>
    <xf borderId="0" fillId="9" fontId="3" numFmtId="0" xfId="0" applyFill="1" applyFont="1"/>
    <xf borderId="0" fillId="6" fontId="0" numFmtId="0" xfId="0" applyAlignment="1" applyFont="1">
      <alignment wrapText="1"/>
    </xf>
    <xf borderId="1" fillId="0" fontId="14" numFmtId="0" xfId="0" applyAlignment="1" applyBorder="1" applyFont="1">
      <alignment wrapText="1"/>
    </xf>
    <xf borderId="0" fillId="6" fontId="5" numFmtId="22" xfId="0" applyAlignment="1" applyFont="1" applyNumberFormat="1">
      <alignment horizontal="left"/>
    </xf>
    <xf borderId="0" fillId="5" fontId="15" numFmtId="0" xfId="0" applyBorder="1" applyFont="1"/>
    <xf borderId="0" fillId="2" fontId="15" numFmtId="0" xfId="0" applyBorder="1" applyFont="1"/>
    <xf borderId="0" fillId="0" fontId="1" numFmtId="0" xfId="0" applyAlignment="1" applyFont="1">
      <alignment/>
    </xf>
    <xf borderId="0" fillId="5" fontId="15" numFmtId="0" xfId="0" applyFont="1"/>
    <xf borderId="0" fillId="2" fontId="15" numFmtId="0" xfId="0" applyFont="1"/>
    <xf borderId="0" fillId="6" fontId="5" numFmtId="0" xfId="0" applyAlignment="1" applyFont="1">
      <alignment horizontal="left"/>
    </xf>
    <xf borderId="0" fillId="0" fontId="16"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comunidad.udistrital.edu.co/revistavinculos/files/2013/09/El-uso-de-Prolog-en-el-aula-de-logica-a-inteligencia-artificial.pdf"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1.25"/>
    <col customWidth="1" min="2" max="2" width="1.63"/>
    <col customWidth="1" min="3" max="3" width="6.0"/>
    <col customWidth="1" min="4" max="4" width="1.25"/>
    <col customWidth="1" min="5" max="5" width="8.75"/>
    <col customWidth="1" min="6" max="6" width="1.0"/>
    <col customWidth="1" min="7" max="7" width="32.0"/>
    <col customWidth="1" min="8" max="8" width="2.38"/>
    <col customWidth="1" min="9" max="9" width="15.6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6"/>
      <c r="M1" s="7"/>
      <c r="N1" s="8"/>
      <c r="O1" s="8"/>
      <c r="P1" s="12">
        <v>110.0</v>
      </c>
      <c r="Q1" s="8"/>
      <c r="R1" s="8"/>
      <c r="S1" s="8"/>
      <c r="T1" s="8"/>
      <c r="U1" s="8"/>
      <c r="V1" s="8"/>
      <c r="W1" s="8"/>
      <c r="X1" s="8"/>
      <c r="Y1" s="8"/>
      <c r="Z1" s="8"/>
      <c r="AA1" s="8"/>
      <c r="AB1" s="8"/>
      <c r="AC1" s="8"/>
      <c r="AD1" s="8"/>
      <c r="AE1" s="8"/>
      <c r="AF1" s="8"/>
      <c r="AG1" s="8"/>
      <c r="AH1" s="8"/>
      <c r="AI1" s="8"/>
      <c r="AJ1" s="1"/>
      <c r="AK1" s="1"/>
      <c r="AL1" s="1"/>
      <c r="AM1" s="1"/>
      <c r="AN1" s="1"/>
      <c r="AO1" s="1"/>
      <c r="AP1" s="1"/>
      <c r="AQ1" s="1"/>
      <c r="AR1" s="13"/>
    </row>
    <row r="2" ht="18.0" customHeight="1">
      <c r="A2" s="14" t="s">
        <v>0</v>
      </c>
      <c r="B2" s="14" t="s">
        <v>1</v>
      </c>
      <c r="C2" s="14" t="s">
        <v>2</v>
      </c>
      <c r="D2" s="15"/>
      <c r="E2" s="14" t="s">
        <v>1</v>
      </c>
      <c r="F2" s="14" t="s">
        <v>3</v>
      </c>
      <c r="G2" s="16" t="s">
        <v>4</v>
      </c>
      <c r="H2" s="15"/>
      <c r="I2" s="14" t="s">
        <v>5</v>
      </c>
      <c r="J2" s="17" t="s">
        <v>6</v>
      </c>
      <c r="K2" s="18" t="s">
        <v>7</v>
      </c>
      <c r="L2" s="19"/>
      <c r="M2" s="20"/>
      <c r="N2" s="24" t="s">
        <v>8</v>
      </c>
      <c r="O2" s="24"/>
      <c r="P2" s="24" t="s">
        <v>9</v>
      </c>
      <c r="Q2" s="24" t="s">
        <v>10</v>
      </c>
      <c r="R2" s="24"/>
      <c r="S2" s="24" t="s">
        <v>11</v>
      </c>
      <c r="T2" s="24"/>
      <c r="U2" s="24"/>
      <c r="V2" s="24"/>
      <c r="W2" s="24" t="s">
        <v>12</v>
      </c>
      <c r="X2" s="24"/>
      <c r="Y2" s="24"/>
      <c r="Z2" s="24"/>
      <c r="AA2" s="24"/>
      <c r="AB2" s="24"/>
      <c r="AC2" s="24"/>
      <c r="AD2" s="24"/>
      <c r="AE2" s="24"/>
      <c r="AF2" s="24"/>
      <c r="AG2" s="24"/>
      <c r="AH2" s="24"/>
      <c r="AI2" s="24"/>
      <c r="AJ2" s="25"/>
      <c r="AK2" s="25"/>
      <c r="AL2" s="25"/>
      <c r="AM2" s="25"/>
      <c r="AN2" s="25"/>
      <c r="AO2" s="25"/>
      <c r="AP2" s="25"/>
      <c r="AQ2" s="25"/>
      <c r="AR2" s="25"/>
    </row>
    <row r="3" ht="18.75" customHeight="1">
      <c r="A3" s="1"/>
      <c r="B3" s="1"/>
      <c r="C3" s="1"/>
      <c r="D3" s="2"/>
      <c r="E3" s="26"/>
      <c r="F3" s="26"/>
      <c r="G3" s="28">
        <v>41961.0</v>
      </c>
      <c r="H3" s="2"/>
      <c r="I3" s="1"/>
      <c r="J3" s="4">
        <f t="shared" ref="J3:J120"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5">
        <f t="shared" ref="K3:K120"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6"/>
      <c r="M3" s="7"/>
      <c r="N3" s="24"/>
      <c r="O3" s="24" t="s">
        <v>16</v>
      </c>
      <c r="P3" s="8">
        <f>COUNTIFS(K$3:K$110,"&gt;0")</f>
        <v>33</v>
      </c>
      <c r="Q3" s="8">
        <f t="shared" ref="Q3:Q15" si="3">(P3/P$3)*100</f>
        <v>100</v>
      </c>
      <c r="R3" s="8"/>
      <c r="S3" s="8"/>
      <c r="T3" s="8"/>
      <c r="U3" s="8"/>
      <c r="V3" s="8"/>
      <c r="W3" s="24" t="s">
        <v>17</v>
      </c>
      <c r="X3" s="24" t="s">
        <v>18</v>
      </c>
      <c r="Y3" s="24" t="s">
        <v>19</v>
      </c>
      <c r="Z3" s="24" t="s">
        <v>20</v>
      </c>
      <c r="AA3" s="8"/>
      <c r="AB3" s="24" t="s">
        <v>21</v>
      </c>
      <c r="AC3" s="24" t="s">
        <v>22</v>
      </c>
      <c r="AD3" s="8"/>
      <c r="AE3" s="8"/>
      <c r="AF3" s="8"/>
      <c r="AG3" s="8"/>
      <c r="AH3" s="8"/>
      <c r="AI3" s="8"/>
      <c r="AJ3" s="1"/>
      <c r="AK3" s="1"/>
      <c r="AL3" s="1"/>
      <c r="AM3" s="1"/>
      <c r="AN3" s="1"/>
      <c r="AO3" s="1"/>
      <c r="AP3" s="1"/>
      <c r="AQ3" s="1"/>
      <c r="AR3" s="13"/>
    </row>
    <row r="4" ht="16.5" customHeight="1">
      <c r="A4" s="1"/>
      <c r="B4" s="1"/>
      <c r="C4" s="1" t="str">
        <f t="shared" ref="C4:C120" si="4">IF(E4="",C3,E4)</f>
        <v/>
      </c>
      <c r="D4" s="2"/>
      <c r="E4" s="31"/>
      <c r="F4" s="32"/>
      <c r="G4" s="32"/>
      <c r="H4" s="2"/>
      <c r="I4" s="1"/>
      <c r="J4" s="4">
        <f t="shared" si="1"/>
        <v>0</v>
      </c>
      <c r="K4" s="5">
        <f t="shared" si="2"/>
        <v>0</v>
      </c>
      <c r="L4" s="6"/>
      <c r="M4" s="7"/>
      <c r="N4" s="24" t="s">
        <v>26</v>
      </c>
      <c r="O4" s="24">
        <v>1.0</v>
      </c>
      <c r="P4" s="8">
        <f t="shared" ref="P4:P15" si="5">COUNTIF(K$3:K$110,O4)</f>
        <v>3</v>
      </c>
      <c r="Q4" s="8">
        <f t="shared" si="3"/>
        <v>9.090909091</v>
      </c>
      <c r="R4" s="8"/>
      <c r="S4" s="8" t="str">
        <f>IF(Q4&gt;5,"Problema de Reintegración",0)</f>
        <v>Problema de Reintegración</v>
      </c>
      <c r="T4" s="8">
        <v>0.0</v>
      </c>
      <c r="U4" s="8"/>
      <c r="V4" s="8"/>
      <c r="W4" s="24" t="s">
        <v>27</v>
      </c>
      <c r="X4" s="24" t="s">
        <v>28</v>
      </c>
      <c r="Y4" s="24">
        <f>30/100</f>
        <v>0.3</v>
      </c>
      <c r="Z4" s="24">
        <f>14/100</f>
        <v>0.14</v>
      </c>
      <c r="AA4" s="8"/>
      <c r="AB4" s="8">
        <v>1.0</v>
      </c>
      <c r="AC4" s="8"/>
      <c r="AD4" s="8">
        <f>IF(AC4&gt;5,"Problema de Reintegración",0)</f>
        <v>0</v>
      </c>
      <c r="AE4" s="8">
        <v>0.0</v>
      </c>
      <c r="AF4" s="8" t="s">
        <v>29</v>
      </c>
      <c r="AG4" s="8"/>
      <c r="AH4" s="8"/>
      <c r="AI4" s="8"/>
      <c r="AJ4" s="1"/>
      <c r="AK4" s="1"/>
      <c r="AL4" s="1"/>
      <c r="AM4" s="1"/>
      <c r="AN4" s="1"/>
      <c r="AO4" s="1"/>
      <c r="AP4" s="1"/>
      <c r="AQ4" s="1"/>
      <c r="AR4" s="13"/>
    </row>
    <row r="5" ht="18.0" customHeight="1">
      <c r="A5" s="1"/>
      <c r="B5" s="1"/>
      <c r="C5" s="1" t="str">
        <f t="shared" si="4"/>
        <v/>
      </c>
      <c r="D5" s="2"/>
      <c r="E5" s="35"/>
      <c r="F5" s="36"/>
      <c r="G5" s="32"/>
      <c r="H5" s="2"/>
      <c r="I5" s="1"/>
      <c r="J5" s="4">
        <f t="shared" si="1"/>
        <v>0</v>
      </c>
      <c r="K5" s="5">
        <f t="shared" si="2"/>
        <v>0</v>
      </c>
      <c r="L5" s="6"/>
      <c r="M5" s="7"/>
      <c r="N5" s="24" t="s">
        <v>32</v>
      </c>
      <c r="O5" s="24">
        <v>2.0</v>
      </c>
      <c r="P5" s="8">
        <f t="shared" si="5"/>
        <v>4</v>
      </c>
      <c r="Q5" s="8">
        <f t="shared" si="3"/>
        <v>12.12121212</v>
      </c>
      <c r="R5" s="8"/>
      <c r="S5" s="8" t="str">
        <f>IF(Q5&lt;=14,,"Problema de Tensión")</f>
        <v/>
      </c>
      <c r="T5" s="8" t="str">
        <f>IF(Q5&gt;=3,,"Problema de Tensión")</f>
        <v/>
      </c>
      <c r="U5" s="8"/>
      <c r="V5" s="8"/>
      <c r="W5" s="24" t="s">
        <v>27</v>
      </c>
      <c r="X5" s="24" t="s">
        <v>33</v>
      </c>
      <c r="Y5" s="24">
        <f>11/100</f>
        <v>0.11</v>
      </c>
      <c r="Z5" s="24">
        <f>2/100</f>
        <v>0.02</v>
      </c>
      <c r="AA5" s="8"/>
      <c r="AB5" s="8">
        <v>2.0</v>
      </c>
      <c r="AC5" s="8"/>
      <c r="AD5" s="8" t="str">
        <f>IF(AC5&lt;=14,,"Problema de Tensión")</f>
        <v/>
      </c>
      <c r="AE5" s="8" t="str">
        <f>IF(AC5&gt;=3,,"Problema de Tensión")</f>
        <v>Problema de Tensión</v>
      </c>
      <c r="AF5" s="8" t="s">
        <v>29</v>
      </c>
      <c r="AG5" s="8"/>
      <c r="AH5" s="8"/>
      <c r="AI5" s="8"/>
      <c r="AJ5" s="1"/>
      <c r="AK5" s="1"/>
      <c r="AL5" s="1"/>
      <c r="AM5" s="1"/>
      <c r="AN5" s="1"/>
      <c r="AO5" s="1"/>
      <c r="AP5" s="1"/>
      <c r="AQ5" s="1"/>
      <c r="AR5" s="13"/>
    </row>
    <row r="6" ht="15.75" customHeight="1">
      <c r="A6" s="1"/>
      <c r="B6" s="1"/>
      <c r="C6" s="37" t="str">
        <f t="shared" si="4"/>
        <v>Juan Ignacio Martel</v>
      </c>
      <c r="D6" s="2"/>
      <c r="E6" s="38" t="s">
        <v>34</v>
      </c>
      <c r="F6" s="39">
        <v>0.5090277777777777</v>
      </c>
      <c r="G6" s="40" t="s">
        <v>35</v>
      </c>
      <c r="H6" s="2"/>
      <c r="J6" s="4">
        <f t="shared" si="1"/>
        <v>0</v>
      </c>
      <c r="K6" s="5">
        <f t="shared" si="2"/>
        <v>0</v>
      </c>
      <c r="L6" s="6"/>
      <c r="M6" s="7"/>
      <c r="N6" s="24" t="s">
        <v>38</v>
      </c>
      <c r="O6" s="24">
        <v>3.0</v>
      </c>
      <c r="P6" s="8">
        <f t="shared" si="5"/>
        <v>3</v>
      </c>
      <c r="Q6" s="8">
        <f t="shared" si="3"/>
        <v>9.090909091</v>
      </c>
      <c r="R6" s="8"/>
      <c r="S6" s="8" t="str">
        <f>IF(Q6&lt;=20,,"Problema de Decisión")</f>
        <v/>
      </c>
      <c r="T6" s="8" t="str">
        <f>IF(Q6&gt;=6,,"Problema de Decisión")</f>
        <v/>
      </c>
      <c r="U6" s="8"/>
      <c r="V6" s="8"/>
      <c r="W6" s="24" t="s">
        <v>39</v>
      </c>
      <c r="X6" s="24" t="s">
        <v>40</v>
      </c>
      <c r="Y6" s="24">
        <f>40/100</f>
        <v>0.4</v>
      </c>
      <c r="Z6" s="24">
        <f>21/100</f>
        <v>0.21</v>
      </c>
      <c r="AA6" s="8"/>
      <c r="AB6" s="8">
        <v>3.0</v>
      </c>
      <c r="AC6" s="8"/>
      <c r="AD6" s="8" t="str">
        <f>IF(AC6&lt;=20,,"Problema de Decisión")</f>
        <v/>
      </c>
      <c r="AE6" s="8" t="str">
        <f>IF(AC6&gt;=6,,"Problema de Decisión")</f>
        <v>Problema de Decisión</v>
      </c>
      <c r="AF6" s="8" t="s">
        <v>29</v>
      </c>
      <c r="AG6" s="8"/>
      <c r="AH6" s="8"/>
      <c r="AI6" s="8"/>
      <c r="AJ6" s="1"/>
      <c r="AK6" s="1"/>
      <c r="AL6" s="1"/>
      <c r="AM6" s="1"/>
      <c r="AN6" s="1"/>
      <c r="AO6" s="1"/>
      <c r="AP6" s="1"/>
      <c r="AQ6" s="1"/>
      <c r="AR6" s="13"/>
    </row>
    <row r="7" ht="15.75" customHeight="1">
      <c r="A7" s="1"/>
      <c r="B7" s="1"/>
      <c r="C7" s="37" t="str">
        <f t="shared" si="4"/>
        <v>Juan Ignacio Martel</v>
      </c>
      <c r="D7" s="2"/>
      <c r="E7" s="35"/>
      <c r="F7" s="36"/>
      <c r="G7" s="41" t="s">
        <v>43</v>
      </c>
      <c r="H7" s="2"/>
      <c r="I7" s="42" t="s">
        <v>44</v>
      </c>
      <c r="J7" s="4">
        <f t="shared" si="1"/>
        <v>30</v>
      </c>
      <c r="K7" s="5">
        <f t="shared" si="2"/>
        <v>8</v>
      </c>
      <c r="L7" s="6"/>
      <c r="M7" s="7"/>
      <c r="N7" s="24" t="s">
        <v>45</v>
      </c>
      <c r="O7" s="24">
        <v>4.0</v>
      </c>
      <c r="P7" s="8">
        <f t="shared" si="5"/>
        <v>3</v>
      </c>
      <c r="Q7" s="8">
        <f t="shared" si="3"/>
        <v>9.090909091</v>
      </c>
      <c r="R7" s="8"/>
      <c r="S7" s="8" t="str">
        <f>IF(Q7&lt;=11,,"Problema de Control")</f>
        <v/>
      </c>
      <c r="T7" s="8" t="str">
        <f>IF(Q7&gt;=4,,"Problema de Control")</f>
        <v/>
      </c>
      <c r="U7" s="8"/>
      <c r="V7" s="8"/>
      <c r="W7" s="24" t="s">
        <v>39</v>
      </c>
      <c r="X7" s="24" t="s">
        <v>46</v>
      </c>
      <c r="Y7" s="24">
        <f>9/100</f>
        <v>0.09</v>
      </c>
      <c r="Z7" s="24">
        <f>1/100</f>
        <v>0.01</v>
      </c>
      <c r="AA7" s="8"/>
      <c r="AB7" s="8">
        <v>4.0</v>
      </c>
      <c r="AC7" s="8"/>
      <c r="AD7" s="8" t="str">
        <f>IF(AC7&lt;=11,,"Problema de Control")</f>
        <v/>
      </c>
      <c r="AE7" s="8" t="str">
        <f>IF(AC7&gt;=4,,"Problema de Control")</f>
        <v>Problema de Control</v>
      </c>
      <c r="AF7" s="8" t="s">
        <v>29</v>
      </c>
      <c r="AG7" s="8"/>
      <c r="AH7" s="8"/>
      <c r="AI7" s="8"/>
      <c r="AJ7" s="1"/>
      <c r="AK7" s="1"/>
      <c r="AL7" s="1"/>
      <c r="AM7" s="1"/>
      <c r="AN7" s="1"/>
      <c r="AO7" s="1"/>
      <c r="AP7" s="1"/>
      <c r="AQ7" s="1"/>
      <c r="AR7" s="13"/>
    </row>
    <row r="8" ht="15.75" customHeight="1">
      <c r="A8" s="1"/>
      <c r="B8" s="1"/>
      <c r="C8" s="37" t="str">
        <f t="shared" si="4"/>
        <v>Juan Ignacio Martel</v>
      </c>
      <c r="D8" s="2"/>
      <c r="E8" s="43"/>
      <c r="F8" s="32"/>
      <c r="G8" s="32"/>
      <c r="H8" s="2"/>
      <c r="I8" s="1"/>
      <c r="J8" s="4">
        <f t="shared" si="1"/>
        <v>0</v>
      </c>
      <c r="K8" s="5">
        <f t="shared" si="2"/>
        <v>0</v>
      </c>
      <c r="L8" s="6"/>
      <c r="M8" s="7"/>
      <c r="N8" s="24" t="s">
        <v>50</v>
      </c>
      <c r="O8" s="24">
        <v>5.0</v>
      </c>
      <c r="P8" s="8">
        <f t="shared" si="5"/>
        <v>8</v>
      </c>
      <c r="Q8" s="8">
        <f t="shared" si="3"/>
        <v>24.24242424</v>
      </c>
      <c r="R8" s="8"/>
      <c r="S8" s="8" t="str">
        <f>IF(Q8&lt;=40,,"Problema de Evaluación")</f>
        <v/>
      </c>
      <c r="T8" s="8" t="str">
        <f>IF(Q8&gt;=21,,"Problema de Evaluación")</f>
        <v/>
      </c>
      <c r="U8" s="8"/>
      <c r="V8" s="8"/>
      <c r="W8" s="24" t="s">
        <v>51</v>
      </c>
      <c r="X8" s="24" t="s">
        <v>52</v>
      </c>
      <c r="Y8" s="24">
        <f>11/100</f>
        <v>0.11</v>
      </c>
      <c r="Z8" s="24">
        <f>4/100</f>
        <v>0.04</v>
      </c>
      <c r="AA8" s="8"/>
      <c r="AB8" s="8">
        <v>5.0</v>
      </c>
      <c r="AC8" s="8"/>
      <c r="AD8" s="8" t="str">
        <f>IF(AC8&lt;=40,,"Problema de Evaluación")</f>
        <v/>
      </c>
      <c r="AE8" s="8" t="str">
        <f>IF(AC8&gt;=21,,"Problema de Evaluación")</f>
        <v>Problema de Evaluación</v>
      </c>
      <c r="AF8" s="8" t="s">
        <v>29</v>
      </c>
      <c r="AG8" s="8"/>
      <c r="AH8" s="8"/>
      <c r="AI8" s="8"/>
      <c r="AJ8" s="1"/>
      <c r="AK8" s="1"/>
      <c r="AL8" s="1"/>
      <c r="AM8" s="1"/>
      <c r="AN8" s="1"/>
      <c r="AO8" s="1"/>
      <c r="AP8" s="1"/>
      <c r="AQ8" s="1"/>
      <c r="AR8" s="13"/>
    </row>
    <row r="9" ht="15.75" customHeight="1">
      <c r="A9" s="1"/>
      <c r="B9" s="1"/>
      <c r="C9" s="37" t="str">
        <f t="shared" si="4"/>
        <v>Juan Ignacio Martel</v>
      </c>
      <c r="D9" s="2"/>
      <c r="E9" s="31"/>
      <c r="F9" s="31"/>
      <c r="G9" s="32"/>
      <c r="H9" s="2"/>
      <c r="I9" s="1"/>
      <c r="J9" s="4">
        <f t="shared" si="1"/>
        <v>0</v>
      </c>
      <c r="K9" s="5">
        <f t="shared" si="2"/>
        <v>0</v>
      </c>
      <c r="L9" s="6"/>
      <c r="M9" s="7"/>
      <c r="N9" s="24" t="s">
        <v>55</v>
      </c>
      <c r="O9" s="24">
        <v>6.0</v>
      </c>
      <c r="P9" s="8">
        <f t="shared" si="5"/>
        <v>5</v>
      </c>
      <c r="Q9" s="8">
        <f t="shared" si="3"/>
        <v>15.15151515</v>
      </c>
      <c r="R9" s="8"/>
      <c r="S9" s="8" t="str">
        <f>IF(Q9&lt;=30,,"Problema de Comunicación")</f>
        <v/>
      </c>
      <c r="T9" s="8" t="str">
        <f>IF(Q9&gt;=14,,"Problema de Comunicación")</f>
        <v/>
      </c>
      <c r="U9" s="8"/>
      <c r="V9" s="8"/>
      <c r="W9" s="24" t="s">
        <v>51</v>
      </c>
      <c r="X9" s="24" t="s">
        <v>56</v>
      </c>
      <c r="Y9" s="24">
        <f>5/100</f>
        <v>0.05</v>
      </c>
      <c r="Z9" s="24">
        <v>0.0</v>
      </c>
      <c r="AA9" s="8"/>
      <c r="AB9" s="8">
        <v>6.0</v>
      </c>
      <c r="AC9" s="8"/>
      <c r="AD9" s="8" t="str">
        <f>IF(AC9&lt;=30,,"Problema de Comunicación")</f>
        <v/>
      </c>
      <c r="AE9" s="8" t="str">
        <f>IF(AC9&gt;=14,,"Problema de Comunicación")</f>
        <v>Problema de Comunicación</v>
      </c>
      <c r="AF9" s="8" t="s">
        <v>29</v>
      </c>
      <c r="AG9" s="8"/>
      <c r="AH9" s="8"/>
      <c r="AI9" s="8"/>
      <c r="AJ9" s="1"/>
      <c r="AK9" s="1"/>
      <c r="AL9" s="1"/>
      <c r="AM9" s="1"/>
      <c r="AN9" s="1"/>
      <c r="AO9" s="1"/>
      <c r="AP9" s="1"/>
      <c r="AQ9" s="1"/>
      <c r="AR9" s="13"/>
    </row>
    <row r="10" ht="15.75" customHeight="1">
      <c r="A10" s="1"/>
      <c r="B10" s="1"/>
      <c r="C10" s="37" t="str">
        <f t="shared" si="4"/>
        <v>Kevin Ruau</v>
      </c>
      <c r="D10" s="2"/>
      <c r="E10" s="38" t="s">
        <v>60</v>
      </c>
      <c r="F10" s="39">
        <v>0.5736111111111111</v>
      </c>
      <c r="G10" s="45" t="s">
        <v>62</v>
      </c>
      <c r="H10" s="2"/>
      <c r="I10" s="42" t="s">
        <v>63</v>
      </c>
      <c r="J10" s="4">
        <f t="shared" si="1"/>
        <v>17</v>
      </c>
      <c r="K10" s="5">
        <f t="shared" si="2"/>
        <v>5</v>
      </c>
      <c r="L10" s="6"/>
      <c r="M10" s="7"/>
      <c r="N10" s="24" t="s">
        <v>64</v>
      </c>
      <c r="O10" s="24">
        <v>7.0</v>
      </c>
      <c r="P10" s="8">
        <f t="shared" si="5"/>
        <v>1</v>
      </c>
      <c r="Q10" s="8">
        <f t="shared" si="3"/>
        <v>3.03030303</v>
      </c>
      <c r="R10" s="8"/>
      <c r="S10" s="8" t="str">
        <f>IF(Q10&lt;=11,,"Problema de Comunicación")</f>
        <v/>
      </c>
      <c r="T10" s="8" t="str">
        <f>IF(Q10&gt;=2,,"Problema de Comunicación")</f>
        <v/>
      </c>
      <c r="U10" s="8"/>
      <c r="V10" s="8"/>
      <c r="W10" s="24" t="s">
        <v>65</v>
      </c>
      <c r="X10" s="24" t="s">
        <v>66</v>
      </c>
      <c r="Y10" s="24">
        <f>20/100</f>
        <v>0.2</v>
      </c>
      <c r="Z10" s="24">
        <f>6/100</f>
        <v>0.06</v>
      </c>
      <c r="AA10" s="8"/>
      <c r="AB10" s="8">
        <v>7.0</v>
      </c>
      <c r="AC10" s="8"/>
      <c r="AD10" s="8" t="str">
        <f>IF(AC10&lt;=11,,"Problema de Comunicación")</f>
        <v/>
      </c>
      <c r="AE10" s="8" t="str">
        <f>IF(AC10&gt;=2,,"Problema de Comunicación")</f>
        <v>Problema de Comunicación</v>
      </c>
      <c r="AF10" s="8" t="s">
        <v>29</v>
      </c>
      <c r="AG10" s="8"/>
      <c r="AH10" s="8"/>
      <c r="AI10" s="8"/>
      <c r="AJ10" s="1"/>
      <c r="AK10" s="1"/>
      <c r="AL10" s="1"/>
      <c r="AM10" s="1"/>
      <c r="AN10" s="1"/>
      <c r="AO10" s="1"/>
      <c r="AP10" s="1"/>
      <c r="AQ10" s="1"/>
      <c r="AR10" s="13"/>
    </row>
    <row r="11" ht="15.75" customHeight="1">
      <c r="A11" s="1"/>
      <c r="B11" s="1"/>
      <c r="C11" s="37" t="str">
        <f t="shared" si="4"/>
        <v>Kevin Ruau</v>
      </c>
      <c r="D11" s="2"/>
      <c r="E11" s="43"/>
      <c r="F11" s="40"/>
      <c r="G11" s="40"/>
      <c r="H11" s="2"/>
      <c r="I11" s="1"/>
      <c r="J11" s="4">
        <f t="shared" si="1"/>
        <v>0</v>
      </c>
      <c r="K11" s="5">
        <f t="shared" si="2"/>
        <v>0</v>
      </c>
      <c r="L11" s="6"/>
      <c r="M11" s="7"/>
      <c r="N11" s="24" t="s">
        <v>70</v>
      </c>
      <c r="O11" s="24">
        <v>8.0</v>
      </c>
      <c r="P11" s="8">
        <f t="shared" si="5"/>
        <v>5</v>
      </c>
      <c r="Q11" s="8">
        <f t="shared" si="3"/>
        <v>15.15151515</v>
      </c>
      <c r="R11" s="8"/>
      <c r="S11" s="8" t="str">
        <f>IF(Q11&lt;=9,,"Problema de Evaluación")</f>
        <v>Problema de Evaluación</v>
      </c>
      <c r="T11" s="8" t="str">
        <f>IF(Q11&gt;=1,,"Problema de Evaluación")</f>
        <v/>
      </c>
      <c r="U11" s="8"/>
      <c r="V11" s="8"/>
      <c r="W11" s="24" t="s">
        <v>65</v>
      </c>
      <c r="X11" s="24" t="s">
        <v>71</v>
      </c>
      <c r="Y11" s="24">
        <f>13/100</f>
        <v>0.13</v>
      </c>
      <c r="Z11" s="24">
        <f t="shared" ref="Z11:Z12" si="6">3/100</f>
        <v>0.03</v>
      </c>
      <c r="AA11" s="8"/>
      <c r="AB11" s="8">
        <v>8.0</v>
      </c>
      <c r="AC11" s="8"/>
      <c r="AD11" s="8" t="str">
        <f>IF(AC11&lt;=9,,"Problema de Evaluación")</f>
        <v/>
      </c>
      <c r="AE11" s="8" t="str">
        <f>IF(AC11&gt;=1,,"Problema de Evaluación")</f>
        <v>Problema de Evaluación</v>
      </c>
      <c r="AF11" s="8" t="s">
        <v>29</v>
      </c>
      <c r="AG11" s="8" t="s">
        <v>72</v>
      </c>
      <c r="AH11" s="8"/>
      <c r="AI11" s="8"/>
      <c r="AJ11" s="1"/>
      <c r="AK11" s="1"/>
      <c r="AL11" s="1"/>
      <c r="AM11" s="1"/>
      <c r="AN11" s="1"/>
      <c r="AO11" s="1"/>
      <c r="AP11" s="1"/>
      <c r="AQ11" s="1"/>
      <c r="AR11" s="13"/>
    </row>
    <row r="12" ht="15.75" customHeight="1">
      <c r="A12" s="1"/>
      <c r="B12" s="1"/>
      <c r="C12" s="47" t="str">
        <f t="shared" si="4"/>
        <v>MateoCannata</v>
      </c>
      <c r="D12" s="2"/>
      <c r="E12" s="48" t="s">
        <v>75</v>
      </c>
      <c r="F12" s="36"/>
      <c r="G12" s="41" t="s">
        <v>76</v>
      </c>
      <c r="H12" s="2"/>
      <c r="I12" s="42" t="s">
        <v>77</v>
      </c>
      <c r="J12" s="4">
        <f t="shared" si="1"/>
        <v>26</v>
      </c>
      <c r="K12" s="5">
        <f t="shared" si="2"/>
        <v>3</v>
      </c>
      <c r="L12" s="6"/>
      <c r="M12" s="7"/>
      <c r="N12" s="24" t="s">
        <v>78</v>
      </c>
      <c r="O12" s="24">
        <v>9.0</v>
      </c>
      <c r="P12" s="8">
        <f t="shared" si="5"/>
        <v>0</v>
      </c>
      <c r="Q12" s="8">
        <f t="shared" si="3"/>
        <v>0</v>
      </c>
      <c r="R12" s="8"/>
      <c r="S12" s="8" t="str">
        <f>IF(Q12&lt;=5,,"Problema de Control")</f>
        <v/>
      </c>
      <c r="T12" s="8" t="str">
        <f>IF(Q12&gt;=0,,"Problema de Control")</f>
        <v/>
      </c>
      <c r="U12" s="8"/>
      <c r="V12" s="8"/>
      <c r="W12" s="24" t="s">
        <v>79</v>
      </c>
      <c r="X12" s="24" t="s">
        <v>80</v>
      </c>
      <c r="Y12" s="24">
        <f>14/100</f>
        <v>0.14</v>
      </c>
      <c r="Z12" s="24">
        <f t="shared" si="6"/>
        <v>0.03</v>
      </c>
      <c r="AA12" s="8"/>
      <c r="AB12" s="8">
        <v>9.0</v>
      </c>
      <c r="AC12" s="8"/>
      <c r="AD12" s="8" t="str">
        <f>IF(AC12&lt;=5,,"Problema de Control")</f>
        <v/>
      </c>
      <c r="AE12" s="8" t="str">
        <f>IF(AC12&gt;=0,,"Problema de Control")</f>
        <v/>
      </c>
      <c r="AF12" s="8" t="s">
        <v>29</v>
      </c>
      <c r="AG12" s="8">
        <v>1.0</v>
      </c>
      <c r="AH12" s="8">
        <f t="shared" ref="AH12:AH23" si="7">IF( OR(T4&lt;&gt;0,S4&lt;&gt;0),1,0)</f>
        <v>1</v>
      </c>
      <c r="AI12" s="8"/>
      <c r="AJ12" s="1"/>
      <c r="AK12" s="1"/>
      <c r="AL12" s="1"/>
      <c r="AM12" s="1"/>
      <c r="AN12" s="1"/>
      <c r="AO12" s="1"/>
      <c r="AP12" s="1"/>
      <c r="AQ12" s="1"/>
      <c r="AR12" s="13"/>
    </row>
    <row r="13" ht="24.0" customHeight="1">
      <c r="A13" s="1"/>
      <c r="B13" s="1"/>
      <c r="C13" s="47" t="str">
        <f t="shared" si="4"/>
        <v>MateoCannata</v>
      </c>
      <c r="D13" s="2"/>
      <c r="E13" s="43"/>
      <c r="F13" s="32"/>
      <c r="G13" s="41" t="s">
        <v>85</v>
      </c>
      <c r="H13" s="2"/>
      <c r="I13" s="1"/>
      <c r="J13" s="4">
        <f t="shared" si="1"/>
        <v>0</v>
      </c>
      <c r="K13" s="5">
        <f t="shared" si="2"/>
        <v>0</v>
      </c>
      <c r="L13" s="6"/>
      <c r="M13" s="7"/>
      <c r="N13" s="24" t="s">
        <v>83</v>
      </c>
      <c r="O13" s="24">
        <v>10.0</v>
      </c>
      <c r="P13" s="8">
        <f t="shared" si="5"/>
        <v>0</v>
      </c>
      <c r="Q13" s="8">
        <f t="shared" si="3"/>
        <v>0</v>
      </c>
      <c r="R13" s="8"/>
      <c r="S13" s="8" t="str">
        <f>IF(Q13&lt;=13,,"Problema de Decisión")</f>
        <v/>
      </c>
      <c r="T13" s="8" t="str">
        <f>IF(Q13&gt;=3,,"Problema de Decisión")</f>
        <v>Problema de Decisión</v>
      </c>
      <c r="U13" s="8"/>
      <c r="V13" s="8"/>
      <c r="W13" s="24" t="s">
        <v>79</v>
      </c>
      <c r="X13" s="24" t="s">
        <v>84</v>
      </c>
      <c r="Y13" s="24">
        <f>10/100</f>
        <v>0.1</v>
      </c>
      <c r="Z13" s="24">
        <f>1/100</f>
        <v>0.01</v>
      </c>
      <c r="AA13" s="8"/>
      <c r="AB13" s="8">
        <v>10.0</v>
      </c>
      <c r="AC13" s="8"/>
      <c r="AD13" s="8" t="str">
        <f>IF(AC13&lt;=13,,"Problema de Decisión")</f>
        <v/>
      </c>
      <c r="AE13" s="8" t="str">
        <f>IF(AC13&gt;=3,,"Problema de Decisión")</f>
        <v>Problema de Decisión</v>
      </c>
      <c r="AF13" s="8" t="s">
        <v>29</v>
      </c>
      <c r="AG13" s="8">
        <v>2.0</v>
      </c>
      <c r="AH13" s="8">
        <f t="shared" si="7"/>
        <v>0</v>
      </c>
      <c r="AI13" s="8"/>
      <c r="AJ13" s="1"/>
      <c r="AK13" s="1"/>
      <c r="AL13" s="1"/>
      <c r="AM13" s="1"/>
      <c r="AN13" s="1"/>
      <c r="AO13" s="1"/>
      <c r="AP13" s="1"/>
      <c r="AQ13" s="1"/>
      <c r="AR13" s="13"/>
    </row>
    <row r="14" ht="24.0" customHeight="1">
      <c r="A14" s="1"/>
      <c r="B14" s="1"/>
      <c r="C14" s="47" t="str">
        <f t="shared" si="4"/>
        <v>MateoCannata</v>
      </c>
      <c r="D14" s="2"/>
      <c r="E14" s="35"/>
      <c r="F14" s="36"/>
      <c r="G14" s="40" t="s">
        <v>90</v>
      </c>
      <c r="H14" s="2"/>
      <c r="I14" s="1"/>
      <c r="J14" s="4">
        <f t="shared" si="1"/>
        <v>0</v>
      </c>
      <c r="K14" s="5">
        <f t="shared" si="2"/>
        <v>0</v>
      </c>
      <c r="L14" s="6"/>
      <c r="M14" s="7"/>
      <c r="N14" s="24" t="s">
        <v>87</v>
      </c>
      <c r="O14" s="24">
        <v>11.0</v>
      </c>
      <c r="P14" s="8">
        <f t="shared" si="5"/>
        <v>1</v>
      </c>
      <c r="Q14" s="8">
        <f t="shared" si="3"/>
        <v>3.03030303</v>
      </c>
      <c r="R14" s="8"/>
      <c r="S14" s="8" t="str">
        <f>IF(Q14&lt;=10,,"Problema de Tensión")</f>
        <v/>
      </c>
      <c r="T14" s="8" t="str">
        <f>IF(Q14&gt;=1,,"Problema de Tensión")</f>
        <v/>
      </c>
      <c r="U14" s="8"/>
      <c r="V14" s="8"/>
      <c r="W14" s="24" t="s">
        <v>88</v>
      </c>
      <c r="X14" s="24" t="s">
        <v>89</v>
      </c>
      <c r="Y14" s="24">
        <f>5/100</f>
        <v>0.05</v>
      </c>
      <c r="Z14" s="24">
        <v>0.0</v>
      </c>
      <c r="AA14" s="8"/>
      <c r="AB14" s="8">
        <v>11.0</v>
      </c>
      <c r="AC14" s="8"/>
      <c r="AD14" s="8" t="str">
        <f>IF(AC14&lt;=10,,"Problema de Tensión")</f>
        <v/>
      </c>
      <c r="AE14" s="8" t="str">
        <f>IF(AC14&gt;=1,,"Problema de Tensión")</f>
        <v>Problema de Tensión</v>
      </c>
      <c r="AF14" s="8" t="s">
        <v>29</v>
      </c>
      <c r="AG14" s="8">
        <v>3.0</v>
      </c>
      <c r="AH14" s="8">
        <f t="shared" si="7"/>
        <v>0</v>
      </c>
      <c r="AI14" s="8"/>
      <c r="AJ14" s="1"/>
      <c r="AK14" s="1"/>
      <c r="AL14" s="1"/>
      <c r="AM14" s="1"/>
      <c r="AN14" s="1"/>
      <c r="AO14" s="1"/>
      <c r="AP14" s="1"/>
      <c r="AQ14" s="1"/>
      <c r="AR14" s="13"/>
    </row>
    <row r="15" ht="15.75" customHeight="1">
      <c r="A15" s="1"/>
      <c r="B15" s="1"/>
      <c r="C15" s="47" t="str">
        <f t="shared" si="4"/>
        <v>MateoCannata</v>
      </c>
      <c r="D15" s="2"/>
      <c r="E15" s="36"/>
      <c r="F15" s="36"/>
      <c r="G15" s="32"/>
      <c r="H15" s="2"/>
      <c r="I15" s="1"/>
      <c r="J15" s="4">
        <f t="shared" si="1"/>
        <v>0</v>
      </c>
      <c r="K15" s="5">
        <f t="shared" si="2"/>
        <v>0</v>
      </c>
      <c r="L15" s="6"/>
      <c r="M15" s="7"/>
      <c r="N15" s="24" t="s">
        <v>91</v>
      </c>
      <c r="O15" s="24">
        <v>12.0</v>
      </c>
      <c r="P15" s="8">
        <f t="shared" si="5"/>
        <v>0</v>
      </c>
      <c r="Q15" s="8">
        <f t="shared" si="3"/>
        <v>0</v>
      </c>
      <c r="R15" s="8"/>
      <c r="S15" s="8" t="str">
        <f>IF(Q15&lt;=7,,"Problema de Reintegración")</f>
        <v/>
      </c>
      <c r="T15" s="8" t="str">
        <f>IF(Q15&gt;=0,,"Problema de Reintegración")</f>
        <v/>
      </c>
      <c r="U15" s="8"/>
      <c r="V15" s="8"/>
      <c r="W15" s="24" t="s">
        <v>88</v>
      </c>
      <c r="X15" s="24" t="s">
        <v>92</v>
      </c>
      <c r="Y15" s="24">
        <f>7/100</f>
        <v>0.07</v>
      </c>
      <c r="Z15" s="24">
        <v>0.0</v>
      </c>
      <c r="AA15" s="8"/>
      <c r="AB15" s="8">
        <v>12.0</v>
      </c>
      <c r="AC15" s="8"/>
      <c r="AD15" s="8" t="str">
        <f>IF(AC15&lt;=7,,"Problema de Reintegración")</f>
        <v/>
      </c>
      <c r="AE15" s="8" t="str">
        <f>IF(AC15&gt;=0,,"Problema de Reintegración")</f>
        <v/>
      </c>
      <c r="AF15" s="8" t="s">
        <v>29</v>
      </c>
      <c r="AG15" s="8">
        <v>4.0</v>
      </c>
      <c r="AH15" s="8">
        <f t="shared" si="7"/>
        <v>0</v>
      </c>
      <c r="AI15" s="8"/>
      <c r="AJ15" s="1"/>
      <c r="AK15" s="1"/>
      <c r="AL15" s="1"/>
      <c r="AM15" s="1"/>
      <c r="AN15" s="1"/>
      <c r="AO15" s="1"/>
      <c r="AP15" s="1"/>
      <c r="AQ15" s="1"/>
      <c r="AR15" s="13"/>
    </row>
    <row r="16" ht="15.75" customHeight="1">
      <c r="A16" s="1"/>
      <c r="B16" s="1"/>
      <c r="C16" s="47" t="str">
        <f t="shared" si="4"/>
        <v>Kevin Ruau</v>
      </c>
      <c r="D16" s="2"/>
      <c r="E16" s="48" t="s">
        <v>60</v>
      </c>
      <c r="F16" s="39">
        <v>0.6361111111111111</v>
      </c>
      <c r="G16" s="40" t="s">
        <v>101</v>
      </c>
      <c r="H16" s="2"/>
      <c r="I16" s="42" t="s">
        <v>69</v>
      </c>
      <c r="J16" s="4">
        <f t="shared" si="1"/>
        <v>35</v>
      </c>
      <c r="K16" s="5">
        <f t="shared" si="2"/>
        <v>6</v>
      </c>
      <c r="L16" s="6"/>
      <c r="M16" s="7"/>
      <c r="N16" s="24"/>
      <c r="O16" s="24"/>
      <c r="P16" s="8"/>
      <c r="Q16" s="8"/>
      <c r="R16" s="8"/>
      <c r="S16" s="8"/>
      <c r="T16" s="8"/>
      <c r="U16" s="24"/>
      <c r="V16" s="8"/>
      <c r="W16" s="24"/>
      <c r="X16" s="24"/>
      <c r="Y16" s="24"/>
      <c r="Z16" s="24"/>
      <c r="AA16" s="8"/>
      <c r="AB16" s="8"/>
      <c r="AC16" s="8"/>
      <c r="AD16" s="8"/>
      <c r="AE16" s="8"/>
      <c r="AF16" s="8" t="s">
        <v>29</v>
      </c>
      <c r="AG16" s="8">
        <v>5.0</v>
      </c>
      <c r="AH16" s="8">
        <f t="shared" si="7"/>
        <v>0</v>
      </c>
      <c r="AI16" s="8"/>
      <c r="AJ16" s="1"/>
      <c r="AK16" s="1"/>
      <c r="AL16" s="1"/>
      <c r="AM16" s="1"/>
      <c r="AN16" s="1"/>
      <c r="AO16" s="1"/>
      <c r="AP16" s="1"/>
      <c r="AQ16" s="1"/>
      <c r="AR16" s="13"/>
    </row>
    <row r="17" ht="29.25" customHeight="1">
      <c r="A17" s="1"/>
      <c r="B17" s="1"/>
      <c r="C17" s="47" t="str">
        <f t="shared" si="4"/>
        <v>Kevin Ruau</v>
      </c>
      <c r="D17" s="2"/>
      <c r="E17" s="40"/>
      <c r="F17" s="40"/>
      <c r="G17" s="32"/>
      <c r="H17" s="2"/>
      <c r="J17" s="4">
        <f t="shared" si="1"/>
        <v>0</v>
      </c>
      <c r="K17" s="5">
        <f t="shared" si="2"/>
        <v>0</v>
      </c>
      <c r="L17" s="6"/>
      <c r="M17" s="7"/>
      <c r="N17" s="8"/>
      <c r="O17" s="8"/>
      <c r="P17" s="8"/>
      <c r="Q17" s="8"/>
      <c r="R17" s="8"/>
      <c r="S17" s="8"/>
      <c r="T17" s="24"/>
      <c r="U17" s="8" t="s">
        <v>96</v>
      </c>
      <c r="V17" s="8"/>
      <c r="W17" s="8"/>
      <c r="X17" s="8"/>
      <c r="Y17" s="8"/>
      <c r="Z17" s="8"/>
      <c r="AA17" s="8"/>
      <c r="AB17" s="8"/>
      <c r="AC17" s="8"/>
      <c r="AD17" s="8"/>
      <c r="AE17" s="8"/>
      <c r="AF17" s="8"/>
      <c r="AG17" s="8">
        <v>6.0</v>
      </c>
      <c r="AH17" s="8">
        <f t="shared" si="7"/>
        <v>0</v>
      </c>
      <c r="AI17" s="8"/>
      <c r="AJ17" s="1"/>
      <c r="AK17" s="1"/>
      <c r="AL17" s="1"/>
      <c r="AM17" s="1"/>
      <c r="AN17" s="1"/>
      <c r="AO17" s="1"/>
      <c r="AP17" s="1"/>
      <c r="AQ17" s="1"/>
      <c r="AR17" s="13"/>
    </row>
    <row r="18" ht="37.5" customHeight="1">
      <c r="A18" s="1"/>
      <c r="B18" s="1"/>
      <c r="C18" s="47" t="str">
        <f t="shared" si="4"/>
        <v>Kevin Ruau</v>
      </c>
      <c r="D18" s="2"/>
      <c r="E18" s="40"/>
      <c r="F18" s="32"/>
      <c r="G18" s="32"/>
      <c r="H18" s="2"/>
      <c r="I18" s="1"/>
      <c r="J18" s="4">
        <f t="shared" si="1"/>
        <v>0</v>
      </c>
      <c r="K18" s="5">
        <f t="shared" si="2"/>
        <v>0</v>
      </c>
      <c r="L18" s="6"/>
      <c r="M18" s="7"/>
      <c r="N18" s="24" t="s">
        <v>98</v>
      </c>
      <c r="O18" s="8" t="s">
        <v>99</v>
      </c>
      <c r="P18" s="8" t="s">
        <v>99</v>
      </c>
      <c r="Q18" s="8" t="s">
        <v>99</v>
      </c>
      <c r="R18" s="8"/>
      <c r="S18" s="8" t="s">
        <v>100</v>
      </c>
      <c r="T18" s="8"/>
      <c r="U18" s="8"/>
      <c r="V18" s="8"/>
      <c r="W18" s="8"/>
      <c r="X18" s="8"/>
      <c r="Y18" s="8"/>
      <c r="Z18" s="8"/>
      <c r="AA18" s="8"/>
      <c r="AB18" s="8"/>
      <c r="AC18" s="8"/>
      <c r="AD18" s="8"/>
      <c r="AE18" s="8"/>
      <c r="AF18" s="8"/>
      <c r="AG18" s="8">
        <v>7.0</v>
      </c>
      <c r="AH18" s="8">
        <f t="shared" si="7"/>
        <v>0</v>
      </c>
      <c r="AI18" s="8"/>
      <c r="AJ18" s="1"/>
      <c r="AK18" s="1"/>
      <c r="AL18" s="1"/>
      <c r="AM18" s="1"/>
      <c r="AN18" s="1"/>
      <c r="AO18" s="1"/>
      <c r="AP18" s="1"/>
      <c r="AQ18" s="1"/>
      <c r="AR18" s="13"/>
    </row>
    <row r="19" ht="30.0" customHeight="1">
      <c r="A19" s="1"/>
      <c r="B19" s="1"/>
      <c r="C19" s="47" t="str">
        <f t="shared" si="4"/>
        <v>Kevin Ruau</v>
      </c>
      <c r="D19" s="2"/>
      <c r="E19" s="36"/>
      <c r="F19" s="36"/>
      <c r="G19" s="32"/>
      <c r="H19" s="2"/>
      <c r="I19" s="1"/>
      <c r="J19" s="4">
        <f t="shared" si="1"/>
        <v>0</v>
      </c>
      <c r="K19" s="5">
        <f t="shared" si="2"/>
        <v>0</v>
      </c>
      <c r="L19" s="6"/>
      <c r="M19" s="12" t="s">
        <v>108</v>
      </c>
      <c r="N19" s="24" t="s">
        <v>105</v>
      </c>
      <c r="O19" s="38" t="s">
        <v>34</v>
      </c>
      <c r="P19" s="8">
        <f t="shared" ref="P19:P22" si="8">COUNTIFS(C$3:C$110,O19,K$3:K$110,"&gt;0") + COUNTIFS(C$3:C$110,M19,K$3:K$110,"&gt;0")</f>
        <v>3</v>
      </c>
      <c r="Q19" s="8"/>
      <c r="R19" s="8"/>
      <c r="S19" s="8"/>
      <c r="T19" s="8"/>
      <c r="U19" s="8"/>
      <c r="V19" s="8"/>
      <c r="W19" s="8"/>
      <c r="X19" s="8"/>
      <c r="Y19" s="8"/>
      <c r="Z19" s="8"/>
      <c r="AA19" s="8"/>
      <c r="AB19" s="8"/>
      <c r="AC19" s="8"/>
      <c r="AD19" s="8"/>
      <c r="AE19" s="8"/>
      <c r="AF19" s="8"/>
      <c r="AG19" s="8">
        <v>8.0</v>
      </c>
      <c r="AH19" s="8">
        <f t="shared" si="7"/>
        <v>1</v>
      </c>
      <c r="AI19" s="8"/>
      <c r="AJ19" s="1"/>
      <c r="AK19" s="1"/>
      <c r="AL19" s="1"/>
      <c r="AM19" s="1"/>
      <c r="AN19" s="1"/>
      <c r="AO19" s="1"/>
      <c r="AP19" s="1"/>
      <c r="AQ19" s="1"/>
      <c r="AR19" s="13"/>
    </row>
    <row r="20" ht="36.75" customHeight="1">
      <c r="A20" s="1"/>
      <c r="B20" s="1"/>
      <c r="C20" s="47" t="str">
        <f t="shared" si="4"/>
        <v>Kevin Ruau</v>
      </c>
      <c r="D20" s="2"/>
      <c r="E20" s="40"/>
      <c r="F20" s="40"/>
      <c r="G20" s="32"/>
      <c r="H20" s="2"/>
      <c r="I20" s="1"/>
      <c r="J20" s="4">
        <f t="shared" si="1"/>
        <v>0</v>
      </c>
      <c r="K20" s="5">
        <f t="shared" si="2"/>
        <v>0</v>
      </c>
      <c r="L20" s="6"/>
      <c r="M20" s="12" t="s">
        <v>112</v>
      </c>
      <c r="N20" s="24" t="s">
        <v>105</v>
      </c>
      <c r="O20" s="38" t="s">
        <v>60</v>
      </c>
      <c r="P20" s="8">
        <f t="shared" si="8"/>
        <v>11</v>
      </c>
      <c r="Q20" s="8"/>
      <c r="R20" s="8"/>
      <c r="S20" s="8"/>
      <c r="T20" s="8"/>
      <c r="U20" s="8"/>
      <c r="V20" s="8"/>
      <c r="W20" s="8"/>
      <c r="X20" s="8"/>
      <c r="Y20" s="8"/>
      <c r="Z20" s="8"/>
      <c r="AA20" s="8"/>
      <c r="AB20" s="8"/>
      <c r="AC20" s="8"/>
      <c r="AD20" s="8"/>
      <c r="AE20" s="8"/>
      <c r="AF20" s="8"/>
      <c r="AG20" s="8">
        <v>9.0</v>
      </c>
      <c r="AH20" s="8">
        <f t="shared" si="7"/>
        <v>0</v>
      </c>
      <c r="AI20" s="8"/>
      <c r="AJ20" s="1"/>
      <c r="AK20" s="1"/>
      <c r="AL20" s="1"/>
      <c r="AM20" s="1"/>
      <c r="AN20" s="1"/>
      <c r="AO20" s="1"/>
      <c r="AP20" s="1"/>
      <c r="AQ20" s="1"/>
      <c r="AR20" s="13"/>
    </row>
    <row r="21" ht="47.25" customHeight="1">
      <c r="A21" s="1"/>
      <c r="B21" s="1"/>
      <c r="C21" s="47" t="str">
        <f t="shared" si="4"/>
        <v>Kevin Ruau</v>
      </c>
      <c r="D21" s="2"/>
      <c r="E21" s="54"/>
      <c r="F21" s="32"/>
      <c r="G21" s="32"/>
      <c r="H21" s="2"/>
      <c r="I21" s="1"/>
      <c r="J21" s="4">
        <f t="shared" si="1"/>
        <v>0</v>
      </c>
      <c r="K21" s="5">
        <f t="shared" si="2"/>
        <v>0</v>
      </c>
      <c r="L21" s="6"/>
      <c r="M21" s="12" t="s">
        <v>115</v>
      </c>
      <c r="N21" s="24" t="s">
        <v>105</v>
      </c>
      <c r="O21" s="48" t="s">
        <v>75</v>
      </c>
      <c r="P21" s="8">
        <f t="shared" si="8"/>
        <v>6</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13"/>
    </row>
    <row r="22" ht="27.0" customHeight="1">
      <c r="A22" s="1"/>
      <c r="B22" s="1"/>
      <c r="C22" s="47" t="str">
        <f t="shared" si="4"/>
        <v>Kevin Ruau</v>
      </c>
      <c r="D22" s="2"/>
      <c r="E22" s="31"/>
      <c r="F22" s="31"/>
      <c r="G22" s="32"/>
      <c r="H22" s="2"/>
      <c r="I22" s="1"/>
      <c r="J22" s="4">
        <f t="shared" si="1"/>
        <v>0</v>
      </c>
      <c r="K22" s="5">
        <f t="shared" si="2"/>
        <v>0</v>
      </c>
      <c r="L22" s="6"/>
      <c r="M22" s="42" t="s">
        <v>118</v>
      </c>
      <c r="N22" s="24" t="s">
        <v>105</v>
      </c>
      <c r="O22" s="55" t="s">
        <v>119</v>
      </c>
      <c r="P22" s="8">
        <f t="shared" si="8"/>
        <v>9</v>
      </c>
      <c r="Q22" s="8"/>
      <c r="R22" s="8"/>
      <c r="S22" s="8"/>
      <c r="T22" s="8"/>
      <c r="U22" s="8"/>
      <c r="V22" s="8"/>
      <c r="W22" s="8"/>
      <c r="X22" s="8"/>
      <c r="Y22" s="8"/>
      <c r="Z22" s="8"/>
      <c r="AA22" s="8"/>
      <c r="AB22" s="8"/>
      <c r="AC22" s="8"/>
      <c r="AD22" s="8"/>
      <c r="AE22" s="8"/>
      <c r="AF22" s="8"/>
      <c r="AG22" s="8">
        <v>11.0</v>
      </c>
      <c r="AH22" s="8">
        <f t="shared" si="7"/>
        <v>0</v>
      </c>
      <c r="AI22" s="8"/>
      <c r="AJ22" s="1"/>
      <c r="AK22" s="1"/>
      <c r="AL22" s="1"/>
      <c r="AM22" s="1"/>
      <c r="AN22" s="1"/>
      <c r="AO22" s="1"/>
      <c r="AP22" s="1"/>
      <c r="AQ22" s="1"/>
      <c r="AR22" s="13"/>
    </row>
    <row r="23" ht="27.0" customHeight="1">
      <c r="A23" s="1"/>
      <c r="B23" s="1"/>
      <c r="C23" s="47" t="str">
        <f t="shared" si="4"/>
        <v>Kevin Ruau</v>
      </c>
      <c r="D23" s="2"/>
      <c r="E23" s="56"/>
      <c r="F23" s="36"/>
      <c r="G23" s="32"/>
      <c r="H23" s="2"/>
      <c r="I23" s="1"/>
      <c r="J23" s="4">
        <f t="shared" si="1"/>
        <v>0</v>
      </c>
      <c r="K23" s="5">
        <f t="shared" si="2"/>
        <v>0</v>
      </c>
      <c r="L23" s="6"/>
      <c r="M23" s="12" t="s">
        <v>121</v>
      </c>
      <c r="N23" s="24" t="s">
        <v>105</v>
      </c>
      <c r="P23" s="8">
        <f>COUNTIFS(C$3:C$110,M23,K$3:K$110,"&gt;0") + COUNTIFS(C$3:C$110,M23,K$3:K$110,"&gt;0")</f>
        <v>8</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57" t="str">
        <f t="shared" si="4"/>
        <v>Kevin Ruau</v>
      </c>
      <c r="D24" s="2"/>
      <c r="E24" s="58" t="s">
        <v>60</v>
      </c>
      <c r="F24" s="40"/>
      <c r="G24" s="40" t="s">
        <v>129</v>
      </c>
      <c r="H24" s="2"/>
      <c r="I24" s="1"/>
      <c r="J24" s="4">
        <f t="shared" si="1"/>
        <v>0</v>
      </c>
      <c r="K24" s="5">
        <f t="shared" si="2"/>
        <v>0</v>
      </c>
      <c r="L24" s="6"/>
      <c r="M24" s="8"/>
      <c r="N24" s="24" t="s">
        <v>105</v>
      </c>
      <c r="O24" s="8"/>
      <c r="P24" s="8">
        <f t="shared" ref="P24:P25" si="9">COUNTIFS(C$3:C$110,O24,K$3:K$110,"&gt;0") + COUNTIFS(C$3:C$110,M24,K$3:K$110,"&gt;0")</f>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57" t="str">
        <f t="shared" si="4"/>
        <v>Kevin Ruau</v>
      </c>
      <c r="D25" s="2"/>
      <c r="E25" s="56"/>
      <c r="F25" s="36"/>
      <c r="G25" s="41" t="s">
        <v>134</v>
      </c>
      <c r="H25" s="2"/>
      <c r="I25" s="42" t="s">
        <v>135</v>
      </c>
      <c r="J25" s="4">
        <f t="shared" si="1"/>
        <v>3</v>
      </c>
      <c r="K25" s="5">
        <f t="shared" si="2"/>
        <v>5</v>
      </c>
      <c r="L25" s="6"/>
      <c r="M25" s="7"/>
      <c r="N25" s="24" t="s">
        <v>105</v>
      </c>
      <c r="O25" s="8"/>
      <c r="P25" s="8">
        <f t="shared" si="9"/>
        <v>0</v>
      </c>
      <c r="Q25" s="24" t="s">
        <v>6</v>
      </c>
      <c r="R25" s="8"/>
      <c r="S25" s="8"/>
      <c r="T25" s="8"/>
      <c r="U25" s="24" t="s">
        <v>6</v>
      </c>
      <c r="V25" s="24"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57" t="str">
        <f t="shared" si="4"/>
        <v>Kevin Ruau</v>
      </c>
      <c r="D26" s="2"/>
      <c r="E26" s="54"/>
      <c r="F26" s="32"/>
      <c r="G26" s="32"/>
      <c r="H26" s="2"/>
      <c r="I26" s="1"/>
      <c r="J26" s="4">
        <f t="shared" si="1"/>
        <v>0</v>
      </c>
      <c r="K26" s="5">
        <f t="shared" si="2"/>
        <v>0</v>
      </c>
      <c r="L26" s="6"/>
      <c r="M26" s="7"/>
      <c r="N26" s="24"/>
      <c r="O26" s="8"/>
      <c r="P26" s="24" t="s">
        <v>122</v>
      </c>
      <c r="Q26" s="24" t="s">
        <v>10</v>
      </c>
      <c r="R26" s="24"/>
      <c r="S26" s="24" t="s">
        <v>123</v>
      </c>
      <c r="T26" s="8"/>
      <c r="U26" s="24" t="s">
        <v>124</v>
      </c>
      <c r="V26" s="24" t="s">
        <v>125</v>
      </c>
      <c r="W26" s="8"/>
      <c r="X26" s="8"/>
      <c r="Y26" s="8"/>
      <c r="Z26" s="8"/>
      <c r="AA26" s="8"/>
      <c r="AB26" s="24" t="s">
        <v>126</v>
      </c>
      <c r="AC26" s="8"/>
      <c r="AD26" s="8"/>
      <c r="AE26" s="8"/>
      <c r="AF26" s="8"/>
      <c r="AG26" s="8"/>
      <c r="AH26" s="8"/>
      <c r="AI26" s="8"/>
      <c r="AJ26" s="8"/>
      <c r="AK26" s="8"/>
      <c r="AL26" s="8"/>
      <c r="AM26" s="8"/>
      <c r="AN26" s="8"/>
      <c r="AO26" s="8"/>
      <c r="AP26" s="24" t="s">
        <v>127</v>
      </c>
      <c r="AQ26" s="8"/>
      <c r="AR26" s="8"/>
    </row>
    <row r="27" ht="39.75" customHeight="1">
      <c r="A27" s="1"/>
      <c r="B27" s="1"/>
      <c r="C27" s="57" t="str">
        <f t="shared" si="4"/>
        <v>Kevin Ruau</v>
      </c>
      <c r="D27" s="2"/>
      <c r="E27" s="56"/>
      <c r="F27" s="36"/>
      <c r="G27" s="32"/>
      <c r="H27" s="2"/>
      <c r="I27" s="1"/>
      <c r="J27" s="4">
        <f t="shared" si="1"/>
        <v>0</v>
      </c>
      <c r="K27" s="5">
        <f t="shared" si="2"/>
        <v>0</v>
      </c>
      <c r="L27" s="6"/>
      <c r="M27" s="7"/>
      <c r="N27" s="24" t="s">
        <v>130</v>
      </c>
      <c r="O27" s="8" t="s">
        <v>131</v>
      </c>
      <c r="P27" s="8"/>
      <c r="Q27" s="8"/>
      <c r="R27" s="8"/>
      <c r="S27" s="8">
        <f>COUNTIFS(C$3:C$110,S$18,K$3:K$110,"&gt;0") + COUNTIFS(C$3:C$110,T$18,K$3:K$110,"&gt;0")</f>
        <v>0</v>
      </c>
      <c r="T27" s="8">
        <f>(S27/P$3)*100</f>
        <v>0</v>
      </c>
      <c r="U27" s="8"/>
      <c r="V27" s="59"/>
      <c r="W27" s="60" t="s">
        <v>132</v>
      </c>
      <c r="X27" s="61" t="s">
        <v>133</v>
      </c>
      <c r="Y27" s="61" t="s">
        <v>136</v>
      </c>
      <c r="Z27" s="24" t="s">
        <v>18</v>
      </c>
      <c r="AA27" s="8"/>
      <c r="AB27" s="24" t="s">
        <v>137</v>
      </c>
      <c r="AC27" s="24" t="s">
        <v>138</v>
      </c>
      <c r="AD27" s="24" t="s">
        <v>139</v>
      </c>
      <c r="AE27" s="24" t="s">
        <v>17</v>
      </c>
      <c r="AF27" s="24" t="s">
        <v>18</v>
      </c>
      <c r="AG27" s="24" t="s">
        <v>140</v>
      </c>
      <c r="AH27" s="24" t="s">
        <v>141</v>
      </c>
      <c r="AI27" s="8"/>
      <c r="AJ27" s="8"/>
      <c r="AK27" s="8" t="s">
        <v>142</v>
      </c>
      <c r="AL27" s="8" t="s">
        <v>143</v>
      </c>
      <c r="AM27" s="8" t="s">
        <v>144</v>
      </c>
      <c r="AN27" s="8"/>
      <c r="AO27" s="8"/>
      <c r="AP27" s="8" t="str">
        <f>S18</f>
        <v>hernan</v>
      </c>
      <c r="AQ27" s="8"/>
      <c r="AR27" s="8" t="s">
        <v>29</v>
      </c>
    </row>
    <row r="28" ht="36.75" customHeight="1">
      <c r="A28" s="1"/>
      <c r="B28" s="1"/>
      <c r="C28" s="57" t="str">
        <f t="shared" si="4"/>
        <v>Emmanuel Zamora</v>
      </c>
      <c r="D28" s="2"/>
      <c r="E28" s="55" t="s">
        <v>119</v>
      </c>
      <c r="F28" s="40"/>
      <c r="G28" s="40" t="s">
        <v>153</v>
      </c>
      <c r="H28" s="2"/>
      <c r="I28" s="42" t="s">
        <v>44</v>
      </c>
      <c r="J28" s="4">
        <f t="shared" si="1"/>
        <v>30</v>
      </c>
      <c r="K28" s="5">
        <f t="shared" si="2"/>
        <v>8</v>
      </c>
      <c r="L28" s="6"/>
      <c r="M28" s="7"/>
      <c r="N28" s="24" t="s">
        <v>147</v>
      </c>
      <c r="O28" s="24">
        <v>1.0</v>
      </c>
      <c r="P28" s="8">
        <f t="shared" ref="P28:P63" si="10">COUNTIF(I$3:I$24,W28)</f>
        <v>0</v>
      </c>
      <c r="Q28" s="8">
        <f t="shared" ref="Q28:Q63" si="11">(P28/P$3)</f>
        <v>0</v>
      </c>
      <c r="R28" s="8"/>
      <c r="S28" s="8">
        <f t="shared" ref="S28:S63" si="12">COUNTIFS(J$3:J$110,O28,C$3:C$110,S$18) + COUNTIFS(J$3:J$110,O28,C$3:C$110,T$18)</f>
        <v>0</v>
      </c>
      <c r="T28" s="8" t="str">
        <f t="shared" ref="T28:T63" si="13">IF(P28&lt;&gt;0,S28/P28,"oo")</f>
        <v>oo</v>
      </c>
      <c r="U28" s="8">
        <f t="shared" ref="U28:U63" si="14">IF(P28&lt;&gt;0,T28,0)</f>
        <v>0</v>
      </c>
      <c r="V28" s="59">
        <f t="shared" ref="V28:V63" si="15">U28*Q28</f>
        <v>0</v>
      </c>
      <c r="W28" s="62" t="s">
        <v>148</v>
      </c>
      <c r="X28" s="63" t="s">
        <v>149</v>
      </c>
      <c r="Y28" s="64" t="s">
        <v>150</v>
      </c>
      <c r="Z28" s="24">
        <v>5.0</v>
      </c>
      <c r="AA28" s="8"/>
      <c r="AB28" s="8">
        <f t="shared" ref="AB28:AB63" si="16">SUMIFS(V$28:V$63,Y$28:Y$63,Y28)</f>
        <v>0</v>
      </c>
      <c r="AC28" s="8">
        <f t="shared" ref="AC28:AC63" si="17">SUMIFS(Q$28:Q$63,Y$28:Y$63,Y28)</f>
        <v>0</v>
      </c>
      <c r="AD28" s="8">
        <f t="shared" ref="AD28:AD63" si="18">IF(AC28&lt;&gt;0,AB28/AC28,0)</f>
        <v>0</v>
      </c>
      <c r="AE28" s="24" t="s">
        <v>151</v>
      </c>
      <c r="AF28" s="24">
        <v>6.0</v>
      </c>
      <c r="AG28" s="24" t="s">
        <v>152</v>
      </c>
      <c r="AH28" s="8">
        <f t="shared" ref="AH28:AH52" si="19">SUMIFS(V$28:V$63,Y$28:Y$63,AG28,Z$28:Z$63,AF28)</f>
        <v>0</v>
      </c>
      <c r="AI28" s="8" t="str">
        <f t="shared" ref="AI28:AI52" si="20">IF(AH28&lt;0.21,"BAJO",0)</f>
        <v>BAJO</v>
      </c>
      <c r="AJ28" s="8">
        <f t="shared" ref="AJ28:AJ52" si="21">IF(AH28&gt;0.5,"ALTO",0)</f>
        <v>0</v>
      </c>
      <c r="AK28" s="8" t="s">
        <v>27</v>
      </c>
      <c r="AL28" s="8" t="s">
        <v>154</v>
      </c>
      <c r="AM28" s="65" t="s">
        <v>155</v>
      </c>
      <c r="AN28" s="8"/>
      <c r="AO28" s="8"/>
      <c r="AP28" s="8">
        <f>IF(AND(AI$28&lt;&gt;0, AH$17&lt;&gt;0),AL$28&amp;" - "&amp;AK$28,0)</f>
        <v>0</v>
      </c>
      <c r="AQ28" s="8">
        <f>IF( AP28&lt;&gt;0,AM$28,0)</f>
        <v>0</v>
      </c>
      <c r="AR28" s="8" t="s">
        <v>29</v>
      </c>
    </row>
    <row r="29" ht="31.5" customHeight="1">
      <c r="A29" s="1"/>
      <c r="B29" s="1"/>
      <c r="C29" s="57" t="str">
        <f t="shared" si="4"/>
        <v>Emmanuel Zamora</v>
      </c>
      <c r="D29" s="2"/>
      <c r="E29" s="54"/>
      <c r="F29" s="32"/>
      <c r="G29" s="32"/>
      <c r="H29" s="2"/>
      <c r="I29" s="1"/>
      <c r="J29" s="4">
        <f t="shared" si="1"/>
        <v>0</v>
      </c>
      <c r="K29" s="5">
        <f t="shared" si="2"/>
        <v>0</v>
      </c>
      <c r="L29" s="6"/>
      <c r="M29" s="7"/>
      <c r="N29" s="24" t="s">
        <v>147</v>
      </c>
      <c r="O29" s="24">
        <v>2.0</v>
      </c>
      <c r="P29" s="8">
        <f t="shared" si="10"/>
        <v>0</v>
      </c>
      <c r="Q29" s="8">
        <f t="shared" si="11"/>
        <v>0</v>
      </c>
      <c r="R29" s="8"/>
      <c r="S29" s="8">
        <f t="shared" si="12"/>
        <v>0</v>
      </c>
      <c r="T29" s="8" t="str">
        <f t="shared" si="13"/>
        <v>oo</v>
      </c>
      <c r="U29" s="8">
        <f t="shared" si="14"/>
        <v>0</v>
      </c>
      <c r="V29" s="59">
        <f t="shared" si="15"/>
        <v>0</v>
      </c>
      <c r="W29" s="62" t="s">
        <v>159</v>
      </c>
      <c r="X29" s="63" t="s">
        <v>160</v>
      </c>
      <c r="Y29" s="64" t="s">
        <v>161</v>
      </c>
      <c r="Z29" s="24">
        <v>5.0</v>
      </c>
      <c r="AA29" s="8"/>
      <c r="AB29" s="8">
        <f t="shared" si="16"/>
        <v>0</v>
      </c>
      <c r="AC29" s="8">
        <f t="shared" si="17"/>
        <v>0</v>
      </c>
      <c r="AD29" s="8">
        <f t="shared" si="18"/>
        <v>0</v>
      </c>
      <c r="AE29" s="24"/>
      <c r="AF29" s="24">
        <v>6.0</v>
      </c>
      <c r="AG29" s="24" t="s">
        <v>162</v>
      </c>
      <c r="AH29" s="8">
        <f t="shared" si="19"/>
        <v>0</v>
      </c>
      <c r="AI29" s="8" t="str">
        <f t="shared" si="20"/>
        <v>BAJO</v>
      </c>
      <c r="AJ29" s="8">
        <f t="shared" si="21"/>
        <v>0</v>
      </c>
      <c r="AK29" s="8" t="s">
        <v>27</v>
      </c>
      <c r="AL29" s="8" t="s">
        <v>163</v>
      </c>
      <c r="AM29" s="65" t="s">
        <v>164</v>
      </c>
      <c r="AN29" s="8"/>
      <c r="AO29" s="8"/>
      <c r="AP29" s="8">
        <f>IF( AND(AI$29&lt;&gt;0,AH$17&lt;&gt;0),AL$29&amp;" - "&amp;AK$29,0)</f>
        <v>0</v>
      </c>
      <c r="AQ29" s="8">
        <f>IF( AP29&lt;&gt;0,AM$29,0)</f>
        <v>0</v>
      </c>
      <c r="AR29" s="8" t="s">
        <v>29</v>
      </c>
    </row>
    <row r="30" ht="52.5" customHeight="1">
      <c r="A30" s="1"/>
      <c r="B30" s="1"/>
      <c r="C30" s="57" t="str">
        <f t="shared" si="4"/>
        <v>Emmanuel Zamora</v>
      </c>
      <c r="D30" s="2"/>
      <c r="E30" s="56"/>
      <c r="F30" s="36"/>
      <c r="G30" s="32"/>
      <c r="H30" s="2"/>
      <c r="I30" s="1"/>
      <c r="J30" s="4">
        <f t="shared" si="1"/>
        <v>0</v>
      </c>
      <c r="K30" s="5">
        <f t="shared" si="2"/>
        <v>0</v>
      </c>
      <c r="L30" s="6"/>
      <c r="M30" s="7"/>
      <c r="N30" s="24" t="s">
        <v>147</v>
      </c>
      <c r="O30" s="24">
        <v>3.0</v>
      </c>
      <c r="P30" s="8">
        <f t="shared" si="10"/>
        <v>0</v>
      </c>
      <c r="Q30" s="8">
        <f t="shared" si="11"/>
        <v>0</v>
      </c>
      <c r="R30" s="8"/>
      <c r="S30" s="8">
        <f t="shared" si="12"/>
        <v>0</v>
      </c>
      <c r="T30" s="8" t="str">
        <f t="shared" si="13"/>
        <v>oo</v>
      </c>
      <c r="U30" s="8">
        <f t="shared" si="14"/>
        <v>0</v>
      </c>
      <c r="V30" s="59">
        <f t="shared" si="15"/>
        <v>0</v>
      </c>
      <c r="W30" s="62" t="s">
        <v>135</v>
      </c>
      <c r="X30" s="63" t="s">
        <v>167</v>
      </c>
      <c r="Y30" s="64" t="s">
        <v>161</v>
      </c>
      <c r="Z30" s="24">
        <v>5.0</v>
      </c>
      <c r="AA30" s="8"/>
      <c r="AB30" s="8">
        <f t="shared" si="16"/>
        <v>0</v>
      </c>
      <c r="AC30" s="8">
        <f t="shared" si="17"/>
        <v>0</v>
      </c>
      <c r="AD30" s="8">
        <f t="shared" si="18"/>
        <v>0</v>
      </c>
      <c r="AE30" s="24"/>
      <c r="AF30" s="24">
        <v>7.0</v>
      </c>
      <c r="AG30" s="24" t="s">
        <v>168</v>
      </c>
      <c r="AH30" s="8">
        <f t="shared" si="19"/>
        <v>0</v>
      </c>
      <c r="AI30" s="8" t="str">
        <f t="shared" si="20"/>
        <v>BAJO</v>
      </c>
      <c r="AJ30" s="8">
        <f t="shared" si="21"/>
        <v>0</v>
      </c>
      <c r="AK30" s="8" t="s">
        <v>27</v>
      </c>
      <c r="AL30" s="8" t="s">
        <v>169</v>
      </c>
      <c r="AM30" s="65" t="s">
        <v>170</v>
      </c>
      <c r="AN30" s="8"/>
      <c r="AO30" s="8"/>
      <c r="AP30" s="8">
        <f>IF( AND(AI$30&lt;&gt;0,AH$18&lt;&gt;0),AL$30&amp;" - "&amp;AK$30,0)</f>
        <v>0</v>
      </c>
      <c r="AQ30" s="8">
        <f>IF( AP30&lt;&gt;0,AM$30,0)</f>
        <v>0</v>
      </c>
      <c r="AR30" s="8" t="s">
        <v>29</v>
      </c>
    </row>
    <row r="31" ht="24.75" customHeight="1">
      <c r="A31" s="1"/>
      <c r="B31" s="1"/>
      <c r="C31" s="57" t="str">
        <f t="shared" si="4"/>
        <v>Kevin Ruau</v>
      </c>
      <c r="D31" s="2"/>
      <c r="E31" s="55" t="s">
        <v>60</v>
      </c>
      <c r="F31" s="40"/>
      <c r="G31" s="40" t="s">
        <v>179</v>
      </c>
      <c r="H31" s="2"/>
      <c r="I31" s="42" t="s">
        <v>182</v>
      </c>
      <c r="J31" s="4">
        <f t="shared" si="1"/>
        <v>12</v>
      </c>
      <c r="K31" s="5">
        <f t="shared" si="2"/>
        <v>6</v>
      </c>
      <c r="L31" s="6"/>
      <c r="M31" s="7"/>
      <c r="N31" s="24" t="s">
        <v>147</v>
      </c>
      <c r="O31" s="24">
        <v>4.0</v>
      </c>
      <c r="P31" s="8">
        <f t="shared" si="10"/>
        <v>0</v>
      </c>
      <c r="Q31" s="8">
        <f t="shared" si="11"/>
        <v>0</v>
      </c>
      <c r="R31" s="8"/>
      <c r="S31" s="8">
        <f t="shared" si="12"/>
        <v>0</v>
      </c>
      <c r="T31" s="8" t="str">
        <f t="shared" si="13"/>
        <v>oo</v>
      </c>
      <c r="U31" s="8">
        <f t="shared" si="14"/>
        <v>0</v>
      </c>
      <c r="V31" s="59">
        <f t="shared" si="15"/>
        <v>0</v>
      </c>
      <c r="W31" s="62" t="s">
        <v>172</v>
      </c>
      <c r="X31" s="63" t="s">
        <v>173</v>
      </c>
      <c r="Y31" s="64" t="s">
        <v>161</v>
      </c>
      <c r="Z31" s="24">
        <v>12.0</v>
      </c>
      <c r="AA31" s="8"/>
      <c r="AB31" s="8">
        <f t="shared" si="16"/>
        <v>0</v>
      </c>
      <c r="AC31" s="8">
        <f t="shared" si="17"/>
        <v>0</v>
      </c>
      <c r="AD31" s="8">
        <f t="shared" si="18"/>
        <v>0</v>
      </c>
      <c r="AE31" s="24" t="s">
        <v>39</v>
      </c>
      <c r="AF31" s="24">
        <v>5.0</v>
      </c>
      <c r="AG31" s="24" t="s">
        <v>161</v>
      </c>
      <c r="AH31" s="8">
        <f t="shared" si="19"/>
        <v>0</v>
      </c>
      <c r="AI31" s="8" t="str">
        <f t="shared" si="20"/>
        <v>BAJO</v>
      </c>
      <c r="AJ31" s="8">
        <f t="shared" si="21"/>
        <v>0</v>
      </c>
      <c r="AK31" s="8" t="s">
        <v>39</v>
      </c>
      <c r="AL31" s="8" t="s">
        <v>174</v>
      </c>
      <c r="AM31" s="65" t="s">
        <v>175</v>
      </c>
      <c r="AN31" s="8"/>
      <c r="AO31" s="8"/>
      <c r="AP31" s="8">
        <f>IF( AND(AI$31&lt;&gt;0,AH$16&lt;&gt;0),AL$31&amp;" - "&amp;AK$31,0)</f>
        <v>0</v>
      </c>
      <c r="AQ31" s="8">
        <f>IF( AP31&lt;&gt;0,AM$31,0)</f>
        <v>0</v>
      </c>
      <c r="AR31" s="8" t="s">
        <v>29</v>
      </c>
    </row>
    <row r="32" ht="29.25" customHeight="1">
      <c r="A32" s="1"/>
      <c r="B32" s="1"/>
      <c r="C32" s="57" t="str">
        <f t="shared" si="4"/>
        <v>Kevin Ruau</v>
      </c>
      <c r="D32" s="2"/>
      <c r="E32" s="54"/>
      <c r="F32" s="32"/>
      <c r="G32" s="32"/>
      <c r="H32" s="2"/>
      <c r="I32" s="1"/>
      <c r="J32" s="4">
        <f t="shared" si="1"/>
        <v>0</v>
      </c>
      <c r="K32" s="5">
        <f t="shared" si="2"/>
        <v>0</v>
      </c>
      <c r="L32" s="6"/>
      <c r="M32" s="7"/>
      <c r="N32" s="24" t="s">
        <v>147</v>
      </c>
      <c r="O32" s="24">
        <v>5.0</v>
      </c>
      <c r="P32" s="8">
        <f t="shared" si="10"/>
        <v>0</v>
      </c>
      <c r="Q32" s="8">
        <f t="shared" si="11"/>
        <v>0</v>
      </c>
      <c r="R32" s="8"/>
      <c r="S32" s="8">
        <f t="shared" si="12"/>
        <v>0</v>
      </c>
      <c r="T32" s="8" t="str">
        <f t="shared" si="13"/>
        <v>oo</v>
      </c>
      <c r="U32" s="8">
        <f t="shared" si="14"/>
        <v>0</v>
      </c>
      <c r="V32" s="59">
        <f t="shared" si="15"/>
        <v>0</v>
      </c>
      <c r="W32" s="62" t="s">
        <v>180</v>
      </c>
      <c r="X32" s="63" t="s">
        <v>181</v>
      </c>
      <c r="Y32" s="64" t="s">
        <v>161</v>
      </c>
      <c r="Z32" s="24">
        <v>4.0</v>
      </c>
      <c r="AA32" s="8"/>
      <c r="AB32" s="8">
        <f t="shared" si="16"/>
        <v>0</v>
      </c>
      <c r="AC32" s="8">
        <f t="shared" si="17"/>
        <v>0</v>
      </c>
      <c r="AD32" s="8">
        <f t="shared" si="18"/>
        <v>0</v>
      </c>
      <c r="AE32" s="24"/>
      <c r="AF32" s="24">
        <v>5.0</v>
      </c>
      <c r="AG32" s="24" t="s">
        <v>150</v>
      </c>
      <c r="AH32" s="8">
        <f t="shared" si="19"/>
        <v>0</v>
      </c>
      <c r="AI32" s="8" t="str">
        <f t="shared" si="20"/>
        <v>BAJO</v>
      </c>
      <c r="AJ32" s="8">
        <f t="shared" si="21"/>
        <v>0</v>
      </c>
      <c r="AK32" s="8" t="s">
        <v>39</v>
      </c>
      <c r="AL32" s="8" t="s">
        <v>183</v>
      </c>
      <c r="AM32" s="65" t="s">
        <v>184</v>
      </c>
      <c r="AN32" s="8"/>
      <c r="AO32" s="8"/>
      <c r="AP32" s="8">
        <f>IF( AND(AI$32&lt;&gt;0,AH$16&lt;&gt;0),AL$32&amp;" - "&amp;AK$32,0)</f>
        <v>0</v>
      </c>
      <c r="AQ32" s="8">
        <f>IF( AP32&lt;&gt;0,AM$32,0)</f>
        <v>0</v>
      </c>
      <c r="AR32" s="8" t="s">
        <v>29</v>
      </c>
    </row>
    <row r="33" ht="20.25" customHeight="1">
      <c r="A33" s="1"/>
      <c r="B33" s="1"/>
      <c r="C33" s="57" t="str">
        <f t="shared" si="4"/>
        <v>Kevin Ruau</v>
      </c>
      <c r="D33" s="2"/>
      <c r="E33" s="56"/>
      <c r="F33" s="36"/>
      <c r="G33" s="32"/>
      <c r="H33" s="2"/>
      <c r="I33" s="1"/>
      <c r="J33" s="4">
        <f t="shared" si="1"/>
        <v>0</v>
      </c>
      <c r="K33" s="5">
        <f t="shared" si="2"/>
        <v>0</v>
      </c>
      <c r="L33" s="6"/>
      <c r="M33" s="7"/>
      <c r="N33" s="24" t="s">
        <v>147</v>
      </c>
      <c r="O33" s="24">
        <v>6.0</v>
      </c>
      <c r="P33" s="8">
        <f t="shared" si="10"/>
        <v>0</v>
      </c>
      <c r="Q33" s="8">
        <f t="shared" si="11"/>
        <v>0</v>
      </c>
      <c r="R33" s="8"/>
      <c r="S33" s="8">
        <f t="shared" si="12"/>
        <v>0</v>
      </c>
      <c r="T33" s="8" t="str">
        <f t="shared" si="13"/>
        <v>oo</v>
      </c>
      <c r="U33" s="8">
        <f t="shared" si="14"/>
        <v>0</v>
      </c>
      <c r="V33" s="59">
        <f t="shared" si="15"/>
        <v>0</v>
      </c>
      <c r="W33" s="62" t="s">
        <v>187</v>
      </c>
      <c r="X33" s="63" t="s">
        <v>188</v>
      </c>
      <c r="Y33" s="64" t="s">
        <v>161</v>
      </c>
      <c r="Z33" s="24">
        <v>5.0</v>
      </c>
      <c r="AA33" s="8"/>
      <c r="AB33" s="8">
        <f t="shared" si="16"/>
        <v>0</v>
      </c>
      <c r="AC33" s="8">
        <f t="shared" si="17"/>
        <v>0</v>
      </c>
      <c r="AD33" s="8">
        <f t="shared" si="18"/>
        <v>0</v>
      </c>
      <c r="AE33" s="24"/>
      <c r="AF33" s="24">
        <v>5.0</v>
      </c>
      <c r="AG33" s="24" t="s">
        <v>152</v>
      </c>
      <c r="AH33" s="8">
        <f t="shared" si="19"/>
        <v>0</v>
      </c>
      <c r="AI33" s="8" t="str">
        <f t="shared" si="20"/>
        <v>BAJO</v>
      </c>
      <c r="AJ33" s="8">
        <f t="shared" si="21"/>
        <v>0</v>
      </c>
      <c r="AK33" s="8" t="s">
        <v>39</v>
      </c>
      <c r="AL33" s="8" t="s">
        <v>154</v>
      </c>
      <c r="AM33" s="65" t="s">
        <v>189</v>
      </c>
      <c r="AN33" s="8"/>
      <c r="AO33" s="8"/>
      <c r="AP33" s="8">
        <f>IF( AND(AI$33&lt;&gt;0,AH$16&lt;&gt;0),AL$33&amp;" - "&amp;AK$33,0)</f>
        <v>0</v>
      </c>
      <c r="AQ33" s="8">
        <f>IF( AP33&lt;&gt;0,AM$33,0)</f>
        <v>0</v>
      </c>
      <c r="AR33" s="8" t="s">
        <v>29</v>
      </c>
    </row>
    <row r="34" ht="37.5" customHeight="1">
      <c r="A34" s="1"/>
      <c r="B34" s="1"/>
      <c r="C34" s="57" t="str">
        <f t="shared" si="4"/>
        <v>Emmanuel Zamora</v>
      </c>
      <c r="D34" s="2"/>
      <c r="E34" s="55" t="s">
        <v>119</v>
      </c>
      <c r="F34" s="40"/>
      <c r="G34" s="40" t="s">
        <v>200</v>
      </c>
      <c r="H34" s="2"/>
      <c r="I34" s="42" t="s">
        <v>180</v>
      </c>
      <c r="J34" s="4">
        <f t="shared" si="1"/>
        <v>5</v>
      </c>
      <c r="K34" s="5">
        <f t="shared" si="2"/>
        <v>4</v>
      </c>
      <c r="L34" s="6"/>
      <c r="M34" s="7"/>
      <c r="N34" s="24" t="s">
        <v>147</v>
      </c>
      <c r="O34" s="24">
        <v>7.0</v>
      </c>
      <c r="P34" s="8">
        <f t="shared" si="10"/>
        <v>0</v>
      </c>
      <c r="Q34" s="8">
        <f t="shared" si="11"/>
        <v>0</v>
      </c>
      <c r="R34" s="8"/>
      <c r="S34" s="8">
        <f t="shared" si="12"/>
        <v>0</v>
      </c>
      <c r="T34" s="8" t="str">
        <f t="shared" si="13"/>
        <v>oo</v>
      </c>
      <c r="U34" s="8">
        <f t="shared" si="14"/>
        <v>0</v>
      </c>
      <c r="V34" s="59">
        <f t="shared" si="15"/>
        <v>0</v>
      </c>
      <c r="W34" s="62" t="s">
        <v>191</v>
      </c>
      <c r="X34" s="63" t="s">
        <v>192</v>
      </c>
      <c r="Y34" s="64" t="s">
        <v>161</v>
      </c>
      <c r="Z34" s="24">
        <v>5.0</v>
      </c>
      <c r="AA34" s="8"/>
      <c r="AB34" s="8">
        <f t="shared" si="16"/>
        <v>0</v>
      </c>
      <c r="AC34" s="8">
        <f t="shared" si="17"/>
        <v>0</v>
      </c>
      <c r="AD34" s="8">
        <f t="shared" si="18"/>
        <v>0</v>
      </c>
      <c r="AE34" s="24"/>
      <c r="AF34" s="24">
        <v>5.0</v>
      </c>
      <c r="AG34" s="24" t="s">
        <v>193</v>
      </c>
      <c r="AH34" s="8">
        <f t="shared" si="19"/>
        <v>0</v>
      </c>
      <c r="AI34" s="8" t="str">
        <f t="shared" si="20"/>
        <v>BAJO</v>
      </c>
      <c r="AJ34" s="8">
        <f t="shared" si="21"/>
        <v>0</v>
      </c>
      <c r="AK34" s="8" t="s">
        <v>39</v>
      </c>
      <c r="AL34" s="8" t="s">
        <v>194</v>
      </c>
      <c r="AM34" s="65" t="s">
        <v>195</v>
      </c>
      <c r="AN34" s="8"/>
      <c r="AO34" s="8"/>
      <c r="AP34" s="8">
        <f>IF( AND(AI$34&lt;&gt;0,AH$16&lt;&gt;0),AL$34&amp;" - "&amp;AK$34,0)</f>
        <v>0</v>
      </c>
      <c r="AQ34" s="8">
        <f>IF( AP34&lt;&gt;0,AM$34,0)</f>
        <v>0</v>
      </c>
      <c r="AR34" s="8" t="s">
        <v>29</v>
      </c>
    </row>
    <row r="35" ht="24.0" customHeight="1">
      <c r="A35" s="1"/>
      <c r="B35" s="1"/>
      <c r="C35" s="57" t="str">
        <f t="shared" si="4"/>
        <v>Emmanuel Zamora</v>
      </c>
      <c r="D35" s="2"/>
      <c r="E35" s="54"/>
      <c r="F35" s="32"/>
      <c r="G35" s="32"/>
      <c r="H35" s="2"/>
      <c r="I35" s="1"/>
      <c r="J35" s="4">
        <f t="shared" si="1"/>
        <v>0</v>
      </c>
      <c r="K35" s="5">
        <f t="shared" si="2"/>
        <v>0</v>
      </c>
      <c r="L35" s="6"/>
      <c r="M35" s="7"/>
      <c r="N35" s="24" t="s">
        <v>147</v>
      </c>
      <c r="O35" s="24">
        <v>8.0</v>
      </c>
      <c r="P35" s="8">
        <f t="shared" si="10"/>
        <v>0</v>
      </c>
      <c r="Q35" s="8">
        <f t="shared" si="11"/>
        <v>0</v>
      </c>
      <c r="R35" s="8"/>
      <c r="S35" s="8">
        <f t="shared" si="12"/>
        <v>0</v>
      </c>
      <c r="T35" s="8" t="str">
        <f t="shared" si="13"/>
        <v>oo</v>
      </c>
      <c r="U35" s="8">
        <f t="shared" si="14"/>
        <v>0</v>
      </c>
      <c r="V35" s="59">
        <f t="shared" si="15"/>
        <v>0</v>
      </c>
      <c r="W35" s="62" t="s">
        <v>198</v>
      </c>
      <c r="X35" s="63" t="s">
        <v>199</v>
      </c>
      <c r="Y35" s="64" t="s">
        <v>161</v>
      </c>
      <c r="Z35" s="24">
        <v>5.0</v>
      </c>
      <c r="AA35" s="8"/>
      <c r="AB35" s="8">
        <f t="shared" si="16"/>
        <v>0</v>
      </c>
      <c r="AC35" s="8">
        <f t="shared" si="17"/>
        <v>0</v>
      </c>
      <c r="AD35" s="8">
        <f t="shared" si="18"/>
        <v>0</v>
      </c>
      <c r="AE35" s="24"/>
      <c r="AF35" s="24">
        <v>5.0</v>
      </c>
      <c r="AG35" s="24" t="s">
        <v>162</v>
      </c>
      <c r="AH35" s="8">
        <f t="shared" si="19"/>
        <v>0</v>
      </c>
      <c r="AI35" s="8" t="str">
        <f t="shared" si="20"/>
        <v>BAJO</v>
      </c>
      <c r="AJ35" s="8">
        <f t="shared" si="21"/>
        <v>0</v>
      </c>
      <c r="AK35" s="8" t="s">
        <v>39</v>
      </c>
      <c r="AL35" s="8" t="s">
        <v>163</v>
      </c>
      <c r="AM35" s="65" t="s">
        <v>201</v>
      </c>
      <c r="AN35" s="8"/>
      <c r="AO35" s="8"/>
      <c r="AP35" s="8">
        <f>IF( AND(AI$35&lt;&gt;0,AH$16&lt;&gt;0),AL$35&amp;" - "&amp;AK$35,0)</f>
        <v>0</v>
      </c>
      <c r="AQ35" s="8">
        <f>IF( AP35&lt;&gt;0,AM$35,0)</f>
        <v>0</v>
      </c>
      <c r="AR35" s="8" t="s">
        <v>29</v>
      </c>
    </row>
    <row r="36" ht="37.5" customHeight="1">
      <c r="A36" s="1"/>
      <c r="B36" s="1"/>
      <c r="C36" s="57" t="str">
        <f t="shared" si="4"/>
        <v>Emmanuel Zamora</v>
      </c>
      <c r="D36" s="2"/>
      <c r="E36" s="56"/>
      <c r="F36" s="36"/>
      <c r="G36" s="32"/>
      <c r="H36" s="2"/>
      <c r="I36" s="1"/>
      <c r="J36" s="4">
        <f t="shared" si="1"/>
        <v>0</v>
      </c>
      <c r="K36" s="5">
        <f t="shared" si="2"/>
        <v>0</v>
      </c>
      <c r="L36" s="6"/>
      <c r="M36" s="7"/>
      <c r="N36" s="24" t="s">
        <v>147</v>
      </c>
      <c r="O36" s="24">
        <v>9.0</v>
      </c>
      <c r="P36" s="8">
        <f t="shared" si="10"/>
        <v>0</v>
      </c>
      <c r="Q36" s="8">
        <f t="shared" si="11"/>
        <v>0</v>
      </c>
      <c r="R36" s="8"/>
      <c r="S36" s="8">
        <f t="shared" si="12"/>
        <v>0</v>
      </c>
      <c r="T36" s="8" t="str">
        <f t="shared" si="13"/>
        <v>oo</v>
      </c>
      <c r="U36" s="8">
        <f t="shared" si="14"/>
        <v>0</v>
      </c>
      <c r="V36" s="59">
        <f t="shared" si="15"/>
        <v>0</v>
      </c>
      <c r="W36" s="62" t="s">
        <v>110</v>
      </c>
      <c r="X36" s="63" t="s">
        <v>203</v>
      </c>
      <c r="Y36" s="64" t="s">
        <v>161</v>
      </c>
      <c r="Z36" s="24">
        <v>11.0</v>
      </c>
      <c r="AA36" s="8"/>
      <c r="AB36" s="8">
        <f t="shared" si="16"/>
        <v>0</v>
      </c>
      <c r="AC36" s="8">
        <f t="shared" si="17"/>
        <v>0</v>
      </c>
      <c r="AD36" s="8">
        <f t="shared" si="18"/>
        <v>0</v>
      </c>
      <c r="AE36" s="24"/>
      <c r="AF36" s="24">
        <v>8.0</v>
      </c>
      <c r="AG36" s="24" t="s">
        <v>168</v>
      </c>
      <c r="AH36" s="8">
        <f t="shared" si="19"/>
        <v>0</v>
      </c>
      <c r="AI36" s="8" t="str">
        <f t="shared" si="20"/>
        <v>BAJO</v>
      </c>
      <c r="AJ36" s="8">
        <f t="shared" si="21"/>
        <v>0</v>
      </c>
      <c r="AK36" s="8" t="s">
        <v>39</v>
      </c>
      <c r="AL36" s="8" t="s">
        <v>169</v>
      </c>
      <c r="AM36" s="65" t="s">
        <v>204</v>
      </c>
      <c r="AN36" s="8"/>
      <c r="AO36" s="8"/>
      <c r="AP36" s="8" t="str">
        <f>IF( AND(AI$36&lt;&gt;0,AH$19&lt;&gt;0),AL$36&amp;" - "&amp;AK$36,0)</f>
        <v>Estudiante requiere entrenamiento de subhabilidad Requerir - Evaluación</v>
      </c>
      <c r="AQ36" s="8"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8" t="s">
        <v>29</v>
      </c>
    </row>
    <row r="37" ht="33.0" customHeight="1">
      <c r="A37" s="1"/>
      <c r="B37" s="1"/>
      <c r="C37" s="57" t="str">
        <f t="shared" si="4"/>
        <v>Kevin Ruau</v>
      </c>
      <c r="D37" s="2"/>
      <c r="E37" s="55" t="s">
        <v>60</v>
      </c>
      <c r="F37" s="40"/>
      <c r="G37" s="40" t="s">
        <v>214</v>
      </c>
      <c r="H37" s="2"/>
      <c r="I37" s="42" t="s">
        <v>207</v>
      </c>
      <c r="J37" s="4">
        <f t="shared" si="1"/>
        <v>10</v>
      </c>
      <c r="K37" s="5">
        <f t="shared" si="2"/>
        <v>1</v>
      </c>
      <c r="L37" s="6"/>
      <c r="M37" s="7"/>
      <c r="N37" s="24" t="s">
        <v>147</v>
      </c>
      <c r="O37" s="24">
        <v>10.0</v>
      </c>
      <c r="P37" s="8">
        <f t="shared" si="10"/>
        <v>0</v>
      </c>
      <c r="Q37" s="8">
        <f t="shared" si="11"/>
        <v>0</v>
      </c>
      <c r="R37" s="8"/>
      <c r="S37" s="8">
        <f t="shared" si="12"/>
        <v>0</v>
      </c>
      <c r="T37" s="8" t="str">
        <f t="shared" si="13"/>
        <v>oo</v>
      </c>
      <c r="U37" s="8">
        <f t="shared" si="14"/>
        <v>0</v>
      </c>
      <c r="V37" s="59">
        <f t="shared" si="15"/>
        <v>0</v>
      </c>
      <c r="W37" s="62" t="s">
        <v>207</v>
      </c>
      <c r="X37" s="63" t="s">
        <v>208</v>
      </c>
      <c r="Y37" s="64" t="s">
        <v>193</v>
      </c>
      <c r="Z37" s="24">
        <v>1.0</v>
      </c>
      <c r="AA37" s="8"/>
      <c r="AB37" s="8">
        <f t="shared" si="16"/>
        <v>0</v>
      </c>
      <c r="AC37" s="8">
        <f t="shared" si="17"/>
        <v>0</v>
      </c>
      <c r="AD37" s="8">
        <f t="shared" si="18"/>
        <v>0</v>
      </c>
      <c r="AE37" s="24"/>
      <c r="AF37" s="24">
        <v>8.0</v>
      </c>
      <c r="AG37" s="24" t="s">
        <v>209</v>
      </c>
      <c r="AH37" s="8">
        <f t="shared" si="19"/>
        <v>0</v>
      </c>
      <c r="AI37" s="8" t="str">
        <f t="shared" si="20"/>
        <v>BAJO</v>
      </c>
      <c r="AJ37" s="8">
        <f t="shared" si="21"/>
        <v>0</v>
      </c>
      <c r="AK37" s="8" t="s">
        <v>39</v>
      </c>
      <c r="AL37" s="8" t="s">
        <v>210</v>
      </c>
      <c r="AM37" s="65" t="s">
        <v>211</v>
      </c>
      <c r="AN37" s="8"/>
      <c r="AO37" s="8"/>
      <c r="AP37" s="8" t="str">
        <f>IF( AND(AI$37&lt;&gt;0,AH$19&lt;&gt;0),AL$37&amp;" - "&amp;AK$37,0)</f>
        <v>Estudiante requiere entrenamiento de subhabilidad Mantenimiento - Evaluación</v>
      </c>
      <c r="AQ37" s="8"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8" t="s">
        <v>29</v>
      </c>
    </row>
    <row r="38" ht="33.75" customHeight="1">
      <c r="A38" s="1"/>
      <c r="B38" s="1"/>
      <c r="C38" s="57" t="str">
        <f t="shared" si="4"/>
        <v>Kevin Ruau</v>
      </c>
      <c r="D38" s="2"/>
      <c r="E38" s="54"/>
      <c r="F38" s="32"/>
      <c r="G38" s="32"/>
      <c r="H38" s="2"/>
      <c r="I38" s="1"/>
      <c r="J38" s="4">
        <f t="shared" si="1"/>
        <v>0</v>
      </c>
      <c r="K38" s="5">
        <f t="shared" si="2"/>
        <v>0</v>
      </c>
      <c r="L38" s="6"/>
      <c r="M38" s="7"/>
      <c r="N38" s="24" t="s">
        <v>147</v>
      </c>
      <c r="O38" s="24">
        <v>11.0</v>
      </c>
      <c r="P38" s="8">
        <f t="shared" si="10"/>
        <v>0</v>
      </c>
      <c r="Q38" s="8">
        <f t="shared" si="11"/>
        <v>0</v>
      </c>
      <c r="R38" s="8"/>
      <c r="S38" s="8">
        <f t="shared" si="12"/>
        <v>0</v>
      </c>
      <c r="T38" s="8" t="str">
        <f t="shared" si="13"/>
        <v>oo</v>
      </c>
      <c r="U38" s="8">
        <f t="shared" si="14"/>
        <v>0</v>
      </c>
      <c r="V38" s="59">
        <f t="shared" si="15"/>
        <v>0</v>
      </c>
      <c r="W38" s="62" t="s">
        <v>215</v>
      </c>
      <c r="X38" s="63" t="s">
        <v>216</v>
      </c>
      <c r="Y38" s="64" t="s">
        <v>193</v>
      </c>
      <c r="Z38" s="24">
        <v>5.0</v>
      </c>
      <c r="AA38" s="8"/>
      <c r="AB38" s="8">
        <f t="shared" si="16"/>
        <v>0</v>
      </c>
      <c r="AC38" s="8">
        <f t="shared" si="17"/>
        <v>0</v>
      </c>
      <c r="AD38" s="8">
        <f t="shared" si="18"/>
        <v>0</v>
      </c>
      <c r="AE38" s="24" t="s">
        <v>51</v>
      </c>
      <c r="AF38" s="24">
        <v>4.0</v>
      </c>
      <c r="AG38" s="24" t="s">
        <v>161</v>
      </c>
      <c r="AH38" s="8">
        <f t="shared" si="19"/>
        <v>0</v>
      </c>
      <c r="AI38" s="8" t="str">
        <f t="shared" si="20"/>
        <v>BAJO</v>
      </c>
      <c r="AJ38" s="8">
        <f t="shared" si="21"/>
        <v>0</v>
      </c>
      <c r="AK38" s="8" t="s">
        <v>51</v>
      </c>
      <c r="AL38" s="8" t="s">
        <v>174</v>
      </c>
      <c r="AM38" s="65" t="s">
        <v>217</v>
      </c>
      <c r="AN38" s="8"/>
      <c r="AO38" s="8"/>
      <c r="AP38" s="8">
        <f>IF( AND(AI$38&lt;&gt;0,AH$15&lt;&gt;0),AL$38&amp;" - "&amp;AK$38,0)</f>
        <v>0</v>
      </c>
      <c r="AQ38" s="8">
        <f>IF( AP38&lt;&gt;0,AM$38,0)</f>
        <v>0</v>
      </c>
      <c r="AR38" s="8" t="s">
        <v>29</v>
      </c>
    </row>
    <row r="39" ht="37.5" customHeight="1">
      <c r="A39" s="1"/>
      <c r="B39" s="1"/>
      <c r="C39" s="57" t="str">
        <f t="shared" si="4"/>
        <v>Kevin Ruau</v>
      </c>
      <c r="D39" s="2"/>
      <c r="E39" s="56"/>
      <c r="F39" s="36"/>
      <c r="G39" s="32"/>
      <c r="H39" s="2"/>
      <c r="I39" s="1"/>
      <c r="J39" s="4">
        <f t="shared" si="1"/>
        <v>0</v>
      </c>
      <c r="K39" s="5">
        <f t="shared" si="2"/>
        <v>0</v>
      </c>
      <c r="L39" s="6"/>
      <c r="M39" s="7"/>
      <c r="N39" s="24" t="s">
        <v>147</v>
      </c>
      <c r="O39" s="24">
        <v>12.0</v>
      </c>
      <c r="P39" s="8">
        <f t="shared" si="10"/>
        <v>0</v>
      </c>
      <c r="Q39" s="8">
        <f t="shared" si="11"/>
        <v>0</v>
      </c>
      <c r="R39" s="8"/>
      <c r="S39" s="8">
        <f t="shared" si="12"/>
        <v>0</v>
      </c>
      <c r="T39" s="8" t="str">
        <f t="shared" si="13"/>
        <v>oo</v>
      </c>
      <c r="U39" s="8">
        <f t="shared" si="14"/>
        <v>0</v>
      </c>
      <c r="V39" s="59">
        <f t="shared" si="15"/>
        <v>0</v>
      </c>
      <c r="W39" s="62" t="s">
        <v>182</v>
      </c>
      <c r="X39" s="63" t="s">
        <v>220</v>
      </c>
      <c r="Y39" s="64" t="s">
        <v>152</v>
      </c>
      <c r="Z39" s="24">
        <v>6.0</v>
      </c>
      <c r="AA39" s="8"/>
      <c r="AB39" s="8">
        <f t="shared" si="16"/>
        <v>0</v>
      </c>
      <c r="AC39" s="8">
        <f t="shared" si="17"/>
        <v>0.0303030303</v>
      </c>
      <c r="AD39" s="8">
        <f t="shared" si="18"/>
        <v>0</v>
      </c>
      <c r="AE39" s="24"/>
      <c r="AF39" s="24">
        <v>4.0</v>
      </c>
      <c r="AG39" s="24" t="s">
        <v>152</v>
      </c>
      <c r="AH39" s="8">
        <f t="shared" si="19"/>
        <v>0</v>
      </c>
      <c r="AI39" s="8" t="str">
        <f t="shared" si="20"/>
        <v>BAJO</v>
      </c>
      <c r="AJ39" s="8">
        <f t="shared" si="21"/>
        <v>0</v>
      </c>
      <c r="AK39" s="8" t="s">
        <v>51</v>
      </c>
      <c r="AL39" s="8" t="s">
        <v>154</v>
      </c>
      <c r="AM39" s="65" t="s">
        <v>221</v>
      </c>
      <c r="AN39" s="8"/>
      <c r="AO39" s="8"/>
      <c r="AP39" s="8">
        <f>IF( AND(AI$39&lt;&gt;0,AH$15&lt;&gt;0),AL$39&amp;" - "&amp;AK$39,0)</f>
        <v>0</v>
      </c>
      <c r="AQ39" s="8">
        <f>IF( AP39&lt;&gt;0,AM$39,0)</f>
        <v>0</v>
      </c>
      <c r="AR39" s="8" t="s">
        <v>29</v>
      </c>
    </row>
    <row r="40" ht="31.5" customHeight="1">
      <c r="A40" s="1"/>
      <c r="B40" s="1"/>
      <c r="C40" s="57" t="str">
        <f t="shared" si="4"/>
        <v>Kevin Ruau</v>
      </c>
      <c r="D40" s="2"/>
      <c r="E40" s="58" t="s">
        <v>60</v>
      </c>
      <c r="F40" s="40"/>
      <c r="G40" s="40" t="s">
        <v>229</v>
      </c>
      <c r="H40" s="2"/>
      <c r="I40" s="1"/>
      <c r="J40" s="4">
        <f t="shared" si="1"/>
        <v>0</v>
      </c>
      <c r="K40" s="5">
        <f t="shared" si="2"/>
        <v>0</v>
      </c>
      <c r="L40" s="6"/>
      <c r="M40" s="7"/>
      <c r="N40" s="24" t="s">
        <v>147</v>
      </c>
      <c r="O40" s="24">
        <v>13.0</v>
      </c>
      <c r="P40" s="8">
        <f t="shared" si="10"/>
        <v>0</v>
      </c>
      <c r="Q40" s="8">
        <f t="shared" si="11"/>
        <v>0</v>
      </c>
      <c r="R40" s="8"/>
      <c r="S40" s="8">
        <f t="shared" si="12"/>
        <v>0</v>
      </c>
      <c r="T40" s="8" t="str">
        <f t="shared" si="13"/>
        <v>oo</v>
      </c>
      <c r="U40" s="8">
        <f t="shared" si="14"/>
        <v>0</v>
      </c>
      <c r="V40" s="59">
        <f t="shared" si="15"/>
        <v>0</v>
      </c>
      <c r="W40" s="62" t="s">
        <v>166</v>
      </c>
      <c r="X40" s="63" t="s">
        <v>223</v>
      </c>
      <c r="Y40" s="64" t="s">
        <v>152</v>
      </c>
      <c r="Z40" s="24">
        <v>4.0</v>
      </c>
      <c r="AA40" s="8"/>
      <c r="AB40" s="8">
        <f t="shared" si="16"/>
        <v>0</v>
      </c>
      <c r="AC40" s="8">
        <f t="shared" si="17"/>
        <v>0.0303030303</v>
      </c>
      <c r="AD40" s="8">
        <f t="shared" si="18"/>
        <v>0</v>
      </c>
      <c r="AE40" s="24"/>
      <c r="AF40" s="24">
        <v>4.0</v>
      </c>
      <c r="AG40" s="24" t="s">
        <v>209</v>
      </c>
      <c r="AH40" s="8">
        <f t="shared" si="19"/>
        <v>0</v>
      </c>
      <c r="AI40" s="8" t="str">
        <f t="shared" si="20"/>
        <v>BAJO</v>
      </c>
      <c r="AJ40" s="8">
        <f t="shared" si="21"/>
        <v>0</v>
      </c>
      <c r="AK40" s="8" t="s">
        <v>51</v>
      </c>
      <c r="AL40" s="8" t="s">
        <v>210</v>
      </c>
      <c r="AM40" s="65" t="s">
        <v>224</v>
      </c>
      <c r="AN40" s="8"/>
      <c r="AO40" s="8"/>
      <c r="AP40" s="8">
        <f>IF( AND(AI$40&lt;&gt;0,AH$15&lt;&gt;0),AL$40&amp;" - "&amp;AK$40,0)</f>
        <v>0</v>
      </c>
      <c r="AQ40" s="8">
        <f>IF( AP40&lt;&gt;0,AM$40,0)</f>
        <v>0</v>
      </c>
      <c r="AR40" s="8" t="s">
        <v>29</v>
      </c>
    </row>
    <row r="41" ht="38.25" customHeight="1">
      <c r="A41" s="1"/>
      <c r="B41" s="1"/>
      <c r="C41" s="57" t="str">
        <f t="shared" si="4"/>
        <v>Kevin Ruau</v>
      </c>
      <c r="D41" s="2"/>
      <c r="E41" s="56"/>
      <c r="F41" s="36"/>
      <c r="G41" s="41" t="s">
        <v>234</v>
      </c>
      <c r="H41" s="2"/>
      <c r="I41" s="42" t="s">
        <v>182</v>
      </c>
      <c r="J41" s="4">
        <f t="shared" si="1"/>
        <v>12</v>
      </c>
      <c r="K41" s="5">
        <f t="shared" si="2"/>
        <v>6</v>
      </c>
      <c r="L41" s="6"/>
      <c r="M41" s="7"/>
      <c r="N41" s="24" t="s">
        <v>147</v>
      </c>
      <c r="O41" s="24">
        <v>14.0</v>
      </c>
      <c r="P41" s="8">
        <f t="shared" si="10"/>
        <v>0</v>
      </c>
      <c r="Q41" s="8">
        <f t="shared" si="11"/>
        <v>0</v>
      </c>
      <c r="R41" s="8"/>
      <c r="S41" s="8">
        <f t="shared" si="12"/>
        <v>0</v>
      </c>
      <c r="T41" s="8" t="str">
        <f t="shared" si="13"/>
        <v>oo</v>
      </c>
      <c r="U41" s="8">
        <f t="shared" si="14"/>
        <v>0</v>
      </c>
      <c r="V41" s="59">
        <f t="shared" si="15"/>
        <v>0</v>
      </c>
      <c r="W41" s="62" t="s">
        <v>226</v>
      </c>
      <c r="X41" s="63" t="s">
        <v>227</v>
      </c>
      <c r="Y41" s="64" t="s">
        <v>152</v>
      </c>
      <c r="Z41" s="24">
        <v>5.0</v>
      </c>
      <c r="AA41" s="8"/>
      <c r="AB41" s="8">
        <f t="shared" si="16"/>
        <v>0</v>
      </c>
      <c r="AC41" s="8">
        <f t="shared" si="17"/>
        <v>0.0303030303</v>
      </c>
      <c r="AD41" s="8">
        <f t="shared" si="18"/>
        <v>0</v>
      </c>
      <c r="AE41" s="24"/>
      <c r="AF41" s="24">
        <v>4.0</v>
      </c>
      <c r="AG41" s="24" t="s">
        <v>162</v>
      </c>
      <c r="AH41" s="8">
        <f t="shared" si="19"/>
        <v>0</v>
      </c>
      <c r="AI41" s="8" t="str">
        <f t="shared" si="20"/>
        <v>BAJO</v>
      </c>
      <c r="AJ41" s="8">
        <f t="shared" si="21"/>
        <v>0</v>
      </c>
      <c r="AK41" s="8" t="s">
        <v>51</v>
      </c>
      <c r="AL41" s="8" t="s">
        <v>163</v>
      </c>
      <c r="AM41" s="65" t="s">
        <v>228</v>
      </c>
      <c r="AN41" s="8"/>
      <c r="AO41" s="8"/>
      <c r="AP41" s="8">
        <f>IF( AND(AI$41&lt;&gt;0,AH$15&lt;&gt;0),AL$41&amp;" - "&amp;AK$41,0)</f>
        <v>0</v>
      </c>
      <c r="AQ41" s="8">
        <f>IF( AP41&lt;&gt;0,AM$41,0)</f>
        <v>0</v>
      </c>
      <c r="AR41" s="8" t="s">
        <v>29</v>
      </c>
    </row>
    <row r="42" ht="32.25" customHeight="1">
      <c r="A42" s="1"/>
      <c r="B42" s="1"/>
      <c r="C42" s="57" t="str">
        <f t="shared" si="4"/>
        <v>Kevin Ruau</v>
      </c>
      <c r="D42" s="2"/>
      <c r="E42" s="54"/>
      <c r="F42" s="32"/>
      <c r="G42" s="32"/>
      <c r="H42" s="2"/>
      <c r="I42" s="1"/>
      <c r="J42" s="4">
        <f t="shared" si="1"/>
        <v>0</v>
      </c>
      <c r="K42" s="5">
        <f t="shared" si="2"/>
        <v>0</v>
      </c>
      <c r="L42" s="6"/>
      <c r="M42" s="7"/>
      <c r="N42" s="24" t="s">
        <v>147</v>
      </c>
      <c r="O42" s="24">
        <v>15.0</v>
      </c>
      <c r="P42" s="8">
        <f t="shared" si="10"/>
        <v>0</v>
      </c>
      <c r="Q42" s="8">
        <f t="shared" si="11"/>
        <v>0</v>
      </c>
      <c r="R42" s="8"/>
      <c r="S42" s="8">
        <f t="shared" si="12"/>
        <v>0</v>
      </c>
      <c r="T42" s="8" t="str">
        <f t="shared" si="13"/>
        <v>oo</v>
      </c>
      <c r="U42" s="8">
        <f t="shared" si="14"/>
        <v>0</v>
      </c>
      <c r="V42" s="59">
        <f t="shared" si="15"/>
        <v>0</v>
      </c>
      <c r="W42" s="62" t="s">
        <v>178</v>
      </c>
      <c r="X42" s="63" t="s">
        <v>232</v>
      </c>
      <c r="Y42" s="64" t="s">
        <v>152</v>
      </c>
      <c r="Z42" s="24">
        <v>4.0</v>
      </c>
      <c r="AA42" s="8"/>
      <c r="AB42" s="8">
        <f t="shared" si="16"/>
        <v>0</v>
      </c>
      <c r="AC42" s="8">
        <f t="shared" si="17"/>
        <v>0.0303030303</v>
      </c>
      <c r="AD42" s="8">
        <f t="shared" si="18"/>
        <v>0</v>
      </c>
      <c r="AE42" s="24"/>
      <c r="AF42" s="24">
        <v>9.0</v>
      </c>
      <c r="AG42" s="24" t="s">
        <v>168</v>
      </c>
      <c r="AH42" s="8">
        <f t="shared" si="19"/>
        <v>0</v>
      </c>
      <c r="AI42" s="8" t="str">
        <f t="shared" si="20"/>
        <v>BAJO</v>
      </c>
      <c r="AJ42" s="8">
        <f t="shared" si="21"/>
        <v>0</v>
      </c>
      <c r="AK42" s="8" t="s">
        <v>51</v>
      </c>
      <c r="AL42" s="8" t="s">
        <v>169</v>
      </c>
      <c r="AM42" s="65" t="s">
        <v>233</v>
      </c>
      <c r="AN42" s="8"/>
      <c r="AO42" s="8"/>
      <c r="AP42" s="8">
        <f>IF( AND(AI$42&lt;&gt;0,AH$20&lt;&gt;0),AL$42&amp;" - "&amp;AK$42,0)</f>
        <v>0</v>
      </c>
      <c r="AQ42" s="8">
        <f>IF( AP42&lt;&gt;0,AM$42,0)</f>
        <v>0</v>
      </c>
      <c r="AR42" s="8" t="s">
        <v>29</v>
      </c>
    </row>
    <row r="43" ht="27.75" customHeight="1">
      <c r="A43" s="1"/>
      <c r="B43" s="1"/>
      <c r="C43" s="57" t="str">
        <f t="shared" si="4"/>
        <v>Kevin Ruau</v>
      </c>
      <c r="D43" s="2"/>
      <c r="E43" s="56"/>
      <c r="F43" s="36"/>
      <c r="G43" s="32"/>
      <c r="H43" s="2"/>
      <c r="I43" s="1"/>
      <c r="J43" s="4">
        <f t="shared" si="1"/>
        <v>0</v>
      </c>
      <c r="K43" s="5">
        <f t="shared" si="2"/>
        <v>0</v>
      </c>
      <c r="L43" s="6"/>
      <c r="M43" s="7"/>
      <c r="N43" s="24" t="s">
        <v>147</v>
      </c>
      <c r="O43" s="24">
        <v>16.0</v>
      </c>
      <c r="P43" s="8">
        <f t="shared" si="10"/>
        <v>0</v>
      </c>
      <c r="Q43" s="8">
        <f t="shared" si="11"/>
        <v>0</v>
      </c>
      <c r="R43" s="8"/>
      <c r="S43" s="8">
        <f t="shared" si="12"/>
        <v>0</v>
      </c>
      <c r="T43" s="8" t="str">
        <f t="shared" si="13"/>
        <v>oo</v>
      </c>
      <c r="U43" s="8">
        <f t="shared" si="14"/>
        <v>0</v>
      </c>
      <c r="V43" s="59">
        <f t="shared" si="15"/>
        <v>0</v>
      </c>
      <c r="W43" s="62" t="s">
        <v>237</v>
      </c>
      <c r="X43" s="63" t="s">
        <v>238</v>
      </c>
      <c r="Y43" s="64" t="s">
        <v>152</v>
      </c>
      <c r="Z43" s="24">
        <v>6.0</v>
      </c>
      <c r="AA43" s="8"/>
      <c r="AB43" s="8">
        <f t="shared" si="16"/>
        <v>0</v>
      </c>
      <c r="AC43" s="8">
        <f t="shared" si="17"/>
        <v>0.0303030303</v>
      </c>
      <c r="AD43" s="8">
        <f t="shared" si="18"/>
        <v>0</v>
      </c>
      <c r="AE43" s="24" t="s">
        <v>65</v>
      </c>
      <c r="AF43" s="24">
        <v>3.0</v>
      </c>
      <c r="AG43" s="24" t="s">
        <v>239</v>
      </c>
      <c r="AH43" s="8">
        <f t="shared" si="19"/>
        <v>0</v>
      </c>
      <c r="AI43" s="8" t="str">
        <f t="shared" si="20"/>
        <v>BAJO</v>
      </c>
      <c r="AJ43" s="8">
        <f t="shared" si="21"/>
        <v>0</v>
      </c>
      <c r="AK43" s="8" t="s">
        <v>240</v>
      </c>
      <c r="AL43" s="8" t="s">
        <v>240</v>
      </c>
      <c r="AM43" s="8" t="s">
        <v>240</v>
      </c>
      <c r="AN43" s="8"/>
      <c r="AO43" s="8"/>
      <c r="AP43" s="8"/>
      <c r="AQ43" s="8">
        <f>IF( AP43&lt;&gt;0,AM$43,0)</f>
        <v>0</v>
      </c>
      <c r="AR43" s="8" t="s">
        <v>29</v>
      </c>
    </row>
    <row r="44" ht="27.75" customHeight="1">
      <c r="A44" s="1"/>
      <c r="B44" s="1"/>
      <c r="C44" s="57" t="str">
        <f t="shared" si="4"/>
        <v>Emmanuel Zamora</v>
      </c>
      <c r="D44" s="2"/>
      <c r="E44" s="55" t="s">
        <v>119</v>
      </c>
      <c r="F44" s="40"/>
      <c r="G44" s="40" t="s">
        <v>253</v>
      </c>
      <c r="H44" s="2"/>
      <c r="I44" s="42" t="s">
        <v>110</v>
      </c>
      <c r="J44" s="4">
        <f t="shared" si="1"/>
        <v>9</v>
      </c>
      <c r="K44" s="5">
        <f t="shared" si="2"/>
        <v>11</v>
      </c>
      <c r="L44" s="6"/>
      <c r="M44" s="7"/>
      <c r="N44" s="24" t="s">
        <v>147</v>
      </c>
      <c r="O44" s="24">
        <v>17.0</v>
      </c>
      <c r="P44" s="8">
        <f t="shared" si="10"/>
        <v>1</v>
      </c>
      <c r="Q44" s="8">
        <f t="shared" si="11"/>
        <v>0.0303030303</v>
      </c>
      <c r="R44" s="8"/>
      <c r="S44" s="8">
        <f t="shared" si="12"/>
        <v>0</v>
      </c>
      <c r="T44" s="8">
        <f t="shared" si="13"/>
        <v>0</v>
      </c>
      <c r="U44" s="8">
        <f t="shared" si="14"/>
        <v>0</v>
      </c>
      <c r="V44" s="59">
        <f t="shared" si="15"/>
        <v>0</v>
      </c>
      <c r="W44" s="62" t="s">
        <v>63</v>
      </c>
      <c r="X44" s="63" t="s">
        <v>242</v>
      </c>
      <c r="Y44" s="64" t="s">
        <v>152</v>
      </c>
      <c r="Z44" s="24">
        <v>5.0</v>
      </c>
      <c r="AA44" s="8"/>
      <c r="AB44" s="8">
        <f t="shared" si="16"/>
        <v>0</v>
      </c>
      <c r="AC44" s="8">
        <f t="shared" si="17"/>
        <v>0.0303030303</v>
      </c>
      <c r="AD44" s="8">
        <f t="shared" si="18"/>
        <v>0</v>
      </c>
      <c r="AE44" s="24"/>
      <c r="AF44" s="24">
        <v>10.0</v>
      </c>
      <c r="AG44" s="24" t="s">
        <v>239</v>
      </c>
      <c r="AH44" s="8">
        <f t="shared" si="19"/>
        <v>0</v>
      </c>
      <c r="AI44" s="8" t="str">
        <f t="shared" si="20"/>
        <v>BAJO</v>
      </c>
      <c r="AJ44" s="8">
        <f t="shared" si="21"/>
        <v>0</v>
      </c>
      <c r="AK44" s="8" t="s">
        <v>240</v>
      </c>
      <c r="AL44" s="8" t="s">
        <v>240</v>
      </c>
      <c r="AM44" s="8" t="s">
        <v>240</v>
      </c>
      <c r="AN44" s="8"/>
      <c r="AO44" s="8"/>
      <c r="AP44" s="8"/>
      <c r="AQ44" s="8">
        <f>IF( AP44&lt;&gt;0,AM$44,0)</f>
        <v>0</v>
      </c>
      <c r="AR44" s="8" t="s">
        <v>29</v>
      </c>
    </row>
    <row r="45" ht="33.0" customHeight="1">
      <c r="A45" s="1"/>
      <c r="B45" s="1"/>
      <c r="C45" s="57" t="str">
        <f t="shared" si="4"/>
        <v>Emmanuel Zamora</v>
      </c>
      <c r="D45" s="2"/>
      <c r="E45" s="54"/>
      <c r="F45" s="32"/>
      <c r="G45" s="32"/>
      <c r="H45" s="2"/>
      <c r="I45" s="1"/>
      <c r="J45" s="4">
        <f t="shared" si="1"/>
        <v>0</v>
      </c>
      <c r="K45" s="5">
        <f t="shared" si="2"/>
        <v>0</v>
      </c>
      <c r="L45" s="6"/>
      <c r="M45" s="7"/>
      <c r="N45" s="24" t="s">
        <v>147</v>
      </c>
      <c r="O45" s="24">
        <v>18.0</v>
      </c>
      <c r="P45" s="8">
        <f t="shared" si="10"/>
        <v>0</v>
      </c>
      <c r="Q45" s="8">
        <f t="shared" si="11"/>
        <v>0</v>
      </c>
      <c r="R45" s="8"/>
      <c r="S45" s="8">
        <f t="shared" si="12"/>
        <v>0</v>
      </c>
      <c r="T45" s="8" t="str">
        <f t="shared" si="13"/>
        <v>oo</v>
      </c>
      <c r="U45" s="8">
        <f t="shared" si="14"/>
        <v>0</v>
      </c>
      <c r="V45" s="59">
        <f t="shared" si="15"/>
        <v>0</v>
      </c>
      <c r="W45" s="62" t="s">
        <v>245</v>
      </c>
      <c r="X45" s="63" t="s">
        <v>246</v>
      </c>
      <c r="Y45" s="64" t="s">
        <v>152</v>
      </c>
      <c r="Z45" s="24">
        <v>5.0</v>
      </c>
      <c r="AA45" s="8"/>
      <c r="AB45" s="8">
        <f t="shared" si="16"/>
        <v>0</v>
      </c>
      <c r="AC45" s="8">
        <f t="shared" si="17"/>
        <v>0.0303030303</v>
      </c>
      <c r="AD45" s="8">
        <f t="shared" si="18"/>
        <v>0</v>
      </c>
      <c r="AE45" s="8"/>
      <c r="AF45" s="8"/>
      <c r="AG45" s="24" t="s">
        <v>239</v>
      </c>
      <c r="AH45" s="8">
        <f t="shared" si="19"/>
        <v>0</v>
      </c>
      <c r="AI45" s="8" t="str">
        <f t="shared" si="20"/>
        <v>BAJO</v>
      </c>
      <c r="AJ45" s="8">
        <f t="shared" si="21"/>
        <v>0</v>
      </c>
      <c r="AK45" s="8" t="s">
        <v>65</v>
      </c>
      <c r="AL45" s="8" t="s">
        <v>247</v>
      </c>
      <c r="AM45" s="65" t="s">
        <v>248</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29</v>
      </c>
    </row>
    <row r="46" ht="25.5" customHeight="1">
      <c r="A46" s="1"/>
      <c r="B46" s="1"/>
      <c r="C46" s="57" t="str">
        <f t="shared" si="4"/>
        <v>Emmanuel Zamora</v>
      </c>
      <c r="D46" s="2"/>
      <c r="E46" s="56"/>
      <c r="F46" s="36"/>
      <c r="G46" s="32"/>
      <c r="H46" s="2"/>
      <c r="I46" s="1"/>
      <c r="J46" s="4">
        <f t="shared" si="1"/>
        <v>0</v>
      </c>
      <c r="K46" s="5">
        <f t="shared" si="2"/>
        <v>0</v>
      </c>
      <c r="L46" s="6"/>
      <c r="M46" s="7"/>
      <c r="N46" s="24" t="s">
        <v>147</v>
      </c>
      <c r="O46" s="24">
        <v>19.0</v>
      </c>
      <c r="P46" s="8">
        <f t="shared" si="10"/>
        <v>0</v>
      </c>
      <c r="Q46" s="8">
        <f t="shared" si="11"/>
        <v>0</v>
      </c>
      <c r="R46" s="8"/>
      <c r="S46" s="8">
        <f t="shared" si="12"/>
        <v>0</v>
      </c>
      <c r="T46" s="8" t="str">
        <f t="shared" si="13"/>
        <v>oo</v>
      </c>
      <c r="U46" s="8">
        <f t="shared" si="14"/>
        <v>0</v>
      </c>
      <c r="V46" s="59">
        <f t="shared" si="15"/>
        <v>0</v>
      </c>
      <c r="W46" s="62" t="s">
        <v>104</v>
      </c>
      <c r="X46" s="63" t="s">
        <v>251</v>
      </c>
      <c r="Y46" s="64" t="s">
        <v>168</v>
      </c>
      <c r="Z46" s="24">
        <v>7.0</v>
      </c>
      <c r="AA46" s="8"/>
      <c r="AB46" s="8">
        <f t="shared" si="16"/>
        <v>0</v>
      </c>
      <c r="AC46" s="8">
        <f t="shared" si="17"/>
        <v>0</v>
      </c>
      <c r="AD46" s="8">
        <f t="shared" si="18"/>
        <v>0</v>
      </c>
      <c r="AE46" s="24" t="s">
        <v>79</v>
      </c>
      <c r="AF46" s="24">
        <v>2.0</v>
      </c>
      <c r="AG46" s="24" t="s">
        <v>239</v>
      </c>
      <c r="AH46" s="8">
        <f t="shared" si="19"/>
        <v>0</v>
      </c>
      <c r="AI46" s="8" t="str">
        <f t="shared" si="20"/>
        <v>BAJO</v>
      </c>
      <c r="AJ46" s="8">
        <f t="shared" si="21"/>
        <v>0</v>
      </c>
      <c r="AK46" s="8" t="s">
        <v>79</v>
      </c>
      <c r="AL46" s="8" t="s">
        <v>247</v>
      </c>
      <c r="AM46" s="65" t="s">
        <v>252</v>
      </c>
      <c r="AN46" s="8" t="s">
        <v>29</v>
      </c>
      <c r="AO46" s="8"/>
      <c r="AP46" s="8">
        <f>IF( AND(AI$46&lt;&gt;0,AH$13&lt;&gt;0),AL$46&amp;" - "&amp;AK$46,0)</f>
        <v>0</v>
      </c>
      <c r="AQ46" s="8">
        <f>IF( AP46&lt;&gt;0,AM$46,0)</f>
        <v>0</v>
      </c>
      <c r="AR46" s="8" t="s">
        <v>29</v>
      </c>
    </row>
    <row r="47" ht="24.75" customHeight="1">
      <c r="A47" s="1"/>
      <c r="B47" s="1"/>
      <c r="C47" s="57" t="str">
        <f t="shared" si="4"/>
        <v>Kevin Ruau</v>
      </c>
      <c r="D47" s="2"/>
      <c r="E47" s="55" t="s">
        <v>60</v>
      </c>
      <c r="F47" s="40"/>
      <c r="G47" s="40" t="s">
        <v>273</v>
      </c>
      <c r="H47" s="2"/>
      <c r="I47" s="42" t="s">
        <v>187</v>
      </c>
      <c r="J47" s="4">
        <f t="shared" si="1"/>
        <v>6</v>
      </c>
      <c r="K47" s="5">
        <f t="shared" si="2"/>
        <v>5</v>
      </c>
      <c r="L47" s="6"/>
      <c r="M47" s="7"/>
      <c r="N47" s="24" t="s">
        <v>147</v>
      </c>
      <c r="O47" s="24">
        <v>20.0</v>
      </c>
      <c r="P47" s="8">
        <f t="shared" si="10"/>
        <v>0</v>
      </c>
      <c r="Q47" s="8">
        <f t="shared" si="11"/>
        <v>0</v>
      </c>
      <c r="R47" s="8"/>
      <c r="S47" s="8">
        <f t="shared" si="12"/>
        <v>0</v>
      </c>
      <c r="T47" s="8" t="str">
        <f t="shared" si="13"/>
        <v>oo</v>
      </c>
      <c r="U47" s="8">
        <f t="shared" si="14"/>
        <v>0</v>
      </c>
      <c r="V47" s="59">
        <f t="shared" si="15"/>
        <v>0</v>
      </c>
      <c r="W47" s="62" t="s">
        <v>255</v>
      </c>
      <c r="X47" s="63" t="s">
        <v>256</v>
      </c>
      <c r="Y47" s="64" t="s">
        <v>168</v>
      </c>
      <c r="Z47" s="24">
        <v>9.0</v>
      </c>
      <c r="AA47" s="8"/>
      <c r="AB47" s="8">
        <f t="shared" si="16"/>
        <v>0</v>
      </c>
      <c r="AC47" s="8">
        <f t="shared" si="17"/>
        <v>0</v>
      </c>
      <c r="AD47" s="8">
        <f t="shared" si="18"/>
        <v>0</v>
      </c>
      <c r="AE47" s="24"/>
      <c r="AF47" s="24">
        <v>11.0</v>
      </c>
      <c r="AG47" s="24" t="s">
        <v>161</v>
      </c>
      <c r="AH47" s="8">
        <f t="shared" si="19"/>
        <v>0</v>
      </c>
      <c r="AI47" s="8" t="str">
        <f t="shared" si="20"/>
        <v>BAJO</v>
      </c>
      <c r="AJ47" s="8">
        <f t="shared" si="21"/>
        <v>0</v>
      </c>
      <c r="AK47" s="8" t="s">
        <v>79</v>
      </c>
      <c r="AL47" s="8" t="s">
        <v>174</v>
      </c>
      <c r="AM47" s="8" t="s">
        <v>257</v>
      </c>
      <c r="AN47" s="8" t="s">
        <v>29</v>
      </c>
      <c r="AO47" s="8"/>
      <c r="AP47" s="8">
        <f>IF( AND(AI$47&lt;&gt;0,AH$22&lt;&gt;0),AL$47&amp;" - "&amp;AK$47,0)</f>
        <v>0</v>
      </c>
      <c r="AQ47" s="8">
        <f>IF( AP47&lt;&gt;0,AM$47,0)</f>
        <v>0</v>
      </c>
      <c r="AR47" s="8" t="s">
        <v>29</v>
      </c>
    </row>
    <row r="48" ht="24.0" customHeight="1">
      <c r="A48" s="1"/>
      <c r="B48" s="1"/>
      <c r="C48" s="57" t="str">
        <f t="shared" si="4"/>
        <v>Kevin Ruau</v>
      </c>
      <c r="D48" s="2"/>
      <c r="E48" s="54"/>
      <c r="F48" s="32"/>
      <c r="G48" s="32"/>
      <c r="H48" s="2"/>
      <c r="I48" s="1"/>
      <c r="J48" s="4">
        <f t="shared" si="1"/>
        <v>0</v>
      </c>
      <c r="K48" s="5">
        <f t="shared" si="2"/>
        <v>0</v>
      </c>
      <c r="L48" s="6"/>
      <c r="M48" s="7"/>
      <c r="N48" s="24" t="s">
        <v>147</v>
      </c>
      <c r="O48" s="24">
        <v>21.0</v>
      </c>
      <c r="P48" s="8">
        <f t="shared" si="10"/>
        <v>0</v>
      </c>
      <c r="Q48" s="8">
        <f t="shared" si="11"/>
        <v>0</v>
      </c>
      <c r="R48" s="8"/>
      <c r="S48" s="8">
        <f t="shared" si="12"/>
        <v>0</v>
      </c>
      <c r="T48" s="8" t="str">
        <f t="shared" si="13"/>
        <v>oo</v>
      </c>
      <c r="U48" s="8">
        <f t="shared" si="14"/>
        <v>0</v>
      </c>
      <c r="V48" s="59">
        <f t="shared" si="15"/>
        <v>0</v>
      </c>
      <c r="W48" s="62" t="s">
        <v>259</v>
      </c>
      <c r="X48" s="63" t="s">
        <v>260</v>
      </c>
      <c r="Y48" s="64" t="s">
        <v>168</v>
      </c>
      <c r="Z48" s="24">
        <v>7.0</v>
      </c>
      <c r="AA48" s="8"/>
      <c r="AB48" s="8">
        <f t="shared" si="16"/>
        <v>0</v>
      </c>
      <c r="AC48" s="8">
        <f t="shared" si="17"/>
        <v>0</v>
      </c>
      <c r="AD48" s="8">
        <f t="shared" si="18"/>
        <v>0</v>
      </c>
      <c r="AE48" s="24"/>
      <c r="AF48" s="24">
        <v>11.0</v>
      </c>
      <c r="AG48" s="24" t="s">
        <v>209</v>
      </c>
      <c r="AH48" s="8">
        <f t="shared" si="19"/>
        <v>0</v>
      </c>
      <c r="AI48" s="8" t="str">
        <f t="shared" si="20"/>
        <v>BAJO</v>
      </c>
      <c r="AJ48" s="8">
        <f t="shared" si="21"/>
        <v>0</v>
      </c>
      <c r="AK48" s="8" t="s">
        <v>79</v>
      </c>
      <c r="AL48" s="8" t="s">
        <v>210</v>
      </c>
      <c r="AM48" s="8" t="s">
        <v>257</v>
      </c>
      <c r="AN48" s="8" t="s">
        <v>29</v>
      </c>
      <c r="AO48" s="8"/>
      <c r="AP48" s="8">
        <f>IF( AND(AI$48&lt;&gt;0,AH$22&lt;&gt;0),AL$48&amp;" - "&amp;AK$48,0)</f>
        <v>0</v>
      </c>
      <c r="AQ48" s="8">
        <f>IF( AP48&lt;&gt;0,AM$48,0)</f>
        <v>0</v>
      </c>
      <c r="AR48" s="8" t="s">
        <v>29</v>
      </c>
    </row>
    <row r="49" ht="22.5" customHeight="1">
      <c r="A49" s="1"/>
      <c r="B49" s="1"/>
      <c r="C49" s="57" t="str">
        <f t="shared" si="4"/>
        <v>Kevin Ruau</v>
      </c>
      <c r="D49" s="2"/>
      <c r="E49" s="56"/>
      <c r="F49" s="36"/>
      <c r="G49" s="32"/>
      <c r="H49" s="2"/>
      <c r="I49" s="1"/>
      <c r="J49" s="4">
        <f t="shared" si="1"/>
        <v>0</v>
      </c>
      <c r="K49" s="5">
        <f t="shared" si="2"/>
        <v>0</v>
      </c>
      <c r="L49" s="6"/>
      <c r="M49" s="7"/>
      <c r="N49" s="24" t="s">
        <v>147</v>
      </c>
      <c r="O49" s="24">
        <v>22.0</v>
      </c>
      <c r="P49" s="8">
        <f t="shared" si="10"/>
        <v>0</v>
      </c>
      <c r="Q49" s="8">
        <f t="shared" si="11"/>
        <v>0</v>
      </c>
      <c r="R49" s="8"/>
      <c r="S49" s="8">
        <f t="shared" si="12"/>
        <v>0</v>
      </c>
      <c r="T49" s="8" t="str">
        <f t="shared" si="13"/>
        <v>oo</v>
      </c>
      <c r="U49" s="8">
        <f t="shared" si="14"/>
        <v>0</v>
      </c>
      <c r="V49" s="59">
        <f t="shared" si="15"/>
        <v>0</v>
      </c>
      <c r="W49" s="62" t="s">
        <v>263</v>
      </c>
      <c r="X49" s="63" t="s">
        <v>264</v>
      </c>
      <c r="Y49" s="64" t="s">
        <v>168</v>
      </c>
      <c r="Z49" s="24">
        <v>8.0</v>
      </c>
      <c r="AA49" s="8"/>
      <c r="AB49" s="8">
        <f t="shared" si="16"/>
        <v>0</v>
      </c>
      <c r="AC49" s="8">
        <f t="shared" si="17"/>
        <v>0</v>
      </c>
      <c r="AD49" s="8">
        <f t="shared" si="18"/>
        <v>0</v>
      </c>
      <c r="AE49" s="24" t="s">
        <v>88</v>
      </c>
      <c r="AF49" s="24">
        <v>1.0</v>
      </c>
      <c r="AG49" s="24" t="s">
        <v>193</v>
      </c>
      <c r="AH49" s="8">
        <f t="shared" si="19"/>
        <v>0</v>
      </c>
      <c r="AI49" s="8" t="str">
        <f t="shared" si="20"/>
        <v>BAJO</v>
      </c>
      <c r="AJ49" s="8">
        <f t="shared" si="21"/>
        <v>0</v>
      </c>
      <c r="AK49" s="8" t="s">
        <v>88</v>
      </c>
      <c r="AL49" s="8" t="s">
        <v>265</v>
      </c>
      <c r="AM49" s="8" t="s">
        <v>266</v>
      </c>
      <c r="AN49" s="8" t="s">
        <v>29</v>
      </c>
      <c r="AO49" s="8"/>
      <c r="AP49" s="8" t="str">
        <f>IF( AND(AI$49&lt;&gt;0,AH$12&lt;&gt;0),AL$49&amp;" - "&amp;AK$49,0)</f>
        <v>Estudiante requiere entrenamiento de subhabilidad Motivar  - Reintegración</v>
      </c>
      <c r="AQ49" s="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8" t="s">
        <v>29</v>
      </c>
    </row>
    <row r="50" ht="20.25" customHeight="1">
      <c r="A50" s="1"/>
      <c r="B50" s="1"/>
      <c r="C50" s="57" t="str">
        <f t="shared" si="4"/>
        <v>Emmanuel Zamora</v>
      </c>
      <c r="D50" s="2"/>
      <c r="E50" s="67" t="s">
        <v>119</v>
      </c>
      <c r="F50" s="36"/>
      <c r="G50" s="41" t="s">
        <v>292</v>
      </c>
      <c r="H50" s="2"/>
      <c r="I50" s="42" t="s">
        <v>69</v>
      </c>
      <c r="J50" s="4">
        <f t="shared" si="1"/>
        <v>35</v>
      </c>
      <c r="K50" s="5">
        <f t="shared" si="2"/>
        <v>6</v>
      </c>
      <c r="L50" s="6"/>
      <c r="M50" s="7"/>
      <c r="N50" s="24" t="s">
        <v>147</v>
      </c>
      <c r="O50" s="24">
        <v>23.0</v>
      </c>
      <c r="P50" s="8">
        <f t="shared" si="10"/>
        <v>0</v>
      </c>
      <c r="Q50" s="8">
        <f t="shared" si="11"/>
        <v>0</v>
      </c>
      <c r="R50" s="8"/>
      <c r="S50" s="8">
        <f t="shared" si="12"/>
        <v>0</v>
      </c>
      <c r="T50" s="8" t="str">
        <f t="shared" si="13"/>
        <v>oo</v>
      </c>
      <c r="U50" s="8">
        <f t="shared" si="14"/>
        <v>0</v>
      </c>
      <c r="V50" s="59">
        <f t="shared" si="15"/>
        <v>0</v>
      </c>
      <c r="W50" s="62" t="s">
        <v>268</v>
      </c>
      <c r="X50" s="63" t="s">
        <v>269</v>
      </c>
      <c r="Y50" s="64" t="s">
        <v>168</v>
      </c>
      <c r="Z50" s="24">
        <v>8.0</v>
      </c>
      <c r="AA50" s="8"/>
      <c r="AB50" s="8">
        <f t="shared" si="16"/>
        <v>0</v>
      </c>
      <c r="AC50" s="8">
        <f t="shared" si="17"/>
        <v>0</v>
      </c>
      <c r="AD50" s="8">
        <f t="shared" si="18"/>
        <v>0</v>
      </c>
      <c r="AE50" s="8"/>
      <c r="AF50" s="24">
        <v>1.0</v>
      </c>
      <c r="AG50" s="24" t="s">
        <v>209</v>
      </c>
      <c r="AH50" s="8">
        <f t="shared" si="19"/>
        <v>0</v>
      </c>
      <c r="AI50" s="8" t="str">
        <f t="shared" si="20"/>
        <v>BAJO</v>
      </c>
      <c r="AJ50" s="8">
        <f t="shared" si="21"/>
        <v>0</v>
      </c>
      <c r="AK50" s="8" t="s">
        <v>88</v>
      </c>
      <c r="AL50" s="8" t="s">
        <v>210</v>
      </c>
      <c r="AM50" s="65" t="s">
        <v>270</v>
      </c>
      <c r="AN50" s="8" t="s">
        <v>29</v>
      </c>
      <c r="AO50" s="8"/>
      <c r="AP50" s="8" t="str">
        <f>IF( AND(AI$50&lt;&gt;0,AH$12&lt;&gt;0),AL$50&amp;" - "&amp;AK$50,0)</f>
        <v>Estudiante requiere entrenamiento de subhabilidad Mantenimiento - Reintegración</v>
      </c>
      <c r="AQ50" s="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8" t="s">
        <v>29</v>
      </c>
    </row>
    <row r="51" ht="22.5" customHeight="1">
      <c r="A51" s="1"/>
      <c r="B51" s="1"/>
      <c r="C51" s="57" t="str">
        <f t="shared" si="4"/>
        <v>Emmanuel Zamora</v>
      </c>
      <c r="D51" s="2"/>
      <c r="E51" s="54"/>
      <c r="F51" s="32"/>
      <c r="G51" s="32"/>
      <c r="H51" s="2"/>
      <c r="I51" s="1"/>
      <c r="J51" s="4">
        <f t="shared" si="1"/>
        <v>0</v>
      </c>
      <c r="K51" s="5">
        <f t="shared" si="2"/>
        <v>0</v>
      </c>
      <c r="L51" s="6"/>
      <c r="M51" s="7"/>
      <c r="N51" s="24" t="s">
        <v>147</v>
      </c>
      <c r="O51" s="24">
        <v>24.0</v>
      </c>
      <c r="P51" s="8">
        <f t="shared" si="10"/>
        <v>0</v>
      </c>
      <c r="Q51" s="8">
        <f t="shared" si="11"/>
        <v>0</v>
      </c>
      <c r="R51" s="8"/>
      <c r="S51" s="8">
        <f t="shared" si="12"/>
        <v>0</v>
      </c>
      <c r="T51" s="8" t="str">
        <f t="shared" si="13"/>
        <v>oo</v>
      </c>
      <c r="U51" s="8">
        <f t="shared" si="14"/>
        <v>0</v>
      </c>
      <c r="V51" s="59">
        <f t="shared" si="15"/>
        <v>0</v>
      </c>
      <c r="W51" s="62" t="s">
        <v>274</v>
      </c>
      <c r="X51" s="63" t="s">
        <v>275</v>
      </c>
      <c r="Y51" s="64" t="s">
        <v>168</v>
      </c>
      <c r="Z51" s="24">
        <v>7.0</v>
      </c>
      <c r="AA51" s="8"/>
      <c r="AB51" s="8">
        <f t="shared" si="16"/>
        <v>0</v>
      </c>
      <c r="AC51" s="8">
        <f t="shared" si="17"/>
        <v>0</v>
      </c>
      <c r="AD51" s="8">
        <f t="shared" si="18"/>
        <v>0</v>
      </c>
      <c r="AE51" s="8"/>
      <c r="AF51" s="24">
        <v>1.0</v>
      </c>
      <c r="AG51" s="24" t="s">
        <v>162</v>
      </c>
      <c r="AH51" s="8">
        <f t="shared" si="19"/>
        <v>0</v>
      </c>
      <c r="AI51" s="8" t="str">
        <f t="shared" si="20"/>
        <v>BAJO</v>
      </c>
      <c r="AJ51" s="8">
        <f t="shared" si="21"/>
        <v>0</v>
      </c>
      <c r="AK51" s="8" t="s">
        <v>88</v>
      </c>
      <c r="AL51" s="8" t="s">
        <v>163</v>
      </c>
      <c r="AM51" s="8" t="s">
        <v>276</v>
      </c>
      <c r="AN51" s="8" t="s">
        <v>29</v>
      </c>
      <c r="AO51" s="8"/>
      <c r="AP51" s="8" t="str">
        <f>IF( AND(AI$51&lt;&gt;0,AH$12&lt;&gt;0),AL$51&amp;" - "&amp;AK$51,0)</f>
        <v>Estudiante requiere entrenamiento de subhabilidad Tarea - Reintegración</v>
      </c>
      <c r="AQ51" s="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8" t="s">
        <v>29</v>
      </c>
    </row>
    <row r="52" ht="18.75" customHeight="1">
      <c r="A52" s="1"/>
      <c r="B52" s="1"/>
      <c r="C52" s="57" t="str">
        <f t="shared" si="4"/>
        <v>Emmanuel Zamora</v>
      </c>
      <c r="D52" s="2"/>
      <c r="E52" s="56"/>
      <c r="F52" s="36"/>
      <c r="G52" s="32"/>
      <c r="H52" s="2"/>
      <c r="I52" s="1"/>
      <c r="J52" s="4">
        <f t="shared" si="1"/>
        <v>0</v>
      </c>
      <c r="K52" s="5">
        <f t="shared" si="2"/>
        <v>0</v>
      </c>
      <c r="L52" s="6"/>
      <c r="M52" s="7"/>
      <c r="N52" s="24" t="s">
        <v>147</v>
      </c>
      <c r="O52" s="24">
        <v>25.0</v>
      </c>
      <c r="P52" s="8">
        <f t="shared" si="10"/>
        <v>0</v>
      </c>
      <c r="Q52" s="8">
        <f t="shared" si="11"/>
        <v>0</v>
      </c>
      <c r="R52" s="8"/>
      <c r="S52" s="8">
        <f t="shared" si="12"/>
        <v>0</v>
      </c>
      <c r="T52" s="8" t="str">
        <f t="shared" si="13"/>
        <v>oo</v>
      </c>
      <c r="U52" s="8">
        <f t="shared" si="14"/>
        <v>0</v>
      </c>
      <c r="V52" s="59">
        <f t="shared" si="15"/>
        <v>0</v>
      </c>
      <c r="W52" s="62" t="s">
        <v>278</v>
      </c>
      <c r="X52" s="63" t="s">
        <v>279</v>
      </c>
      <c r="Y52" s="64" t="s">
        <v>239</v>
      </c>
      <c r="Z52" s="24">
        <v>2.0</v>
      </c>
      <c r="AA52" s="8"/>
      <c r="AB52" s="8">
        <f t="shared" si="16"/>
        <v>0</v>
      </c>
      <c r="AC52" s="8">
        <f t="shared" si="17"/>
        <v>0.0303030303</v>
      </c>
      <c r="AD52" s="8">
        <f t="shared" si="18"/>
        <v>0</v>
      </c>
      <c r="AE52" s="8"/>
      <c r="AF52" s="24">
        <v>12.0</v>
      </c>
      <c r="AG52" s="24" t="s">
        <v>161</v>
      </c>
      <c r="AH52" s="8">
        <f t="shared" si="19"/>
        <v>0</v>
      </c>
      <c r="AI52" s="8" t="str">
        <f t="shared" si="20"/>
        <v>BAJO</v>
      </c>
      <c r="AJ52" s="8">
        <f t="shared" si="21"/>
        <v>0</v>
      </c>
      <c r="AK52" s="8" t="s">
        <v>88</v>
      </c>
      <c r="AL52" s="8" t="s">
        <v>174</v>
      </c>
      <c r="AM52" s="8" t="s">
        <v>280</v>
      </c>
      <c r="AN52" s="8" t="s">
        <v>29</v>
      </c>
      <c r="AO52" s="8"/>
      <c r="AP52" s="8">
        <f>IF( AND(AI$52&lt;&gt;0,AH$23&lt;&gt;0),AL$52&amp;" - "&amp;AK$52,0)</f>
        <v>0</v>
      </c>
      <c r="AQ52" s="8">
        <f>IF( AP52&lt;&gt;0,AM$52,0)</f>
        <v>0</v>
      </c>
      <c r="AR52" s="8" t="s">
        <v>29</v>
      </c>
    </row>
    <row r="53" ht="20.25" customHeight="1">
      <c r="A53" s="1"/>
      <c r="B53" s="1"/>
      <c r="C53" s="57" t="str">
        <f t="shared" si="4"/>
        <v>Emmanuel Zamora</v>
      </c>
      <c r="D53" s="2"/>
      <c r="E53" s="55" t="s">
        <v>119</v>
      </c>
      <c r="F53" s="40"/>
      <c r="G53" s="40" t="s">
        <v>313</v>
      </c>
      <c r="H53" s="2"/>
      <c r="I53" s="42" t="s">
        <v>44</v>
      </c>
      <c r="J53" s="4">
        <f t="shared" si="1"/>
        <v>30</v>
      </c>
      <c r="K53" s="5">
        <f t="shared" si="2"/>
        <v>8</v>
      </c>
      <c r="L53" s="6"/>
      <c r="M53" s="7"/>
      <c r="N53" s="24" t="s">
        <v>147</v>
      </c>
      <c r="O53" s="24">
        <v>26.0</v>
      </c>
      <c r="P53" s="8">
        <f t="shared" si="10"/>
        <v>1</v>
      </c>
      <c r="Q53" s="8">
        <f t="shared" si="11"/>
        <v>0.0303030303</v>
      </c>
      <c r="R53" s="8"/>
      <c r="S53" s="8">
        <f t="shared" si="12"/>
        <v>0</v>
      </c>
      <c r="T53" s="8">
        <f t="shared" si="13"/>
        <v>0</v>
      </c>
      <c r="U53" s="8">
        <f t="shared" si="14"/>
        <v>0</v>
      </c>
      <c r="V53" s="59">
        <f t="shared" si="15"/>
        <v>0</v>
      </c>
      <c r="W53" s="62" t="s">
        <v>77</v>
      </c>
      <c r="X53" s="63" t="s">
        <v>281</v>
      </c>
      <c r="Y53" s="64" t="s">
        <v>239</v>
      </c>
      <c r="Z53" s="24">
        <v>3.0</v>
      </c>
      <c r="AA53" s="8"/>
      <c r="AB53" s="8">
        <f t="shared" si="16"/>
        <v>0</v>
      </c>
      <c r="AC53" s="8">
        <f t="shared" si="17"/>
        <v>0.0303030303</v>
      </c>
      <c r="AD53" s="8">
        <f t="shared" si="18"/>
        <v>0</v>
      </c>
      <c r="AE53" s="8"/>
      <c r="AF53" s="8"/>
      <c r="AG53" s="8"/>
      <c r="AH53" s="8"/>
      <c r="AI53" s="8"/>
      <c r="AJ53" s="8"/>
      <c r="AK53" s="8"/>
      <c r="AL53" s="8"/>
      <c r="AM53" s="8"/>
      <c r="AN53" s="8"/>
      <c r="AO53" s="8"/>
      <c r="AP53" s="24" t="s">
        <v>282</v>
      </c>
      <c r="AQ53" s="8"/>
      <c r="AR53" s="8"/>
    </row>
    <row r="54" ht="18.75" customHeight="1">
      <c r="A54" s="1"/>
      <c r="B54" s="1"/>
      <c r="C54" s="57" t="str">
        <f t="shared" si="4"/>
        <v>Emmanuel Zamora</v>
      </c>
      <c r="D54" s="2"/>
      <c r="E54" s="54"/>
      <c r="F54" s="32"/>
      <c r="G54" s="32"/>
      <c r="H54" s="2"/>
      <c r="I54" s="1"/>
      <c r="J54" s="4">
        <f t="shared" si="1"/>
        <v>0</v>
      </c>
      <c r="K54" s="5">
        <f t="shared" si="2"/>
        <v>0</v>
      </c>
      <c r="L54" s="6"/>
      <c r="M54" s="7"/>
      <c r="N54" s="24" t="s">
        <v>147</v>
      </c>
      <c r="O54" s="24">
        <v>27.0</v>
      </c>
      <c r="P54" s="8">
        <f t="shared" si="10"/>
        <v>0</v>
      </c>
      <c r="Q54" s="8">
        <f t="shared" si="11"/>
        <v>0</v>
      </c>
      <c r="R54" s="8"/>
      <c r="S54" s="8">
        <f t="shared" si="12"/>
        <v>0</v>
      </c>
      <c r="T54" s="8" t="str">
        <f t="shared" si="13"/>
        <v>oo</v>
      </c>
      <c r="U54" s="8">
        <f t="shared" si="14"/>
        <v>0</v>
      </c>
      <c r="V54" s="59">
        <f t="shared" si="15"/>
        <v>0</v>
      </c>
      <c r="W54" s="62" t="s">
        <v>285</v>
      </c>
      <c r="X54" s="63" t="s">
        <v>286</v>
      </c>
      <c r="Y54" s="64" t="s">
        <v>239</v>
      </c>
      <c r="Z54" s="24">
        <v>10.0</v>
      </c>
      <c r="AA54" s="8"/>
      <c r="AB54" s="8">
        <f t="shared" si="16"/>
        <v>0</v>
      </c>
      <c r="AC54" s="8">
        <f t="shared" si="17"/>
        <v>0.0303030303</v>
      </c>
      <c r="AD54" s="8">
        <f t="shared" si="18"/>
        <v>0</v>
      </c>
      <c r="AE54" s="8"/>
      <c r="AF54" s="8"/>
      <c r="AG54" s="8"/>
      <c r="AH54" s="8"/>
      <c r="AI54" s="8"/>
      <c r="AJ54" s="8"/>
      <c r="AK54" s="8" t="s">
        <v>27</v>
      </c>
      <c r="AL54" s="8" t="s">
        <v>287</v>
      </c>
      <c r="AM54" s="65" t="s">
        <v>288</v>
      </c>
      <c r="AN54" s="8" t="s">
        <v>29</v>
      </c>
      <c r="AO54" s="8"/>
      <c r="AP54" s="8">
        <f>IF(AND(AD39&lt;0.5,AI$28&lt;&gt;0, AH$17&lt;&gt;0),AL$28&amp;" - "&amp;AK$28,0)</f>
        <v>0</v>
      </c>
      <c r="AQ54" s="8">
        <f t="shared" ref="AQ54:AQ78" si="22">IF( AP54&lt;&gt;0,AM54,0)</f>
        <v>0</v>
      </c>
      <c r="AR54" s="8" t="s">
        <v>29</v>
      </c>
    </row>
    <row r="55" ht="21.0" customHeight="1">
      <c r="A55" s="1"/>
      <c r="B55" s="1"/>
      <c r="C55" s="57" t="str">
        <f t="shared" si="4"/>
        <v>Emmanuel Zamora</v>
      </c>
      <c r="D55" s="2"/>
      <c r="E55" s="31"/>
      <c r="F55" s="31"/>
      <c r="G55" s="32"/>
      <c r="H55" s="2"/>
      <c r="I55" s="1"/>
      <c r="J55" s="4">
        <f t="shared" si="1"/>
        <v>0</v>
      </c>
      <c r="K55" s="5">
        <f t="shared" si="2"/>
        <v>0</v>
      </c>
      <c r="L55" s="6"/>
      <c r="M55" s="7"/>
      <c r="N55" s="24" t="s">
        <v>147</v>
      </c>
      <c r="O55" s="24">
        <v>28.0</v>
      </c>
      <c r="P55" s="8">
        <f t="shared" si="10"/>
        <v>0</v>
      </c>
      <c r="Q55" s="8">
        <f t="shared" si="11"/>
        <v>0</v>
      </c>
      <c r="R55" s="8"/>
      <c r="S55" s="8">
        <f t="shared" si="12"/>
        <v>0</v>
      </c>
      <c r="T55" s="8" t="str">
        <f t="shared" si="13"/>
        <v>oo</v>
      </c>
      <c r="U55" s="8">
        <f t="shared" si="14"/>
        <v>0</v>
      </c>
      <c r="V55" s="59">
        <f t="shared" si="15"/>
        <v>0</v>
      </c>
      <c r="W55" s="62" t="s">
        <v>186</v>
      </c>
      <c r="X55" s="63" t="s">
        <v>290</v>
      </c>
      <c r="Y55" s="64" t="s">
        <v>209</v>
      </c>
      <c r="Z55" s="24">
        <v>11.0</v>
      </c>
      <c r="AA55" s="8"/>
      <c r="AB55" s="8">
        <f t="shared" si="16"/>
        <v>0</v>
      </c>
      <c r="AC55" s="8">
        <f t="shared" si="17"/>
        <v>0.0303030303</v>
      </c>
      <c r="AD55" s="8">
        <f t="shared" si="18"/>
        <v>0</v>
      </c>
      <c r="AE55" s="8"/>
      <c r="AF55" s="8"/>
      <c r="AG55" s="8"/>
      <c r="AH55" s="8"/>
      <c r="AI55" s="8"/>
      <c r="AJ55" s="8"/>
      <c r="AK55" s="8" t="s">
        <v>27</v>
      </c>
      <c r="AL55" s="8" t="s">
        <v>291</v>
      </c>
      <c r="AM55" s="65" t="s">
        <v>293</v>
      </c>
      <c r="AN55" s="8" t="s">
        <v>29</v>
      </c>
      <c r="AO55" s="8"/>
      <c r="AP55" s="8">
        <f>IF( AND(AD60&lt;0.5,AI$29&lt;&gt;0,AH$17&lt;&gt;0),AL$29&amp;" - "&amp;AK$29,0)</f>
        <v>0</v>
      </c>
      <c r="AQ55" s="8">
        <f t="shared" si="22"/>
        <v>0</v>
      </c>
      <c r="AR55" s="8" t="s">
        <v>29</v>
      </c>
    </row>
    <row r="56" ht="21.0" customHeight="1">
      <c r="A56" s="1"/>
      <c r="B56" s="1"/>
      <c r="C56" s="57" t="str">
        <f t="shared" si="4"/>
        <v>Kevin Ruau</v>
      </c>
      <c r="D56" s="2"/>
      <c r="E56" s="58" t="s">
        <v>60</v>
      </c>
      <c r="F56" s="39">
        <v>0.6756944444444445</v>
      </c>
      <c r="G56" s="45" t="s">
        <v>234</v>
      </c>
      <c r="H56" s="2"/>
      <c r="I56" s="1"/>
      <c r="J56" s="4">
        <f t="shared" si="1"/>
        <v>0</v>
      </c>
      <c r="K56" s="5">
        <f t="shared" si="2"/>
        <v>0</v>
      </c>
      <c r="L56" s="6"/>
      <c r="M56" s="7"/>
      <c r="N56" s="24" t="s">
        <v>147</v>
      </c>
      <c r="O56" s="24">
        <v>29.0</v>
      </c>
      <c r="P56" s="8">
        <f t="shared" si="10"/>
        <v>0</v>
      </c>
      <c r="Q56" s="8">
        <f t="shared" si="11"/>
        <v>0</v>
      </c>
      <c r="R56" s="8"/>
      <c r="S56" s="8">
        <f t="shared" si="12"/>
        <v>0</v>
      </c>
      <c r="T56" s="8" t="str">
        <f t="shared" si="13"/>
        <v>oo</v>
      </c>
      <c r="U56" s="8">
        <f t="shared" si="14"/>
        <v>0</v>
      </c>
      <c r="V56" s="59">
        <f t="shared" si="15"/>
        <v>0</v>
      </c>
      <c r="W56" s="62" t="s">
        <v>295</v>
      </c>
      <c r="X56" s="63" t="s">
        <v>296</v>
      </c>
      <c r="Y56" s="64" t="s">
        <v>209</v>
      </c>
      <c r="Z56" s="24">
        <v>4.0</v>
      </c>
      <c r="AA56" s="8"/>
      <c r="AB56" s="8">
        <f t="shared" si="16"/>
        <v>0</v>
      </c>
      <c r="AC56" s="8">
        <f t="shared" si="17"/>
        <v>0.0303030303</v>
      </c>
      <c r="AD56" s="8">
        <f t="shared" si="18"/>
        <v>0</v>
      </c>
      <c r="AE56" s="8"/>
      <c r="AF56" s="8"/>
      <c r="AG56" s="8"/>
      <c r="AH56" s="8"/>
      <c r="AI56" s="8"/>
      <c r="AJ56" s="8"/>
      <c r="AK56" s="8" t="s">
        <v>27</v>
      </c>
      <c r="AL56" s="8" t="s">
        <v>297</v>
      </c>
      <c r="AM56" s="65" t="s">
        <v>298</v>
      </c>
      <c r="AN56" s="8" t="s">
        <v>29</v>
      </c>
      <c r="AO56" s="8"/>
      <c r="AP56" s="8">
        <f>IF( AND(AD46&lt;0.5,AI$30&lt;&gt;0,AH$18&lt;&gt;0),AL$30&amp;" - "&amp;AK$30,0)</f>
        <v>0</v>
      </c>
      <c r="AQ56" s="8">
        <f t="shared" si="22"/>
        <v>0</v>
      </c>
      <c r="AR56" s="8" t="s">
        <v>29</v>
      </c>
    </row>
    <row r="57" ht="20.25" customHeight="1">
      <c r="A57" s="1"/>
      <c r="B57" s="1"/>
      <c r="C57" s="57" t="str">
        <f t="shared" si="4"/>
        <v>Kevin Ruau</v>
      </c>
      <c r="D57" s="2"/>
      <c r="E57" s="54"/>
      <c r="F57" s="40"/>
      <c r="G57" s="40"/>
      <c r="H57" s="2"/>
      <c r="I57" s="1"/>
      <c r="J57" s="4">
        <f t="shared" si="1"/>
        <v>0</v>
      </c>
      <c r="K57" s="5">
        <f t="shared" si="2"/>
        <v>0</v>
      </c>
      <c r="L57" s="6"/>
      <c r="M57" s="7"/>
      <c r="N57" s="24" t="s">
        <v>147</v>
      </c>
      <c r="O57" s="24">
        <v>30.0</v>
      </c>
      <c r="P57" s="8">
        <f t="shared" si="10"/>
        <v>1</v>
      </c>
      <c r="Q57" s="8">
        <f t="shared" si="11"/>
        <v>0.0303030303</v>
      </c>
      <c r="R57" s="8"/>
      <c r="S57" s="8">
        <f t="shared" si="12"/>
        <v>0</v>
      </c>
      <c r="T57" s="8">
        <f t="shared" si="13"/>
        <v>0</v>
      </c>
      <c r="U57" s="8">
        <f t="shared" si="14"/>
        <v>0</v>
      </c>
      <c r="V57" s="59">
        <f t="shared" si="15"/>
        <v>0</v>
      </c>
      <c r="W57" s="62" t="s">
        <v>44</v>
      </c>
      <c r="X57" s="63" t="s">
        <v>300</v>
      </c>
      <c r="Y57" s="64" t="s">
        <v>209</v>
      </c>
      <c r="Z57" s="24">
        <v>8.0</v>
      </c>
      <c r="AA57" s="8"/>
      <c r="AB57" s="8">
        <f t="shared" si="16"/>
        <v>0</v>
      </c>
      <c r="AC57" s="8">
        <f t="shared" si="17"/>
        <v>0.0303030303</v>
      </c>
      <c r="AD57" s="8">
        <f t="shared" si="18"/>
        <v>0</v>
      </c>
      <c r="AE57" s="8"/>
      <c r="AF57" s="8"/>
      <c r="AG57" s="8"/>
      <c r="AH57" s="8"/>
      <c r="AI57" s="8"/>
      <c r="AJ57" s="8"/>
      <c r="AK57" s="8" t="s">
        <v>39</v>
      </c>
      <c r="AL57" s="8" t="s">
        <v>301</v>
      </c>
      <c r="AM57" s="65" t="s">
        <v>302</v>
      </c>
      <c r="AN57" s="8" t="s">
        <v>29</v>
      </c>
      <c r="AO57" s="8"/>
      <c r="AP57" s="8">
        <f>IF( AND(AD29&lt;0.5,AI$31&lt;&gt;0,AH$16&lt;&gt;0),AL$31&amp;" - "&amp;AK$31,0)</f>
        <v>0</v>
      </c>
      <c r="AQ57" s="8">
        <f t="shared" si="22"/>
        <v>0</v>
      </c>
      <c r="AR57" s="8" t="s">
        <v>29</v>
      </c>
    </row>
    <row r="58" ht="15.75" customHeight="1">
      <c r="A58" s="1"/>
      <c r="B58" s="1"/>
      <c r="C58" s="57" t="str">
        <f t="shared" si="4"/>
        <v>Kevin Ruau</v>
      </c>
      <c r="D58" s="2"/>
      <c r="E58" s="56"/>
      <c r="F58" s="36"/>
      <c r="G58" s="32"/>
      <c r="H58" s="2"/>
      <c r="I58" s="1"/>
      <c r="J58" s="4">
        <f t="shared" si="1"/>
        <v>0</v>
      </c>
      <c r="K58" s="5">
        <f t="shared" si="2"/>
        <v>0</v>
      </c>
      <c r="L58" s="6"/>
      <c r="M58" s="7"/>
      <c r="N58" s="24" t="s">
        <v>147</v>
      </c>
      <c r="O58" s="24">
        <v>31.0</v>
      </c>
      <c r="P58" s="8">
        <f t="shared" si="10"/>
        <v>0</v>
      </c>
      <c r="Q58" s="8">
        <f t="shared" si="11"/>
        <v>0</v>
      </c>
      <c r="R58" s="8"/>
      <c r="S58" s="8">
        <f t="shared" si="12"/>
        <v>0</v>
      </c>
      <c r="T58" s="8" t="str">
        <f t="shared" si="13"/>
        <v>oo</v>
      </c>
      <c r="U58" s="8">
        <f t="shared" si="14"/>
        <v>0</v>
      </c>
      <c r="V58" s="59">
        <f t="shared" si="15"/>
        <v>0</v>
      </c>
      <c r="W58" s="62" t="s">
        <v>305</v>
      </c>
      <c r="X58" s="63" t="s">
        <v>306</v>
      </c>
      <c r="Y58" s="64" t="s">
        <v>209</v>
      </c>
      <c r="Z58" s="24">
        <v>1.0</v>
      </c>
      <c r="AA58" s="8"/>
      <c r="AB58" s="8">
        <f t="shared" si="16"/>
        <v>0</v>
      </c>
      <c r="AC58" s="8">
        <f t="shared" si="17"/>
        <v>0.0303030303</v>
      </c>
      <c r="AD58" s="8">
        <f t="shared" si="18"/>
        <v>0</v>
      </c>
      <c r="AE58" s="8"/>
      <c r="AF58" s="8"/>
      <c r="AG58" s="8"/>
      <c r="AH58" s="8"/>
      <c r="AI58" s="8"/>
      <c r="AJ58" s="8"/>
      <c r="AK58" s="8" t="s">
        <v>39</v>
      </c>
      <c r="AL58" s="8" t="s">
        <v>307</v>
      </c>
      <c r="AM58" s="65" t="s">
        <v>308</v>
      </c>
      <c r="AN58" s="8" t="s">
        <v>29</v>
      </c>
      <c r="AO58" s="8"/>
      <c r="AP58" s="8">
        <f>IF( AND(AD28&lt;0.5,AI$32&lt;&gt;0,AH$16&lt;&gt;0),AL$32&amp;" - "&amp;AK$32,0)</f>
        <v>0</v>
      </c>
      <c r="AQ58" s="8">
        <f t="shared" si="22"/>
        <v>0</v>
      </c>
      <c r="AR58" s="8" t="s">
        <v>29</v>
      </c>
    </row>
    <row r="59" ht="17.25" customHeight="1">
      <c r="A59" s="1"/>
      <c r="B59" s="1"/>
      <c r="C59" s="57" t="str">
        <f t="shared" si="4"/>
        <v>Kevin Ruau</v>
      </c>
      <c r="D59" s="2"/>
      <c r="E59" s="54"/>
      <c r="F59" s="32"/>
      <c r="G59" s="32"/>
      <c r="H59" s="2"/>
      <c r="I59" s="1"/>
      <c r="J59" s="4">
        <f t="shared" si="1"/>
        <v>0</v>
      </c>
      <c r="K59" s="5">
        <f t="shared" si="2"/>
        <v>0</v>
      </c>
      <c r="L59" s="71"/>
      <c r="M59" s="72"/>
      <c r="N59" s="24" t="s">
        <v>147</v>
      </c>
      <c r="O59" s="24">
        <v>32.0</v>
      </c>
      <c r="P59" s="8">
        <f t="shared" si="10"/>
        <v>0</v>
      </c>
      <c r="Q59" s="8">
        <f t="shared" si="11"/>
        <v>0</v>
      </c>
      <c r="R59" s="8"/>
      <c r="S59" s="8">
        <f t="shared" si="12"/>
        <v>0</v>
      </c>
      <c r="T59" s="8" t="str">
        <f t="shared" si="13"/>
        <v>oo</v>
      </c>
      <c r="U59" s="8">
        <f t="shared" si="14"/>
        <v>0</v>
      </c>
      <c r="V59" s="59">
        <f t="shared" si="15"/>
        <v>0</v>
      </c>
      <c r="W59" s="62" t="s">
        <v>61</v>
      </c>
      <c r="X59" s="63" t="s">
        <v>310</v>
      </c>
      <c r="Y59" s="64" t="s">
        <v>209</v>
      </c>
      <c r="Z59" s="24">
        <v>1.0</v>
      </c>
      <c r="AA59" s="8"/>
      <c r="AB59" s="8">
        <f t="shared" si="16"/>
        <v>0</v>
      </c>
      <c r="AC59" s="8">
        <f t="shared" si="17"/>
        <v>0.0303030303</v>
      </c>
      <c r="AD59" s="8">
        <f t="shared" si="18"/>
        <v>0</v>
      </c>
      <c r="AE59" s="8"/>
      <c r="AF59" s="8"/>
      <c r="AG59" s="8"/>
      <c r="AH59" s="8"/>
      <c r="AI59" s="8"/>
      <c r="AJ59" s="8"/>
      <c r="AK59" s="8" t="s">
        <v>39</v>
      </c>
      <c r="AL59" s="8" t="s">
        <v>287</v>
      </c>
      <c r="AM59" s="65" t="s">
        <v>311</v>
      </c>
      <c r="AN59" s="8" t="s">
        <v>29</v>
      </c>
      <c r="AO59" s="8"/>
      <c r="AP59" s="8">
        <f>IF( AND(AD39&lt;0.5,AI$33&lt;&gt;0,AH$16&lt;&gt;0),AL$33&amp;" - "&amp;AK$33,0)</f>
        <v>0</v>
      </c>
      <c r="AQ59" s="8">
        <f t="shared" si="22"/>
        <v>0</v>
      </c>
      <c r="AR59" s="8" t="s">
        <v>29</v>
      </c>
    </row>
    <row r="60" ht="17.25" customHeight="1">
      <c r="A60" s="1"/>
      <c r="B60" s="1"/>
      <c r="C60" s="57" t="str">
        <f t="shared" si="4"/>
        <v>Kevin Ruau</v>
      </c>
      <c r="D60" s="2"/>
      <c r="E60" s="56"/>
      <c r="F60" s="36"/>
      <c r="G60" s="32"/>
      <c r="H60" s="2"/>
      <c r="I60" s="1"/>
      <c r="J60" s="4">
        <f t="shared" si="1"/>
        <v>0</v>
      </c>
      <c r="K60" s="5">
        <f t="shared" si="2"/>
        <v>0</v>
      </c>
      <c r="L60" s="6"/>
      <c r="M60" s="7"/>
      <c r="N60" s="24" t="s">
        <v>147</v>
      </c>
      <c r="O60" s="24">
        <v>33.0</v>
      </c>
      <c r="P60" s="8">
        <f t="shared" si="10"/>
        <v>0</v>
      </c>
      <c r="Q60" s="8">
        <f t="shared" si="11"/>
        <v>0</v>
      </c>
      <c r="R60" s="8"/>
      <c r="S60" s="8">
        <f t="shared" si="12"/>
        <v>0</v>
      </c>
      <c r="T60" s="8" t="str">
        <f t="shared" si="13"/>
        <v>oo</v>
      </c>
      <c r="U60" s="8">
        <f t="shared" si="14"/>
        <v>0</v>
      </c>
      <c r="V60" s="59">
        <f t="shared" si="15"/>
        <v>0</v>
      </c>
      <c r="W60" s="62" t="s">
        <v>158</v>
      </c>
      <c r="X60" s="63" t="s">
        <v>314</v>
      </c>
      <c r="Y60" s="64" t="s">
        <v>162</v>
      </c>
      <c r="Z60" s="24">
        <v>5.0</v>
      </c>
      <c r="AA60" s="8"/>
      <c r="AB60" s="8">
        <f t="shared" si="16"/>
        <v>0</v>
      </c>
      <c r="AC60" s="8">
        <f t="shared" si="17"/>
        <v>0.0303030303</v>
      </c>
      <c r="AD60" s="8">
        <f t="shared" si="18"/>
        <v>0</v>
      </c>
      <c r="AE60" s="8"/>
      <c r="AF60" s="8"/>
      <c r="AG60" s="8"/>
      <c r="AH60" s="8"/>
      <c r="AI60" s="8"/>
      <c r="AJ60" s="8"/>
      <c r="AK60" s="8" t="s">
        <v>39</v>
      </c>
      <c r="AL60" s="8" t="s">
        <v>315</v>
      </c>
      <c r="AM60" s="65" t="s">
        <v>316</v>
      </c>
      <c r="AN60" s="8" t="s">
        <v>29</v>
      </c>
      <c r="AO60" s="8"/>
      <c r="AP60" s="8">
        <f>IF( AND(AD37&lt;0.5,AI$34&lt;&gt;0,AH$16&lt;&gt;0),AL$34&amp;" - "&amp;AK$34,0)</f>
        <v>0</v>
      </c>
      <c r="AQ60" s="8">
        <f t="shared" si="22"/>
        <v>0</v>
      </c>
      <c r="AR60" s="8" t="s">
        <v>29</v>
      </c>
    </row>
    <row r="61" ht="21.75" customHeight="1">
      <c r="A61" s="1"/>
      <c r="B61" s="1"/>
      <c r="C61" s="57" t="str">
        <f t="shared" si="4"/>
        <v>Emmanuel Zamora</v>
      </c>
      <c r="D61" s="2"/>
      <c r="E61" s="58" t="s">
        <v>119</v>
      </c>
      <c r="F61" s="40"/>
      <c r="G61" s="40" t="s">
        <v>253</v>
      </c>
      <c r="H61" s="2"/>
      <c r="I61" s="42" t="s">
        <v>77</v>
      </c>
      <c r="J61" s="4">
        <f t="shared" si="1"/>
        <v>26</v>
      </c>
      <c r="K61" s="5">
        <f t="shared" si="2"/>
        <v>3</v>
      </c>
      <c r="L61" s="6"/>
      <c r="M61" s="7"/>
      <c r="N61" s="24" t="s">
        <v>147</v>
      </c>
      <c r="O61" s="24">
        <v>34.0</v>
      </c>
      <c r="P61" s="8">
        <f t="shared" si="10"/>
        <v>0</v>
      </c>
      <c r="Q61" s="8">
        <f t="shared" si="11"/>
        <v>0</v>
      </c>
      <c r="R61" s="8"/>
      <c r="S61" s="8">
        <f t="shared" si="12"/>
        <v>0</v>
      </c>
      <c r="T61" s="8" t="str">
        <f t="shared" si="13"/>
        <v>oo</v>
      </c>
      <c r="U61" s="8">
        <f t="shared" si="14"/>
        <v>0</v>
      </c>
      <c r="V61" s="59">
        <f t="shared" si="15"/>
        <v>0</v>
      </c>
      <c r="W61" s="62" t="s">
        <v>319</v>
      </c>
      <c r="X61" s="63" t="s">
        <v>320</v>
      </c>
      <c r="Y61" s="64" t="s">
        <v>162</v>
      </c>
      <c r="Z61" s="24">
        <v>4.0</v>
      </c>
      <c r="AA61" s="8"/>
      <c r="AB61" s="8">
        <f t="shared" si="16"/>
        <v>0</v>
      </c>
      <c r="AC61" s="8">
        <f t="shared" si="17"/>
        <v>0.0303030303</v>
      </c>
      <c r="AD61" s="8">
        <f t="shared" si="18"/>
        <v>0</v>
      </c>
      <c r="AE61" s="8"/>
      <c r="AF61" s="8"/>
      <c r="AG61" s="8"/>
      <c r="AH61" s="8"/>
      <c r="AI61" s="8"/>
      <c r="AJ61" s="8"/>
      <c r="AK61" s="8" t="s">
        <v>39</v>
      </c>
      <c r="AL61" s="8" t="s">
        <v>291</v>
      </c>
      <c r="AM61" s="65" t="s">
        <v>321</v>
      </c>
      <c r="AN61" s="8" t="s">
        <v>29</v>
      </c>
      <c r="AO61" s="8"/>
      <c r="AP61" s="8">
        <f>IF( AND(AD60&lt;0.5,AI$35&lt;&gt;0,AH$16&lt;&gt;0),AL$35&amp;" - "&amp;AK$35,0)</f>
        <v>0</v>
      </c>
      <c r="AQ61" s="8">
        <f t="shared" si="22"/>
        <v>0</v>
      </c>
      <c r="AR61" s="8" t="s">
        <v>29</v>
      </c>
    </row>
    <row r="62" ht="18.75" customHeight="1">
      <c r="A62" s="1"/>
      <c r="B62" s="1"/>
      <c r="C62" s="57" t="str">
        <f t="shared" si="4"/>
        <v>Emmanuel Zamora</v>
      </c>
      <c r="D62" s="2"/>
      <c r="E62" s="54"/>
      <c r="F62" s="32"/>
      <c r="G62" s="32"/>
      <c r="H62" s="2"/>
      <c r="I62" s="1"/>
      <c r="J62" s="4">
        <f t="shared" si="1"/>
        <v>0</v>
      </c>
      <c r="K62" s="5">
        <f t="shared" si="2"/>
        <v>0</v>
      </c>
      <c r="L62" s="6"/>
      <c r="M62" s="7"/>
      <c r="N62" s="24" t="s">
        <v>147</v>
      </c>
      <c r="O62" s="24">
        <v>35.0</v>
      </c>
      <c r="P62" s="8">
        <f t="shared" si="10"/>
        <v>1</v>
      </c>
      <c r="Q62" s="8">
        <f t="shared" si="11"/>
        <v>0.0303030303</v>
      </c>
      <c r="R62" s="8"/>
      <c r="S62" s="8">
        <f t="shared" si="12"/>
        <v>0</v>
      </c>
      <c r="T62" s="8">
        <f t="shared" si="13"/>
        <v>0</v>
      </c>
      <c r="U62" s="8">
        <f t="shared" si="14"/>
        <v>0</v>
      </c>
      <c r="V62" s="59">
        <f t="shared" si="15"/>
        <v>0</v>
      </c>
      <c r="W62" s="62" t="s">
        <v>69</v>
      </c>
      <c r="X62" s="63" t="s">
        <v>324</v>
      </c>
      <c r="Y62" s="64" t="s">
        <v>162</v>
      </c>
      <c r="Z62" s="24">
        <v>6.0</v>
      </c>
      <c r="AA62" s="8"/>
      <c r="AB62" s="8">
        <f t="shared" si="16"/>
        <v>0</v>
      </c>
      <c r="AC62" s="8">
        <f t="shared" si="17"/>
        <v>0.0303030303</v>
      </c>
      <c r="AD62" s="8">
        <f t="shared" si="18"/>
        <v>0</v>
      </c>
      <c r="AE62" s="8"/>
      <c r="AF62" s="8"/>
      <c r="AG62" s="8"/>
      <c r="AH62" s="8"/>
      <c r="AI62" s="8"/>
      <c r="AJ62" s="8"/>
      <c r="AK62" s="8" t="s">
        <v>39</v>
      </c>
      <c r="AL62" s="8" t="s">
        <v>297</v>
      </c>
      <c r="AM62" s="65" t="s">
        <v>325</v>
      </c>
      <c r="AN62" s="8"/>
      <c r="AO62" s="8"/>
      <c r="AP62" s="8" t="str">
        <f>IF( AND(AD46&lt;0.5,AI$36&lt;&gt;0,AH$19&lt;&gt;0),AL$36&amp;" - "&amp;AK$36,0)</f>
        <v>Estudiante requiere entrenamiento de subhabilidad Requerir - Evaluación</v>
      </c>
      <c r="AQ62" s="8" t="str">
        <f t="shared" si="22"/>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8" t="s">
        <v>29</v>
      </c>
    </row>
    <row r="63" ht="18.0" customHeight="1">
      <c r="A63" s="1"/>
      <c r="B63" s="1"/>
      <c r="C63" s="57" t="str">
        <f t="shared" si="4"/>
        <v>Emmanuel Zamora</v>
      </c>
      <c r="D63" s="2"/>
      <c r="E63" s="56"/>
      <c r="F63" s="36"/>
      <c r="G63" s="32"/>
      <c r="H63" s="2"/>
      <c r="I63" s="1"/>
      <c r="J63" s="4">
        <f t="shared" si="1"/>
        <v>0</v>
      </c>
      <c r="K63" s="5">
        <f t="shared" si="2"/>
        <v>0</v>
      </c>
      <c r="L63" s="6"/>
      <c r="M63" s="7"/>
      <c r="N63" s="24" t="s">
        <v>147</v>
      </c>
      <c r="O63" s="24">
        <v>36.0</v>
      </c>
      <c r="P63" s="8">
        <f t="shared" si="10"/>
        <v>0</v>
      </c>
      <c r="Q63" s="8">
        <f t="shared" si="11"/>
        <v>0</v>
      </c>
      <c r="R63" s="8"/>
      <c r="S63" s="8">
        <f t="shared" si="12"/>
        <v>0</v>
      </c>
      <c r="T63" s="8" t="str">
        <f t="shared" si="13"/>
        <v>oo</v>
      </c>
      <c r="U63" s="8">
        <f t="shared" si="14"/>
        <v>0</v>
      </c>
      <c r="V63" s="59">
        <f t="shared" si="15"/>
        <v>0</v>
      </c>
      <c r="W63" s="62" t="s">
        <v>327</v>
      </c>
      <c r="X63" s="63" t="s">
        <v>328</v>
      </c>
      <c r="Y63" s="64" t="s">
        <v>162</v>
      </c>
      <c r="Z63" s="24">
        <v>1.0</v>
      </c>
      <c r="AA63" s="8"/>
      <c r="AB63" s="8">
        <f t="shared" si="16"/>
        <v>0</v>
      </c>
      <c r="AC63" s="8">
        <f t="shared" si="17"/>
        <v>0.0303030303</v>
      </c>
      <c r="AD63" s="8">
        <f t="shared" si="18"/>
        <v>0</v>
      </c>
      <c r="AE63" s="8"/>
      <c r="AF63" s="8"/>
      <c r="AG63" s="8"/>
      <c r="AH63" s="8"/>
      <c r="AI63" s="8"/>
      <c r="AJ63" s="8"/>
      <c r="AK63" s="8" t="s">
        <v>39</v>
      </c>
      <c r="AL63" s="8" t="s">
        <v>329</v>
      </c>
      <c r="AM63" s="65" t="s">
        <v>330</v>
      </c>
      <c r="AN63" s="8" t="s">
        <v>29</v>
      </c>
      <c r="AO63" s="8"/>
      <c r="AP63" s="8" t="str">
        <f>IF( AND(AD55&lt;0.5,AI$37&lt;&gt;0,AH$19&lt;&gt;0),AL$37&amp;" - "&amp;AK$37,0)</f>
        <v>Estudiante requiere entrenamiento de subhabilidad Mantenimiento - Evaluación</v>
      </c>
      <c r="AQ63" s="8" t="str">
        <f t="shared" si="22"/>
        <v>Indicar que en un futuro debe formular al menos un requerimiento al grupo. El estudiante debe hacer su contribución a continuación de la oración de apertura “¿Están de acuerdo…?”.</v>
      </c>
      <c r="AR63" s="8" t="s">
        <v>29</v>
      </c>
    </row>
    <row r="64" ht="25.5" customHeight="1">
      <c r="A64" s="1"/>
      <c r="B64" s="1"/>
      <c r="C64" s="1" t="str">
        <f t="shared" si="4"/>
        <v>Kevin Ruau</v>
      </c>
      <c r="D64" s="2"/>
      <c r="E64" s="45" t="s">
        <v>60</v>
      </c>
      <c r="F64" s="40"/>
      <c r="G64" s="40" t="s">
        <v>273</v>
      </c>
      <c r="H64" s="2"/>
      <c r="I64" s="42" t="s">
        <v>187</v>
      </c>
      <c r="J64" s="4">
        <f t="shared" si="1"/>
        <v>6</v>
      </c>
      <c r="K64" s="5">
        <f t="shared" si="2"/>
        <v>5</v>
      </c>
      <c r="L64" s="6"/>
      <c r="M64" s="7"/>
      <c r="N64" s="8"/>
      <c r="O64" s="8"/>
      <c r="P64" s="8"/>
      <c r="Q64" s="8"/>
      <c r="R64" s="8"/>
      <c r="S64" s="8"/>
      <c r="T64" s="8"/>
      <c r="U64" s="8"/>
      <c r="V64" s="59"/>
      <c r="W64" s="59"/>
      <c r="X64" s="59"/>
      <c r="Y64" s="59"/>
      <c r="Z64" s="8"/>
      <c r="AA64" s="8"/>
      <c r="AB64" s="8"/>
      <c r="AC64" s="8"/>
      <c r="AD64" s="8"/>
      <c r="AE64" s="8"/>
      <c r="AF64" s="8"/>
      <c r="AG64" s="8"/>
      <c r="AH64" s="8"/>
      <c r="AI64" s="8"/>
      <c r="AJ64" s="8"/>
      <c r="AK64" s="8" t="s">
        <v>51</v>
      </c>
      <c r="AL64" s="8" t="s">
        <v>301</v>
      </c>
      <c r="AM64" s="65" t="s">
        <v>333</v>
      </c>
      <c r="AN64" s="8" t="s">
        <v>29</v>
      </c>
      <c r="AO64" s="8"/>
      <c r="AP64" s="8">
        <f>IF( AND(AD29&lt;0.5,AI$38&lt;&gt;0,AH$15&lt;&gt;0),AL$38&amp;" - "&amp;AK$38,0)</f>
        <v>0</v>
      </c>
      <c r="AQ64" s="8">
        <f t="shared" si="22"/>
        <v>0</v>
      </c>
      <c r="AR64" s="8" t="s">
        <v>29</v>
      </c>
    </row>
    <row r="65" ht="30.75" customHeight="1">
      <c r="A65" s="1"/>
      <c r="B65" s="1"/>
      <c r="C65" s="1" t="str">
        <f t="shared" si="4"/>
        <v>Kevin Ruau</v>
      </c>
      <c r="D65" s="2"/>
      <c r="E65" s="40"/>
      <c r="F65" s="32"/>
      <c r="G65" s="32"/>
      <c r="H65" s="2"/>
      <c r="I65" s="1"/>
      <c r="J65" s="4">
        <f t="shared" si="1"/>
        <v>0</v>
      </c>
      <c r="K65" s="5">
        <f t="shared" si="2"/>
        <v>0</v>
      </c>
      <c r="L65" s="6"/>
      <c r="M65" s="7"/>
      <c r="N65" s="8"/>
      <c r="O65" s="8"/>
      <c r="P65" s="8"/>
      <c r="Q65" s="8"/>
      <c r="R65" s="8"/>
      <c r="S65" s="8"/>
      <c r="T65" s="8"/>
      <c r="U65" s="8"/>
      <c r="V65" s="59"/>
      <c r="W65" s="59"/>
      <c r="X65" s="59"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9"/>
      <c r="Z65" s="8"/>
      <c r="AA65" s="8"/>
      <c r="AB65" s="8"/>
      <c r="AC65" s="8"/>
      <c r="AD65" s="8"/>
      <c r="AE65" s="8"/>
      <c r="AF65" s="8"/>
      <c r="AG65" s="8"/>
      <c r="AH65" s="8"/>
      <c r="AI65" s="8"/>
      <c r="AJ65" s="8"/>
      <c r="AK65" s="8" t="s">
        <v>51</v>
      </c>
      <c r="AL65" s="8" t="s">
        <v>287</v>
      </c>
      <c r="AM65" s="65" t="s">
        <v>335</v>
      </c>
      <c r="AN65" s="8" t="s">
        <v>29</v>
      </c>
      <c r="AO65" s="8"/>
      <c r="AP65" s="8">
        <f>IF( AND(AD39&lt;0.5,AI$39&lt;&gt;0,AH$15&lt;&gt;0),AL$39&amp;" - "&amp;AK$39,0)</f>
        <v>0</v>
      </c>
      <c r="AQ65" s="8">
        <f t="shared" si="22"/>
        <v>0</v>
      </c>
      <c r="AR65" s="8" t="s">
        <v>29</v>
      </c>
    </row>
    <row r="66" ht="24.75" customHeight="1">
      <c r="A66" s="1"/>
      <c r="B66" s="1"/>
      <c r="C66" s="1" t="str">
        <f t="shared" si="4"/>
        <v>Kevin Ruau</v>
      </c>
      <c r="D66" s="2"/>
      <c r="E66" s="36"/>
      <c r="F66" s="36"/>
      <c r="G66" s="32"/>
      <c r="H66" s="2"/>
      <c r="I66" s="1"/>
      <c r="J66" s="4">
        <f t="shared" si="1"/>
        <v>0</v>
      </c>
      <c r="K66" s="5">
        <f t="shared" si="2"/>
        <v>0</v>
      </c>
      <c r="L66" s="6"/>
      <c r="M66" s="7"/>
      <c r="N66" s="59"/>
      <c r="O66" s="59"/>
      <c r="P66" s="59"/>
      <c r="Q66" s="59"/>
      <c r="R66" s="59"/>
      <c r="S66" s="59"/>
      <c r="T66" s="59"/>
      <c r="U66" s="59"/>
      <c r="V66" s="59"/>
      <c r="W66" s="59"/>
      <c r="X66" s="59"/>
      <c r="Y66" s="59"/>
      <c r="Z66" s="8"/>
      <c r="AA66" s="8"/>
      <c r="AB66" s="8"/>
      <c r="AC66" s="8"/>
      <c r="AD66" s="8"/>
      <c r="AE66" s="8"/>
      <c r="AF66" s="8"/>
      <c r="AG66" s="8"/>
      <c r="AH66" s="8"/>
      <c r="AI66" s="8"/>
      <c r="AJ66" s="8"/>
      <c r="AK66" s="8" t="s">
        <v>51</v>
      </c>
      <c r="AL66" s="8" t="s">
        <v>329</v>
      </c>
      <c r="AM66" s="65" t="s">
        <v>337</v>
      </c>
      <c r="AN66" s="8" t="s">
        <v>29</v>
      </c>
      <c r="AO66" s="8"/>
      <c r="AP66" s="8">
        <f>IF( AND(AD55&lt;0.5,AI$40&lt;&gt;0,AH$15&lt;&gt;0),AL$40&amp;" - "&amp;AK$40,0)</f>
        <v>0</v>
      </c>
      <c r="AQ66" s="8">
        <f t="shared" si="22"/>
        <v>0</v>
      </c>
      <c r="AR66" s="8" t="s">
        <v>29</v>
      </c>
    </row>
    <row r="67" ht="27.0" customHeight="1">
      <c r="A67" s="1"/>
      <c r="B67" s="1"/>
      <c r="C67" s="1" t="str">
        <f t="shared" si="4"/>
        <v>Emmanuel Zamora</v>
      </c>
      <c r="D67" s="2"/>
      <c r="E67" s="73" t="s">
        <v>119</v>
      </c>
      <c r="F67" s="36"/>
      <c r="G67" s="45" t="s">
        <v>292</v>
      </c>
      <c r="H67" s="2"/>
      <c r="I67" s="1"/>
      <c r="J67" s="4">
        <f t="shared" si="1"/>
        <v>0</v>
      </c>
      <c r="K67" s="5">
        <f t="shared" si="2"/>
        <v>0</v>
      </c>
      <c r="L67" s="6"/>
      <c r="M67" s="7"/>
      <c r="N67" s="59"/>
      <c r="O67" s="59"/>
      <c r="P67" s="59"/>
      <c r="Q67" s="59"/>
      <c r="R67" s="59"/>
      <c r="S67" s="59"/>
      <c r="T67" s="59"/>
      <c r="U67" s="59"/>
      <c r="V67" s="59"/>
      <c r="W67" s="59"/>
      <c r="X67" s="59"/>
      <c r="Y67" s="59"/>
      <c r="Z67" s="8"/>
      <c r="AA67" s="8"/>
      <c r="AB67" s="8"/>
      <c r="AC67" s="8"/>
      <c r="AD67" s="8"/>
      <c r="AE67" s="8"/>
      <c r="AF67" s="8"/>
      <c r="AG67" s="8"/>
      <c r="AH67" s="8"/>
      <c r="AI67" s="8"/>
      <c r="AJ67" s="8"/>
      <c r="AK67" s="8" t="s">
        <v>51</v>
      </c>
      <c r="AL67" s="8" t="s">
        <v>291</v>
      </c>
      <c r="AM67" s="65" t="s">
        <v>339</v>
      </c>
      <c r="AN67" s="8" t="s">
        <v>29</v>
      </c>
      <c r="AO67" s="8"/>
      <c r="AP67" s="8">
        <f>IF( AND(AD60&lt;0.5,AI$41&lt;&gt;0,AH$15&lt;&gt;0),AL$41&amp;" - "&amp;AK$41,0)</f>
        <v>0</v>
      </c>
      <c r="AQ67" s="8">
        <f t="shared" si="22"/>
        <v>0</v>
      </c>
      <c r="AR67" s="8" t="s">
        <v>29</v>
      </c>
    </row>
    <row r="68" ht="24.0" customHeight="1">
      <c r="A68" s="1"/>
      <c r="B68" s="1"/>
      <c r="C68" s="1" t="str">
        <f t="shared" si="4"/>
        <v>Emmanuel Zamora</v>
      </c>
      <c r="D68" s="2"/>
      <c r="E68" s="40"/>
      <c r="F68" s="32"/>
      <c r="G68" s="32"/>
      <c r="H68" s="2"/>
      <c r="I68" s="1"/>
      <c r="J68" s="4">
        <f t="shared" si="1"/>
        <v>0</v>
      </c>
      <c r="K68" s="5">
        <f t="shared" si="2"/>
        <v>0</v>
      </c>
      <c r="L68" s="6"/>
      <c r="M68" s="7"/>
      <c r="N68" s="59"/>
      <c r="O68" s="59"/>
      <c r="P68" s="59"/>
      <c r="Q68" s="59"/>
      <c r="R68" s="59"/>
      <c r="S68" s="59"/>
      <c r="T68" s="59"/>
      <c r="U68" s="59"/>
      <c r="V68" s="59"/>
      <c r="W68" s="59"/>
      <c r="X68" s="59"/>
      <c r="Y68" s="59"/>
      <c r="Z68" s="8"/>
      <c r="AA68" s="8"/>
      <c r="AB68" s="8"/>
      <c r="AC68" s="8"/>
      <c r="AD68" s="8"/>
      <c r="AE68" s="8"/>
      <c r="AF68" s="8"/>
      <c r="AG68" s="8"/>
      <c r="AH68" s="8"/>
      <c r="AI68" s="8"/>
      <c r="AJ68" s="8"/>
      <c r="AK68" s="8" t="s">
        <v>51</v>
      </c>
      <c r="AL68" s="8" t="s">
        <v>297</v>
      </c>
      <c r="AM68" s="65" t="s">
        <v>342</v>
      </c>
      <c r="AN68" s="8" t="s">
        <v>29</v>
      </c>
      <c r="AO68" s="8"/>
      <c r="AP68" s="8">
        <f>IF( AND(AD46&lt;0.5,AI$42&lt;&gt;0,AH$20&lt;&gt;0),AL$42&amp;" - "&amp;AK$42,0)</f>
        <v>0</v>
      </c>
      <c r="AQ68" s="8">
        <f t="shared" si="22"/>
        <v>0</v>
      </c>
      <c r="AR68" s="8" t="s">
        <v>29</v>
      </c>
    </row>
    <row r="69" ht="15.0" customHeight="1">
      <c r="A69" s="1"/>
      <c r="B69" s="1"/>
      <c r="C69" s="1" t="str">
        <f t="shared" si="4"/>
        <v>Emmanuel Zamora</v>
      </c>
      <c r="D69" s="2"/>
      <c r="E69" s="36"/>
      <c r="F69" s="36"/>
      <c r="G69" s="32"/>
      <c r="H69" s="2"/>
      <c r="I69" s="1"/>
      <c r="J69" s="4">
        <f t="shared" si="1"/>
        <v>0</v>
      </c>
      <c r="K69" s="5">
        <f t="shared" si="2"/>
        <v>0</v>
      </c>
      <c r="L69" s="6"/>
      <c r="M69" s="7"/>
      <c r="N69" s="59"/>
      <c r="O69" s="59"/>
      <c r="P69" s="59"/>
      <c r="Q69" s="59"/>
      <c r="R69" s="59"/>
      <c r="S69" s="59"/>
      <c r="T69" s="59"/>
      <c r="U69" s="59"/>
      <c r="V69" s="59"/>
      <c r="W69" s="59"/>
      <c r="X69" s="59"/>
      <c r="Y69" s="59"/>
      <c r="Z69" s="8"/>
      <c r="AA69" s="8"/>
      <c r="AB69" s="8"/>
      <c r="AC69" s="8"/>
      <c r="AD69" s="8"/>
      <c r="AE69" s="8"/>
      <c r="AF69" s="8"/>
      <c r="AG69" s="8"/>
      <c r="AH69" s="8"/>
      <c r="AI69" s="8"/>
      <c r="AJ69" s="8"/>
      <c r="AK69" s="8" t="s">
        <v>240</v>
      </c>
      <c r="AL69" s="8" t="s">
        <v>240</v>
      </c>
      <c r="AM69" s="8" t="s">
        <v>240</v>
      </c>
      <c r="AN69" s="8" t="s">
        <v>29</v>
      </c>
      <c r="AO69" s="8"/>
      <c r="AP69" s="8"/>
      <c r="AQ69" s="8">
        <f t="shared" si="22"/>
        <v>0</v>
      </c>
      <c r="AR69" s="8" t="s">
        <v>29</v>
      </c>
    </row>
    <row r="70" ht="15.0" customHeight="1">
      <c r="A70" s="1"/>
      <c r="B70" s="1"/>
      <c r="C70" s="1" t="str">
        <f t="shared" si="4"/>
        <v>MateoCannata</v>
      </c>
      <c r="D70" s="2"/>
      <c r="E70" s="41" t="s">
        <v>75</v>
      </c>
      <c r="F70" s="40"/>
      <c r="G70" s="40" t="s">
        <v>370</v>
      </c>
      <c r="H70" s="2"/>
      <c r="I70" s="42" t="s">
        <v>69</v>
      </c>
      <c r="J70" s="4">
        <f t="shared" si="1"/>
        <v>35</v>
      </c>
      <c r="K70" s="5">
        <f t="shared" si="2"/>
        <v>6</v>
      </c>
      <c r="L70" s="6"/>
      <c r="M70" s="7"/>
      <c r="N70" s="59"/>
      <c r="O70" s="59"/>
      <c r="P70" s="59"/>
      <c r="Q70" s="59"/>
      <c r="R70" s="59"/>
      <c r="S70" s="59"/>
      <c r="T70" s="59"/>
      <c r="U70" s="59"/>
      <c r="V70" s="59"/>
      <c r="W70" s="59"/>
      <c r="X70" s="59"/>
      <c r="Y70" s="59"/>
      <c r="Z70" s="8"/>
      <c r="AA70" s="8"/>
      <c r="AB70" s="8"/>
      <c r="AC70" s="8"/>
      <c r="AD70" s="8"/>
      <c r="AE70" s="8"/>
      <c r="AF70" s="8"/>
      <c r="AG70" s="8"/>
      <c r="AH70" s="8"/>
      <c r="AI70" s="8"/>
      <c r="AJ70" s="8"/>
      <c r="AK70" s="8" t="s">
        <v>240</v>
      </c>
      <c r="AL70" s="8" t="s">
        <v>240</v>
      </c>
      <c r="AM70" s="8" t="s">
        <v>240</v>
      </c>
      <c r="AN70" s="8" t="s">
        <v>29</v>
      </c>
      <c r="AO70" s="8"/>
      <c r="AP70" s="8"/>
      <c r="AQ70" s="8">
        <f t="shared" si="22"/>
        <v>0</v>
      </c>
      <c r="AR70" s="8" t="s">
        <v>29</v>
      </c>
    </row>
    <row r="71" ht="24.0" customHeight="1">
      <c r="A71" s="1"/>
      <c r="B71" s="1"/>
      <c r="C71" s="1" t="str">
        <f t="shared" si="4"/>
        <v>MateoCannata</v>
      </c>
      <c r="D71" s="2"/>
      <c r="E71" s="40"/>
      <c r="F71" s="32"/>
      <c r="G71" s="32"/>
      <c r="H71" s="2"/>
      <c r="I71" s="1"/>
      <c r="J71" s="4">
        <f t="shared" si="1"/>
        <v>0</v>
      </c>
      <c r="K71" s="5">
        <f t="shared" si="2"/>
        <v>0</v>
      </c>
      <c r="L71" s="6"/>
      <c r="M71" s="7"/>
      <c r="N71" s="59"/>
      <c r="O71" s="59"/>
      <c r="P71" s="59"/>
      <c r="Q71" s="59"/>
      <c r="R71" s="59"/>
      <c r="S71" s="59"/>
      <c r="T71" s="59"/>
      <c r="U71" s="59"/>
      <c r="V71" s="59"/>
      <c r="W71" s="59"/>
      <c r="X71" s="59"/>
      <c r="Y71" s="59"/>
      <c r="Z71" s="8"/>
      <c r="AA71" s="8"/>
      <c r="AB71" s="8"/>
      <c r="AC71" s="8"/>
      <c r="AD71" s="8"/>
      <c r="AE71" s="8"/>
      <c r="AF71" s="8"/>
      <c r="AG71" s="8"/>
      <c r="AH71" s="8"/>
      <c r="AI71" s="8"/>
      <c r="AJ71" s="8"/>
      <c r="AK71" s="8" t="s">
        <v>65</v>
      </c>
      <c r="AL71" s="8" t="s">
        <v>346</v>
      </c>
      <c r="AM71" s="65" t="s">
        <v>347</v>
      </c>
      <c r="AN71" s="8"/>
      <c r="AO71" s="8"/>
      <c r="AP71" s="8" t="str">
        <f>IF( AND(AD52&lt;0.5,AI$45&lt;&gt;0,OR(AH$21&lt;&gt;0,AH$14&lt;&gt;0)),AL$45&amp;" - "&amp;AK$45,0)</f>
        <v>Estudiante requiere entrenamiento de subhabilidad Reconocimiento - Decisión</v>
      </c>
      <c r="AQ71" s="8" t="str">
        <f t="shared" si="22"/>
        <v>Indicar que en un futuro debe formular al menos una muestra de aprobación al grupo. El estudiante debe hacer su contribución a continuación de la oración de apertura “Sí, estoy de acuerdo…”.</v>
      </c>
      <c r="AR71" s="8" t="s">
        <v>29</v>
      </c>
    </row>
    <row r="72" ht="24.75" customHeight="1">
      <c r="A72" s="1"/>
      <c r="B72" s="1"/>
      <c r="C72" s="1" t="str">
        <f t="shared" si="4"/>
        <v>MateoCannata</v>
      </c>
      <c r="D72" s="2"/>
      <c r="E72" s="36"/>
      <c r="F72" s="36"/>
      <c r="G72" s="32"/>
      <c r="H72" s="2"/>
      <c r="I72" s="1"/>
      <c r="J72" s="4">
        <f t="shared" si="1"/>
        <v>0</v>
      </c>
      <c r="K72" s="5">
        <f t="shared" si="2"/>
        <v>0</v>
      </c>
      <c r="L72" s="6"/>
      <c r="M72" s="7"/>
      <c r="N72" s="59"/>
      <c r="O72" s="59"/>
      <c r="P72" s="59"/>
      <c r="Q72" s="59"/>
      <c r="R72" s="59"/>
      <c r="S72" s="59"/>
      <c r="T72" s="59"/>
      <c r="U72" s="59"/>
      <c r="V72" s="59"/>
      <c r="W72" s="59"/>
      <c r="X72" s="59"/>
      <c r="Y72" s="59"/>
      <c r="Z72" s="8"/>
      <c r="AA72" s="8"/>
      <c r="AB72" s="8"/>
      <c r="AC72" s="8"/>
      <c r="AD72" s="8"/>
      <c r="AE72" s="8"/>
      <c r="AF72" s="8"/>
      <c r="AG72" s="8"/>
      <c r="AH72" s="8"/>
      <c r="AI72" s="8"/>
      <c r="AJ72" s="8"/>
      <c r="AK72" s="8" t="s">
        <v>79</v>
      </c>
      <c r="AL72" s="8" t="s">
        <v>346</v>
      </c>
      <c r="AM72" s="65" t="s">
        <v>349</v>
      </c>
      <c r="AN72" s="8" t="s">
        <v>29</v>
      </c>
      <c r="AO72" s="8"/>
      <c r="AP72" s="8">
        <f>IF( AND(AD52&lt;0.5,AI$46&lt;&gt;0,AH$13&lt;&gt;0),AL$46&amp;" - "&amp;AK$46,0)</f>
        <v>0</v>
      </c>
      <c r="AQ72" s="8">
        <f t="shared" si="22"/>
        <v>0</v>
      </c>
      <c r="AR72" s="8" t="s">
        <v>29</v>
      </c>
    </row>
    <row r="73" ht="15.0" customHeight="1">
      <c r="A73" s="1"/>
      <c r="B73" s="1"/>
      <c r="C73" s="1" t="str">
        <f t="shared" si="4"/>
        <v>Emmanuel Zamora</v>
      </c>
      <c r="D73" s="2"/>
      <c r="E73" s="41" t="s">
        <v>119</v>
      </c>
      <c r="F73" s="40"/>
      <c r="G73" s="40" t="s">
        <v>376</v>
      </c>
      <c r="H73" s="2"/>
      <c r="I73" s="42" t="s">
        <v>226</v>
      </c>
      <c r="J73" s="4">
        <f t="shared" si="1"/>
        <v>14</v>
      </c>
      <c r="K73" s="5">
        <f t="shared" si="2"/>
        <v>5</v>
      </c>
      <c r="L73" s="6"/>
      <c r="M73" s="7"/>
      <c r="N73" s="59"/>
      <c r="O73" s="59"/>
      <c r="P73" s="59"/>
      <c r="Q73" s="59"/>
      <c r="R73" s="59"/>
      <c r="S73" s="59"/>
      <c r="T73" s="59"/>
      <c r="U73" s="59"/>
      <c r="V73" s="59"/>
      <c r="W73" s="59"/>
      <c r="X73" s="59"/>
      <c r="Y73" s="59"/>
      <c r="Z73" s="8"/>
      <c r="AA73" s="8"/>
      <c r="AB73" s="8"/>
      <c r="AC73" s="8"/>
      <c r="AD73" s="8"/>
      <c r="AE73" s="8"/>
      <c r="AF73" s="8"/>
      <c r="AG73" s="8"/>
      <c r="AH73" s="8"/>
      <c r="AI73" s="8"/>
      <c r="AJ73" s="8"/>
      <c r="AK73" s="8" t="s">
        <v>79</v>
      </c>
      <c r="AL73" s="8" t="s">
        <v>301</v>
      </c>
      <c r="AM73" s="8" t="s">
        <v>352</v>
      </c>
      <c r="AN73" s="8" t="s">
        <v>29</v>
      </c>
      <c r="AO73" s="8"/>
      <c r="AP73" s="8">
        <f>IF( AND(AD29&lt;0.5,AI$47&lt;&gt;0,AH$22&lt;&gt;0),AL$47&amp;" - "&amp;AK$47,0)</f>
        <v>0</v>
      </c>
      <c r="AQ73" s="8">
        <f t="shared" si="22"/>
        <v>0</v>
      </c>
      <c r="AR73" s="8" t="s">
        <v>29</v>
      </c>
    </row>
    <row r="74" ht="15.0" customHeight="1">
      <c r="A74" s="1"/>
      <c r="B74" s="1"/>
      <c r="C74" s="1" t="str">
        <f t="shared" si="4"/>
        <v>Emmanuel Zamora</v>
      </c>
      <c r="D74" s="2"/>
      <c r="E74" s="40"/>
      <c r="F74" s="32"/>
      <c r="G74" s="32"/>
      <c r="H74" s="2"/>
      <c r="I74" s="1"/>
      <c r="J74" s="4">
        <f t="shared" si="1"/>
        <v>0</v>
      </c>
      <c r="K74" s="5">
        <f t="shared" si="2"/>
        <v>0</v>
      </c>
      <c r="L74" s="6"/>
      <c r="M74" s="7"/>
      <c r="N74" s="59"/>
      <c r="O74" s="59"/>
      <c r="P74" s="59"/>
      <c r="Q74" s="59"/>
      <c r="R74" s="59"/>
      <c r="S74" s="59"/>
      <c r="T74" s="59"/>
      <c r="U74" s="59"/>
      <c r="V74" s="59"/>
      <c r="W74" s="59"/>
      <c r="X74" s="59"/>
      <c r="Y74" s="59"/>
      <c r="Z74" s="8"/>
      <c r="AA74" s="8"/>
      <c r="AB74" s="8"/>
      <c r="AC74" s="8"/>
      <c r="AD74" s="8"/>
      <c r="AE74" s="8"/>
      <c r="AF74" s="8"/>
      <c r="AG74" s="8"/>
      <c r="AH74" s="8"/>
      <c r="AI74" s="8"/>
      <c r="AJ74" s="8"/>
      <c r="AK74" s="8" t="s">
        <v>79</v>
      </c>
      <c r="AL74" s="8" t="s">
        <v>329</v>
      </c>
      <c r="AM74" s="8" t="s">
        <v>352</v>
      </c>
      <c r="AN74" s="8" t="s">
        <v>29</v>
      </c>
      <c r="AO74" s="8"/>
      <c r="AP74" s="8">
        <f>IF( AND(AD55&lt;0.5,AI$48&lt;&gt;0,AH$22&lt;&gt;0),AL$48&amp;" - "&amp;AK$48,0)</f>
        <v>0</v>
      </c>
      <c r="AQ74" s="8">
        <f t="shared" si="22"/>
        <v>0</v>
      </c>
      <c r="AR74" s="8" t="s">
        <v>29</v>
      </c>
    </row>
    <row r="75" ht="15.0" customHeight="1">
      <c r="A75" s="1"/>
      <c r="B75" s="1"/>
      <c r="C75" s="1" t="str">
        <f t="shared" si="4"/>
        <v>Emmanuel Zamora</v>
      </c>
      <c r="D75" s="2"/>
      <c r="E75" s="31"/>
      <c r="F75" s="31"/>
      <c r="G75" s="32"/>
      <c r="H75" s="2"/>
      <c r="I75" s="1"/>
      <c r="J75" s="4">
        <f t="shared" si="1"/>
        <v>0</v>
      </c>
      <c r="K75" s="5">
        <f t="shared" si="2"/>
        <v>0</v>
      </c>
      <c r="L75" s="6"/>
      <c r="M75" s="7"/>
      <c r="N75" s="59"/>
      <c r="O75" s="59"/>
      <c r="P75" s="59"/>
      <c r="Q75" s="59"/>
      <c r="R75" s="59"/>
      <c r="S75" s="59"/>
      <c r="T75" s="59"/>
      <c r="U75" s="59"/>
      <c r="V75" s="59"/>
      <c r="W75" s="59"/>
      <c r="X75" s="59"/>
      <c r="Y75" s="59"/>
      <c r="Z75" s="8"/>
      <c r="AA75" s="8"/>
      <c r="AB75" s="8"/>
      <c r="AC75" s="8"/>
      <c r="AD75" s="8"/>
      <c r="AE75" s="8"/>
      <c r="AF75" s="8"/>
      <c r="AG75" s="8"/>
      <c r="AH75" s="8"/>
      <c r="AI75" s="8"/>
      <c r="AJ75" s="8"/>
      <c r="AK75" s="8" t="s">
        <v>88</v>
      </c>
      <c r="AL75" s="8" t="s">
        <v>356</v>
      </c>
      <c r="AM75" s="8" t="s">
        <v>357</v>
      </c>
      <c r="AN75" s="8" t="s">
        <v>29</v>
      </c>
      <c r="AO75" s="8"/>
      <c r="AP75" s="8" t="str">
        <f>IF( AND(AD37&lt;0.5,AI$49&lt;&gt;0,AH$12&lt;&gt;0),AL$49&amp;" - "&amp;AK$49,0)</f>
        <v>Estudiante requiere entrenamiento de subhabilidad Motivar  - Reintegración</v>
      </c>
      <c r="AQ75" s="8" t="str">
        <f t="shared" si="22"/>
        <v>Indicar que en un futuro debe formular al menos una muestra de solidaridad al grupo. El estudiante debe hacer su contribución a continuación de la oración de apertura “¡vamos por buen camino!...”.</v>
      </c>
      <c r="AR75" s="8" t="s">
        <v>29</v>
      </c>
    </row>
    <row r="76" ht="24.75" customHeight="1">
      <c r="A76" s="1"/>
      <c r="B76" s="1"/>
      <c r="C76" s="1" t="str">
        <f t="shared" si="4"/>
        <v>Emmanuel Zamora</v>
      </c>
      <c r="D76" s="2"/>
      <c r="E76" s="45" t="s">
        <v>119</v>
      </c>
      <c r="F76" s="39">
        <v>0.6923611111111111</v>
      </c>
      <c r="G76" s="45" t="s">
        <v>313</v>
      </c>
      <c r="H76" s="2"/>
      <c r="I76" s="42" t="s">
        <v>44</v>
      </c>
      <c r="J76" s="4">
        <f t="shared" si="1"/>
        <v>30</v>
      </c>
      <c r="K76" s="5">
        <f t="shared" si="2"/>
        <v>8</v>
      </c>
      <c r="L76" s="6"/>
      <c r="M76" s="7"/>
      <c r="N76" s="59"/>
      <c r="O76" s="59"/>
      <c r="P76" s="59"/>
      <c r="Q76" s="59"/>
      <c r="R76" s="59"/>
      <c r="S76" s="59"/>
      <c r="T76" s="59"/>
      <c r="U76" s="59"/>
      <c r="V76" s="59"/>
      <c r="W76" s="59"/>
      <c r="X76" s="59"/>
      <c r="Y76" s="59"/>
      <c r="Z76" s="8"/>
      <c r="AA76" s="8"/>
      <c r="AB76" s="8"/>
      <c r="AC76" s="8"/>
      <c r="AD76" s="8"/>
      <c r="AE76" s="8"/>
      <c r="AF76" s="8"/>
      <c r="AG76" s="8"/>
      <c r="AH76" s="8"/>
      <c r="AI76" s="8"/>
      <c r="AJ76" s="8"/>
      <c r="AK76" s="8" t="s">
        <v>88</v>
      </c>
      <c r="AL76" s="8" t="s">
        <v>329</v>
      </c>
      <c r="AM76" s="65" t="s">
        <v>360</v>
      </c>
      <c r="AN76" s="8" t="s">
        <v>29</v>
      </c>
      <c r="AO76" s="8"/>
      <c r="AP76" s="8" t="str">
        <f>IF( AND(AD55&lt;0.5,AI$50&lt;&gt;0,AH$12&lt;&gt;0),AL$50&amp;" - "&amp;AK$50,0)</f>
        <v>Estudiante requiere entrenamiento de subhabilidad Mantenimiento - Reintegración</v>
      </c>
      <c r="AQ76" s="8" t="str">
        <f t="shared" si="22"/>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8" t="s">
        <v>29</v>
      </c>
    </row>
    <row r="77" ht="15.0" customHeight="1">
      <c r="A77" s="1"/>
      <c r="B77" s="1"/>
      <c r="C77" s="1" t="str">
        <f t="shared" si="4"/>
        <v>Emmanuel Zamora</v>
      </c>
      <c r="D77" s="2"/>
      <c r="E77" s="40"/>
      <c r="F77" s="40"/>
      <c r="G77" s="40"/>
      <c r="H77" s="2"/>
      <c r="I77" s="1"/>
      <c r="J77" s="4">
        <f t="shared" si="1"/>
        <v>0</v>
      </c>
      <c r="K77" s="5">
        <f t="shared" si="2"/>
        <v>0</v>
      </c>
      <c r="L77" s="6"/>
      <c r="M77" s="7"/>
      <c r="N77" s="59"/>
      <c r="O77" s="59"/>
      <c r="P77" s="59"/>
      <c r="Q77" s="59"/>
      <c r="R77" s="59"/>
      <c r="S77" s="59"/>
      <c r="T77" s="59"/>
      <c r="U77" s="59"/>
      <c r="V77" s="59"/>
      <c r="W77" s="59"/>
      <c r="X77" s="59"/>
      <c r="Y77" s="59"/>
      <c r="Z77" s="8"/>
      <c r="AA77" s="8"/>
      <c r="AB77" s="8"/>
      <c r="AC77" s="8"/>
      <c r="AD77" s="8"/>
      <c r="AE77" s="8"/>
      <c r="AF77" s="8"/>
      <c r="AG77" s="8"/>
      <c r="AH77" s="8"/>
      <c r="AI77" s="8"/>
      <c r="AJ77" s="8"/>
      <c r="AK77" s="8" t="s">
        <v>88</v>
      </c>
      <c r="AL77" s="8" t="s">
        <v>291</v>
      </c>
      <c r="AM77" s="8" t="s">
        <v>362</v>
      </c>
      <c r="AN77" s="8" t="s">
        <v>29</v>
      </c>
      <c r="AO77" s="8"/>
      <c r="AP77" s="8" t="str">
        <f>IF( AND(AD60&lt;0.5,AI$51&lt;&gt;0,AH$12&lt;&gt;0),AL$51&amp;" - "&amp;AK$51,0)</f>
        <v>Estudiante requiere entrenamiento de subhabilidad Tarea - Reintegración</v>
      </c>
      <c r="AQ77" s="8" t="str">
        <f t="shared" si="22"/>
        <v>Indicar que en un futuro debe formular al menos una muestra de solidaridad al grupo. El estudiante debe hacer su contribución a continuación de la oración de apertura “¡Hasta la próxima!...”.</v>
      </c>
      <c r="AR77" s="8" t="s">
        <v>29</v>
      </c>
    </row>
    <row r="78" ht="15.0" customHeight="1">
      <c r="A78" s="1"/>
      <c r="B78" s="1"/>
      <c r="C78" s="1" t="str">
        <f t="shared" si="4"/>
        <v>Emmanuel Zamora</v>
      </c>
      <c r="D78" s="2"/>
      <c r="E78" s="36"/>
      <c r="F78" s="36"/>
      <c r="G78" s="32"/>
      <c r="H78" s="2"/>
      <c r="I78" s="1"/>
      <c r="J78" s="4">
        <f t="shared" si="1"/>
        <v>0</v>
      </c>
      <c r="K78" s="5">
        <f t="shared" si="2"/>
        <v>0</v>
      </c>
      <c r="L78" s="6"/>
      <c r="M78" s="7"/>
      <c r="N78" s="59"/>
      <c r="O78" s="59"/>
      <c r="P78" s="59"/>
      <c r="Q78" s="59"/>
      <c r="R78" s="59"/>
      <c r="S78" s="59"/>
      <c r="T78" s="59"/>
      <c r="U78" s="59"/>
      <c r="V78" s="59"/>
      <c r="W78" s="59"/>
      <c r="X78" s="59"/>
      <c r="Y78" s="59"/>
      <c r="Z78" s="8"/>
      <c r="AA78" s="8"/>
      <c r="AB78" s="8"/>
      <c r="AC78" s="8"/>
      <c r="AD78" s="8"/>
      <c r="AE78" s="8"/>
      <c r="AF78" s="8"/>
      <c r="AG78" s="8"/>
      <c r="AH78" s="8"/>
      <c r="AI78" s="8"/>
      <c r="AJ78" s="8"/>
      <c r="AK78" s="8" t="s">
        <v>88</v>
      </c>
      <c r="AL78" s="8" t="s">
        <v>301</v>
      </c>
      <c r="AM78" s="8" t="s">
        <v>365</v>
      </c>
      <c r="AN78" s="8" t="s">
        <v>29</v>
      </c>
      <c r="AO78" s="8"/>
      <c r="AP78" s="8">
        <f>IF( AND(AD29&lt;0.5,AI$52&lt;&gt;0,AH$23&lt;&gt;0),AL$52&amp;" - "&amp;AK$52,0)</f>
        <v>0</v>
      </c>
      <c r="AQ78" s="8">
        <f t="shared" si="22"/>
        <v>0</v>
      </c>
      <c r="AR78" s="8" t="s">
        <v>29</v>
      </c>
    </row>
    <row r="79" ht="15.0" customHeight="1">
      <c r="A79" s="1"/>
      <c r="B79" s="1"/>
      <c r="C79" s="1" t="str">
        <f t="shared" si="4"/>
        <v>Emmanuel Zamora</v>
      </c>
      <c r="D79" s="2"/>
      <c r="E79" s="40"/>
      <c r="F79" s="32"/>
      <c r="G79" s="32"/>
      <c r="H79" s="2"/>
      <c r="I79" s="1"/>
      <c r="J79" s="4">
        <f t="shared" si="1"/>
        <v>0</v>
      </c>
      <c r="K79" s="5">
        <f t="shared" si="2"/>
        <v>0</v>
      </c>
      <c r="L79" s="6"/>
      <c r="M79" s="7"/>
      <c r="N79" s="59"/>
      <c r="O79" s="59"/>
      <c r="P79" s="59"/>
      <c r="Q79" s="59"/>
      <c r="R79" s="59"/>
      <c r="S79" s="59"/>
      <c r="T79" s="59"/>
      <c r="U79" s="59"/>
      <c r="V79" s="59"/>
      <c r="W79" s="59"/>
      <c r="X79" s="59"/>
      <c r="Y79" s="59"/>
      <c r="Z79" s="8"/>
      <c r="AA79" s="8"/>
      <c r="AB79" s="8"/>
      <c r="AC79" s="8"/>
      <c r="AD79" s="8"/>
      <c r="AE79" s="8"/>
      <c r="AF79" s="8"/>
      <c r="AG79" s="8"/>
      <c r="AH79" s="8"/>
      <c r="AI79" s="8"/>
      <c r="AJ79" s="8"/>
      <c r="AK79" s="8"/>
      <c r="AL79" s="8"/>
      <c r="AM79" s="8"/>
      <c r="AN79" s="8"/>
      <c r="AO79" s="8"/>
      <c r="AP79" s="8"/>
      <c r="AQ79" s="8"/>
      <c r="AR79" s="8" t="s">
        <v>29</v>
      </c>
    </row>
    <row r="80" ht="15.0" customHeight="1">
      <c r="A80" s="1"/>
      <c r="B80" s="1"/>
      <c r="C80" s="1" t="str">
        <f t="shared" si="4"/>
        <v>Emmanuel Zamora</v>
      </c>
      <c r="D80" s="2"/>
      <c r="E80" s="36"/>
      <c r="F80" s="36"/>
      <c r="G80" s="32"/>
      <c r="H80" s="2"/>
      <c r="I80" s="1"/>
      <c r="J80" s="4">
        <f t="shared" si="1"/>
        <v>0</v>
      </c>
      <c r="K80" s="5">
        <f t="shared" si="2"/>
        <v>0</v>
      </c>
      <c r="L80" s="6"/>
      <c r="M80" s="7"/>
      <c r="N80" s="59"/>
      <c r="O80" s="59"/>
      <c r="P80" s="59"/>
      <c r="Q80" s="59"/>
      <c r="R80" s="59"/>
      <c r="S80" s="59"/>
      <c r="T80" s="59"/>
      <c r="U80" s="59"/>
      <c r="V80" s="59"/>
      <c r="W80" s="59"/>
      <c r="X80" s="59"/>
      <c r="Y80" s="59"/>
      <c r="Z80" s="8"/>
      <c r="AA80" s="8"/>
      <c r="AB80" s="8"/>
      <c r="AC80" s="8"/>
      <c r="AD80" s="8"/>
      <c r="AE80" s="8"/>
      <c r="AF80" s="8"/>
      <c r="AG80" s="8"/>
      <c r="AH80" s="8"/>
      <c r="AI80" s="8"/>
      <c r="AJ80" s="8"/>
      <c r="AK80" s="8"/>
      <c r="AL80" s="8"/>
      <c r="AM80" s="8"/>
      <c r="AN80" s="8"/>
      <c r="AO80" s="8"/>
      <c r="AP80" s="8"/>
      <c r="AQ80" s="8"/>
      <c r="AR80" s="8"/>
    </row>
    <row r="81" ht="15.0" customHeight="1">
      <c r="A81" s="1"/>
      <c r="B81" s="1"/>
      <c r="C81" s="1" t="str">
        <f t="shared" si="4"/>
        <v>MateoCannata</v>
      </c>
      <c r="D81" s="2"/>
      <c r="E81" s="41" t="s">
        <v>75</v>
      </c>
      <c r="F81" s="40"/>
      <c r="G81" s="40" t="s">
        <v>391</v>
      </c>
      <c r="H81" s="2"/>
      <c r="I81" s="42" t="s">
        <v>215</v>
      </c>
      <c r="J81" s="4">
        <f t="shared" si="1"/>
        <v>11</v>
      </c>
      <c r="K81" s="5">
        <f t="shared" si="2"/>
        <v>5</v>
      </c>
      <c r="L81" s="6"/>
      <c r="M81" s="7"/>
      <c r="N81" s="59"/>
      <c r="O81" s="59"/>
      <c r="P81" s="59"/>
      <c r="Q81" s="59"/>
      <c r="R81" s="59"/>
      <c r="S81" s="59"/>
      <c r="T81" s="59"/>
      <c r="U81" s="59"/>
      <c r="V81" s="59"/>
      <c r="W81" s="59"/>
      <c r="X81" s="59"/>
      <c r="Y81" s="59"/>
      <c r="Z81" s="8"/>
      <c r="AA81" s="8"/>
      <c r="AB81" s="8"/>
      <c r="AC81" s="8"/>
      <c r="AD81" s="8"/>
      <c r="AE81" s="8"/>
      <c r="AF81" s="8"/>
      <c r="AG81" s="8"/>
      <c r="AH81" s="8"/>
      <c r="AI81" s="8"/>
      <c r="AJ81" s="8"/>
      <c r="AK81" s="8"/>
      <c r="AL81" s="8"/>
      <c r="AM81" s="8"/>
      <c r="AN81" s="8"/>
      <c r="AO81" s="8"/>
      <c r="AP81" s="8"/>
      <c r="AQ81" s="8"/>
      <c r="AR81" s="8"/>
    </row>
    <row r="82" ht="15.0" customHeight="1">
      <c r="A82" s="1"/>
      <c r="B82" s="1"/>
      <c r="C82" s="1" t="str">
        <f t="shared" si="4"/>
        <v>MateoCannata</v>
      </c>
      <c r="D82" s="2"/>
      <c r="E82" s="40"/>
      <c r="F82" s="32"/>
      <c r="G82" s="32"/>
      <c r="H82" s="2"/>
      <c r="I82" s="1"/>
      <c r="J82" s="4">
        <f t="shared" si="1"/>
        <v>0</v>
      </c>
      <c r="K82" s="5">
        <f t="shared" si="2"/>
        <v>0</v>
      </c>
      <c r="L82" s="6"/>
      <c r="M82" s="7"/>
      <c r="N82" s="59"/>
      <c r="O82" s="59"/>
      <c r="P82" s="59"/>
      <c r="Q82" s="59"/>
      <c r="R82" s="59"/>
      <c r="S82" s="59"/>
      <c r="T82" s="59"/>
      <c r="U82" s="59"/>
      <c r="V82" s="59"/>
      <c r="W82" s="59"/>
      <c r="X82" s="59"/>
      <c r="Y82" s="59"/>
      <c r="Z82" s="8"/>
      <c r="AA82" s="8"/>
      <c r="AB82" s="8"/>
      <c r="AC82" s="8"/>
      <c r="AD82" s="8"/>
      <c r="AE82" s="8"/>
      <c r="AF82" s="8"/>
      <c r="AG82" s="8"/>
      <c r="AH82" s="8"/>
      <c r="AI82" s="8"/>
      <c r="AJ82" s="8"/>
      <c r="AK82" s="8"/>
      <c r="AL82" s="8"/>
      <c r="AM82" s="8"/>
      <c r="AN82" s="8"/>
      <c r="AO82" s="8"/>
      <c r="AP82" s="8"/>
      <c r="AQ82" s="8"/>
      <c r="AR82" s="8"/>
    </row>
    <row r="83" ht="15.0" customHeight="1">
      <c r="A83" s="1"/>
      <c r="B83" s="1"/>
      <c r="C83" s="1" t="str">
        <f t="shared" si="4"/>
        <v>MateoCannata</v>
      </c>
      <c r="D83" s="2"/>
      <c r="E83" s="26"/>
      <c r="F83" s="28">
        <v>41963.0</v>
      </c>
      <c r="G83" s="32"/>
      <c r="H83" s="2"/>
      <c r="I83" s="1"/>
      <c r="J83" s="4">
        <f t="shared" si="1"/>
        <v>0</v>
      </c>
      <c r="K83" s="5">
        <f t="shared" si="2"/>
        <v>0</v>
      </c>
      <c r="L83" s="6"/>
      <c r="M83" s="7"/>
      <c r="N83" s="59"/>
      <c r="O83" s="59"/>
      <c r="P83" s="59"/>
      <c r="Q83" s="59"/>
      <c r="R83" s="59"/>
      <c r="S83" s="59"/>
      <c r="T83" s="59"/>
      <c r="U83" s="59"/>
      <c r="V83" s="59"/>
      <c r="W83" s="59"/>
      <c r="X83" s="59"/>
      <c r="Y83" s="59"/>
      <c r="Z83" s="8"/>
      <c r="AA83" s="8"/>
      <c r="AB83" s="8"/>
      <c r="AC83" s="8"/>
      <c r="AD83" s="8"/>
      <c r="AE83" s="8"/>
      <c r="AF83" s="8"/>
      <c r="AG83" s="8"/>
      <c r="AH83" s="8"/>
      <c r="AI83" s="8"/>
      <c r="AJ83" s="8"/>
      <c r="AK83" s="8"/>
      <c r="AL83" s="8"/>
      <c r="AM83" s="8"/>
      <c r="AN83" s="8"/>
      <c r="AO83" s="8"/>
      <c r="AP83" s="8"/>
      <c r="AQ83" s="8"/>
      <c r="AR83" s="8"/>
    </row>
    <row r="84" ht="15.0" customHeight="1">
      <c r="A84" s="1"/>
      <c r="B84" s="1"/>
      <c r="C84" s="1" t="str">
        <f t="shared" si="4"/>
        <v>MateoCannata</v>
      </c>
      <c r="D84" s="2"/>
      <c r="E84" s="1"/>
      <c r="F84" s="1"/>
      <c r="G84" s="3"/>
      <c r="H84" s="2"/>
      <c r="I84" s="1"/>
      <c r="J84" s="4">
        <f t="shared" si="1"/>
        <v>0</v>
      </c>
      <c r="K84" s="5">
        <f t="shared" si="2"/>
        <v>0</v>
      </c>
      <c r="L84" s="6"/>
      <c r="M84" s="7"/>
      <c r="N84" s="59"/>
      <c r="O84" s="59"/>
      <c r="P84" s="59"/>
      <c r="Q84" s="59"/>
      <c r="R84" s="59"/>
      <c r="S84" s="59"/>
      <c r="T84" s="59"/>
      <c r="U84" s="59"/>
      <c r="V84" s="59"/>
      <c r="W84" s="59"/>
      <c r="X84" s="59"/>
      <c r="Y84" s="59"/>
      <c r="Z84" s="8"/>
      <c r="AA84" s="8"/>
      <c r="AB84" s="8"/>
      <c r="AC84" s="8"/>
      <c r="AD84" s="8"/>
      <c r="AE84" s="8"/>
      <c r="AF84" s="8"/>
      <c r="AG84" s="8"/>
      <c r="AH84" s="8"/>
      <c r="AI84" s="8"/>
      <c r="AJ84" s="8"/>
      <c r="AK84" s="8"/>
      <c r="AL84" s="8"/>
      <c r="AM84" s="8"/>
      <c r="AN84" s="8"/>
      <c r="AO84" s="8"/>
      <c r="AP84" s="8"/>
      <c r="AQ84" s="8"/>
      <c r="AR84" s="8"/>
    </row>
    <row r="85" ht="15.0" customHeight="1">
      <c r="A85" s="1"/>
      <c r="B85" s="1"/>
      <c r="C85" s="1" t="str">
        <f t="shared" si="4"/>
        <v>Emmanuel </v>
      </c>
      <c r="D85" s="2"/>
      <c r="E85" s="42" t="s">
        <v>118</v>
      </c>
      <c r="F85" s="42" t="s">
        <v>397</v>
      </c>
      <c r="G85" s="70" t="s">
        <v>398</v>
      </c>
      <c r="H85" s="2"/>
      <c r="I85" s="42" t="s">
        <v>295</v>
      </c>
      <c r="J85" s="4">
        <f t="shared" si="1"/>
        <v>29</v>
      </c>
      <c r="K85" s="5">
        <f t="shared" si="2"/>
        <v>4</v>
      </c>
      <c r="L85" s="6"/>
      <c r="M85" s="7"/>
      <c r="N85" s="59"/>
      <c r="O85" s="59"/>
      <c r="P85" s="59"/>
      <c r="Q85" s="59"/>
      <c r="R85" s="59"/>
      <c r="S85" s="59"/>
      <c r="T85" s="59"/>
      <c r="U85" s="59"/>
      <c r="V85" s="59"/>
      <c r="W85" s="59"/>
      <c r="X85" s="59"/>
      <c r="Y85" s="59"/>
      <c r="Z85" s="8"/>
      <c r="AA85" s="8"/>
      <c r="AB85" s="8"/>
      <c r="AC85" s="8"/>
      <c r="AD85" s="8"/>
      <c r="AE85" s="8"/>
      <c r="AF85" s="8"/>
      <c r="AG85" s="8"/>
      <c r="AH85" s="8"/>
      <c r="AI85" s="8"/>
      <c r="AJ85" s="8"/>
      <c r="AK85" s="8"/>
      <c r="AL85" s="8"/>
      <c r="AM85" s="8"/>
      <c r="AN85" s="8"/>
      <c r="AO85" s="8"/>
      <c r="AP85" s="8"/>
      <c r="AQ85" s="8"/>
      <c r="AR85" s="8"/>
    </row>
    <row r="86" ht="15.0" customHeight="1">
      <c r="A86" s="1"/>
      <c r="B86" s="1"/>
      <c r="C86" s="1" t="str">
        <f t="shared" si="4"/>
        <v>Alejandro </v>
      </c>
      <c r="D86" s="2"/>
      <c r="E86" s="42" t="s">
        <v>121</v>
      </c>
      <c r="F86" s="42" t="s">
        <v>401</v>
      </c>
      <c r="G86" s="70" t="s">
        <v>402</v>
      </c>
      <c r="H86" s="2"/>
      <c r="I86" s="42" t="s">
        <v>135</v>
      </c>
      <c r="J86" s="4">
        <f t="shared" si="1"/>
        <v>3</v>
      </c>
      <c r="K86" s="5">
        <f t="shared" si="2"/>
        <v>5</v>
      </c>
      <c r="L86" s="6"/>
      <c r="M86" s="7"/>
      <c r="N86" s="59"/>
      <c r="O86" s="59"/>
      <c r="P86" s="59"/>
      <c r="Q86" s="59"/>
      <c r="R86" s="59"/>
      <c r="S86" s="59"/>
      <c r="T86" s="59"/>
      <c r="U86" s="59"/>
      <c r="V86" s="59"/>
      <c r="W86" s="59"/>
      <c r="X86" s="59"/>
      <c r="Y86" s="59"/>
      <c r="Z86" s="8"/>
      <c r="AA86" s="8"/>
      <c r="AB86" s="8"/>
      <c r="AC86" s="8"/>
      <c r="AD86" s="8"/>
      <c r="AE86" s="8"/>
      <c r="AF86" s="8"/>
      <c r="AG86" s="8"/>
      <c r="AH86" s="8"/>
      <c r="AI86" s="8"/>
      <c r="AJ86" s="8"/>
      <c r="AK86" s="8"/>
      <c r="AL86" s="8"/>
      <c r="AM86" s="8"/>
      <c r="AN86" s="8"/>
      <c r="AO86" s="8"/>
      <c r="AP86" s="8"/>
      <c r="AQ86" s="8"/>
      <c r="AR86" s="8"/>
    </row>
    <row r="87" ht="15.0" customHeight="1">
      <c r="A87" s="1"/>
      <c r="B87" s="1"/>
      <c r="C87" s="1" t="str">
        <f t="shared" si="4"/>
        <v>Alejandro </v>
      </c>
      <c r="D87" s="2"/>
      <c r="E87" s="1"/>
      <c r="F87" s="1"/>
      <c r="G87" s="70" t="s">
        <v>405</v>
      </c>
      <c r="H87" s="2"/>
      <c r="I87" s="1"/>
      <c r="J87" s="4">
        <f t="shared" si="1"/>
        <v>0</v>
      </c>
      <c r="K87" s="5">
        <f t="shared" si="2"/>
        <v>0</v>
      </c>
      <c r="L87" s="6"/>
      <c r="M87" s="7"/>
      <c r="N87" s="59"/>
      <c r="O87" s="59"/>
      <c r="P87" s="59"/>
      <c r="Q87" s="59"/>
      <c r="R87" s="59"/>
      <c r="S87" s="59"/>
      <c r="T87" s="59"/>
      <c r="U87" s="59"/>
      <c r="V87" s="59"/>
      <c r="W87" s="59"/>
      <c r="X87" s="59"/>
      <c r="Y87" s="59"/>
      <c r="Z87" s="8"/>
      <c r="AA87" s="8"/>
      <c r="AB87" s="8"/>
      <c r="AC87" s="8"/>
      <c r="AD87" s="8"/>
      <c r="AE87" s="8"/>
      <c r="AF87" s="8"/>
      <c r="AG87" s="8"/>
      <c r="AH87" s="8"/>
      <c r="AI87" s="8"/>
      <c r="AJ87" s="8"/>
      <c r="AK87" s="8"/>
      <c r="AL87" s="8"/>
      <c r="AM87" s="8"/>
      <c r="AN87" s="8"/>
      <c r="AO87" s="8"/>
      <c r="AP87" s="8"/>
      <c r="AQ87" s="8"/>
      <c r="AR87" s="8"/>
    </row>
    <row r="88" ht="15.0" customHeight="1">
      <c r="A88" s="1"/>
      <c r="B88" s="1"/>
      <c r="C88" s="1" t="str">
        <f t="shared" si="4"/>
        <v>Mateo </v>
      </c>
      <c r="D88" s="2"/>
      <c r="E88" s="42" t="s">
        <v>115</v>
      </c>
      <c r="F88" s="42" t="s">
        <v>406</v>
      </c>
      <c r="G88" s="70" t="s">
        <v>407</v>
      </c>
      <c r="H88" s="2"/>
      <c r="I88" s="42" t="s">
        <v>77</v>
      </c>
      <c r="J88" s="4">
        <f t="shared" si="1"/>
        <v>26</v>
      </c>
      <c r="K88" s="5">
        <f t="shared" si="2"/>
        <v>3</v>
      </c>
      <c r="L88" s="6"/>
      <c r="M88" s="7"/>
      <c r="N88" s="59"/>
      <c r="O88" s="59"/>
      <c r="P88" s="59"/>
      <c r="Q88" s="59"/>
      <c r="R88" s="59"/>
      <c r="S88" s="59"/>
      <c r="T88" s="59"/>
      <c r="U88" s="59"/>
      <c r="V88" s="59"/>
      <c r="W88" s="59"/>
      <c r="X88" s="59"/>
      <c r="Y88" s="59"/>
      <c r="Z88" s="8"/>
      <c r="AA88" s="8"/>
      <c r="AB88" s="8"/>
      <c r="AC88" s="8"/>
      <c r="AD88" s="8"/>
      <c r="AE88" s="8"/>
      <c r="AF88" s="8"/>
      <c r="AG88" s="8"/>
      <c r="AH88" s="8"/>
      <c r="AI88" s="8"/>
      <c r="AJ88" s="8"/>
      <c r="AK88" s="8"/>
      <c r="AL88" s="8"/>
      <c r="AM88" s="8"/>
      <c r="AN88" s="8"/>
      <c r="AO88" s="8"/>
      <c r="AP88" s="8"/>
      <c r="AQ88" s="8"/>
      <c r="AR88" s="8"/>
    </row>
    <row r="89" ht="15.0" customHeight="1">
      <c r="A89" s="1"/>
      <c r="B89" s="1"/>
      <c r="C89" s="1" t="str">
        <f t="shared" si="4"/>
        <v>Mateo </v>
      </c>
      <c r="D89" s="2"/>
      <c r="E89" s="1"/>
      <c r="F89" s="1"/>
      <c r="G89" s="70" t="s">
        <v>408</v>
      </c>
      <c r="H89" s="2"/>
      <c r="I89" s="1"/>
      <c r="J89" s="4">
        <f t="shared" si="1"/>
        <v>0</v>
      </c>
      <c r="K89" s="5">
        <f t="shared" si="2"/>
        <v>0</v>
      </c>
      <c r="L89" s="6"/>
      <c r="M89" s="7"/>
      <c r="N89" s="59"/>
      <c r="O89" s="59"/>
      <c r="P89" s="59"/>
      <c r="Q89" s="59"/>
      <c r="R89" s="59"/>
      <c r="S89" s="59"/>
      <c r="T89" s="59"/>
      <c r="U89" s="59"/>
      <c r="V89" s="59"/>
      <c r="W89" s="59"/>
      <c r="X89" s="59"/>
      <c r="Y89" s="59"/>
      <c r="Z89" s="59"/>
      <c r="AA89" s="59"/>
      <c r="AB89" s="59"/>
      <c r="AC89" s="59"/>
      <c r="AD89" s="59"/>
      <c r="AE89" s="59"/>
      <c r="AF89" s="59"/>
      <c r="AG89" s="59"/>
      <c r="AH89" s="1"/>
      <c r="AI89" s="1"/>
      <c r="AJ89" s="1"/>
      <c r="AK89" s="1"/>
      <c r="AL89" s="1"/>
      <c r="AM89" s="1"/>
      <c r="AN89" s="1"/>
      <c r="AO89" s="1"/>
      <c r="AP89" s="1"/>
      <c r="AQ89" s="1"/>
      <c r="AR89" s="13"/>
    </row>
    <row r="90" ht="15.0" customHeight="1">
      <c r="C90" s="1" t="str">
        <f t="shared" si="4"/>
        <v>Juan Ignacio </v>
      </c>
      <c r="E90" s="74" t="s">
        <v>108</v>
      </c>
      <c r="F90" s="74" t="s">
        <v>411</v>
      </c>
      <c r="G90" s="74" t="s">
        <v>412</v>
      </c>
      <c r="I90" s="42" t="s">
        <v>61</v>
      </c>
      <c r="J90" s="4">
        <f t="shared" si="1"/>
        <v>32</v>
      </c>
      <c r="K90" s="5">
        <f t="shared" si="2"/>
        <v>1</v>
      </c>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row>
    <row r="91" ht="15.0" customHeight="1">
      <c r="C91" s="1" t="str">
        <f t="shared" si="4"/>
        <v>Juan Ignacio </v>
      </c>
      <c r="G91" s="74" t="s">
        <v>414</v>
      </c>
      <c r="I91" s="1"/>
      <c r="J91" s="4">
        <f t="shared" si="1"/>
        <v>0</v>
      </c>
      <c r="K91" s="5">
        <f t="shared" si="2"/>
        <v>0</v>
      </c>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row>
    <row r="92" ht="15.0" customHeight="1">
      <c r="C92" s="1" t="str">
        <f t="shared" si="4"/>
        <v>Juan Ignacio </v>
      </c>
      <c r="G92" s="74" t="s">
        <v>416</v>
      </c>
      <c r="I92" s="1"/>
      <c r="J92" s="4">
        <f t="shared" si="1"/>
        <v>0</v>
      </c>
      <c r="K92" s="5">
        <f t="shared" si="2"/>
        <v>0</v>
      </c>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row>
    <row r="93" ht="15.0" customHeight="1">
      <c r="C93" s="1" t="str">
        <f t="shared" si="4"/>
        <v>Alejandro </v>
      </c>
      <c r="E93" s="74" t="s">
        <v>121</v>
      </c>
      <c r="F93" s="74" t="s">
        <v>419</v>
      </c>
      <c r="G93" s="74" t="s">
        <v>420</v>
      </c>
      <c r="I93" s="42" t="s">
        <v>135</v>
      </c>
      <c r="J93" s="4">
        <f t="shared" si="1"/>
        <v>3</v>
      </c>
      <c r="K93" s="5">
        <f t="shared" si="2"/>
        <v>5</v>
      </c>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row>
    <row r="94" ht="15.0" customHeight="1">
      <c r="C94" s="1" t="str">
        <f t="shared" si="4"/>
        <v>Alejandro </v>
      </c>
      <c r="E94" s="74" t="s">
        <v>121</v>
      </c>
      <c r="F94" s="74" t="s">
        <v>423</v>
      </c>
      <c r="I94" s="1"/>
      <c r="J94" s="4">
        <f t="shared" si="1"/>
        <v>0</v>
      </c>
      <c r="K94" s="5">
        <f t="shared" si="2"/>
        <v>0</v>
      </c>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row>
    <row r="95" ht="15.0" customHeight="1">
      <c r="C95" s="1" t="str">
        <f t="shared" si="4"/>
        <v>Alejandro </v>
      </c>
      <c r="G95" s="74" t="s">
        <v>425</v>
      </c>
      <c r="I95" s="42" t="s">
        <v>104</v>
      </c>
      <c r="J95" s="4">
        <f t="shared" si="1"/>
        <v>19</v>
      </c>
      <c r="K95" s="5">
        <f t="shared" si="2"/>
        <v>7</v>
      </c>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row>
    <row r="96" ht="15.0" customHeight="1">
      <c r="C96" s="1" t="str">
        <f t="shared" si="4"/>
        <v>Juan Ignacio </v>
      </c>
      <c r="E96" s="74" t="s">
        <v>108</v>
      </c>
      <c r="F96" s="74" t="s">
        <v>428</v>
      </c>
      <c r="G96" s="74" t="s">
        <v>429</v>
      </c>
      <c r="I96" s="1"/>
      <c r="J96" s="4">
        <f t="shared" si="1"/>
        <v>0</v>
      </c>
      <c r="K96" s="5">
        <f t="shared" si="2"/>
        <v>0</v>
      </c>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row>
    <row r="97" ht="15.0" customHeight="1">
      <c r="C97" s="1" t="str">
        <f t="shared" si="4"/>
        <v>Juan Ignacio </v>
      </c>
      <c r="E97" s="74" t="s">
        <v>108</v>
      </c>
      <c r="F97" s="74" t="s">
        <v>432</v>
      </c>
      <c r="G97" s="74" t="s">
        <v>433</v>
      </c>
      <c r="I97" s="1"/>
      <c r="J97" s="4">
        <f t="shared" si="1"/>
        <v>0</v>
      </c>
      <c r="K97" s="5">
        <f t="shared" si="2"/>
        <v>0</v>
      </c>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row>
    <row r="98" ht="15.0" customHeight="1">
      <c r="C98" s="1" t="str">
        <f t="shared" si="4"/>
        <v>Juan Ignacio </v>
      </c>
      <c r="G98" s="74" t="s">
        <v>435</v>
      </c>
      <c r="I98" s="1"/>
      <c r="J98" s="4">
        <f t="shared" si="1"/>
        <v>0</v>
      </c>
      <c r="K98" s="5">
        <f t="shared" si="2"/>
        <v>0</v>
      </c>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row>
    <row r="99" ht="15.0" customHeight="1">
      <c r="C99" s="1" t="str">
        <f t="shared" si="4"/>
        <v>Mateo </v>
      </c>
      <c r="E99" s="74" t="s">
        <v>115</v>
      </c>
      <c r="F99" s="74" t="s">
        <v>437</v>
      </c>
      <c r="G99" s="74" t="s">
        <v>438</v>
      </c>
      <c r="I99" s="42" t="s">
        <v>207</v>
      </c>
      <c r="J99" s="4">
        <f t="shared" si="1"/>
        <v>10</v>
      </c>
      <c r="K99" s="5">
        <f t="shared" si="2"/>
        <v>1</v>
      </c>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row>
    <row r="100" ht="15.0" customHeight="1">
      <c r="C100" s="1" t="str">
        <f t="shared" si="4"/>
        <v>Kevin </v>
      </c>
      <c r="E100" s="74" t="s">
        <v>112</v>
      </c>
      <c r="F100" s="74" t="s">
        <v>441</v>
      </c>
      <c r="G100" s="74" t="s">
        <v>443</v>
      </c>
      <c r="I100" s="42" t="s">
        <v>178</v>
      </c>
      <c r="J100" s="4">
        <f t="shared" si="1"/>
        <v>15</v>
      </c>
      <c r="K100" s="5">
        <f t="shared" si="2"/>
        <v>4</v>
      </c>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row>
    <row r="101" ht="15.0" customHeight="1">
      <c r="C101" s="1" t="str">
        <f t="shared" si="4"/>
        <v>Kevin </v>
      </c>
      <c r="G101" s="74" t="s">
        <v>446</v>
      </c>
      <c r="I101" s="42" t="s">
        <v>44</v>
      </c>
      <c r="J101" s="4">
        <f t="shared" si="1"/>
        <v>30</v>
      </c>
      <c r="K101" s="5">
        <f t="shared" si="2"/>
        <v>8</v>
      </c>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row>
    <row r="102" ht="15.0" customHeight="1">
      <c r="C102" s="1" t="str">
        <f t="shared" si="4"/>
        <v>Juan Ignacio </v>
      </c>
      <c r="E102" s="74" t="s">
        <v>108</v>
      </c>
      <c r="F102" s="74" t="s">
        <v>441</v>
      </c>
      <c r="G102" s="74" t="s">
        <v>448</v>
      </c>
      <c r="I102" s="1"/>
      <c r="J102" s="4">
        <f t="shared" si="1"/>
        <v>0</v>
      </c>
      <c r="K102" s="5">
        <f t="shared" si="2"/>
        <v>0</v>
      </c>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row>
    <row r="103" ht="15.0" customHeight="1">
      <c r="C103" s="1" t="str">
        <f t="shared" si="4"/>
        <v>Juan Ignacio </v>
      </c>
      <c r="G103" s="74" t="s">
        <v>451</v>
      </c>
      <c r="I103" s="1"/>
      <c r="J103" s="4">
        <f t="shared" si="1"/>
        <v>0</v>
      </c>
      <c r="K103" s="5">
        <f t="shared" si="2"/>
        <v>0</v>
      </c>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row>
    <row r="104" ht="15.0" customHeight="1">
      <c r="C104" s="1" t="str">
        <f t="shared" si="4"/>
        <v>Kevin </v>
      </c>
      <c r="E104" s="74" t="s">
        <v>112</v>
      </c>
      <c r="F104" s="74" t="s">
        <v>454</v>
      </c>
      <c r="G104" s="74" t="s">
        <v>455</v>
      </c>
      <c r="I104" s="1"/>
      <c r="J104" s="4">
        <f t="shared" si="1"/>
        <v>0</v>
      </c>
      <c r="K104" s="5">
        <f t="shared" si="2"/>
        <v>0</v>
      </c>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row>
    <row r="105" ht="15.0" customHeight="1">
      <c r="C105" s="1" t="str">
        <f t="shared" si="4"/>
        <v>Kevin </v>
      </c>
      <c r="E105" s="74" t="s">
        <v>112</v>
      </c>
      <c r="F105" s="74" t="s">
        <v>457</v>
      </c>
      <c r="G105" s="74" t="s">
        <v>458</v>
      </c>
      <c r="I105" s="1"/>
      <c r="J105" s="4">
        <f t="shared" si="1"/>
        <v>0</v>
      </c>
      <c r="K105" s="5">
        <f t="shared" si="2"/>
        <v>0</v>
      </c>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row>
    <row r="106" ht="15.0" customHeight="1">
      <c r="C106" s="1" t="str">
        <f t="shared" si="4"/>
        <v>Kevin </v>
      </c>
      <c r="G106" s="74" t="s">
        <v>460</v>
      </c>
      <c r="I106" s="42" t="s">
        <v>278</v>
      </c>
      <c r="J106" s="4">
        <f t="shared" si="1"/>
        <v>25</v>
      </c>
      <c r="K106" s="5">
        <f t="shared" si="2"/>
        <v>2</v>
      </c>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row>
    <row r="107" ht="15.0" customHeight="1">
      <c r="C107" s="1" t="str">
        <f t="shared" si="4"/>
        <v>Juan Ignacio </v>
      </c>
      <c r="E107" s="74" t="s">
        <v>108</v>
      </c>
      <c r="F107" s="74" t="s">
        <v>465</v>
      </c>
      <c r="G107" s="74" t="s">
        <v>466</v>
      </c>
      <c r="I107" s="42" t="s">
        <v>278</v>
      </c>
      <c r="J107" s="4">
        <f t="shared" si="1"/>
        <v>25</v>
      </c>
      <c r="K107" s="5">
        <f t="shared" si="2"/>
        <v>2</v>
      </c>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row>
    <row r="108" ht="15.0" customHeight="1">
      <c r="C108" s="1" t="str">
        <f t="shared" si="4"/>
        <v>Mateo </v>
      </c>
      <c r="E108" s="74" t="s">
        <v>115</v>
      </c>
      <c r="F108" s="74" t="s">
        <v>468</v>
      </c>
      <c r="G108" s="74" t="s">
        <v>469</v>
      </c>
      <c r="I108" s="42" t="s">
        <v>278</v>
      </c>
      <c r="J108" s="4">
        <f t="shared" si="1"/>
        <v>25</v>
      </c>
      <c r="K108" s="5">
        <f t="shared" si="2"/>
        <v>2</v>
      </c>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row>
    <row r="109" ht="15.0" customHeight="1">
      <c r="C109" s="1" t="str">
        <f t="shared" si="4"/>
        <v>Alejandro </v>
      </c>
      <c r="E109" s="74" t="s">
        <v>121</v>
      </c>
      <c r="F109" s="74" t="s">
        <v>473</v>
      </c>
      <c r="G109" s="74" t="s">
        <v>474</v>
      </c>
      <c r="I109" s="42" t="s">
        <v>278</v>
      </c>
      <c r="J109" s="4">
        <f t="shared" si="1"/>
        <v>25</v>
      </c>
      <c r="K109" s="5">
        <f t="shared" si="2"/>
        <v>2</v>
      </c>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row>
    <row r="110" ht="15.0" customHeight="1">
      <c r="C110" s="1" t="str">
        <f t="shared" si="4"/>
        <v>Alejandro </v>
      </c>
      <c r="I110" s="1"/>
      <c r="J110" s="4">
        <f t="shared" si="1"/>
        <v>0</v>
      </c>
      <c r="K110" s="5">
        <f t="shared" si="2"/>
        <v>0</v>
      </c>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row>
    <row r="111" ht="15.0" customHeight="1">
      <c r="C111" s="1" t="str">
        <f t="shared" si="4"/>
        <v>Alejandro </v>
      </c>
      <c r="J111" s="4">
        <f t="shared" si="1"/>
        <v>0</v>
      </c>
      <c r="K111" s="9">
        <f t="shared" si="2"/>
        <v>0</v>
      </c>
    </row>
    <row r="112" ht="15.0" customHeight="1">
      <c r="C112" s="1" t="str">
        <f t="shared" si="4"/>
        <v>Alejandro </v>
      </c>
      <c r="J112" s="4">
        <f t="shared" si="1"/>
        <v>0</v>
      </c>
      <c r="K112" s="9">
        <f t="shared" si="2"/>
        <v>0</v>
      </c>
    </row>
    <row r="113" ht="15.0" customHeight="1">
      <c r="C113" s="1" t="str">
        <f t="shared" si="4"/>
        <v>Alejandro </v>
      </c>
      <c r="J113" s="4">
        <f t="shared" si="1"/>
        <v>0</v>
      </c>
      <c r="K113" s="9">
        <f t="shared" si="2"/>
        <v>0</v>
      </c>
    </row>
    <row r="114" ht="15.0" customHeight="1">
      <c r="C114" s="1" t="str">
        <f t="shared" si="4"/>
        <v>Alejandro </v>
      </c>
      <c r="J114" s="4">
        <f t="shared" si="1"/>
        <v>0</v>
      </c>
      <c r="K114" s="9">
        <f t="shared" si="2"/>
        <v>0</v>
      </c>
    </row>
    <row r="115" ht="15.0" customHeight="1">
      <c r="C115" s="1" t="str">
        <f t="shared" si="4"/>
        <v>Alejandro </v>
      </c>
      <c r="J115" s="4">
        <f t="shared" si="1"/>
        <v>0</v>
      </c>
      <c r="K115" s="9">
        <f t="shared" si="2"/>
        <v>0</v>
      </c>
    </row>
    <row r="116" ht="15.0" customHeight="1">
      <c r="C116" s="1" t="str">
        <f t="shared" si="4"/>
        <v>Alejandro </v>
      </c>
      <c r="J116" s="4">
        <f t="shared" si="1"/>
        <v>0</v>
      </c>
      <c r="K116" s="9">
        <f t="shared" si="2"/>
        <v>0</v>
      </c>
    </row>
    <row r="117" ht="15.0" customHeight="1">
      <c r="C117" s="1" t="str">
        <f t="shared" si="4"/>
        <v>Alejandro </v>
      </c>
      <c r="J117" s="4">
        <f t="shared" si="1"/>
        <v>0</v>
      </c>
      <c r="K117" s="9">
        <f t="shared" si="2"/>
        <v>0</v>
      </c>
    </row>
    <row r="118" ht="15.0" customHeight="1">
      <c r="C118" s="1" t="str">
        <f t="shared" si="4"/>
        <v>Alejandro </v>
      </c>
      <c r="J118" s="4">
        <f t="shared" si="1"/>
        <v>0</v>
      </c>
      <c r="K118" s="9">
        <f t="shared" si="2"/>
        <v>0</v>
      </c>
    </row>
    <row r="119" ht="15.0" customHeight="1">
      <c r="C119" s="1" t="str">
        <f t="shared" si="4"/>
        <v>Alejandro </v>
      </c>
      <c r="J119" s="4">
        <f t="shared" si="1"/>
        <v>0</v>
      </c>
      <c r="K119" s="9">
        <f t="shared" si="2"/>
        <v>0</v>
      </c>
    </row>
    <row r="120" ht="15.0" customHeight="1">
      <c r="C120" s="1" t="str">
        <f t="shared" si="4"/>
        <v>Alejandro </v>
      </c>
      <c r="J120" s="4">
        <f t="shared" si="1"/>
        <v>0</v>
      </c>
      <c r="K120" s="9">
        <f t="shared" si="2"/>
        <v>0</v>
      </c>
    </row>
    <row r="121" ht="15.0" customHeight="1"/>
    <row r="122" ht="15.0" customHeight="1"/>
    <row r="123" ht="15.0" customHeight="1"/>
    <row r="124" ht="15.0" customHeight="1"/>
    <row r="125" ht="15.0" customHeight="1"/>
    <row r="126" ht="15.0" customHeight="1"/>
    <row r="127" ht="15.0" customHeight="1"/>
    <row r="128" ht="15.0" customHeight="1"/>
    <row r="129" ht="15.0" customHeight="1"/>
    <row r="130" ht="15.0" customHeight="1"/>
    <row r="131" ht="15.0" customHeight="1"/>
    <row r="132" ht="15.0" customHeight="1"/>
    <row r="133" ht="15.0" customHeight="1"/>
    <row r="134" ht="15.0" customHeight="1"/>
    <row r="135" ht="15.0" customHeight="1"/>
    <row r="136" ht="15.0" customHeight="1"/>
    <row r="137" ht="15.0" customHeight="1"/>
    <row r="138" ht="15.0" customHeight="1"/>
    <row r="139" ht="15.0" customHeight="1"/>
    <row r="140" ht="15.0" customHeight="1"/>
    <row r="141" ht="15.0" customHeight="1"/>
    <row r="142" ht="15.0" customHeight="1"/>
    <row r="143" ht="15.0" customHeight="1"/>
    <row r="144" ht="15.0" customHeight="1"/>
    <row r="145" ht="15.0" customHeight="1"/>
    <row r="146" ht="15.0" customHeight="1"/>
    <row r="147" ht="15.0" customHeight="1"/>
    <row r="148" ht="15.0" customHeight="1"/>
    <row r="149" ht="15.0" customHeight="1"/>
    <row r="150" ht="15.0" customHeight="1"/>
    <row r="151" ht="15.0" customHeight="1"/>
    <row r="152" ht="15.0" customHeight="1"/>
    <row r="153" ht="15.0" customHeight="1"/>
    <row r="154" ht="15.0" customHeight="1"/>
    <row r="155" ht="15.0" customHeight="1"/>
    <row r="156" ht="15.0" customHeight="1"/>
    <row r="157" ht="15.0" customHeight="1"/>
    <row r="158" ht="15.0" customHeight="1"/>
    <row r="159" ht="15.0" customHeight="1"/>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5 I7:I16 I18:I14883">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48.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9"/>
      <c r="L1" s="10"/>
      <c r="M1" s="11"/>
      <c r="N1" s="8"/>
      <c r="O1" s="8"/>
      <c r="P1" s="12">
        <v>159.0</v>
      </c>
      <c r="Q1" s="8"/>
      <c r="R1" s="8"/>
      <c r="S1" s="8"/>
      <c r="T1" s="8"/>
      <c r="U1" s="8"/>
      <c r="V1" s="8"/>
      <c r="W1" s="8"/>
      <c r="X1" s="8"/>
      <c r="Y1" s="8"/>
      <c r="Z1" s="8"/>
      <c r="AA1" s="8"/>
      <c r="AB1" s="8"/>
      <c r="AC1" s="8"/>
      <c r="AD1" s="8"/>
      <c r="AE1" s="8"/>
      <c r="AF1" s="8"/>
      <c r="AG1" s="8"/>
      <c r="AH1" s="8"/>
      <c r="AI1" s="8"/>
      <c r="AJ1" s="1"/>
      <c r="AK1" s="1"/>
      <c r="AL1" s="1"/>
      <c r="AM1" s="1"/>
      <c r="AN1" s="1"/>
      <c r="AO1" s="1"/>
      <c r="AP1" s="1"/>
      <c r="AQ1" s="1"/>
      <c r="AR1" s="13"/>
    </row>
    <row r="2" ht="18.0" customHeight="1">
      <c r="A2" s="14" t="s">
        <v>0</v>
      </c>
      <c r="B2" s="14" t="s">
        <v>1</v>
      </c>
      <c r="C2" s="14" t="s">
        <v>2</v>
      </c>
      <c r="D2" s="15"/>
      <c r="E2" s="14" t="s">
        <v>1</v>
      </c>
      <c r="F2" s="14" t="s">
        <v>3</v>
      </c>
      <c r="G2" s="16" t="s">
        <v>4</v>
      </c>
      <c r="H2" s="15"/>
      <c r="I2" s="14" t="s">
        <v>5</v>
      </c>
      <c r="J2" s="17" t="s">
        <v>6</v>
      </c>
      <c r="K2" s="21" t="s">
        <v>7</v>
      </c>
      <c r="L2" s="22"/>
      <c r="M2" s="23"/>
      <c r="N2" s="24" t="s">
        <v>8</v>
      </c>
      <c r="O2" s="24"/>
      <c r="P2" s="24" t="s">
        <v>9</v>
      </c>
      <c r="Q2" s="24" t="s">
        <v>10</v>
      </c>
      <c r="R2" s="24"/>
      <c r="S2" s="24" t="s">
        <v>11</v>
      </c>
      <c r="T2" s="24"/>
      <c r="U2" s="24"/>
      <c r="V2" s="24"/>
      <c r="W2" s="24" t="s">
        <v>12</v>
      </c>
      <c r="X2" s="24"/>
      <c r="Y2" s="24"/>
      <c r="Z2" s="24"/>
      <c r="AA2" s="24"/>
      <c r="AB2" s="24"/>
      <c r="AC2" s="24"/>
      <c r="AD2" s="24"/>
      <c r="AE2" s="24"/>
      <c r="AF2" s="24"/>
      <c r="AG2" s="24"/>
      <c r="AH2" s="24"/>
      <c r="AI2" s="24"/>
      <c r="AJ2" s="25"/>
      <c r="AK2" s="25"/>
      <c r="AL2" s="25"/>
      <c r="AM2" s="25"/>
      <c r="AN2" s="25"/>
      <c r="AO2" s="25"/>
      <c r="AP2" s="25"/>
      <c r="AQ2" s="25"/>
      <c r="AR2" s="25"/>
    </row>
    <row r="3" ht="18.75" customHeight="1">
      <c r="A3" s="1"/>
      <c r="B3" s="1"/>
      <c r="C3" s="1"/>
      <c r="D3" s="2"/>
      <c r="E3" s="27" t="s">
        <v>13</v>
      </c>
      <c r="F3" s="29" t="s">
        <v>14</v>
      </c>
      <c r="G3" s="30" t="s">
        <v>15</v>
      </c>
      <c r="H3" s="2"/>
      <c r="I3" s="1"/>
      <c r="J3" s="4">
        <f t="shared" ref="J3:J171"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9">
        <f t="shared" ref="K3:K171"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10"/>
      <c r="M3" s="11"/>
      <c r="N3" s="24"/>
      <c r="O3" s="24" t="s">
        <v>16</v>
      </c>
      <c r="P3" s="8">
        <f>COUNTIFS(K$3:K$159,"&gt;0")</f>
        <v>67</v>
      </c>
      <c r="Q3" s="8">
        <f t="shared" ref="Q3:Q15" si="3">(P3/P$3)*100</f>
        <v>100</v>
      </c>
      <c r="R3" s="8"/>
      <c r="S3" s="8"/>
      <c r="T3" s="8"/>
      <c r="U3" s="8"/>
      <c r="V3" s="8"/>
      <c r="W3" s="24" t="s">
        <v>17</v>
      </c>
      <c r="X3" s="24" t="s">
        <v>18</v>
      </c>
      <c r="Y3" s="24" t="s">
        <v>19</v>
      </c>
      <c r="Z3" s="24" t="s">
        <v>20</v>
      </c>
      <c r="AA3" s="8"/>
      <c r="AB3" s="24" t="s">
        <v>21</v>
      </c>
      <c r="AC3" s="24" t="s">
        <v>22</v>
      </c>
      <c r="AD3" s="8"/>
      <c r="AE3" s="8"/>
      <c r="AF3" s="8"/>
      <c r="AG3" s="8"/>
      <c r="AH3" s="8"/>
      <c r="AI3" s="8"/>
      <c r="AJ3" s="1"/>
      <c r="AK3" s="1"/>
      <c r="AL3" s="1"/>
      <c r="AM3" s="1"/>
      <c r="AN3" s="1"/>
      <c r="AO3" s="1"/>
      <c r="AP3" s="1"/>
      <c r="AQ3" s="1"/>
      <c r="AR3" s="13"/>
    </row>
    <row r="4" ht="16.5" customHeight="1">
      <c r="A4" s="1"/>
      <c r="B4" s="1"/>
      <c r="C4" s="1" t="str">
        <f t="shared" ref="C4:C175" si="4">IF(E4="",C3,E4)</f>
        <v>Bruno Rios </v>
      </c>
      <c r="D4" s="2"/>
      <c r="E4" s="33" t="s">
        <v>23</v>
      </c>
      <c r="F4" s="30" t="s">
        <v>24</v>
      </c>
      <c r="G4" s="34" t="s">
        <v>25</v>
      </c>
      <c r="H4" s="2"/>
      <c r="I4" s="1"/>
      <c r="J4" s="4">
        <f t="shared" si="1"/>
        <v>0</v>
      </c>
      <c r="K4" s="9">
        <f t="shared" si="2"/>
        <v>0</v>
      </c>
      <c r="L4" s="10"/>
      <c r="M4" s="11"/>
      <c r="N4" s="24" t="s">
        <v>26</v>
      </c>
      <c r="O4" s="24">
        <v>1.0</v>
      </c>
      <c r="P4" s="8">
        <f t="shared" ref="P4:P15" si="5">COUNTIF(K$3:K$159,O4)</f>
        <v>7</v>
      </c>
      <c r="Q4" s="8">
        <f t="shared" si="3"/>
        <v>10.44776119</v>
      </c>
      <c r="R4" s="8"/>
      <c r="S4" s="8" t="str">
        <f>IF(Q4&gt;5,"Problema de Reintegración",0)</f>
        <v>Problema de Reintegración</v>
      </c>
      <c r="T4" s="8">
        <v>0.0</v>
      </c>
      <c r="U4" s="8"/>
      <c r="V4" s="8"/>
      <c r="W4" s="24" t="s">
        <v>27</v>
      </c>
      <c r="X4" s="24" t="s">
        <v>28</v>
      </c>
      <c r="Y4" s="24">
        <f>30/100</f>
        <v>0.3</v>
      </c>
      <c r="Z4" s="24">
        <f>14/100</f>
        <v>0.14</v>
      </c>
      <c r="AA4" s="8"/>
      <c r="AB4" s="8">
        <v>1.0</v>
      </c>
      <c r="AC4" s="8"/>
      <c r="AD4" s="8">
        <f>IF(AC4&gt;5,"Problema de Reintegración",0)</f>
        <v>0</v>
      </c>
      <c r="AE4" s="8">
        <v>0.0</v>
      </c>
      <c r="AF4" s="8" t="s">
        <v>29</v>
      </c>
      <c r="AG4" s="8"/>
      <c r="AH4" s="8"/>
      <c r="AI4" s="8"/>
      <c r="AJ4" s="1"/>
      <c r="AK4" s="1"/>
      <c r="AL4" s="1"/>
      <c r="AM4" s="1"/>
      <c r="AN4" s="1"/>
      <c r="AO4" s="1"/>
      <c r="AP4" s="1"/>
      <c r="AQ4" s="1"/>
      <c r="AR4" s="13"/>
    </row>
    <row r="5" ht="18.0" customHeight="1">
      <c r="A5" s="1"/>
      <c r="B5" s="1"/>
      <c r="C5" s="1" t="str">
        <f t="shared" si="4"/>
        <v>Muro </v>
      </c>
      <c r="D5" s="2"/>
      <c r="E5" s="33" t="s">
        <v>13</v>
      </c>
      <c r="F5" s="30" t="s">
        <v>30</v>
      </c>
      <c r="G5" s="34" t="s">
        <v>31</v>
      </c>
      <c r="H5" s="2"/>
      <c r="I5" s="1"/>
      <c r="J5" s="4">
        <f t="shared" si="1"/>
        <v>0</v>
      </c>
      <c r="K5" s="9">
        <f t="shared" si="2"/>
        <v>0</v>
      </c>
      <c r="L5" s="10"/>
      <c r="M5" s="11"/>
      <c r="N5" s="24" t="s">
        <v>32</v>
      </c>
      <c r="O5" s="24">
        <v>2.0</v>
      </c>
      <c r="P5" s="8">
        <f t="shared" si="5"/>
        <v>2</v>
      </c>
      <c r="Q5" s="8">
        <f t="shared" si="3"/>
        <v>2.985074627</v>
      </c>
      <c r="R5" s="8"/>
      <c r="S5" s="8" t="str">
        <f>IF(Q5&lt;=14,,"Problema de Tensión")</f>
        <v/>
      </c>
      <c r="T5" s="8" t="str">
        <f>IF(Q5&gt;=3,,"Problema de Tensión")</f>
        <v>Problema de Tensión</v>
      </c>
      <c r="U5" s="8"/>
      <c r="V5" s="8"/>
      <c r="W5" s="24" t="s">
        <v>27</v>
      </c>
      <c r="X5" s="24" t="s">
        <v>33</v>
      </c>
      <c r="Y5" s="24">
        <f>11/100</f>
        <v>0.11</v>
      </c>
      <c r="Z5" s="24">
        <f>2/100</f>
        <v>0.02</v>
      </c>
      <c r="AA5" s="8"/>
      <c r="AB5" s="8">
        <v>2.0</v>
      </c>
      <c r="AC5" s="8"/>
      <c r="AD5" s="8" t="str">
        <f>IF(AC5&lt;=14,,"Problema de Tensión")</f>
        <v/>
      </c>
      <c r="AE5" s="8" t="str">
        <f>IF(AC5&gt;=3,,"Problema de Tensión")</f>
        <v>Problema de Tensión</v>
      </c>
      <c r="AF5" s="8" t="s">
        <v>29</v>
      </c>
      <c r="AG5" s="8"/>
      <c r="AH5" s="8"/>
      <c r="AI5" s="8"/>
      <c r="AJ5" s="1"/>
      <c r="AK5" s="1"/>
      <c r="AL5" s="1"/>
      <c r="AM5" s="1"/>
      <c r="AN5" s="1"/>
      <c r="AO5" s="1"/>
      <c r="AP5" s="1"/>
      <c r="AQ5" s="1"/>
      <c r="AR5" s="13"/>
    </row>
    <row r="6" ht="15.75" customHeight="1">
      <c r="A6" s="1"/>
      <c r="B6" s="1"/>
      <c r="C6" s="1" t="str">
        <f t="shared" si="4"/>
        <v>Bruno Rios </v>
      </c>
      <c r="D6" s="2"/>
      <c r="E6" s="33" t="s">
        <v>23</v>
      </c>
      <c r="F6" s="30" t="s">
        <v>36</v>
      </c>
      <c r="G6" s="34" t="s">
        <v>37</v>
      </c>
      <c r="H6" s="2"/>
      <c r="J6" s="4">
        <f t="shared" si="1"/>
        <v>0</v>
      </c>
      <c r="K6" s="9">
        <f t="shared" si="2"/>
        <v>0</v>
      </c>
      <c r="L6" s="10"/>
      <c r="M6" s="11"/>
      <c r="N6" s="24" t="s">
        <v>38</v>
      </c>
      <c r="O6" s="24">
        <v>3.0</v>
      </c>
      <c r="P6" s="8">
        <f t="shared" si="5"/>
        <v>7</v>
      </c>
      <c r="Q6" s="8">
        <f t="shared" si="3"/>
        <v>10.44776119</v>
      </c>
      <c r="R6" s="8"/>
      <c r="S6" s="8" t="str">
        <f>IF(Q6&lt;=20,,"Problema de Decisión")</f>
        <v/>
      </c>
      <c r="T6" s="8" t="str">
        <f>IF(Q6&gt;=6,,"Problema de Decisión")</f>
        <v/>
      </c>
      <c r="U6" s="8"/>
      <c r="V6" s="8"/>
      <c r="W6" s="24" t="s">
        <v>39</v>
      </c>
      <c r="X6" s="24" t="s">
        <v>40</v>
      </c>
      <c r="Y6" s="24">
        <f>40/100</f>
        <v>0.4</v>
      </c>
      <c r="Z6" s="24">
        <f>21/100</f>
        <v>0.21</v>
      </c>
      <c r="AA6" s="8"/>
      <c r="AB6" s="8">
        <v>3.0</v>
      </c>
      <c r="AC6" s="8"/>
      <c r="AD6" s="8" t="str">
        <f>IF(AC6&lt;=20,,"Problema de Decisión")</f>
        <v/>
      </c>
      <c r="AE6" s="8" t="str">
        <f>IF(AC6&gt;=6,,"Problema de Decisión")</f>
        <v>Problema de Decisión</v>
      </c>
      <c r="AF6" s="8" t="s">
        <v>29</v>
      </c>
      <c r="AG6" s="8"/>
      <c r="AH6" s="8"/>
      <c r="AI6" s="8"/>
      <c r="AJ6" s="1"/>
      <c r="AK6" s="1"/>
      <c r="AL6" s="1"/>
      <c r="AM6" s="1"/>
      <c r="AN6" s="1"/>
      <c r="AO6" s="1"/>
      <c r="AP6" s="1"/>
      <c r="AQ6" s="1"/>
      <c r="AR6" s="13"/>
    </row>
    <row r="7" ht="15.75" customHeight="1">
      <c r="A7" s="1"/>
      <c r="B7" s="1"/>
      <c r="C7" s="1" t="str">
        <f t="shared" si="4"/>
        <v>Muro </v>
      </c>
      <c r="D7" s="2"/>
      <c r="E7" s="33" t="s">
        <v>13</v>
      </c>
      <c r="F7" s="30" t="s">
        <v>41</v>
      </c>
      <c r="G7" s="34" t="s">
        <v>42</v>
      </c>
      <c r="H7" s="2"/>
      <c r="I7" s="1"/>
      <c r="J7" s="4">
        <f t="shared" si="1"/>
        <v>0</v>
      </c>
      <c r="K7" s="9">
        <f t="shared" si="2"/>
        <v>0</v>
      </c>
      <c r="L7" s="10"/>
      <c r="M7" s="11"/>
      <c r="N7" s="24" t="s">
        <v>45</v>
      </c>
      <c r="O7" s="24">
        <v>4.0</v>
      </c>
      <c r="P7" s="8">
        <f t="shared" si="5"/>
        <v>6</v>
      </c>
      <c r="Q7" s="8">
        <f t="shared" si="3"/>
        <v>8.955223881</v>
      </c>
      <c r="R7" s="8"/>
      <c r="S7" s="8" t="str">
        <f>IF(Q7&lt;=11,,"Problema de Control")</f>
        <v/>
      </c>
      <c r="T7" s="8" t="str">
        <f>IF(Q7&gt;=4,,"Problema de Control")</f>
        <v/>
      </c>
      <c r="U7" s="8"/>
      <c r="V7" s="8"/>
      <c r="W7" s="24" t="s">
        <v>39</v>
      </c>
      <c r="X7" s="24" t="s">
        <v>46</v>
      </c>
      <c r="Y7" s="24">
        <f>9/100</f>
        <v>0.09</v>
      </c>
      <c r="Z7" s="24">
        <f>1/100</f>
        <v>0.01</v>
      </c>
      <c r="AA7" s="8"/>
      <c r="AB7" s="8">
        <v>4.0</v>
      </c>
      <c r="AC7" s="8"/>
      <c r="AD7" s="8" t="str">
        <f>IF(AC7&lt;=11,,"Problema de Control")</f>
        <v/>
      </c>
      <c r="AE7" s="8" t="str">
        <f>IF(AC7&gt;=4,,"Problema de Control")</f>
        <v>Problema de Control</v>
      </c>
      <c r="AF7" s="8" t="s">
        <v>29</v>
      </c>
      <c r="AG7" s="8"/>
      <c r="AH7" s="8"/>
      <c r="AI7" s="8"/>
      <c r="AJ7" s="1"/>
      <c r="AK7" s="1"/>
      <c r="AL7" s="1"/>
      <c r="AM7" s="1"/>
      <c r="AN7" s="1"/>
      <c r="AO7" s="1"/>
      <c r="AP7" s="1"/>
      <c r="AQ7" s="1"/>
      <c r="AR7" s="13"/>
    </row>
    <row r="8" ht="15.75" customHeight="1">
      <c r="A8" s="1"/>
      <c r="B8" s="1"/>
      <c r="C8" s="1" t="str">
        <f t="shared" si="4"/>
        <v>Diego Said </v>
      </c>
      <c r="D8" s="2"/>
      <c r="E8" s="33" t="s">
        <v>47</v>
      </c>
      <c r="F8" s="30" t="s">
        <v>48</v>
      </c>
      <c r="G8" s="34" t="s">
        <v>49</v>
      </c>
      <c r="H8" s="2"/>
      <c r="I8" s="1"/>
      <c r="J8" s="4">
        <f t="shared" si="1"/>
        <v>0</v>
      </c>
      <c r="K8" s="9">
        <f t="shared" si="2"/>
        <v>0</v>
      </c>
      <c r="L8" s="10"/>
      <c r="M8" s="11"/>
      <c r="N8" s="24" t="s">
        <v>50</v>
      </c>
      <c r="O8" s="24">
        <v>5.0</v>
      </c>
      <c r="P8" s="8">
        <f t="shared" si="5"/>
        <v>16</v>
      </c>
      <c r="Q8" s="8">
        <f t="shared" si="3"/>
        <v>23.88059701</v>
      </c>
      <c r="R8" s="8"/>
      <c r="S8" s="8" t="str">
        <f>IF(Q8&lt;=40,,"Problema de Evaluación")</f>
        <v/>
      </c>
      <c r="T8" s="8" t="str">
        <f>IF(Q8&gt;=21,,"Problema de Evaluación")</f>
        <v/>
      </c>
      <c r="U8" s="8"/>
      <c r="V8" s="8"/>
      <c r="W8" s="24" t="s">
        <v>51</v>
      </c>
      <c r="X8" s="24" t="s">
        <v>52</v>
      </c>
      <c r="Y8" s="24">
        <f>11/100</f>
        <v>0.11</v>
      </c>
      <c r="Z8" s="24">
        <f>4/100</f>
        <v>0.04</v>
      </c>
      <c r="AA8" s="8"/>
      <c r="AB8" s="8">
        <v>5.0</v>
      </c>
      <c r="AC8" s="8"/>
      <c r="AD8" s="8" t="str">
        <f>IF(AC8&lt;=40,,"Problema de Evaluación")</f>
        <v/>
      </c>
      <c r="AE8" s="8" t="str">
        <f>IF(AC8&gt;=21,,"Problema de Evaluación")</f>
        <v>Problema de Evaluación</v>
      </c>
      <c r="AF8" s="8" t="s">
        <v>29</v>
      </c>
      <c r="AG8" s="8"/>
      <c r="AH8" s="8"/>
      <c r="AI8" s="8"/>
      <c r="AJ8" s="1"/>
      <c r="AK8" s="1"/>
      <c r="AL8" s="1"/>
      <c r="AM8" s="1"/>
      <c r="AN8" s="1"/>
      <c r="AO8" s="1"/>
      <c r="AP8" s="1"/>
      <c r="AQ8" s="1"/>
      <c r="AR8" s="13"/>
    </row>
    <row r="9" ht="15.75" customHeight="1">
      <c r="A9" s="1"/>
      <c r="B9" s="1"/>
      <c r="C9" s="1" t="str">
        <f t="shared" si="4"/>
        <v>Muro </v>
      </c>
      <c r="D9" s="2"/>
      <c r="E9" s="44" t="s">
        <v>13</v>
      </c>
      <c r="F9" s="29" t="s">
        <v>53</v>
      </c>
      <c r="G9" s="30" t="s">
        <v>54</v>
      </c>
      <c r="H9" s="2"/>
      <c r="I9" s="1"/>
      <c r="J9" s="4">
        <f t="shared" si="1"/>
        <v>0</v>
      </c>
      <c r="K9" s="9">
        <f t="shared" si="2"/>
        <v>0</v>
      </c>
      <c r="L9" s="10"/>
      <c r="M9" s="11"/>
      <c r="N9" s="24" t="s">
        <v>55</v>
      </c>
      <c r="O9" s="24">
        <v>6.0</v>
      </c>
      <c r="P9" s="8">
        <f t="shared" si="5"/>
        <v>8</v>
      </c>
      <c r="Q9" s="8">
        <f t="shared" si="3"/>
        <v>11.94029851</v>
      </c>
      <c r="R9" s="8"/>
      <c r="S9" s="8" t="str">
        <f>IF(Q9&lt;=30,,"Problema de Comunicación")</f>
        <v/>
      </c>
      <c r="T9" s="8" t="str">
        <f>IF(Q9&gt;=14,,"Problema de Comunicación")</f>
        <v>Problema de Comunicación</v>
      </c>
      <c r="U9" s="8"/>
      <c r="V9" s="8"/>
      <c r="W9" s="24" t="s">
        <v>51</v>
      </c>
      <c r="X9" s="24" t="s">
        <v>56</v>
      </c>
      <c r="Y9" s="24">
        <f>5/100</f>
        <v>0.05</v>
      </c>
      <c r="Z9" s="24">
        <v>0.0</v>
      </c>
      <c r="AA9" s="8"/>
      <c r="AB9" s="8">
        <v>6.0</v>
      </c>
      <c r="AC9" s="8"/>
      <c r="AD9" s="8" t="str">
        <f>IF(AC9&lt;=30,,"Problema de Comunicación")</f>
        <v/>
      </c>
      <c r="AE9" s="8" t="str">
        <f>IF(AC9&gt;=14,,"Problema de Comunicación")</f>
        <v>Problema de Comunicación</v>
      </c>
      <c r="AF9" s="8" t="s">
        <v>29</v>
      </c>
      <c r="AG9" s="8"/>
      <c r="AH9" s="8"/>
      <c r="AI9" s="8"/>
      <c r="AJ9" s="1"/>
      <c r="AK9" s="1"/>
      <c r="AL9" s="1"/>
      <c r="AM9" s="1"/>
      <c r="AN9" s="1"/>
      <c r="AO9" s="1"/>
      <c r="AP9" s="1"/>
      <c r="AQ9" s="1"/>
      <c r="AR9" s="13"/>
    </row>
    <row r="10" ht="15.75" customHeight="1">
      <c r="A10" s="1"/>
      <c r="B10" s="1"/>
      <c r="C10" s="1" t="str">
        <f t="shared" si="4"/>
        <v>Alfredo </v>
      </c>
      <c r="D10" s="2"/>
      <c r="E10" s="44" t="s">
        <v>57</v>
      </c>
      <c r="F10" s="30" t="s">
        <v>58</v>
      </c>
      <c r="G10" s="30" t="s">
        <v>59</v>
      </c>
      <c r="H10" s="2"/>
      <c r="I10" s="42" t="s">
        <v>61</v>
      </c>
      <c r="J10" s="4">
        <f t="shared" si="1"/>
        <v>32</v>
      </c>
      <c r="K10" s="9">
        <f t="shared" si="2"/>
        <v>1</v>
      </c>
      <c r="L10" s="10"/>
      <c r="M10" s="11"/>
      <c r="N10" s="24" t="s">
        <v>64</v>
      </c>
      <c r="O10" s="24">
        <v>7.0</v>
      </c>
      <c r="P10" s="8">
        <f t="shared" si="5"/>
        <v>7</v>
      </c>
      <c r="Q10" s="8">
        <f t="shared" si="3"/>
        <v>10.44776119</v>
      </c>
      <c r="R10" s="8"/>
      <c r="S10" s="8" t="str">
        <f>IF(Q10&lt;=11,,"Problema de Comunicación")</f>
        <v/>
      </c>
      <c r="T10" s="8" t="str">
        <f>IF(Q10&gt;=2,,"Problema de Comunicación")</f>
        <v/>
      </c>
      <c r="U10" s="8"/>
      <c r="V10" s="8"/>
      <c r="W10" s="24" t="s">
        <v>65</v>
      </c>
      <c r="X10" s="24" t="s">
        <v>66</v>
      </c>
      <c r="Y10" s="24">
        <f>20/100</f>
        <v>0.2</v>
      </c>
      <c r="Z10" s="24">
        <f>6/100</f>
        <v>0.06</v>
      </c>
      <c r="AA10" s="8"/>
      <c r="AB10" s="8">
        <v>7.0</v>
      </c>
      <c r="AC10" s="8"/>
      <c r="AD10" s="8" t="str">
        <f>IF(AC10&lt;=11,,"Problema de Comunicación")</f>
        <v/>
      </c>
      <c r="AE10" s="8" t="str">
        <f>IF(AC10&gt;=2,,"Problema de Comunicación")</f>
        <v>Problema de Comunicación</v>
      </c>
      <c r="AF10" s="8" t="s">
        <v>29</v>
      </c>
      <c r="AG10" s="8"/>
      <c r="AH10" s="8"/>
      <c r="AI10" s="8"/>
      <c r="AJ10" s="1"/>
      <c r="AK10" s="1"/>
      <c r="AL10" s="1"/>
      <c r="AM10" s="1"/>
      <c r="AN10" s="1"/>
      <c r="AO10" s="1"/>
      <c r="AP10" s="1"/>
      <c r="AQ10" s="1"/>
      <c r="AR10" s="13"/>
    </row>
    <row r="11" ht="15.75" customHeight="1">
      <c r="A11" s="1"/>
      <c r="B11" s="1"/>
      <c r="C11" s="1" t="str">
        <f t="shared" si="4"/>
        <v>Bruno Rudenick </v>
      </c>
      <c r="D11" s="2"/>
      <c r="E11" s="44" t="s">
        <v>67</v>
      </c>
      <c r="F11" s="30" t="s">
        <v>58</v>
      </c>
      <c r="G11" s="46" t="s">
        <v>68</v>
      </c>
      <c r="H11" s="2"/>
      <c r="I11" s="42" t="s">
        <v>69</v>
      </c>
      <c r="J11" s="4">
        <f t="shared" si="1"/>
        <v>35</v>
      </c>
      <c r="K11" s="9">
        <f t="shared" si="2"/>
        <v>6</v>
      </c>
      <c r="L11" s="10"/>
      <c r="M11" s="11"/>
      <c r="N11" s="24" t="s">
        <v>70</v>
      </c>
      <c r="O11" s="24">
        <v>8.0</v>
      </c>
      <c r="P11" s="8">
        <f t="shared" si="5"/>
        <v>8</v>
      </c>
      <c r="Q11" s="8">
        <f t="shared" si="3"/>
        <v>11.94029851</v>
      </c>
      <c r="R11" s="8"/>
      <c r="S11" s="8" t="str">
        <f>IF(Q11&lt;=9,,"Problema de Evaluación")</f>
        <v>Problema de Evaluación</v>
      </c>
      <c r="T11" s="8" t="str">
        <f>IF(Q11&gt;=1,,"Problema de Evaluación")</f>
        <v/>
      </c>
      <c r="U11" s="8"/>
      <c r="V11" s="8"/>
      <c r="W11" s="24" t="s">
        <v>65</v>
      </c>
      <c r="X11" s="24" t="s">
        <v>71</v>
      </c>
      <c r="Y11" s="24">
        <f>13/100</f>
        <v>0.13</v>
      </c>
      <c r="Z11" s="24">
        <f t="shared" ref="Z11:Z12" si="6">3/100</f>
        <v>0.03</v>
      </c>
      <c r="AA11" s="8"/>
      <c r="AB11" s="8">
        <v>8.0</v>
      </c>
      <c r="AC11" s="8"/>
      <c r="AD11" s="8" t="str">
        <f>IF(AC11&lt;=9,,"Problema de Evaluación")</f>
        <v/>
      </c>
      <c r="AE11" s="8" t="str">
        <f>IF(AC11&gt;=1,,"Problema de Evaluación")</f>
        <v>Problema de Evaluación</v>
      </c>
      <c r="AF11" s="8" t="s">
        <v>29</v>
      </c>
      <c r="AG11" s="8" t="s">
        <v>72</v>
      </c>
      <c r="AH11" s="8"/>
      <c r="AI11" s="8"/>
      <c r="AJ11" s="1"/>
      <c r="AK11" s="1"/>
      <c r="AL11" s="1"/>
      <c r="AM11" s="1"/>
      <c r="AN11" s="1"/>
      <c r="AO11" s="1"/>
      <c r="AP11" s="1"/>
      <c r="AQ11" s="1"/>
      <c r="AR11" s="13"/>
    </row>
    <row r="12" ht="15.75" customHeight="1">
      <c r="A12" s="1"/>
      <c r="B12" s="1"/>
      <c r="C12" s="1" t="str">
        <f t="shared" si="4"/>
        <v>Diego Said </v>
      </c>
      <c r="D12" s="2"/>
      <c r="E12" s="44" t="s">
        <v>47</v>
      </c>
      <c r="F12" s="30" t="s">
        <v>73</v>
      </c>
      <c r="G12" s="30" t="s">
        <v>74</v>
      </c>
      <c r="H12" s="2"/>
      <c r="I12" s="1"/>
      <c r="J12" s="4">
        <f t="shared" si="1"/>
        <v>0</v>
      </c>
      <c r="K12" s="9">
        <f t="shared" si="2"/>
        <v>0</v>
      </c>
      <c r="L12" s="10"/>
      <c r="M12" s="11"/>
      <c r="N12" s="24" t="s">
        <v>78</v>
      </c>
      <c r="O12" s="24">
        <v>9.0</v>
      </c>
      <c r="P12" s="8">
        <f t="shared" si="5"/>
        <v>1</v>
      </c>
      <c r="Q12" s="8">
        <f t="shared" si="3"/>
        <v>1.492537313</v>
      </c>
      <c r="R12" s="8"/>
      <c r="S12" s="8" t="str">
        <f>IF(Q12&lt;=5,,"Problema de Control")</f>
        <v/>
      </c>
      <c r="T12" s="8" t="str">
        <f>IF(Q12&gt;=0,,"Problema de Control")</f>
        <v/>
      </c>
      <c r="U12" s="8"/>
      <c r="V12" s="8"/>
      <c r="W12" s="24" t="s">
        <v>79</v>
      </c>
      <c r="X12" s="24" t="s">
        <v>80</v>
      </c>
      <c r="Y12" s="24">
        <f>14/100</f>
        <v>0.14</v>
      </c>
      <c r="Z12" s="24">
        <f t="shared" si="6"/>
        <v>0.03</v>
      </c>
      <c r="AA12" s="8"/>
      <c r="AB12" s="8">
        <v>9.0</v>
      </c>
      <c r="AC12" s="8"/>
      <c r="AD12" s="8" t="str">
        <f>IF(AC12&lt;=5,,"Problema de Control")</f>
        <v/>
      </c>
      <c r="AE12" s="8" t="str">
        <f>IF(AC12&gt;=0,,"Problema de Control")</f>
        <v/>
      </c>
      <c r="AF12" s="8" t="s">
        <v>29</v>
      </c>
      <c r="AG12" s="8">
        <v>1.0</v>
      </c>
      <c r="AH12" s="8">
        <f t="shared" ref="AH12:AH23" si="7">IF( OR(T4&lt;&gt;0,S4&lt;&gt;0),1,0)</f>
        <v>1</v>
      </c>
      <c r="AI12" s="8"/>
      <c r="AJ12" s="1"/>
      <c r="AK12" s="1"/>
      <c r="AL12" s="1"/>
      <c r="AM12" s="1"/>
      <c r="AN12" s="1"/>
      <c r="AO12" s="1"/>
      <c r="AP12" s="1"/>
      <c r="AQ12" s="1"/>
      <c r="AR12" s="13"/>
    </row>
    <row r="13" ht="24.0" customHeight="1">
      <c r="A13" s="1"/>
      <c r="B13" s="1"/>
      <c r="C13" s="1" t="str">
        <f t="shared" si="4"/>
        <v>Bruno Rios </v>
      </c>
      <c r="D13" s="2"/>
      <c r="E13" s="44" t="s">
        <v>23</v>
      </c>
      <c r="F13" s="30" t="s">
        <v>81</v>
      </c>
      <c r="G13" s="30" t="s">
        <v>82</v>
      </c>
      <c r="H13" s="2"/>
      <c r="I13" s="1"/>
      <c r="J13" s="4">
        <f t="shared" si="1"/>
        <v>0</v>
      </c>
      <c r="K13" s="9">
        <f t="shared" si="2"/>
        <v>0</v>
      </c>
      <c r="L13" s="10"/>
      <c r="M13" s="11"/>
      <c r="N13" s="24" t="s">
        <v>83</v>
      </c>
      <c r="O13" s="24">
        <v>10.0</v>
      </c>
      <c r="P13" s="8">
        <f t="shared" si="5"/>
        <v>0</v>
      </c>
      <c r="Q13" s="8">
        <f t="shared" si="3"/>
        <v>0</v>
      </c>
      <c r="R13" s="8"/>
      <c r="S13" s="8" t="str">
        <f>IF(Q13&lt;=13,,"Problema de Decisión")</f>
        <v/>
      </c>
      <c r="T13" s="8" t="str">
        <f>IF(Q13&gt;=3,,"Problema de Decisión")</f>
        <v>Problema de Decisión</v>
      </c>
      <c r="U13" s="8"/>
      <c r="V13" s="8"/>
      <c r="W13" s="24" t="s">
        <v>79</v>
      </c>
      <c r="X13" s="24" t="s">
        <v>84</v>
      </c>
      <c r="Y13" s="24">
        <f>10/100</f>
        <v>0.1</v>
      </c>
      <c r="Z13" s="24">
        <f>1/100</f>
        <v>0.01</v>
      </c>
      <c r="AA13" s="8"/>
      <c r="AB13" s="8">
        <v>10.0</v>
      </c>
      <c r="AC13" s="8"/>
      <c r="AD13" s="8" t="str">
        <f>IF(AC13&lt;=13,,"Problema de Decisión")</f>
        <v/>
      </c>
      <c r="AE13" s="8" t="str">
        <f>IF(AC13&gt;=3,,"Problema de Decisión")</f>
        <v>Problema de Decisión</v>
      </c>
      <c r="AF13" s="8" t="s">
        <v>29</v>
      </c>
      <c r="AG13" s="8">
        <v>2.0</v>
      </c>
      <c r="AH13" s="8">
        <f t="shared" si="7"/>
        <v>1</v>
      </c>
      <c r="AI13" s="8"/>
      <c r="AJ13" s="1"/>
      <c r="AK13" s="1"/>
      <c r="AL13" s="1"/>
      <c r="AM13" s="1"/>
      <c r="AN13" s="1"/>
      <c r="AO13" s="1"/>
      <c r="AP13" s="1"/>
      <c r="AQ13" s="1"/>
      <c r="AR13" s="13"/>
    </row>
    <row r="14" ht="24.0" customHeight="1">
      <c r="A14" s="1"/>
      <c r="B14" s="1"/>
      <c r="C14" s="1" t="str">
        <f t="shared" si="4"/>
        <v>Bruno Rios </v>
      </c>
      <c r="D14" s="2"/>
      <c r="E14" s="49"/>
      <c r="F14" s="50"/>
      <c r="G14" s="30" t="s">
        <v>86</v>
      </c>
      <c r="H14" s="2"/>
      <c r="I14" s="1"/>
      <c r="J14" s="4">
        <f t="shared" si="1"/>
        <v>0</v>
      </c>
      <c r="K14" s="9">
        <f t="shared" si="2"/>
        <v>0</v>
      </c>
      <c r="L14" s="10"/>
      <c r="M14" s="11"/>
      <c r="N14" s="24" t="s">
        <v>87</v>
      </c>
      <c r="O14" s="24">
        <v>11.0</v>
      </c>
      <c r="P14" s="8">
        <f t="shared" si="5"/>
        <v>5</v>
      </c>
      <c r="Q14" s="8">
        <f t="shared" si="3"/>
        <v>7.462686567</v>
      </c>
      <c r="R14" s="8"/>
      <c r="S14" s="8" t="str">
        <f>IF(Q14&lt;=10,,"Problema de Tensión")</f>
        <v/>
      </c>
      <c r="T14" s="8" t="str">
        <f>IF(Q14&gt;=1,,"Problema de Tensión")</f>
        <v/>
      </c>
      <c r="U14" s="8"/>
      <c r="V14" s="8"/>
      <c r="W14" s="24" t="s">
        <v>88</v>
      </c>
      <c r="X14" s="24" t="s">
        <v>89</v>
      </c>
      <c r="Y14" s="24">
        <f>5/100</f>
        <v>0.05</v>
      </c>
      <c r="Z14" s="24">
        <v>0.0</v>
      </c>
      <c r="AA14" s="8"/>
      <c r="AB14" s="8">
        <v>11.0</v>
      </c>
      <c r="AC14" s="8"/>
      <c r="AD14" s="8" t="str">
        <f>IF(AC14&lt;=10,,"Problema de Tensión")</f>
        <v/>
      </c>
      <c r="AE14" s="8" t="str">
        <f>IF(AC14&gt;=1,,"Problema de Tensión")</f>
        <v>Problema de Tensión</v>
      </c>
      <c r="AF14" s="8" t="s">
        <v>29</v>
      </c>
      <c r="AG14" s="8">
        <v>3.0</v>
      </c>
      <c r="AH14" s="8">
        <f t="shared" si="7"/>
        <v>0</v>
      </c>
      <c r="AI14" s="8"/>
      <c r="AJ14" s="1"/>
      <c r="AK14" s="1"/>
      <c r="AL14" s="1"/>
      <c r="AM14" s="1"/>
      <c r="AN14" s="1"/>
      <c r="AO14" s="1"/>
      <c r="AP14" s="1"/>
      <c r="AQ14" s="1"/>
      <c r="AR14" s="13"/>
    </row>
    <row r="15" ht="15.75" customHeight="1">
      <c r="A15" s="1"/>
      <c r="B15" s="1"/>
      <c r="C15" s="1" t="str">
        <f t="shared" si="4"/>
        <v>Diego Said </v>
      </c>
      <c r="D15" s="2"/>
      <c r="E15" s="29" t="s">
        <v>47</v>
      </c>
      <c r="F15" s="29" t="s">
        <v>81</v>
      </c>
      <c r="G15" s="30" t="s">
        <v>25</v>
      </c>
      <c r="H15" s="2"/>
      <c r="I15" s="1"/>
      <c r="J15" s="4">
        <f t="shared" si="1"/>
        <v>0</v>
      </c>
      <c r="K15" s="9">
        <f t="shared" si="2"/>
        <v>0</v>
      </c>
      <c r="L15" s="10"/>
      <c r="M15" s="11"/>
      <c r="N15" s="24" t="s">
        <v>91</v>
      </c>
      <c r="O15" s="24">
        <v>12.0</v>
      </c>
      <c r="P15" s="8">
        <f t="shared" si="5"/>
        <v>0</v>
      </c>
      <c r="Q15" s="8">
        <f t="shared" si="3"/>
        <v>0</v>
      </c>
      <c r="R15" s="8"/>
      <c r="S15" s="8" t="str">
        <f>IF(Q15&lt;=7,,"Problema de Reintegración")</f>
        <v/>
      </c>
      <c r="T15" s="8" t="str">
        <f>IF(Q15&gt;=0,,"Problema de Reintegración")</f>
        <v/>
      </c>
      <c r="U15" s="8"/>
      <c r="V15" s="8"/>
      <c r="W15" s="24" t="s">
        <v>88</v>
      </c>
      <c r="X15" s="24" t="s">
        <v>92</v>
      </c>
      <c r="Y15" s="24">
        <f>7/100</f>
        <v>0.07</v>
      </c>
      <c r="Z15" s="24">
        <v>0.0</v>
      </c>
      <c r="AA15" s="8"/>
      <c r="AB15" s="8">
        <v>12.0</v>
      </c>
      <c r="AC15" s="8"/>
      <c r="AD15" s="8" t="str">
        <f>IF(AC15&lt;=7,,"Problema de Reintegración")</f>
        <v/>
      </c>
      <c r="AE15" s="8" t="str">
        <f>IF(AC15&gt;=0,,"Problema de Reintegración")</f>
        <v/>
      </c>
      <c r="AF15" s="8" t="s">
        <v>29</v>
      </c>
      <c r="AG15" s="8">
        <v>4.0</v>
      </c>
      <c r="AH15" s="8">
        <f t="shared" si="7"/>
        <v>0</v>
      </c>
      <c r="AI15" s="8"/>
      <c r="AJ15" s="1"/>
      <c r="AK15" s="1"/>
      <c r="AL15" s="1"/>
      <c r="AM15" s="1"/>
      <c r="AN15" s="1"/>
      <c r="AO15" s="1"/>
      <c r="AP15" s="1"/>
      <c r="AQ15" s="1"/>
      <c r="AR15" s="13"/>
    </row>
    <row r="16" ht="15.75" customHeight="1">
      <c r="A16" s="1"/>
      <c r="B16" s="1"/>
      <c r="C16" s="1" t="str">
        <f t="shared" si="4"/>
        <v>Muro </v>
      </c>
      <c r="D16" s="2"/>
      <c r="E16" s="44" t="s">
        <v>13</v>
      </c>
      <c r="F16" s="29" t="s">
        <v>93</v>
      </c>
      <c r="G16" s="30" t="s">
        <v>94</v>
      </c>
      <c r="H16" s="2"/>
      <c r="I16" s="1"/>
      <c r="J16" s="4">
        <f t="shared" si="1"/>
        <v>0</v>
      </c>
      <c r="K16" s="9">
        <f t="shared" si="2"/>
        <v>0</v>
      </c>
      <c r="L16" s="10"/>
      <c r="M16" s="11"/>
      <c r="N16" s="24"/>
      <c r="O16" s="24"/>
      <c r="P16" s="8"/>
      <c r="Q16" s="8"/>
      <c r="R16" s="8"/>
      <c r="S16" s="8"/>
      <c r="T16" s="8"/>
      <c r="U16" s="24"/>
      <c r="V16" s="8"/>
      <c r="W16" s="24"/>
      <c r="X16" s="24"/>
      <c r="Y16" s="24"/>
      <c r="Z16" s="24"/>
      <c r="AA16" s="8"/>
      <c r="AB16" s="8"/>
      <c r="AC16" s="8"/>
      <c r="AD16" s="8"/>
      <c r="AE16" s="8"/>
      <c r="AF16" s="8" t="s">
        <v>29</v>
      </c>
      <c r="AG16" s="8">
        <v>5.0</v>
      </c>
      <c r="AH16" s="8">
        <f t="shared" si="7"/>
        <v>0</v>
      </c>
      <c r="AI16" s="8"/>
      <c r="AJ16" s="1"/>
      <c r="AK16" s="1"/>
      <c r="AL16" s="1"/>
      <c r="AM16" s="1"/>
      <c r="AN16" s="1"/>
      <c r="AO16" s="1"/>
      <c r="AP16" s="1"/>
      <c r="AQ16" s="1"/>
      <c r="AR16" s="13"/>
    </row>
    <row r="17" ht="29.25" customHeight="1">
      <c r="A17" s="1"/>
      <c r="B17" s="1"/>
      <c r="C17" s="1" t="str">
        <f t="shared" si="4"/>
        <v>Bruno Rios </v>
      </c>
      <c r="D17" s="2"/>
      <c r="E17" s="30" t="s">
        <v>23</v>
      </c>
      <c r="F17" s="30" t="s">
        <v>93</v>
      </c>
      <c r="G17" s="51" t="s">
        <v>95</v>
      </c>
      <c r="H17" s="2"/>
      <c r="J17" s="4">
        <f t="shared" si="1"/>
        <v>0</v>
      </c>
      <c r="K17" s="9">
        <f t="shared" si="2"/>
        <v>0</v>
      </c>
      <c r="L17" s="10"/>
      <c r="M17" s="11"/>
      <c r="N17" s="8"/>
      <c r="O17" s="8"/>
      <c r="P17" s="8"/>
      <c r="Q17" s="8"/>
      <c r="R17" s="8"/>
      <c r="S17" s="8"/>
      <c r="T17" s="24"/>
      <c r="U17" s="8" t="s">
        <v>96</v>
      </c>
      <c r="V17" s="8"/>
      <c r="W17" s="8"/>
      <c r="X17" s="8"/>
      <c r="Y17" s="8"/>
      <c r="Z17" s="8"/>
      <c r="AA17" s="8"/>
      <c r="AB17" s="8"/>
      <c r="AC17" s="8"/>
      <c r="AD17" s="8"/>
      <c r="AE17" s="8"/>
      <c r="AF17" s="8"/>
      <c r="AG17" s="8">
        <v>6.0</v>
      </c>
      <c r="AH17" s="8">
        <f t="shared" si="7"/>
        <v>1</v>
      </c>
      <c r="AI17" s="8"/>
      <c r="AJ17" s="1"/>
      <c r="AK17" s="1"/>
      <c r="AL17" s="1"/>
      <c r="AM17" s="1"/>
      <c r="AN17" s="1"/>
      <c r="AO17" s="1"/>
      <c r="AP17" s="1"/>
      <c r="AQ17" s="1"/>
      <c r="AR17" s="13"/>
    </row>
    <row r="18" ht="37.5" customHeight="1">
      <c r="A18" s="1"/>
      <c r="B18" s="1"/>
      <c r="C18" s="1" t="str">
        <f t="shared" si="4"/>
        <v>Diego Said </v>
      </c>
      <c r="D18" s="2"/>
      <c r="E18" s="30" t="s">
        <v>47</v>
      </c>
      <c r="F18" s="30" t="s">
        <v>93</v>
      </c>
      <c r="G18" s="51" t="s">
        <v>97</v>
      </c>
      <c r="H18" s="2"/>
      <c r="I18" s="1"/>
      <c r="J18" s="4">
        <f t="shared" si="1"/>
        <v>0</v>
      </c>
      <c r="K18" s="9">
        <f t="shared" si="2"/>
        <v>0</v>
      </c>
      <c r="L18" s="10"/>
      <c r="M18" s="11"/>
      <c r="N18" s="24" t="s">
        <v>98</v>
      </c>
      <c r="O18" s="8" t="s">
        <v>99</v>
      </c>
      <c r="P18" s="8" t="s">
        <v>99</v>
      </c>
      <c r="Q18" s="8" t="s">
        <v>99</v>
      </c>
      <c r="R18" s="8"/>
      <c r="S18" s="8" t="s">
        <v>100</v>
      </c>
      <c r="T18" s="8"/>
      <c r="U18" s="8"/>
      <c r="V18" s="8"/>
      <c r="W18" s="8"/>
      <c r="X18" s="8"/>
      <c r="Y18" s="8"/>
      <c r="Z18" s="8"/>
      <c r="AA18" s="8"/>
      <c r="AB18" s="8"/>
      <c r="AC18" s="8"/>
      <c r="AD18" s="8"/>
      <c r="AE18" s="8"/>
      <c r="AF18" s="8"/>
      <c r="AG18" s="8">
        <v>7.0</v>
      </c>
      <c r="AH18" s="8">
        <f t="shared" si="7"/>
        <v>0</v>
      </c>
      <c r="AI18" s="8"/>
      <c r="AJ18" s="1"/>
      <c r="AK18" s="1"/>
      <c r="AL18" s="1"/>
      <c r="AM18" s="1"/>
      <c r="AN18" s="1"/>
      <c r="AO18" s="1"/>
      <c r="AP18" s="1"/>
      <c r="AQ18" s="1"/>
      <c r="AR18" s="13"/>
    </row>
    <row r="19" ht="30.0" customHeight="1">
      <c r="A19" s="1"/>
      <c r="B19" s="1"/>
      <c r="C19" s="1" t="str">
        <f t="shared" si="4"/>
        <v>Bruno Rios </v>
      </c>
      <c r="D19" s="2"/>
      <c r="E19" s="30" t="s">
        <v>23</v>
      </c>
      <c r="F19" s="30" t="s">
        <v>102</v>
      </c>
      <c r="G19" s="51" t="s">
        <v>103</v>
      </c>
      <c r="H19" s="2"/>
      <c r="I19" s="42" t="s">
        <v>104</v>
      </c>
      <c r="J19" s="4">
        <f t="shared" si="1"/>
        <v>19</v>
      </c>
      <c r="K19" s="9">
        <f t="shared" si="2"/>
        <v>7</v>
      </c>
      <c r="L19" s="10"/>
      <c r="M19" s="11"/>
      <c r="N19" s="24" t="s">
        <v>105</v>
      </c>
      <c r="O19" s="12" t="s">
        <v>23</v>
      </c>
      <c r="P19" s="8">
        <f t="shared" ref="P19:P25" si="8">COUNTIFS(C$3:C$159,O19,K$3:K$159,"&gt;0") + COUNTIFS(C$3:C$159,M19,K$3:K$159,"&gt;0")</f>
        <v>10</v>
      </c>
      <c r="Q19" s="8"/>
      <c r="R19" s="8"/>
      <c r="S19" s="8"/>
      <c r="T19" s="8"/>
      <c r="U19" s="8"/>
      <c r="V19" s="8"/>
      <c r="W19" s="8"/>
      <c r="X19" s="8"/>
      <c r="Y19" s="8"/>
      <c r="Z19" s="8"/>
      <c r="AA19" s="8"/>
      <c r="AB19" s="8"/>
      <c r="AC19" s="8"/>
      <c r="AD19" s="8"/>
      <c r="AE19" s="8"/>
      <c r="AF19" s="8"/>
      <c r="AG19" s="8">
        <v>8.0</v>
      </c>
      <c r="AH19" s="8">
        <f t="shared" si="7"/>
        <v>1</v>
      </c>
      <c r="AI19" s="8"/>
      <c r="AJ19" s="1"/>
      <c r="AK19" s="1"/>
      <c r="AL19" s="1"/>
      <c r="AM19" s="1"/>
      <c r="AN19" s="1"/>
      <c r="AO19" s="1"/>
      <c r="AP19" s="1"/>
      <c r="AQ19" s="1"/>
      <c r="AR19" s="13"/>
    </row>
    <row r="20" ht="36.75" customHeight="1">
      <c r="A20" s="1"/>
      <c r="B20" s="1"/>
      <c r="C20" s="1" t="str">
        <f t="shared" si="4"/>
        <v>Diego Said </v>
      </c>
      <c r="D20" s="2"/>
      <c r="E20" s="30" t="s">
        <v>47</v>
      </c>
      <c r="F20" s="30" t="s">
        <v>102</v>
      </c>
      <c r="G20" s="51" t="s">
        <v>106</v>
      </c>
      <c r="H20" s="2"/>
      <c r="I20" s="42" t="s">
        <v>44</v>
      </c>
      <c r="J20" s="4">
        <f t="shared" si="1"/>
        <v>30</v>
      </c>
      <c r="K20" s="9">
        <f t="shared" si="2"/>
        <v>8</v>
      </c>
      <c r="L20" s="10"/>
      <c r="M20" s="11"/>
      <c r="N20" s="24" t="s">
        <v>105</v>
      </c>
      <c r="O20" s="12" t="s">
        <v>13</v>
      </c>
      <c r="P20" s="8">
        <f t="shared" si="8"/>
        <v>30</v>
      </c>
      <c r="Q20" s="8"/>
      <c r="R20" s="8"/>
      <c r="S20" s="8"/>
      <c r="T20" s="8"/>
      <c r="U20" s="8"/>
      <c r="V20" s="8"/>
      <c r="W20" s="8"/>
      <c r="X20" s="8"/>
      <c r="Y20" s="8"/>
      <c r="Z20" s="8"/>
      <c r="AA20" s="8"/>
      <c r="AB20" s="8"/>
      <c r="AC20" s="8"/>
      <c r="AD20" s="8"/>
      <c r="AE20" s="8"/>
      <c r="AF20" s="8"/>
      <c r="AG20" s="8">
        <v>9.0</v>
      </c>
      <c r="AH20" s="8">
        <f t="shared" si="7"/>
        <v>0</v>
      </c>
      <c r="AI20" s="8"/>
      <c r="AJ20" s="1"/>
      <c r="AK20" s="1"/>
      <c r="AL20" s="1"/>
      <c r="AM20" s="1"/>
      <c r="AN20" s="1"/>
      <c r="AO20" s="1"/>
      <c r="AP20" s="1"/>
      <c r="AQ20" s="1"/>
      <c r="AR20" s="13"/>
    </row>
    <row r="21" ht="47.25" customHeight="1">
      <c r="A21" s="1"/>
      <c r="B21" s="1"/>
      <c r="C21" s="1" t="str">
        <f t="shared" si="4"/>
        <v>Bruno Rios </v>
      </c>
      <c r="D21" s="2"/>
      <c r="E21" s="52" t="s">
        <v>23</v>
      </c>
      <c r="F21" s="30" t="s">
        <v>102</v>
      </c>
      <c r="G21" s="51" t="s">
        <v>107</v>
      </c>
      <c r="H21" s="2"/>
      <c r="I21" s="42" t="s">
        <v>77</v>
      </c>
      <c r="J21" s="4">
        <f t="shared" si="1"/>
        <v>26</v>
      </c>
      <c r="K21" s="9">
        <f t="shared" si="2"/>
        <v>3</v>
      </c>
      <c r="L21" s="10"/>
      <c r="M21" s="11"/>
      <c r="N21" s="24" t="s">
        <v>105</v>
      </c>
      <c r="O21" s="12" t="s">
        <v>47</v>
      </c>
      <c r="P21" s="8">
        <f t="shared" si="8"/>
        <v>17</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13"/>
    </row>
    <row r="22" ht="27.0" customHeight="1">
      <c r="A22" s="1"/>
      <c r="B22" s="1"/>
      <c r="C22" s="1" t="str">
        <f t="shared" si="4"/>
        <v>Bruno Rios </v>
      </c>
      <c r="D22" s="2"/>
      <c r="E22" s="53"/>
      <c r="F22" s="50"/>
      <c r="G22" s="51" t="s">
        <v>109</v>
      </c>
      <c r="H22" s="2"/>
      <c r="I22" s="42" t="s">
        <v>110</v>
      </c>
      <c r="J22" s="4">
        <f t="shared" si="1"/>
        <v>9</v>
      </c>
      <c r="K22" s="9">
        <f t="shared" si="2"/>
        <v>11</v>
      </c>
      <c r="L22" s="10"/>
      <c r="M22" s="11"/>
      <c r="N22" s="24" t="s">
        <v>105</v>
      </c>
      <c r="O22" s="12" t="s">
        <v>57</v>
      </c>
      <c r="P22" s="8">
        <f t="shared" si="8"/>
        <v>8</v>
      </c>
      <c r="Q22" s="8"/>
      <c r="R22" s="8"/>
      <c r="S22" s="8"/>
      <c r="T22" s="8"/>
      <c r="U22" s="8"/>
      <c r="V22" s="8"/>
      <c r="W22" s="8"/>
      <c r="X22" s="8"/>
      <c r="Y22" s="8"/>
      <c r="Z22" s="8"/>
      <c r="AA22" s="8"/>
      <c r="AB22" s="8"/>
      <c r="AC22" s="8"/>
      <c r="AD22" s="8"/>
      <c r="AE22" s="8"/>
      <c r="AF22" s="8"/>
      <c r="AG22" s="8">
        <v>11.0</v>
      </c>
      <c r="AH22" s="8">
        <f t="shared" si="7"/>
        <v>0</v>
      </c>
      <c r="AI22" s="8"/>
      <c r="AJ22" s="1"/>
      <c r="AK22" s="1"/>
      <c r="AL22" s="1"/>
      <c r="AM22" s="1"/>
      <c r="AN22" s="1"/>
      <c r="AO22" s="1"/>
      <c r="AP22" s="1"/>
      <c r="AQ22" s="1"/>
      <c r="AR22" s="13"/>
    </row>
    <row r="23" ht="27.0" customHeight="1">
      <c r="A23" s="1"/>
      <c r="B23" s="1"/>
      <c r="C23" s="1" t="str">
        <f t="shared" si="4"/>
        <v>Diego Said </v>
      </c>
      <c r="D23" s="2"/>
      <c r="E23" s="52" t="s">
        <v>47</v>
      </c>
      <c r="F23" s="30" t="s">
        <v>102</v>
      </c>
      <c r="G23" s="51" t="s">
        <v>111</v>
      </c>
      <c r="H23" s="2"/>
      <c r="I23" s="1"/>
      <c r="J23" s="4">
        <f t="shared" si="1"/>
        <v>0</v>
      </c>
      <c r="K23" s="9">
        <f t="shared" si="2"/>
        <v>0</v>
      </c>
      <c r="L23" s="10"/>
      <c r="M23" s="11"/>
      <c r="N23" s="24" t="s">
        <v>105</v>
      </c>
      <c r="O23" s="12" t="s">
        <v>67</v>
      </c>
      <c r="P23" s="8">
        <f t="shared" si="8"/>
        <v>2</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1" t="str">
        <f t="shared" si="4"/>
        <v>Muro </v>
      </c>
      <c r="D24" s="2"/>
      <c r="E24" s="52" t="s">
        <v>13</v>
      </c>
      <c r="F24" s="30" t="s">
        <v>113</v>
      </c>
      <c r="G24" s="51" t="s">
        <v>114</v>
      </c>
      <c r="H24" s="2"/>
      <c r="I24" s="1"/>
      <c r="J24" s="4">
        <f t="shared" si="1"/>
        <v>0</v>
      </c>
      <c r="K24" s="9">
        <f t="shared" si="2"/>
        <v>0</v>
      </c>
      <c r="L24" s="10"/>
      <c r="M24" s="11"/>
      <c r="N24" s="24" t="s">
        <v>105</v>
      </c>
      <c r="O24" s="8"/>
      <c r="P24" s="8">
        <f t="shared" si="8"/>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1" t="str">
        <f t="shared" si="4"/>
        <v>Muro </v>
      </c>
      <c r="D25" s="2"/>
      <c r="E25" s="52" t="s">
        <v>13</v>
      </c>
      <c r="F25" s="30" t="s">
        <v>116</v>
      </c>
      <c r="G25" s="51" t="s">
        <v>117</v>
      </c>
      <c r="H25" s="2"/>
      <c r="I25" s="1"/>
      <c r="J25" s="4">
        <f t="shared" si="1"/>
        <v>0</v>
      </c>
      <c r="K25" s="9">
        <f t="shared" si="2"/>
        <v>0</v>
      </c>
      <c r="L25" s="10"/>
      <c r="M25" s="11"/>
      <c r="N25" s="24" t="s">
        <v>105</v>
      </c>
      <c r="O25" s="8"/>
      <c r="P25" s="8">
        <f t="shared" si="8"/>
        <v>0</v>
      </c>
      <c r="Q25" s="24" t="s">
        <v>6</v>
      </c>
      <c r="R25" s="8"/>
      <c r="S25" s="8"/>
      <c r="T25" s="8"/>
      <c r="U25" s="24" t="s">
        <v>6</v>
      </c>
      <c r="V25" s="24"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1" t="str">
        <f t="shared" si="4"/>
        <v>Muro </v>
      </c>
      <c r="D26" s="2"/>
      <c r="E26" s="53"/>
      <c r="F26" s="50"/>
      <c r="G26" s="51" t="s">
        <v>120</v>
      </c>
      <c r="H26" s="2"/>
      <c r="I26" s="42" t="s">
        <v>44</v>
      </c>
      <c r="J26" s="4">
        <f t="shared" si="1"/>
        <v>30</v>
      </c>
      <c r="K26" s="9">
        <f t="shared" si="2"/>
        <v>8</v>
      </c>
      <c r="L26" s="10"/>
      <c r="M26" s="11"/>
      <c r="N26" s="24"/>
      <c r="O26" s="8"/>
      <c r="P26" s="24" t="s">
        <v>122</v>
      </c>
      <c r="Q26" s="24" t="s">
        <v>10</v>
      </c>
      <c r="R26" s="24"/>
      <c r="S26" s="24" t="s">
        <v>123</v>
      </c>
      <c r="T26" s="8"/>
      <c r="U26" s="24" t="s">
        <v>124</v>
      </c>
      <c r="V26" s="24" t="s">
        <v>125</v>
      </c>
      <c r="W26" s="8"/>
      <c r="X26" s="8"/>
      <c r="Y26" s="8"/>
      <c r="Z26" s="8"/>
      <c r="AA26" s="8"/>
      <c r="AB26" s="24" t="s">
        <v>126</v>
      </c>
      <c r="AC26" s="8"/>
      <c r="AD26" s="8"/>
      <c r="AE26" s="8"/>
      <c r="AF26" s="8"/>
      <c r="AG26" s="8"/>
      <c r="AH26" s="8"/>
      <c r="AI26" s="8"/>
      <c r="AJ26" s="8"/>
      <c r="AK26" s="8"/>
      <c r="AL26" s="8"/>
      <c r="AM26" s="8"/>
      <c r="AN26" s="8"/>
      <c r="AO26" s="8"/>
      <c r="AP26" s="24" t="s">
        <v>127</v>
      </c>
      <c r="AQ26" s="8"/>
      <c r="AR26" s="8"/>
    </row>
    <row r="27" ht="39.75" customHeight="1">
      <c r="A27" s="1"/>
      <c r="B27" s="1"/>
      <c r="C27" s="1" t="str">
        <f t="shared" si="4"/>
        <v>Muro </v>
      </c>
      <c r="D27" s="2"/>
      <c r="E27" s="53"/>
      <c r="F27" s="50"/>
      <c r="G27" s="51" t="s">
        <v>128</v>
      </c>
      <c r="H27" s="2"/>
      <c r="I27" s="42" t="s">
        <v>69</v>
      </c>
      <c r="J27" s="4">
        <f t="shared" si="1"/>
        <v>35</v>
      </c>
      <c r="K27" s="9">
        <f t="shared" si="2"/>
        <v>6</v>
      </c>
      <c r="L27" s="10"/>
      <c r="M27" s="11"/>
      <c r="N27" s="24" t="s">
        <v>130</v>
      </c>
      <c r="O27" s="8" t="s">
        <v>131</v>
      </c>
      <c r="P27" s="8"/>
      <c r="Q27" s="8"/>
      <c r="R27" s="8"/>
      <c r="S27" s="8">
        <f>COUNTIFS(C$3:C$159,S$18,K$3:K$159,"&gt;0") + COUNTIFS(C$3:C$159,T$18,K$3:K$159,"&gt;0")</f>
        <v>0</v>
      </c>
      <c r="T27" s="8">
        <f>(S27/P$3)*100</f>
        <v>0</v>
      </c>
      <c r="U27" s="8"/>
      <c r="V27" s="59"/>
      <c r="W27" s="60" t="s">
        <v>132</v>
      </c>
      <c r="X27" s="61" t="s">
        <v>133</v>
      </c>
      <c r="Y27" s="61" t="s">
        <v>136</v>
      </c>
      <c r="Z27" s="24" t="s">
        <v>18</v>
      </c>
      <c r="AA27" s="8"/>
      <c r="AB27" s="24" t="s">
        <v>137</v>
      </c>
      <c r="AC27" s="24" t="s">
        <v>138</v>
      </c>
      <c r="AD27" s="24" t="s">
        <v>139</v>
      </c>
      <c r="AE27" s="24" t="s">
        <v>17</v>
      </c>
      <c r="AF27" s="24" t="s">
        <v>18</v>
      </c>
      <c r="AG27" s="24" t="s">
        <v>140</v>
      </c>
      <c r="AH27" s="24" t="s">
        <v>141</v>
      </c>
      <c r="AI27" s="8"/>
      <c r="AJ27" s="8"/>
      <c r="AK27" s="8" t="s">
        <v>142</v>
      </c>
      <c r="AL27" s="8" t="s">
        <v>143</v>
      </c>
      <c r="AM27" s="8" t="s">
        <v>144</v>
      </c>
      <c r="AN27" s="8"/>
      <c r="AO27" s="8"/>
      <c r="AP27" s="8" t="str">
        <f>S18</f>
        <v>hernan</v>
      </c>
      <c r="AQ27" s="8"/>
      <c r="AR27" s="8" t="s">
        <v>29</v>
      </c>
    </row>
    <row r="28" ht="36.75" customHeight="1">
      <c r="A28" s="1"/>
      <c r="B28" s="1"/>
      <c r="C28" s="1" t="str">
        <f t="shared" si="4"/>
        <v>Bruno Rios </v>
      </c>
      <c r="D28" s="2"/>
      <c r="E28" s="52" t="s">
        <v>23</v>
      </c>
      <c r="F28" s="30" t="s">
        <v>145</v>
      </c>
      <c r="G28" s="51" t="s">
        <v>146</v>
      </c>
      <c r="H28" s="2"/>
      <c r="I28" s="42" t="s">
        <v>135</v>
      </c>
      <c r="J28" s="4">
        <f t="shared" si="1"/>
        <v>3</v>
      </c>
      <c r="K28" s="9">
        <f t="shared" si="2"/>
        <v>5</v>
      </c>
      <c r="L28" s="10"/>
      <c r="M28" s="11"/>
      <c r="N28" s="24" t="s">
        <v>147</v>
      </c>
      <c r="O28" s="24">
        <v>1.0</v>
      </c>
      <c r="P28" s="8">
        <f t="shared" ref="P28:P63" si="9">COUNTIF(I$3:I$24,W28)</f>
        <v>0</v>
      </c>
      <c r="Q28" s="8">
        <f t="shared" ref="Q28:Q63" si="10">(P28/P$3)</f>
        <v>0</v>
      </c>
      <c r="R28" s="8"/>
      <c r="S28" s="8">
        <f t="shared" ref="S28:S63" si="11">COUNTIFS(J$3:J$159,O28,C$3:C$159,S$18) + COUNTIFS(J$3:J$159,O28,C$3:C$159,T$18)</f>
        <v>0</v>
      </c>
      <c r="T28" s="8" t="str">
        <f t="shared" ref="T28:T63" si="12">IF(P28&lt;&gt;0,S28/P28,"oo")</f>
        <v>oo</v>
      </c>
      <c r="U28" s="8">
        <f t="shared" ref="U28:U63" si="13">IF(P28&lt;&gt;0,T28,0)</f>
        <v>0</v>
      </c>
      <c r="V28" s="59">
        <f t="shared" ref="V28:V63" si="14">U28*Q28</f>
        <v>0</v>
      </c>
      <c r="W28" s="62" t="s">
        <v>148</v>
      </c>
      <c r="X28" s="63" t="s">
        <v>149</v>
      </c>
      <c r="Y28" s="64" t="s">
        <v>150</v>
      </c>
      <c r="Z28" s="24">
        <v>5.0</v>
      </c>
      <c r="AA28" s="8"/>
      <c r="AB28" s="8">
        <f t="shared" ref="AB28:AB63" si="15">SUMIFS(V$28:V$63,Y$28:Y$63,Y28)</f>
        <v>0</v>
      </c>
      <c r="AC28" s="8">
        <f t="shared" ref="AC28:AC63" si="16">SUMIFS(Q$28:Q$63,Y$28:Y$63,Y28)</f>
        <v>0</v>
      </c>
      <c r="AD28" s="8">
        <f t="shared" ref="AD28:AD63" si="17">IF(AC28&lt;&gt;0,AB28/AC28,0)</f>
        <v>0</v>
      </c>
      <c r="AE28" s="24" t="s">
        <v>151</v>
      </c>
      <c r="AF28" s="24">
        <v>6.0</v>
      </c>
      <c r="AG28" s="24" t="s">
        <v>152</v>
      </c>
      <c r="AH28" s="8">
        <f t="shared" ref="AH28:AH52" si="18">SUMIFS(V$28:V$63,Y$28:Y$63,AG28,Z$28:Z$63,AF28)</f>
        <v>0</v>
      </c>
      <c r="AI28" s="8" t="str">
        <f t="shared" ref="AI28:AI52" si="19">IF(AH28&lt;0.21,"BAJO",0)</f>
        <v>BAJO</v>
      </c>
      <c r="AJ28" s="8">
        <f t="shared" ref="AJ28:AJ52" si="20">IF(AH28&gt;0.5,"ALTO",0)</f>
        <v>0</v>
      </c>
      <c r="AK28" s="8" t="s">
        <v>27</v>
      </c>
      <c r="AL28" s="8" t="s">
        <v>154</v>
      </c>
      <c r="AM28" s="65" t="s">
        <v>155</v>
      </c>
      <c r="AN28" s="8"/>
      <c r="AO28" s="8"/>
      <c r="AP28" s="8" t="str">
        <f>IF(AND(AI$28&lt;&gt;0, AH$17&lt;&gt;0),AL$28&amp;" - "&amp;AK$28,0)</f>
        <v>Estudiante requiere entrenamiento de subhabilidad Informar - Comunicación</v>
      </c>
      <c r="AQ28" s="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8" t="s">
        <v>29</v>
      </c>
    </row>
    <row r="29" ht="31.5" customHeight="1">
      <c r="A29" s="1"/>
      <c r="B29" s="1"/>
      <c r="C29" s="1" t="str">
        <f t="shared" si="4"/>
        <v>Muro </v>
      </c>
      <c r="D29" s="2"/>
      <c r="E29" s="52" t="s">
        <v>13</v>
      </c>
      <c r="F29" s="30" t="s">
        <v>156</v>
      </c>
      <c r="G29" s="51" t="s">
        <v>157</v>
      </c>
      <c r="H29" s="2"/>
      <c r="I29" s="42" t="s">
        <v>158</v>
      </c>
      <c r="J29" s="4">
        <f t="shared" si="1"/>
        <v>33</v>
      </c>
      <c r="K29" s="9">
        <f t="shared" si="2"/>
        <v>5</v>
      </c>
      <c r="L29" s="10"/>
      <c r="M29" s="11"/>
      <c r="N29" s="24" t="s">
        <v>147</v>
      </c>
      <c r="O29" s="24">
        <v>2.0</v>
      </c>
      <c r="P29" s="8">
        <f t="shared" si="9"/>
        <v>0</v>
      </c>
      <c r="Q29" s="8">
        <f t="shared" si="10"/>
        <v>0</v>
      </c>
      <c r="R29" s="8"/>
      <c r="S29" s="8">
        <f t="shared" si="11"/>
        <v>0</v>
      </c>
      <c r="T29" s="8" t="str">
        <f t="shared" si="12"/>
        <v>oo</v>
      </c>
      <c r="U29" s="8">
        <f t="shared" si="13"/>
        <v>0</v>
      </c>
      <c r="V29" s="59">
        <f t="shared" si="14"/>
        <v>0</v>
      </c>
      <c r="W29" s="62" t="s">
        <v>159</v>
      </c>
      <c r="X29" s="63" t="s">
        <v>160</v>
      </c>
      <c r="Y29" s="64" t="s">
        <v>161</v>
      </c>
      <c r="Z29" s="24">
        <v>5.0</v>
      </c>
      <c r="AA29" s="8"/>
      <c r="AB29" s="8">
        <f t="shared" si="15"/>
        <v>0</v>
      </c>
      <c r="AC29" s="8">
        <f t="shared" si="16"/>
        <v>0.01492537313</v>
      </c>
      <c r="AD29" s="8">
        <f t="shared" si="17"/>
        <v>0</v>
      </c>
      <c r="AE29" s="24"/>
      <c r="AF29" s="24">
        <v>6.0</v>
      </c>
      <c r="AG29" s="24" t="s">
        <v>162</v>
      </c>
      <c r="AH29" s="8">
        <f t="shared" si="18"/>
        <v>0</v>
      </c>
      <c r="AI29" s="8" t="str">
        <f t="shared" si="19"/>
        <v>BAJO</v>
      </c>
      <c r="AJ29" s="8">
        <f t="shared" si="20"/>
        <v>0</v>
      </c>
      <c r="AK29" s="8" t="s">
        <v>27</v>
      </c>
      <c r="AL29" s="8" t="s">
        <v>163</v>
      </c>
      <c r="AM29" s="65" t="s">
        <v>164</v>
      </c>
      <c r="AN29" s="8"/>
      <c r="AO29" s="8"/>
      <c r="AP29" s="8" t="str">
        <f>IF( AND(AI$29&lt;&gt;0,AH$17&lt;&gt;0),AL$29&amp;" - "&amp;AK$29,0)</f>
        <v>Estudiante requiere entrenamiento de subhabilidad Tarea - Comunicación</v>
      </c>
      <c r="AQ29" s="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8" t="s">
        <v>29</v>
      </c>
    </row>
    <row r="30" ht="52.5" customHeight="1">
      <c r="A30" s="1"/>
      <c r="B30" s="1"/>
      <c r="C30" s="1" t="str">
        <f t="shared" si="4"/>
        <v>Muro </v>
      </c>
      <c r="D30" s="2"/>
      <c r="E30" s="53"/>
      <c r="F30" s="50"/>
      <c r="G30" s="51" t="s">
        <v>165</v>
      </c>
      <c r="H30" s="2"/>
      <c r="I30" s="42" t="s">
        <v>166</v>
      </c>
      <c r="J30" s="4">
        <f t="shared" si="1"/>
        <v>13</v>
      </c>
      <c r="K30" s="9">
        <f t="shared" si="2"/>
        <v>4</v>
      </c>
      <c r="L30" s="10"/>
      <c r="M30" s="11"/>
      <c r="N30" s="24" t="s">
        <v>147</v>
      </c>
      <c r="O30" s="24">
        <v>3.0</v>
      </c>
      <c r="P30" s="8">
        <f t="shared" si="9"/>
        <v>0</v>
      </c>
      <c r="Q30" s="8">
        <f t="shared" si="10"/>
        <v>0</v>
      </c>
      <c r="R30" s="8"/>
      <c r="S30" s="8">
        <f t="shared" si="11"/>
        <v>0</v>
      </c>
      <c r="T30" s="8" t="str">
        <f t="shared" si="12"/>
        <v>oo</v>
      </c>
      <c r="U30" s="8">
        <f t="shared" si="13"/>
        <v>0</v>
      </c>
      <c r="V30" s="59">
        <f t="shared" si="14"/>
        <v>0</v>
      </c>
      <c r="W30" s="62" t="s">
        <v>135</v>
      </c>
      <c r="X30" s="63" t="s">
        <v>167</v>
      </c>
      <c r="Y30" s="64" t="s">
        <v>161</v>
      </c>
      <c r="Z30" s="24">
        <v>5.0</v>
      </c>
      <c r="AA30" s="8"/>
      <c r="AB30" s="8">
        <f t="shared" si="15"/>
        <v>0</v>
      </c>
      <c r="AC30" s="8">
        <f t="shared" si="16"/>
        <v>0.01492537313</v>
      </c>
      <c r="AD30" s="8">
        <f t="shared" si="17"/>
        <v>0</v>
      </c>
      <c r="AE30" s="24"/>
      <c r="AF30" s="24">
        <v>7.0</v>
      </c>
      <c r="AG30" s="24" t="s">
        <v>168</v>
      </c>
      <c r="AH30" s="8">
        <f t="shared" si="18"/>
        <v>0</v>
      </c>
      <c r="AI30" s="8" t="str">
        <f t="shared" si="19"/>
        <v>BAJO</v>
      </c>
      <c r="AJ30" s="8">
        <f t="shared" si="20"/>
        <v>0</v>
      </c>
      <c r="AK30" s="8" t="s">
        <v>27</v>
      </c>
      <c r="AL30" s="8" t="s">
        <v>169</v>
      </c>
      <c r="AM30" s="65" t="s">
        <v>170</v>
      </c>
      <c r="AN30" s="8"/>
      <c r="AO30" s="8"/>
      <c r="AP30" s="8">
        <f>IF( AND(AI$30&lt;&gt;0,AH$18&lt;&gt;0),AL$30&amp;" - "&amp;AK$30,0)</f>
        <v>0</v>
      </c>
      <c r="AQ30" s="8">
        <f>IF( AP30&lt;&gt;0,AM$30,0)</f>
        <v>0</v>
      </c>
      <c r="AR30" s="8" t="s">
        <v>29</v>
      </c>
    </row>
    <row r="31" ht="24.75" customHeight="1">
      <c r="A31" s="1"/>
      <c r="B31" s="1"/>
      <c r="C31" s="1" t="str">
        <f t="shared" si="4"/>
        <v>Bruno Rios </v>
      </c>
      <c r="D31" s="2"/>
      <c r="E31" s="52" t="s">
        <v>23</v>
      </c>
      <c r="F31" s="30" t="s">
        <v>156</v>
      </c>
      <c r="G31" s="51" t="s">
        <v>171</v>
      </c>
      <c r="H31" s="2"/>
      <c r="I31" s="42" t="s">
        <v>77</v>
      </c>
      <c r="J31" s="4">
        <f t="shared" si="1"/>
        <v>26</v>
      </c>
      <c r="K31" s="9">
        <f t="shared" si="2"/>
        <v>3</v>
      </c>
      <c r="L31" s="10"/>
      <c r="M31" s="11"/>
      <c r="N31" s="24" t="s">
        <v>147</v>
      </c>
      <c r="O31" s="24">
        <v>4.0</v>
      </c>
      <c r="P31" s="8">
        <f t="shared" si="9"/>
        <v>0</v>
      </c>
      <c r="Q31" s="8">
        <f t="shared" si="10"/>
        <v>0</v>
      </c>
      <c r="R31" s="8"/>
      <c r="S31" s="8">
        <f t="shared" si="11"/>
        <v>0</v>
      </c>
      <c r="T31" s="8" t="str">
        <f t="shared" si="12"/>
        <v>oo</v>
      </c>
      <c r="U31" s="8">
        <f t="shared" si="13"/>
        <v>0</v>
      </c>
      <c r="V31" s="59">
        <f t="shared" si="14"/>
        <v>0</v>
      </c>
      <c r="W31" s="62" t="s">
        <v>172</v>
      </c>
      <c r="X31" s="63" t="s">
        <v>173</v>
      </c>
      <c r="Y31" s="64" t="s">
        <v>161</v>
      </c>
      <c r="Z31" s="24">
        <v>12.0</v>
      </c>
      <c r="AA31" s="8"/>
      <c r="AB31" s="8">
        <f t="shared" si="15"/>
        <v>0</v>
      </c>
      <c r="AC31" s="8">
        <f t="shared" si="16"/>
        <v>0.01492537313</v>
      </c>
      <c r="AD31" s="8">
        <f t="shared" si="17"/>
        <v>0</v>
      </c>
      <c r="AE31" s="24" t="s">
        <v>39</v>
      </c>
      <c r="AF31" s="24">
        <v>5.0</v>
      </c>
      <c r="AG31" s="24" t="s">
        <v>161</v>
      </c>
      <c r="AH31" s="8">
        <f t="shared" si="18"/>
        <v>0</v>
      </c>
      <c r="AI31" s="8" t="str">
        <f t="shared" si="19"/>
        <v>BAJO</v>
      </c>
      <c r="AJ31" s="8">
        <f t="shared" si="20"/>
        <v>0</v>
      </c>
      <c r="AK31" s="8" t="s">
        <v>39</v>
      </c>
      <c r="AL31" s="8" t="s">
        <v>174</v>
      </c>
      <c r="AM31" s="65" t="s">
        <v>175</v>
      </c>
      <c r="AN31" s="8"/>
      <c r="AO31" s="8"/>
      <c r="AP31" s="8">
        <f>IF( AND(AI$31&lt;&gt;0,AH$16&lt;&gt;0),AL$31&amp;" - "&amp;AK$31,0)</f>
        <v>0</v>
      </c>
      <c r="AQ31" s="8">
        <f>IF( AP31&lt;&gt;0,AM$31,0)</f>
        <v>0</v>
      </c>
      <c r="AR31" s="8" t="s">
        <v>29</v>
      </c>
    </row>
    <row r="32" ht="29.25" customHeight="1">
      <c r="A32" s="1"/>
      <c r="B32" s="1"/>
      <c r="C32" s="1" t="str">
        <f t="shared" si="4"/>
        <v>Muro </v>
      </c>
      <c r="D32" s="2"/>
      <c r="E32" s="52" t="s">
        <v>13</v>
      </c>
      <c r="F32" s="30" t="s">
        <v>176</v>
      </c>
      <c r="G32" s="51" t="s">
        <v>177</v>
      </c>
      <c r="H32" s="2"/>
      <c r="I32" s="42" t="s">
        <v>178</v>
      </c>
      <c r="J32" s="4">
        <f t="shared" si="1"/>
        <v>15</v>
      </c>
      <c r="K32" s="9">
        <f t="shared" si="2"/>
        <v>4</v>
      </c>
      <c r="L32" s="10"/>
      <c r="M32" s="11"/>
      <c r="N32" s="24" t="s">
        <v>147</v>
      </c>
      <c r="O32" s="24">
        <v>5.0</v>
      </c>
      <c r="P32" s="8">
        <f t="shared" si="9"/>
        <v>0</v>
      </c>
      <c r="Q32" s="8">
        <f t="shared" si="10"/>
        <v>0</v>
      </c>
      <c r="R32" s="8"/>
      <c r="S32" s="8">
        <f t="shared" si="11"/>
        <v>0</v>
      </c>
      <c r="T32" s="8" t="str">
        <f t="shared" si="12"/>
        <v>oo</v>
      </c>
      <c r="U32" s="8">
        <f t="shared" si="13"/>
        <v>0</v>
      </c>
      <c r="V32" s="59">
        <f t="shared" si="14"/>
        <v>0</v>
      </c>
      <c r="W32" s="62" t="s">
        <v>180</v>
      </c>
      <c r="X32" s="63" t="s">
        <v>181</v>
      </c>
      <c r="Y32" s="64" t="s">
        <v>161</v>
      </c>
      <c r="Z32" s="24">
        <v>4.0</v>
      </c>
      <c r="AA32" s="8"/>
      <c r="AB32" s="8">
        <f t="shared" si="15"/>
        <v>0</v>
      </c>
      <c r="AC32" s="8">
        <f t="shared" si="16"/>
        <v>0.01492537313</v>
      </c>
      <c r="AD32" s="8">
        <f t="shared" si="17"/>
        <v>0</v>
      </c>
      <c r="AE32" s="24"/>
      <c r="AF32" s="24">
        <v>5.0</v>
      </c>
      <c r="AG32" s="24" t="s">
        <v>150</v>
      </c>
      <c r="AH32" s="8">
        <f t="shared" si="18"/>
        <v>0</v>
      </c>
      <c r="AI32" s="8" t="str">
        <f t="shared" si="19"/>
        <v>BAJO</v>
      </c>
      <c r="AJ32" s="8">
        <f t="shared" si="20"/>
        <v>0</v>
      </c>
      <c r="AK32" s="8" t="s">
        <v>39</v>
      </c>
      <c r="AL32" s="8" t="s">
        <v>183</v>
      </c>
      <c r="AM32" s="65" t="s">
        <v>184</v>
      </c>
      <c r="AN32" s="8"/>
      <c r="AO32" s="8"/>
      <c r="AP32" s="8">
        <f>IF( AND(AI$32&lt;&gt;0,AH$16&lt;&gt;0),AL$32&amp;" - "&amp;AK$32,0)</f>
        <v>0</v>
      </c>
      <c r="AQ32" s="8">
        <f>IF( AP32&lt;&gt;0,AM$32,0)</f>
        <v>0</v>
      </c>
      <c r="AR32" s="8" t="s">
        <v>29</v>
      </c>
    </row>
    <row r="33" ht="20.25" customHeight="1">
      <c r="A33" s="1"/>
      <c r="B33" s="1"/>
      <c r="C33" s="1" t="str">
        <f t="shared" si="4"/>
        <v>Muro </v>
      </c>
      <c r="D33" s="2"/>
      <c r="E33" s="53"/>
      <c r="F33" s="50"/>
      <c r="G33" s="51" t="s">
        <v>185</v>
      </c>
      <c r="H33" s="2"/>
      <c r="I33" s="42" t="s">
        <v>186</v>
      </c>
      <c r="J33" s="4">
        <f t="shared" si="1"/>
        <v>28</v>
      </c>
      <c r="K33" s="9">
        <f t="shared" si="2"/>
        <v>11</v>
      </c>
      <c r="L33" s="10"/>
      <c r="M33" s="11"/>
      <c r="N33" s="24" t="s">
        <v>147</v>
      </c>
      <c r="O33" s="24">
        <v>6.0</v>
      </c>
      <c r="P33" s="8">
        <f t="shared" si="9"/>
        <v>0</v>
      </c>
      <c r="Q33" s="8">
        <f t="shared" si="10"/>
        <v>0</v>
      </c>
      <c r="R33" s="8"/>
      <c r="S33" s="8">
        <f t="shared" si="11"/>
        <v>0</v>
      </c>
      <c r="T33" s="8" t="str">
        <f t="shared" si="12"/>
        <v>oo</v>
      </c>
      <c r="U33" s="8">
        <f t="shared" si="13"/>
        <v>0</v>
      </c>
      <c r="V33" s="59">
        <f t="shared" si="14"/>
        <v>0</v>
      </c>
      <c r="W33" s="62" t="s">
        <v>187</v>
      </c>
      <c r="X33" s="63" t="s">
        <v>188</v>
      </c>
      <c r="Y33" s="64" t="s">
        <v>161</v>
      </c>
      <c r="Z33" s="24">
        <v>5.0</v>
      </c>
      <c r="AA33" s="8"/>
      <c r="AB33" s="8">
        <f t="shared" si="15"/>
        <v>0</v>
      </c>
      <c r="AC33" s="8">
        <f t="shared" si="16"/>
        <v>0.01492537313</v>
      </c>
      <c r="AD33" s="8">
        <f t="shared" si="17"/>
        <v>0</v>
      </c>
      <c r="AE33" s="24"/>
      <c r="AF33" s="24">
        <v>5.0</v>
      </c>
      <c r="AG33" s="24" t="s">
        <v>152</v>
      </c>
      <c r="AH33" s="8">
        <f t="shared" si="18"/>
        <v>0</v>
      </c>
      <c r="AI33" s="8" t="str">
        <f t="shared" si="19"/>
        <v>BAJO</v>
      </c>
      <c r="AJ33" s="8">
        <f t="shared" si="20"/>
        <v>0</v>
      </c>
      <c r="AK33" s="8" t="s">
        <v>39</v>
      </c>
      <c r="AL33" s="8" t="s">
        <v>154</v>
      </c>
      <c r="AM33" s="65" t="s">
        <v>189</v>
      </c>
      <c r="AN33" s="8"/>
      <c r="AO33" s="8"/>
      <c r="AP33" s="8">
        <f>IF( AND(AI$33&lt;&gt;0,AH$16&lt;&gt;0),AL$33&amp;" - "&amp;AK$33,0)</f>
        <v>0</v>
      </c>
      <c r="AQ33" s="8">
        <f>IF( AP33&lt;&gt;0,AM$33,0)</f>
        <v>0</v>
      </c>
      <c r="AR33" s="8" t="s">
        <v>29</v>
      </c>
    </row>
    <row r="34" ht="37.5" customHeight="1">
      <c r="A34" s="1"/>
      <c r="B34" s="1"/>
      <c r="C34" s="1" t="str">
        <f t="shared" si="4"/>
        <v>Bruno Rios </v>
      </c>
      <c r="D34" s="2"/>
      <c r="E34" s="52" t="s">
        <v>23</v>
      </c>
      <c r="F34" s="30" t="s">
        <v>176</v>
      </c>
      <c r="G34" s="51" t="s">
        <v>190</v>
      </c>
      <c r="H34" s="2"/>
      <c r="I34" s="1"/>
      <c r="J34" s="4">
        <f t="shared" si="1"/>
        <v>0</v>
      </c>
      <c r="K34" s="9">
        <f t="shared" si="2"/>
        <v>0</v>
      </c>
      <c r="L34" s="10"/>
      <c r="M34" s="11"/>
      <c r="N34" s="24" t="s">
        <v>147</v>
      </c>
      <c r="O34" s="24">
        <v>7.0</v>
      </c>
      <c r="P34" s="8">
        <f t="shared" si="9"/>
        <v>0</v>
      </c>
      <c r="Q34" s="8">
        <f t="shared" si="10"/>
        <v>0</v>
      </c>
      <c r="R34" s="8"/>
      <c r="S34" s="8">
        <f t="shared" si="11"/>
        <v>0</v>
      </c>
      <c r="T34" s="8" t="str">
        <f t="shared" si="12"/>
        <v>oo</v>
      </c>
      <c r="U34" s="8">
        <f t="shared" si="13"/>
        <v>0</v>
      </c>
      <c r="V34" s="59">
        <f t="shared" si="14"/>
        <v>0</v>
      </c>
      <c r="W34" s="62" t="s">
        <v>191</v>
      </c>
      <c r="X34" s="63" t="s">
        <v>192</v>
      </c>
      <c r="Y34" s="64" t="s">
        <v>161</v>
      </c>
      <c r="Z34" s="24">
        <v>5.0</v>
      </c>
      <c r="AA34" s="8"/>
      <c r="AB34" s="8">
        <f t="shared" si="15"/>
        <v>0</v>
      </c>
      <c r="AC34" s="8">
        <f t="shared" si="16"/>
        <v>0.01492537313</v>
      </c>
      <c r="AD34" s="8">
        <f t="shared" si="17"/>
        <v>0</v>
      </c>
      <c r="AE34" s="24"/>
      <c r="AF34" s="24">
        <v>5.0</v>
      </c>
      <c r="AG34" s="24" t="s">
        <v>193</v>
      </c>
      <c r="AH34" s="8">
        <f t="shared" si="18"/>
        <v>0</v>
      </c>
      <c r="AI34" s="8" t="str">
        <f t="shared" si="19"/>
        <v>BAJO</v>
      </c>
      <c r="AJ34" s="8">
        <f t="shared" si="20"/>
        <v>0</v>
      </c>
      <c r="AK34" s="8" t="s">
        <v>39</v>
      </c>
      <c r="AL34" s="8" t="s">
        <v>194</v>
      </c>
      <c r="AM34" s="65" t="s">
        <v>195</v>
      </c>
      <c r="AN34" s="8"/>
      <c r="AO34" s="8"/>
      <c r="AP34" s="8">
        <f>IF( AND(AI$34&lt;&gt;0,AH$16&lt;&gt;0),AL$34&amp;" - "&amp;AK$34,0)</f>
        <v>0</v>
      </c>
      <c r="AQ34" s="8">
        <f>IF( AP34&lt;&gt;0,AM$34,0)</f>
        <v>0</v>
      </c>
      <c r="AR34" s="8" t="s">
        <v>29</v>
      </c>
    </row>
    <row r="35" ht="24.0" customHeight="1">
      <c r="A35" s="1"/>
      <c r="B35" s="1"/>
      <c r="C35" s="1" t="str">
        <f t="shared" si="4"/>
        <v>Muro </v>
      </c>
      <c r="D35" s="2"/>
      <c r="E35" s="52" t="s">
        <v>13</v>
      </c>
      <c r="F35" s="30" t="s">
        <v>196</v>
      </c>
      <c r="G35" s="51" t="s">
        <v>197</v>
      </c>
      <c r="H35" s="2"/>
      <c r="I35" s="1"/>
      <c r="J35" s="4">
        <f t="shared" si="1"/>
        <v>0</v>
      </c>
      <c r="K35" s="9">
        <f t="shared" si="2"/>
        <v>0</v>
      </c>
      <c r="L35" s="10"/>
      <c r="M35" s="11"/>
      <c r="N35" s="24" t="s">
        <v>147</v>
      </c>
      <c r="O35" s="24">
        <v>8.0</v>
      </c>
      <c r="P35" s="8">
        <f t="shared" si="9"/>
        <v>0</v>
      </c>
      <c r="Q35" s="8">
        <f t="shared" si="10"/>
        <v>0</v>
      </c>
      <c r="R35" s="8"/>
      <c r="S35" s="8">
        <f t="shared" si="11"/>
        <v>0</v>
      </c>
      <c r="T35" s="8" t="str">
        <f t="shared" si="12"/>
        <v>oo</v>
      </c>
      <c r="U35" s="8">
        <f t="shared" si="13"/>
        <v>0</v>
      </c>
      <c r="V35" s="59">
        <f t="shared" si="14"/>
        <v>0</v>
      </c>
      <c r="W35" s="62" t="s">
        <v>198</v>
      </c>
      <c r="X35" s="63" t="s">
        <v>199</v>
      </c>
      <c r="Y35" s="64" t="s">
        <v>161</v>
      </c>
      <c r="Z35" s="24">
        <v>5.0</v>
      </c>
      <c r="AA35" s="8"/>
      <c r="AB35" s="8">
        <f t="shared" si="15"/>
        <v>0</v>
      </c>
      <c r="AC35" s="8">
        <f t="shared" si="16"/>
        <v>0.01492537313</v>
      </c>
      <c r="AD35" s="8">
        <f t="shared" si="17"/>
        <v>0</v>
      </c>
      <c r="AE35" s="24"/>
      <c r="AF35" s="24">
        <v>5.0</v>
      </c>
      <c r="AG35" s="24" t="s">
        <v>162</v>
      </c>
      <c r="AH35" s="8">
        <f t="shared" si="18"/>
        <v>0</v>
      </c>
      <c r="AI35" s="8" t="str">
        <f t="shared" si="19"/>
        <v>BAJO</v>
      </c>
      <c r="AJ35" s="8">
        <f t="shared" si="20"/>
        <v>0</v>
      </c>
      <c r="AK35" s="8" t="s">
        <v>39</v>
      </c>
      <c r="AL35" s="8" t="s">
        <v>163</v>
      </c>
      <c r="AM35" s="65" t="s">
        <v>201</v>
      </c>
      <c r="AN35" s="8"/>
      <c r="AO35" s="8"/>
      <c r="AP35" s="8">
        <f>IF( AND(AI$35&lt;&gt;0,AH$16&lt;&gt;0),AL$35&amp;" - "&amp;AK$35,0)</f>
        <v>0</v>
      </c>
      <c r="AQ35" s="8">
        <f>IF( AP35&lt;&gt;0,AM$35,0)</f>
        <v>0</v>
      </c>
      <c r="AR35" s="8" t="s">
        <v>29</v>
      </c>
    </row>
    <row r="36" ht="37.5" customHeight="1">
      <c r="A36" s="1"/>
      <c r="B36" s="1"/>
      <c r="C36" s="1" t="str">
        <f t="shared" si="4"/>
        <v>Muro </v>
      </c>
      <c r="D36" s="2"/>
      <c r="E36" s="53"/>
      <c r="F36" s="50"/>
      <c r="G36" s="51" t="s">
        <v>202</v>
      </c>
      <c r="H36" s="2"/>
      <c r="I36" s="1"/>
      <c r="J36" s="4">
        <f t="shared" si="1"/>
        <v>0</v>
      </c>
      <c r="K36" s="9">
        <f t="shared" si="2"/>
        <v>0</v>
      </c>
      <c r="L36" s="10"/>
      <c r="M36" s="11"/>
      <c r="N36" s="24" t="s">
        <v>147</v>
      </c>
      <c r="O36" s="24">
        <v>9.0</v>
      </c>
      <c r="P36" s="8">
        <f t="shared" si="9"/>
        <v>1</v>
      </c>
      <c r="Q36" s="8">
        <f t="shared" si="10"/>
        <v>0.01492537313</v>
      </c>
      <c r="R36" s="8"/>
      <c r="S36" s="8">
        <f t="shared" si="11"/>
        <v>0</v>
      </c>
      <c r="T36" s="8">
        <f t="shared" si="12"/>
        <v>0</v>
      </c>
      <c r="U36" s="8">
        <f t="shared" si="13"/>
        <v>0</v>
      </c>
      <c r="V36" s="59">
        <f t="shared" si="14"/>
        <v>0</v>
      </c>
      <c r="W36" s="62" t="s">
        <v>110</v>
      </c>
      <c r="X36" s="63" t="s">
        <v>203</v>
      </c>
      <c r="Y36" s="64" t="s">
        <v>161</v>
      </c>
      <c r="Z36" s="24">
        <v>11.0</v>
      </c>
      <c r="AA36" s="8"/>
      <c r="AB36" s="8">
        <f t="shared" si="15"/>
        <v>0</v>
      </c>
      <c r="AC36" s="8">
        <f t="shared" si="16"/>
        <v>0.01492537313</v>
      </c>
      <c r="AD36" s="8">
        <f t="shared" si="17"/>
        <v>0</v>
      </c>
      <c r="AE36" s="24"/>
      <c r="AF36" s="24">
        <v>8.0</v>
      </c>
      <c r="AG36" s="24" t="s">
        <v>168</v>
      </c>
      <c r="AH36" s="8">
        <f t="shared" si="18"/>
        <v>0</v>
      </c>
      <c r="AI36" s="8" t="str">
        <f t="shared" si="19"/>
        <v>BAJO</v>
      </c>
      <c r="AJ36" s="8">
        <f t="shared" si="20"/>
        <v>0</v>
      </c>
      <c r="AK36" s="8" t="s">
        <v>39</v>
      </c>
      <c r="AL36" s="8" t="s">
        <v>169</v>
      </c>
      <c r="AM36" s="65" t="s">
        <v>204</v>
      </c>
      <c r="AN36" s="8"/>
      <c r="AO36" s="8"/>
      <c r="AP36" s="8" t="str">
        <f>IF( AND(AI$36&lt;&gt;0,AH$19&lt;&gt;0),AL$36&amp;" - "&amp;AK$36,0)</f>
        <v>Estudiante requiere entrenamiento de subhabilidad Requerir - Evaluación</v>
      </c>
      <c r="AQ36" s="8"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8" t="s">
        <v>29</v>
      </c>
    </row>
    <row r="37" ht="33.0" customHeight="1">
      <c r="A37" s="1"/>
      <c r="B37" s="1"/>
      <c r="C37" s="1" t="str">
        <f t="shared" si="4"/>
        <v>Bruno Rudenick </v>
      </c>
      <c r="D37" s="2"/>
      <c r="E37" s="52" t="s">
        <v>67</v>
      </c>
      <c r="F37" s="30" t="s">
        <v>205</v>
      </c>
      <c r="G37" s="51" t="s">
        <v>206</v>
      </c>
      <c r="H37" s="2"/>
      <c r="I37" s="42" t="s">
        <v>69</v>
      </c>
      <c r="J37" s="4">
        <f t="shared" si="1"/>
        <v>35</v>
      </c>
      <c r="K37" s="9">
        <f t="shared" si="2"/>
        <v>6</v>
      </c>
      <c r="L37" s="10"/>
      <c r="M37" s="11"/>
      <c r="N37" s="24" t="s">
        <v>147</v>
      </c>
      <c r="O37" s="24">
        <v>10.0</v>
      </c>
      <c r="P37" s="8">
        <f t="shared" si="9"/>
        <v>0</v>
      </c>
      <c r="Q37" s="8">
        <f t="shared" si="10"/>
        <v>0</v>
      </c>
      <c r="R37" s="8"/>
      <c r="S37" s="8">
        <f t="shared" si="11"/>
        <v>0</v>
      </c>
      <c r="T37" s="8" t="str">
        <f t="shared" si="12"/>
        <v>oo</v>
      </c>
      <c r="U37" s="8">
        <f t="shared" si="13"/>
        <v>0</v>
      </c>
      <c r="V37" s="59">
        <f t="shared" si="14"/>
        <v>0</v>
      </c>
      <c r="W37" s="62" t="s">
        <v>207</v>
      </c>
      <c r="X37" s="63" t="s">
        <v>208</v>
      </c>
      <c r="Y37" s="64" t="s">
        <v>193</v>
      </c>
      <c r="Z37" s="24">
        <v>1.0</v>
      </c>
      <c r="AA37" s="8"/>
      <c r="AB37" s="8">
        <f t="shared" si="15"/>
        <v>0</v>
      </c>
      <c r="AC37" s="8">
        <f t="shared" si="16"/>
        <v>0</v>
      </c>
      <c r="AD37" s="8">
        <f t="shared" si="17"/>
        <v>0</v>
      </c>
      <c r="AE37" s="24"/>
      <c r="AF37" s="24">
        <v>8.0</v>
      </c>
      <c r="AG37" s="24" t="s">
        <v>209</v>
      </c>
      <c r="AH37" s="8">
        <f t="shared" si="18"/>
        <v>0</v>
      </c>
      <c r="AI37" s="8" t="str">
        <f t="shared" si="19"/>
        <v>BAJO</v>
      </c>
      <c r="AJ37" s="8">
        <f t="shared" si="20"/>
        <v>0</v>
      </c>
      <c r="AK37" s="8" t="s">
        <v>39</v>
      </c>
      <c r="AL37" s="8" t="s">
        <v>210</v>
      </c>
      <c r="AM37" s="65" t="s">
        <v>211</v>
      </c>
      <c r="AN37" s="8"/>
      <c r="AO37" s="8"/>
      <c r="AP37" s="8" t="str">
        <f>IF( AND(AI$37&lt;&gt;0,AH$19&lt;&gt;0),AL$37&amp;" - "&amp;AK$37,0)</f>
        <v>Estudiante requiere entrenamiento de subhabilidad Mantenimiento - Evaluación</v>
      </c>
      <c r="AQ37" s="8"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8" t="s">
        <v>29</v>
      </c>
    </row>
    <row r="38" ht="33.75" customHeight="1">
      <c r="A38" s="1"/>
      <c r="B38" s="1"/>
      <c r="C38" s="1" t="str">
        <f t="shared" si="4"/>
        <v>Bruno Rios </v>
      </c>
      <c r="D38" s="2"/>
      <c r="E38" s="52" t="s">
        <v>23</v>
      </c>
      <c r="F38" s="30" t="s">
        <v>212</v>
      </c>
      <c r="G38" s="51" t="s">
        <v>213</v>
      </c>
      <c r="H38" s="2"/>
      <c r="I38" s="42" t="s">
        <v>69</v>
      </c>
      <c r="J38" s="4">
        <f t="shared" si="1"/>
        <v>35</v>
      </c>
      <c r="K38" s="9">
        <f t="shared" si="2"/>
        <v>6</v>
      </c>
      <c r="L38" s="10"/>
      <c r="M38" s="11"/>
      <c r="N38" s="24" t="s">
        <v>147</v>
      </c>
      <c r="O38" s="24">
        <v>11.0</v>
      </c>
      <c r="P38" s="8">
        <f t="shared" si="9"/>
        <v>0</v>
      </c>
      <c r="Q38" s="8">
        <f t="shared" si="10"/>
        <v>0</v>
      </c>
      <c r="R38" s="8"/>
      <c r="S38" s="8">
        <f t="shared" si="11"/>
        <v>0</v>
      </c>
      <c r="T38" s="8" t="str">
        <f t="shared" si="12"/>
        <v>oo</v>
      </c>
      <c r="U38" s="8">
        <f t="shared" si="13"/>
        <v>0</v>
      </c>
      <c r="V38" s="59">
        <f t="shared" si="14"/>
        <v>0</v>
      </c>
      <c r="W38" s="62" t="s">
        <v>215</v>
      </c>
      <c r="X38" s="63" t="s">
        <v>216</v>
      </c>
      <c r="Y38" s="64" t="s">
        <v>193</v>
      </c>
      <c r="Z38" s="24">
        <v>5.0</v>
      </c>
      <c r="AA38" s="8"/>
      <c r="AB38" s="8">
        <f t="shared" si="15"/>
        <v>0</v>
      </c>
      <c r="AC38" s="8">
        <f t="shared" si="16"/>
        <v>0</v>
      </c>
      <c r="AD38" s="8">
        <f t="shared" si="17"/>
        <v>0</v>
      </c>
      <c r="AE38" s="24" t="s">
        <v>51</v>
      </c>
      <c r="AF38" s="24">
        <v>4.0</v>
      </c>
      <c r="AG38" s="24" t="s">
        <v>161</v>
      </c>
      <c r="AH38" s="8">
        <f t="shared" si="18"/>
        <v>0</v>
      </c>
      <c r="AI38" s="8" t="str">
        <f t="shared" si="19"/>
        <v>BAJO</v>
      </c>
      <c r="AJ38" s="8">
        <f t="shared" si="20"/>
        <v>0</v>
      </c>
      <c r="AK38" s="8" t="s">
        <v>51</v>
      </c>
      <c r="AL38" s="8" t="s">
        <v>174</v>
      </c>
      <c r="AM38" s="65" t="s">
        <v>217</v>
      </c>
      <c r="AN38" s="8"/>
      <c r="AO38" s="8"/>
      <c r="AP38" s="8">
        <f>IF( AND(AI$38&lt;&gt;0,AH$15&lt;&gt;0),AL$38&amp;" - "&amp;AK$38,0)</f>
        <v>0</v>
      </c>
      <c r="AQ38" s="8">
        <f>IF( AP38&lt;&gt;0,AM$38,0)</f>
        <v>0</v>
      </c>
      <c r="AR38" s="8" t="s">
        <v>29</v>
      </c>
    </row>
    <row r="39" ht="37.5" customHeight="1">
      <c r="A39" s="1"/>
      <c r="B39" s="1"/>
      <c r="C39" s="1" t="str">
        <f t="shared" si="4"/>
        <v>Alfredo </v>
      </c>
      <c r="D39" s="2"/>
      <c r="E39" s="52" t="s">
        <v>57</v>
      </c>
      <c r="F39" s="30" t="s">
        <v>218</v>
      </c>
      <c r="G39" s="51" t="s">
        <v>219</v>
      </c>
      <c r="H39" s="2"/>
      <c r="J39" s="4">
        <f t="shared" si="1"/>
        <v>0</v>
      </c>
      <c r="K39" s="9">
        <f t="shared" si="2"/>
        <v>0</v>
      </c>
      <c r="L39" s="10"/>
      <c r="M39" s="11"/>
      <c r="N39" s="24" t="s">
        <v>147</v>
      </c>
      <c r="O39" s="24">
        <v>12.0</v>
      </c>
      <c r="P39" s="8">
        <f t="shared" si="9"/>
        <v>0</v>
      </c>
      <c r="Q39" s="8">
        <f t="shared" si="10"/>
        <v>0</v>
      </c>
      <c r="R39" s="8"/>
      <c r="S39" s="8">
        <f t="shared" si="11"/>
        <v>0</v>
      </c>
      <c r="T39" s="8" t="str">
        <f t="shared" si="12"/>
        <v>oo</v>
      </c>
      <c r="U39" s="8">
        <f t="shared" si="13"/>
        <v>0</v>
      </c>
      <c r="V39" s="59">
        <f t="shared" si="14"/>
        <v>0</v>
      </c>
      <c r="W39" s="62" t="s">
        <v>182</v>
      </c>
      <c r="X39" s="63" t="s">
        <v>220</v>
      </c>
      <c r="Y39" s="64" t="s">
        <v>152</v>
      </c>
      <c r="Z39" s="24">
        <v>6.0</v>
      </c>
      <c r="AA39" s="8"/>
      <c r="AB39" s="8">
        <f t="shared" si="15"/>
        <v>0</v>
      </c>
      <c r="AC39" s="8">
        <f t="shared" si="16"/>
        <v>0</v>
      </c>
      <c r="AD39" s="8">
        <f t="shared" si="17"/>
        <v>0</v>
      </c>
      <c r="AE39" s="24"/>
      <c r="AF39" s="24">
        <v>4.0</v>
      </c>
      <c r="AG39" s="24" t="s">
        <v>152</v>
      </c>
      <c r="AH39" s="8">
        <f t="shared" si="18"/>
        <v>0</v>
      </c>
      <c r="AI39" s="8" t="str">
        <f t="shared" si="19"/>
        <v>BAJO</v>
      </c>
      <c r="AJ39" s="8">
        <f t="shared" si="20"/>
        <v>0</v>
      </c>
      <c r="AK39" s="8" t="s">
        <v>51</v>
      </c>
      <c r="AL39" s="8" t="s">
        <v>154</v>
      </c>
      <c r="AM39" s="65" t="s">
        <v>221</v>
      </c>
      <c r="AN39" s="8"/>
      <c r="AO39" s="8"/>
      <c r="AP39" s="8">
        <f>IF( AND(AI$39&lt;&gt;0,AH$15&lt;&gt;0),AL$39&amp;" - "&amp;AK$39,0)</f>
        <v>0</v>
      </c>
      <c r="AQ39" s="8">
        <f>IF( AP39&lt;&gt;0,AM$39,0)</f>
        <v>0</v>
      </c>
      <c r="AR39" s="8" t="s">
        <v>29</v>
      </c>
    </row>
    <row r="40" ht="31.5" customHeight="1">
      <c r="A40" s="1"/>
      <c r="B40" s="1"/>
      <c r="C40" s="1" t="str">
        <f t="shared" si="4"/>
        <v>Alfredo </v>
      </c>
      <c r="D40" s="2"/>
      <c r="E40" s="53"/>
      <c r="F40" s="50"/>
      <c r="G40" s="51" t="s">
        <v>222</v>
      </c>
      <c r="H40" s="2"/>
      <c r="I40" s="1"/>
      <c r="J40" s="4">
        <f t="shared" si="1"/>
        <v>0</v>
      </c>
      <c r="K40" s="9">
        <f t="shared" si="2"/>
        <v>0</v>
      </c>
      <c r="L40" s="10"/>
      <c r="M40" s="11"/>
      <c r="N40" s="24" t="s">
        <v>147</v>
      </c>
      <c r="O40" s="24">
        <v>13.0</v>
      </c>
      <c r="P40" s="8">
        <f t="shared" si="9"/>
        <v>0</v>
      </c>
      <c r="Q40" s="8">
        <f t="shared" si="10"/>
        <v>0</v>
      </c>
      <c r="R40" s="8"/>
      <c r="S40" s="8">
        <f t="shared" si="11"/>
        <v>0</v>
      </c>
      <c r="T40" s="8" t="str">
        <f t="shared" si="12"/>
        <v>oo</v>
      </c>
      <c r="U40" s="8">
        <f t="shared" si="13"/>
        <v>0</v>
      </c>
      <c r="V40" s="59">
        <f t="shared" si="14"/>
        <v>0</v>
      </c>
      <c r="W40" s="62" t="s">
        <v>166</v>
      </c>
      <c r="X40" s="63" t="s">
        <v>223</v>
      </c>
      <c r="Y40" s="64" t="s">
        <v>152</v>
      </c>
      <c r="Z40" s="24">
        <v>4.0</v>
      </c>
      <c r="AA40" s="8"/>
      <c r="AB40" s="8">
        <f t="shared" si="15"/>
        <v>0</v>
      </c>
      <c r="AC40" s="8">
        <f t="shared" si="16"/>
        <v>0</v>
      </c>
      <c r="AD40" s="8">
        <f t="shared" si="17"/>
        <v>0</v>
      </c>
      <c r="AE40" s="24"/>
      <c r="AF40" s="24">
        <v>4.0</v>
      </c>
      <c r="AG40" s="24" t="s">
        <v>209</v>
      </c>
      <c r="AH40" s="8">
        <f t="shared" si="18"/>
        <v>0</v>
      </c>
      <c r="AI40" s="8" t="str">
        <f t="shared" si="19"/>
        <v>BAJO</v>
      </c>
      <c r="AJ40" s="8">
        <f t="shared" si="20"/>
        <v>0</v>
      </c>
      <c r="AK40" s="8" t="s">
        <v>51</v>
      </c>
      <c r="AL40" s="8" t="s">
        <v>210</v>
      </c>
      <c r="AM40" s="65" t="s">
        <v>224</v>
      </c>
      <c r="AN40" s="8"/>
      <c r="AO40" s="8"/>
      <c r="AP40" s="8">
        <f>IF( AND(AI$40&lt;&gt;0,AH$15&lt;&gt;0),AL$40&amp;" - "&amp;AK$40,0)</f>
        <v>0</v>
      </c>
      <c r="AQ40" s="8">
        <f>IF( AP40&lt;&gt;0,AM$40,0)</f>
        <v>0</v>
      </c>
      <c r="AR40" s="8" t="s">
        <v>29</v>
      </c>
    </row>
    <row r="41" ht="38.25" customHeight="1">
      <c r="A41" s="1"/>
      <c r="B41" s="1"/>
      <c r="C41" s="1" t="str">
        <f t="shared" si="4"/>
        <v>Alfredo </v>
      </c>
      <c r="D41" s="2"/>
      <c r="E41" s="53"/>
      <c r="F41" s="50"/>
      <c r="G41" s="51" t="s">
        <v>225</v>
      </c>
      <c r="H41" s="2"/>
      <c r="I41" s="1"/>
      <c r="J41" s="4">
        <f t="shared" si="1"/>
        <v>0</v>
      </c>
      <c r="K41" s="9">
        <f t="shared" si="2"/>
        <v>0</v>
      </c>
      <c r="L41" s="10"/>
      <c r="M41" s="11"/>
      <c r="N41" s="24" t="s">
        <v>147</v>
      </c>
      <c r="O41" s="24">
        <v>14.0</v>
      </c>
      <c r="P41" s="8">
        <f t="shared" si="9"/>
        <v>0</v>
      </c>
      <c r="Q41" s="8">
        <f t="shared" si="10"/>
        <v>0</v>
      </c>
      <c r="R41" s="8"/>
      <c r="S41" s="8">
        <f t="shared" si="11"/>
        <v>0</v>
      </c>
      <c r="T41" s="8" t="str">
        <f t="shared" si="12"/>
        <v>oo</v>
      </c>
      <c r="U41" s="8">
        <f t="shared" si="13"/>
        <v>0</v>
      </c>
      <c r="V41" s="59">
        <f t="shared" si="14"/>
        <v>0</v>
      </c>
      <c r="W41" s="62" t="s">
        <v>226</v>
      </c>
      <c r="X41" s="63" t="s">
        <v>227</v>
      </c>
      <c r="Y41" s="64" t="s">
        <v>152</v>
      </c>
      <c r="Z41" s="24">
        <v>5.0</v>
      </c>
      <c r="AA41" s="8"/>
      <c r="AB41" s="8">
        <f t="shared" si="15"/>
        <v>0</v>
      </c>
      <c r="AC41" s="8">
        <f t="shared" si="16"/>
        <v>0</v>
      </c>
      <c r="AD41" s="8">
        <f t="shared" si="17"/>
        <v>0</v>
      </c>
      <c r="AE41" s="24"/>
      <c r="AF41" s="24">
        <v>4.0</v>
      </c>
      <c r="AG41" s="24" t="s">
        <v>162</v>
      </c>
      <c r="AH41" s="8">
        <f t="shared" si="18"/>
        <v>0</v>
      </c>
      <c r="AI41" s="8" t="str">
        <f t="shared" si="19"/>
        <v>BAJO</v>
      </c>
      <c r="AJ41" s="8">
        <f t="shared" si="20"/>
        <v>0</v>
      </c>
      <c r="AK41" s="8" t="s">
        <v>51</v>
      </c>
      <c r="AL41" s="8" t="s">
        <v>163</v>
      </c>
      <c r="AM41" s="65" t="s">
        <v>228</v>
      </c>
      <c r="AN41" s="8"/>
      <c r="AO41" s="8"/>
      <c r="AP41" s="8">
        <f>IF( AND(AI$41&lt;&gt;0,AH$15&lt;&gt;0),AL$41&amp;" - "&amp;AK$41,0)</f>
        <v>0</v>
      </c>
      <c r="AQ41" s="8">
        <f>IF( AP41&lt;&gt;0,AM$41,0)</f>
        <v>0</v>
      </c>
      <c r="AR41" s="8" t="s">
        <v>29</v>
      </c>
    </row>
    <row r="42" ht="32.25" customHeight="1">
      <c r="A42" s="1"/>
      <c r="B42" s="1"/>
      <c r="C42" s="1" t="str">
        <f t="shared" si="4"/>
        <v>Bruno Rios </v>
      </c>
      <c r="D42" s="2"/>
      <c r="E42" s="52" t="s">
        <v>23</v>
      </c>
      <c r="F42" s="30" t="s">
        <v>230</v>
      </c>
      <c r="G42" s="51" t="s">
        <v>231</v>
      </c>
      <c r="H42" s="2"/>
      <c r="I42" s="1"/>
      <c r="J42" s="4">
        <f t="shared" si="1"/>
        <v>0</v>
      </c>
      <c r="K42" s="9">
        <f t="shared" si="2"/>
        <v>0</v>
      </c>
      <c r="L42" s="10"/>
      <c r="M42" s="11"/>
      <c r="N42" s="24" t="s">
        <v>147</v>
      </c>
      <c r="O42" s="24">
        <v>15.0</v>
      </c>
      <c r="P42" s="8">
        <f t="shared" si="9"/>
        <v>0</v>
      </c>
      <c r="Q42" s="8">
        <f t="shared" si="10"/>
        <v>0</v>
      </c>
      <c r="R42" s="8"/>
      <c r="S42" s="8">
        <f t="shared" si="11"/>
        <v>0</v>
      </c>
      <c r="T42" s="8" t="str">
        <f t="shared" si="12"/>
        <v>oo</v>
      </c>
      <c r="U42" s="8">
        <f t="shared" si="13"/>
        <v>0</v>
      </c>
      <c r="V42" s="59">
        <f t="shared" si="14"/>
        <v>0</v>
      </c>
      <c r="W42" s="62" t="s">
        <v>178</v>
      </c>
      <c r="X42" s="63" t="s">
        <v>232</v>
      </c>
      <c r="Y42" s="64" t="s">
        <v>152</v>
      </c>
      <c r="Z42" s="24">
        <v>4.0</v>
      </c>
      <c r="AA42" s="8"/>
      <c r="AB42" s="8">
        <f t="shared" si="15"/>
        <v>0</v>
      </c>
      <c r="AC42" s="8">
        <f t="shared" si="16"/>
        <v>0</v>
      </c>
      <c r="AD42" s="8">
        <f t="shared" si="17"/>
        <v>0</v>
      </c>
      <c r="AE42" s="24"/>
      <c r="AF42" s="24">
        <v>9.0</v>
      </c>
      <c r="AG42" s="24" t="s">
        <v>168</v>
      </c>
      <c r="AH42" s="8">
        <f t="shared" si="18"/>
        <v>0</v>
      </c>
      <c r="AI42" s="8" t="str">
        <f t="shared" si="19"/>
        <v>BAJO</v>
      </c>
      <c r="AJ42" s="8">
        <f t="shared" si="20"/>
        <v>0</v>
      </c>
      <c r="AK42" s="8" t="s">
        <v>51</v>
      </c>
      <c r="AL42" s="8" t="s">
        <v>169</v>
      </c>
      <c r="AM42" s="65" t="s">
        <v>233</v>
      </c>
      <c r="AN42" s="8"/>
      <c r="AO42" s="8"/>
      <c r="AP42" s="8">
        <f>IF( AND(AI$42&lt;&gt;0,AH$20&lt;&gt;0),AL$42&amp;" - "&amp;AK$42,0)</f>
        <v>0</v>
      </c>
      <c r="AQ42" s="8">
        <f>IF( AP42&lt;&gt;0,AM$42,0)</f>
        <v>0</v>
      </c>
      <c r="AR42" s="8" t="s">
        <v>29</v>
      </c>
    </row>
    <row r="43" ht="27.75" customHeight="1">
      <c r="A43" s="1"/>
      <c r="B43" s="1"/>
      <c r="C43" s="1" t="str">
        <f t="shared" si="4"/>
        <v>Muro </v>
      </c>
      <c r="D43" s="2"/>
      <c r="E43" s="52" t="s">
        <v>13</v>
      </c>
      <c r="F43" s="30" t="s">
        <v>235</v>
      </c>
      <c r="G43" s="51" t="s">
        <v>236</v>
      </c>
      <c r="H43" s="2"/>
      <c r="I43" s="42" t="s">
        <v>61</v>
      </c>
      <c r="J43" s="4">
        <f t="shared" si="1"/>
        <v>32</v>
      </c>
      <c r="K43" s="9">
        <f t="shared" si="2"/>
        <v>1</v>
      </c>
      <c r="L43" s="10"/>
      <c r="M43" s="11"/>
      <c r="N43" s="24" t="s">
        <v>147</v>
      </c>
      <c r="O43" s="24">
        <v>16.0</v>
      </c>
      <c r="P43" s="8">
        <f t="shared" si="9"/>
        <v>0</v>
      </c>
      <c r="Q43" s="8">
        <f t="shared" si="10"/>
        <v>0</v>
      </c>
      <c r="R43" s="8"/>
      <c r="S43" s="8">
        <f t="shared" si="11"/>
        <v>0</v>
      </c>
      <c r="T43" s="8" t="str">
        <f t="shared" si="12"/>
        <v>oo</v>
      </c>
      <c r="U43" s="8">
        <f t="shared" si="13"/>
        <v>0</v>
      </c>
      <c r="V43" s="59">
        <f t="shared" si="14"/>
        <v>0</v>
      </c>
      <c r="W43" s="62" t="s">
        <v>237</v>
      </c>
      <c r="X43" s="63" t="s">
        <v>238</v>
      </c>
      <c r="Y43" s="64" t="s">
        <v>152</v>
      </c>
      <c r="Z43" s="24">
        <v>6.0</v>
      </c>
      <c r="AA43" s="8"/>
      <c r="AB43" s="8">
        <f t="shared" si="15"/>
        <v>0</v>
      </c>
      <c r="AC43" s="8">
        <f t="shared" si="16"/>
        <v>0</v>
      </c>
      <c r="AD43" s="8">
        <f t="shared" si="17"/>
        <v>0</v>
      </c>
      <c r="AE43" s="24" t="s">
        <v>65</v>
      </c>
      <c r="AF43" s="24">
        <v>3.0</v>
      </c>
      <c r="AG43" s="24" t="s">
        <v>239</v>
      </c>
      <c r="AH43" s="8">
        <f t="shared" si="18"/>
        <v>0</v>
      </c>
      <c r="AI43" s="8" t="str">
        <f t="shared" si="19"/>
        <v>BAJO</v>
      </c>
      <c r="AJ43" s="8">
        <f t="shared" si="20"/>
        <v>0</v>
      </c>
      <c r="AK43" s="8" t="s">
        <v>240</v>
      </c>
      <c r="AL43" s="8" t="s">
        <v>240</v>
      </c>
      <c r="AM43" s="8" t="s">
        <v>240</v>
      </c>
      <c r="AN43" s="8"/>
      <c r="AO43" s="8"/>
      <c r="AP43" s="8"/>
      <c r="AQ43" s="8">
        <f>IF( AP43&lt;&gt;0,AM$43,0)</f>
        <v>0</v>
      </c>
      <c r="AR43" s="8" t="s">
        <v>29</v>
      </c>
    </row>
    <row r="44" ht="27.75" customHeight="1">
      <c r="A44" s="1"/>
      <c r="B44" s="1"/>
      <c r="C44" s="1" t="str">
        <f t="shared" si="4"/>
        <v>Muro </v>
      </c>
      <c r="D44" s="2"/>
      <c r="E44" s="53"/>
      <c r="F44" s="50"/>
      <c r="G44" s="51" t="s">
        <v>241</v>
      </c>
      <c r="H44" s="2"/>
      <c r="I44" s="1"/>
      <c r="J44" s="4">
        <f t="shared" si="1"/>
        <v>0</v>
      </c>
      <c r="K44" s="9">
        <f t="shared" si="2"/>
        <v>0</v>
      </c>
      <c r="L44" s="10"/>
      <c r="M44" s="11"/>
      <c r="N44" s="24" t="s">
        <v>147</v>
      </c>
      <c r="O44" s="24">
        <v>17.0</v>
      </c>
      <c r="P44" s="8">
        <f t="shared" si="9"/>
        <v>0</v>
      </c>
      <c r="Q44" s="8">
        <f t="shared" si="10"/>
        <v>0</v>
      </c>
      <c r="R44" s="8"/>
      <c r="S44" s="8">
        <f t="shared" si="11"/>
        <v>0</v>
      </c>
      <c r="T44" s="8" t="str">
        <f t="shared" si="12"/>
        <v>oo</v>
      </c>
      <c r="U44" s="8">
        <f t="shared" si="13"/>
        <v>0</v>
      </c>
      <c r="V44" s="59">
        <f t="shared" si="14"/>
        <v>0</v>
      </c>
      <c r="W44" s="62" t="s">
        <v>63</v>
      </c>
      <c r="X44" s="63" t="s">
        <v>242</v>
      </c>
      <c r="Y44" s="64" t="s">
        <v>152</v>
      </c>
      <c r="Z44" s="24">
        <v>5.0</v>
      </c>
      <c r="AA44" s="8"/>
      <c r="AB44" s="8">
        <f t="shared" si="15"/>
        <v>0</v>
      </c>
      <c r="AC44" s="8">
        <f t="shared" si="16"/>
        <v>0</v>
      </c>
      <c r="AD44" s="8">
        <f t="shared" si="17"/>
        <v>0</v>
      </c>
      <c r="AE44" s="24"/>
      <c r="AF44" s="24">
        <v>10.0</v>
      </c>
      <c r="AG44" s="24" t="s">
        <v>239</v>
      </c>
      <c r="AH44" s="8">
        <f t="shared" si="18"/>
        <v>0</v>
      </c>
      <c r="AI44" s="8" t="str">
        <f t="shared" si="19"/>
        <v>BAJO</v>
      </c>
      <c r="AJ44" s="8">
        <f t="shared" si="20"/>
        <v>0</v>
      </c>
      <c r="AK44" s="8" t="s">
        <v>240</v>
      </c>
      <c r="AL44" s="8" t="s">
        <v>240</v>
      </c>
      <c r="AM44" s="8" t="s">
        <v>240</v>
      </c>
      <c r="AN44" s="8"/>
      <c r="AO44" s="8"/>
      <c r="AP44" s="8"/>
      <c r="AQ44" s="8">
        <f>IF( AP44&lt;&gt;0,AM$44,0)</f>
        <v>0</v>
      </c>
      <c r="AR44" s="8" t="s">
        <v>29</v>
      </c>
    </row>
    <row r="45" ht="33.0" customHeight="1">
      <c r="A45" s="1"/>
      <c r="B45" s="1"/>
      <c r="C45" s="1" t="str">
        <f t="shared" si="4"/>
        <v>Muro </v>
      </c>
      <c r="D45" s="2"/>
      <c r="E45" s="52" t="s">
        <v>13</v>
      </c>
      <c r="F45" s="30" t="s">
        <v>243</v>
      </c>
      <c r="G45" s="51" t="s">
        <v>244</v>
      </c>
      <c r="H45" s="2"/>
      <c r="I45" s="42" t="s">
        <v>158</v>
      </c>
      <c r="J45" s="4">
        <f t="shared" si="1"/>
        <v>33</v>
      </c>
      <c r="K45" s="9">
        <f t="shared" si="2"/>
        <v>5</v>
      </c>
      <c r="L45" s="10"/>
      <c r="M45" s="11"/>
      <c r="N45" s="24" t="s">
        <v>147</v>
      </c>
      <c r="O45" s="24">
        <v>18.0</v>
      </c>
      <c r="P45" s="8">
        <f t="shared" si="9"/>
        <v>0</v>
      </c>
      <c r="Q45" s="8">
        <f t="shared" si="10"/>
        <v>0</v>
      </c>
      <c r="R45" s="8"/>
      <c r="S45" s="8">
        <f t="shared" si="11"/>
        <v>0</v>
      </c>
      <c r="T45" s="8" t="str">
        <f t="shared" si="12"/>
        <v>oo</v>
      </c>
      <c r="U45" s="8">
        <f t="shared" si="13"/>
        <v>0</v>
      </c>
      <c r="V45" s="59">
        <f t="shared" si="14"/>
        <v>0</v>
      </c>
      <c r="W45" s="62" t="s">
        <v>245</v>
      </c>
      <c r="X45" s="63" t="s">
        <v>246</v>
      </c>
      <c r="Y45" s="64" t="s">
        <v>152</v>
      </c>
      <c r="Z45" s="24">
        <v>5.0</v>
      </c>
      <c r="AA45" s="8"/>
      <c r="AB45" s="8">
        <f t="shared" si="15"/>
        <v>0</v>
      </c>
      <c r="AC45" s="8">
        <f t="shared" si="16"/>
        <v>0</v>
      </c>
      <c r="AD45" s="8">
        <f t="shared" si="17"/>
        <v>0</v>
      </c>
      <c r="AE45" s="8"/>
      <c r="AF45" s="8"/>
      <c r="AG45" s="24" t="s">
        <v>239</v>
      </c>
      <c r="AH45" s="8">
        <f t="shared" si="18"/>
        <v>0</v>
      </c>
      <c r="AI45" s="8" t="str">
        <f t="shared" si="19"/>
        <v>BAJO</v>
      </c>
      <c r="AJ45" s="8">
        <f t="shared" si="20"/>
        <v>0</v>
      </c>
      <c r="AK45" s="8" t="s">
        <v>65</v>
      </c>
      <c r="AL45" s="8" t="s">
        <v>247</v>
      </c>
      <c r="AM45" s="65" t="s">
        <v>248</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29</v>
      </c>
    </row>
    <row r="46" ht="25.5" customHeight="1">
      <c r="A46" s="1"/>
      <c r="B46" s="1"/>
      <c r="C46" s="1" t="str">
        <f t="shared" si="4"/>
        <v>Bruno Rios </v>
      </c>
      <c r="D46" s="2"/>
      <c r="E46" s="52" t="s">
        <v>23</v>
      </c>
      <c r="F46" s="30" t="s">
        <v>249</v>
      </c>
      <c r="G46" s="51" t="s">
        <v>250</v>
      </c>
      <c r="H46" s="2"/>
      <c r="I46" s="1"/>
      <c r="J46" s="4">
        <f t="shared" si="1"/>
        <v>0</v>
      </c>
      <c r="K46" s="9">
        <f t="shared" si="2"/>
        <v>0</v>
      </c>
      <c r="L46" s="10"/>
      <c r="M46" s="11"/>
      <c r="N46" s="24" t="s">
        <v>147</v>
      </c>
      <c r="O46" s="24">
        <v>19.0</v>
      </c>
      <c r="P46" s="8">
        <f t="shared" si="9"/>
        <v>1</v>
      </c>
      <c r="Q46" s="8">
        <f t="shared" si="10"/>
        <v>0.01492537313</v>
      </c>
      <c r="R46" s="8"/>
      <c r="S46" s="8">
        <f t="shared" si="11"/>
        <v>0</v>
      </c>
      <c r="T46" s="8">
        <f t="shared" si="12"/>
        <v>0</v>
      </c>
      <c r="U46" s="8">
        <f t="shared" si="13"/>
        <v>0</v>
      </c>
      <c r="V46" s="59">
        <f t="shared" si="14"/>
        <v>0</v>
      </c>
      <c r="W46" s="62" t="s">
        <v>104</v>
      </c>
      <c r="X46" s="63" t="s">
        <v>251</v>
      </c>
      <c r="Y46" s="64" t="s">
        <v>168</v>
      </c>
      <c r="Z46" s="24">
        <v>7.0</v>
      </c>
      <c r="AA46" s="8"/>
      <c r="AB46" s="8">
        <f t="shared" si="15"/>
        <v>0</v>
      </c>
      <c r="AC46" s="8">
        <f t="shared" si="16"/>
        <v>0.01492537313</v>
      </c>
      <c r="AD46" s="8">
        <f t="shared" si="17"/>
        <v>0</v>
      </c>
      <c r="AE46" s="24" t="s">
        <v>79</v>
      </c>
      <c r="AF46" s="24">
        <v>2.0</v>
      </c>
      <c r="AG46" s="24" t="s">
        <v>239</v>
      </c>
      <c r="AH46" s="8">
        <f t="shared" si="18"/>
        <v>0</v>
      </c>
      <c r="AI46" s="8" t="str">
        <f t="shared" si="19"/>
        <v>BAJO</v>
      </c>
      <c r="AJ46" s="8">
        <f t="shared" si="20"/>
        <v>0</v>
      </c>
      <c r="AK46" s="8" t="s">
        <v>79</v>
      </c>
      <c r="AL46" s="8" t="s">
        <v>247</v>
      </c>
      <c r="AM46" s="65" t="s">
        <v>252</v>
      </c>
      <c r="AN46" s="8" t="s">
        <v>29</v>
      </c>
      <c r="AO46" s="8"/>
      <c r="AP46" s="8" t="str">
        <f>IF( AND(AI$46&lt;&gt;0,AH$13&lt;&gt;0),AL$46&amp;" - "&amp;AK$46,0)</f>
        <v>Estudiante requiere entrenamiento de subhabilidad Reconocimiento - Reducción de tensión</v>
      </c>
      <c r="AQ46" s="8"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8" t="s">
        <v>29</v>
      </c>
    </row>
    <row r="47" ht="24.75" customHeight="1">
      <c r="A47" s="1"/>
      <c r="B47" s="1"/>
      <c r="C47" s="1" t="str">
        <f t="shared" si="4"/>
        <v>Diego Said </v>
      </c>
      <c r="D47" s="2"/>
      <c r="E47" s="52" t="s">
        <v>47</v>
      </c>
      <c r="F47" s="30" t="s">
        <v>249</v>
      </c>
      <c r="G47" s="51" t="s">
        <v>254</v>
      </c>
      <c r="H47" s="2"/>
      <c r="I47" s="1"/>
      <c r="J47" s="4">
        <f t="shared" si="1"/>
        <v>0</v>
      </c>
      <c r="K47" s="9">
        <f t="shared" si="2"/>
        <v>0</v>
      </c>
      <c r="L47" s="10"/>
      <c r="M47" s="11"/>
      <c r="N47" s="24" t="s">
        <v>147</v>
      </c>
      <c r="O47" s="24">
        <v>20.0</v>
      </c>
      <c r="P47" s="8">
        <f t="shared" si="9"/>
        <v>0</v>
      </c>
      <c r="Q47" s="8">
        <f t="shared" si="10"/>
        <v>0</v>
      </c>
      <c r="R47" s="8"/>
      <c r="S47" s="8">
        <f t="shared" si="11"/>
        <v>0</v>
      </c>
      <c r="T47" s="8" t="str">
        <f t="shared" si="12"/>
        <v>oo</v>
      </c>
      <c r="U47" s="8">
        <f t="shared" si="13"/>
        <v>0</v>
      </c>
      <c r="V47" s="59">
        <f t="shared" si="14"/>
        <v>0</v>
      </c>
      <c r="W47" s="62" t="s">
        <v>255</v>
      </c>
      <c r="X47" s="63" t="s">
        <v>256</v>
      </c>
      <c r="Y47" s="64" t="s">
        <v>168</v>
      </c>
      <c r="Z47" s="24">
        <v>9.0</v>
      </c>
      <c r="AA47" s="8"/>
      <c r="AB47" s="8">
        <f t="shared" si="15"/>
        <v>0</v>
      </c>
      <c r="AC47" s="8">
        <f t="shared" si="16"/>
        <v>0.01492537313</v>
      </c>
      <c r="AD47" s="8">
        <f t="shared" si="17"/>
        <v>0</v>
      </c>
      <c r="AE47" s="24"/>
      <c r="AF47" s="24">
        <v>11.0</v>
      </c>
      <c r="AG47" s="24" t="s">
        <v>161</v>
      </c>
      <c r="AH47" s="8">
        <f t="shared" si="18"/>
        <v>0</v>
      </c>
      <c r="AI47" s="8" t="str">
        <f t="shared" si="19"/>
        <v>BAJO</v>
      </c>
      <c r="AJ47" s="8">
        <f t="shared" si="20"/>
        <v>0</v>
      </c>
      <c r="AK47" s="8" t="s">
        <v>79</v>
      </c>
      <c r="AL47" s="8" t="s">
        <v>174</v>
      </c>
      <c r="AM47" s="8" t="s">
        <v>257</v>
      </c>
      <c r="AN47" s="8" t="s">
        <v>29</v>
      </c>
      <c r="AO47" s="8"/>
      <c r="AP47" s="8">
        <f>IF( AND(AI$47&lt;&gt;0,AH$22&lt;&gt;0),AL$47&amp;" - "&amp;AK$47,0)</f>
        <v>0</v>
      </c>
      <c r="AQ47" s="8">
        <f>IF( AP47&lt;&gt;0,AM$47,0)</f>
        <v>0</v>
      </c>
      <c r="AR47" s="8" t="s">
        <v>29</v>
      </c>
    </row>
    <row r="48" ht="24.0" customHeight="1">
      <c r="A48" s="1"/>
      <c r="B48" s="1"/>
      <c r="C48" s="1" t="str">
        <f t="shared" si="4"/>
        <v>Diego Said </v>
      </c>
      <c r="D48" s="2"/>
      <c r="E48" s="53"/>
      <c r="F48" s="50"/>
      <c r="G48" s="51" t="s">
        <v>258</v>
      </c>
      <c r="H48" s="2"/>
      <c r="I48" s="1"/>
      <c r="J48" s="4">
        <f t="shared" si="1"/>
        <v>0</v>
      </c>
      <c r="K48" s="9">
        <f t="shared" si="2"/>
        <v>0</v>
      </c>
      <c r="L48" s="10"/>
      <c r="M48" s="11"/>
      <c r="N48" s="24" t="s">
        <v>147</v>
      </c>
      <c r="O48" s="24">
        <v>21.0</v>
      </c>
      <c r="P48" s="8">
        <f t="shared" si="9"/>
        <v>0</v>
      </c>
      <c r="Q48" s="8">
        <f t="shared" si="10"/>
        <v>0</v>
      </c>
      <c r="R48" s="8"/>
      <c r="S48" s="8">
        <f t="shared" si="11"/>
        <v>0</v>
      </c>
      <c r="T48" s="8" t="str">
        <f t="shared" si="12"/>
        <v>oo</v>
      </c>
      <c r="U48" s="8">
        <f t="shared" si="13"/>
        <v>0</v>
      </c>
      <c r="V48" s="59">
        <f t="shared" si="14"/>
        <v>0</v>
      </c>
      <c r="W48" s="62" t="s">
        <v>259</v>
      </c>
      <c r="X48" s="63" t="s">
        <v>260</v>
      </c>
      <c r="Y48" s="64" t="s">
        <v>168</v>
      </c>
      <c r="Z48" s="24">
        <v>7.0</v>
      </c>
      <c r="AA48" s="8"/>
      <c r="AB48" s="8">
        <f t="shared" si="15"/>
        <v>0</v>
      </c>
      <c r="AC48" s="8">
        <f t="shared" si="16"/>
        <v>0.01492537313</v>
      </c>
      <c r="AD48" s="8">
        <f t="shared" si="17"/>
        <v>0</v>
      </c>
      <c r="AE48" s="24"/>
      <c r="AF48" s="24">
        <v>11.0</v>
      </c>
      <c r="AG48" s="24" t="s">
        <v>209</v>
      </c>
      <c r="AH48" s="8">
        <f t="shared" si="18"/>
        <v>0</v>
      </c>
      <c r="AI48" s="8" t="str">
        <f t="shared" si="19"/>
        <v>BAJO</v>
      </c>
      <c r="AJ48" s="8">
        <f t="shared" si="20"/>
        <v>0</v>
      </c>
      <c r="AK48" s="8" t="s">
        <v>79</v>
      </c>
      <c r="AL48" s="8" t="s">
        <v>210</v>
      </c>
      <c r="AM48" s="8" t="s">
        <v>257</v>
      </c>
      <c r="AN48" s="8" t="s">
        <v>29</v>
      </c>
      <c r="AO48" s="8"/>
      <c r="AP48" s="8">
        <f>IF( AND(AI$48&lt;&gt;0,AH$22&lt;&gt;0),AL$48&amp;" - "&amp;AK$48,0)</f>
        <v>0</v>
      </c>
      <c r="AQ48" s="8">
        <f>IF( AP48&lt;&gt;0,AM$48,0)</f>
        <v>0</v>
      </c>
      <c r="AR48" s="8" t="s">
        <v>29</v>
      </c>
    </row>
    <row r="49" ht="22.5" customHeight="1">
      <c r="A49" s="1"/>
      <c r="B49" s="1"/>
      <c r="C49" s="1" t="str">
        <f t="shared" si="4"/>
        <v>Muro </v>
      </c>
      <c r="D49" s="2"/>
      <c r="E49" s="52" t="s">
        <v>13</v>
      </c>
      <c r="F49" s="30" t="s">
        <v>261</v>
      </c>
      <c r="G49" s="51" t="s">
        <v>262</v>
      </c>
      <c r="H49" s="2"/>
      <c r="I49" s="1"/>
      <c r="J49" s="4">
        <f t="shared" si="1"/>
        <v>0</v>
      </c>
      <c r="K49" s="9">
        <f t="shared" si="2"/>
        <v>0</v>
      </c>
      <c r="L49" s="10"/>
      <c r="M49" s="11"/>
      <c r="N49" s="24" t="s">
        <v>147</v>
      </c>
      <c r="O49" s="24">
        <v>22.0</v>
      </c>
      <c r="P49" s="8">
        <f t="shared" si="9"/>
        <v>0</v>
      </c>
      <c r="Q49" s="8">
        <f t="shared" si="10"/>
        <v>0</v>
      </c>
      <c r="R49" s="8"/>
      <c r="S49" s="8">
        <f t="shared" si="11"/>
        <v>0</v>
      </c>
      <c r="T49" s="8" t="str">
        <f t="shared" si="12"/>
        <v>oo</v>
      </c>
      <c r="U49" s="8">
        <f t="shared" si="13"/>
        <v>0</v>
      </c>
      <c r="V49" s="59">
        <f t="shared" si="14"/>
        <v>0</v>
      </c>
      <c r="W49" s="62" t="s">
        <v>263</v>
      </c>
      <c r="X49" s="63" t="s">
        <v>264</v>
      </c>
      <c r="Y49" s="64" t="s">
        <v>168</v>
      </c>
      <c r="Z49" s="24">
        <v>8.0</v>
      </c>
      <c r="AA49" s="8"/>
      <c r="AB49" s="8">
        <f t="shared" si="15"/>
        <v>0</v>
      </c>
      <c r="AC49" s="8">
        <f t="shared" si="16"/>
        <v>0.01492537313</v>
      </c>
      <c r="AD49" s="8">
        <f t="shared" si="17"/>
        <v>0</v>
      </c>
      <c r="AE49" s="24" t="s">
        <v>88</v>
      </c>
      <c r="AF49" s="24">
        <v>1.0</v>
      </c>
      <c r="AG49" s="24" t="s">
        <v>193</v>
      </c>
      <c r="AH49" s="8">
        <f t="shared" si="18"/>
        <v>0</v>
      </c>
      <c r="AI49" s="8" t="str">
        <f t="shared" si="19"/>
        <v>BAJO</v>
      </c>
      <c r="AJ49" s="8">
        <f t="shared" si="20"/>
        <v>0</v>
      </c>
      <c r="AK49" s="8" t="s">
        <v>88</v>
      </c>
      <c r="AL49" s="8" t="s">
        <v>265</v>
      </c>
      <c r="AM49" s="8" t="s">
        <v>266</v>
      </c>
      <c r="AN49" s="8" t="s">
        <v>29</v>
      </c>
      <c r="AO49" s="8"/>
      <c r="AP49" s="8" t="str">
        <f>IF( AND(AI$49&lt;&gt;0,AH$12&lt;&gt;0),AL$49&amp;" - "&amp;AK$49,0)</f>
        <v>Estudiante requiere entrenamiento de subhabilidad Motivar  - Reintegración</v>
      </c>
      <c r="AQ49" s="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8" t="s">
        <v>29</v>
      </c>
    </row>
    <row r="50" ht="20.25" customHeight="1">
      <c r="A50" s="1"/>
      <c r="B50" s="1"/>
      <c r="C50" s="1" t="str">
        <f t="shared" si="4"/>
        <v>Muro </v>
      </c>
      <c r="D50" s="2"/>
      <c r="E50" s="53"/>
      <c r="F50" s="50"/>
      <c r="G50" s="51" t="s">
        <v>267</v>
      </c>
      <c r="H50" s="2"/>
      <c r="I50" s="42" t="s">
        <v>69</v>
      </c>
      <c r="J50" s="4">
        <f t="shared" si="1"/>
        <v>35</v>
      </c>
      <c r="K50" s="9">
        <f t="shared" si="2"/>
        <v>6</v>
      </c>
      <c r="L50" s="10"/>
      <c r="M50" s="11"/>
      <c r="N50" s="24" t="s">
        <v>147</v>
      </c>
      <c r="O50" s="24">
        <v>23.0</v>
      </c>
      <c r="P50" s="8">
        <f t="shared" si="9"/>
        <v>0</v>
      </c>
      <c r="Q50" s="8">
        <f t="shared" si="10"/>
        <v>0</v>
      </c>
      <c r="R50" s="8"/>
      <c r="S50" s="8">
        <f t="shared" si="11"/>
        <v>0</v>
      </c>
      <c r="T50" s="8" t="str">
        <f t="shared" si="12"/>
        <v>oo</v>
      </c>
      <c r="U50" s="8">
        <f t="shared" si="13"/>
        <v>0</v>
      </c>
      <c r="V50" s="59">
        <f t="shared" si="14"/>
        <v>0</v>
      </c>
      <c r="W50" s="62" t="s">
        <v>268</v>
      </c>
      <c r="X50" s="63" t="s">
        <v>269</v>
      </c>
      <c r="Y50" s="64" t="s">
        <v>168</v>
      </c>
      <c r="Z50" s="24">
        <v>8.0</v>
      </c>
      <c r="AA50" s="8"/>
      <c r="AB50" s="8">
        <f t="shared" si="15"/>
        <v>0</v>
      </c>
      <c r="AC50" s="8">
        <f t="shared" si="16"/>
        <v>0.01492537313</v>
      </c>
      <c r="AD50" s="8">
        <f t="shared" si="17"/>
        <v>0</v>
      </c>
      <c r="AE50" s="8"/>
      <c r="AF50" s="24">
        <v>1.0</v>
      </c>
      <c r="AG50" s="24" t="s">
        <v>209</v>
      </c>
      <c r="AH50" s="8">
        <f t="shared" si="18"/>
        <v>0</v>
      </c>
      <c r="AI50" s="8" t="str">
        <f t="shared" si="19"/>
        <v>BAJO</v>
      </c>
      <c r="AJ50" s="8">
        <f t="shared" si="20"/>
        <v>0</v>
      </c>
      <c r="AK50" s="8" t="s">
        <v>88</v>
      </c>
      <c r="AL50" s="8" t="s">
        <v>210</v>
      </c>
      <c r="AM50" s="65" t="s">
        <v>270</v>
      </c>
      <c r="AN50" s="8" t="s">
        <v>29</v>
      </c>
      <c r="AO50" s="8"/>
      <c r="AP50" s="8" t="str">
        <f>IF( AND(AI$50&lt;&gt;0,AH$12&lt;&gt;0),AL$50&amp;" - "&amp;AK$50,0)</f>
        <v>Estudiante requiere entrenamiento de subhabilidad Mantenimiento - Reintegración</v>
      </c>
      <c r="AQ50" s="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8" t="s">
        <v>29</v>
      </c>
    </row>
    <row r="51" ht="22.5" customHeight="1">
      <c r="A51" s="1"/>
      <c r="B51" s="1"/>
      <c r="C51" s="1" t="str">
        <f t="shared" si="4"/>
        <v>Diego Said </v>
      </c>
      <c r="D51" s="2"/>
      <c r="E51" s="52" t="s">
        <v>47</v>
      </c>
      <c r="F51" s="30" t="s">
        <v>271</v>
      </c>
      <c r="G51" s="51" t="s">
        <v>272</v>
      </c>
      <c r="H51" s="2"/>
      <c r="I51" s="1"/>
      <c r="J51" s="4">
        <f t="shared" si="1"/>
        <v>0</v>
      </c>
      <c r="K51" s="9">
        <f t="shared" si="2"/>
        <v>0</v>
      </c>
      <c r="L51" s="10"/>
      <c r="M51" s="11"/>
      <c r="N51" s="24" t="s">
        <v>147</v>
      </c>
      <c r="O51" s="24">
        <v>24.0</v>
      </c>
      <c r="P51" s="8">
        <f t="shared" si="9"/>
        <v>0</v>
      </c>
      <c r="Q51" s="8">
        <f t="shared" si="10"/>
        <v>0</v>
      </c>
      <c r="R51" s="8"/>
      <c r="S51" s="8">
        <f t="shared" si="11"/>
        <v>0</v>
      </c>
      <c r="T51" s="8" t="str">
        <f t="shared" si="12"/>
        <v>oo</v>
      </c>
      <c r="U51" s="8">
        <f t="shared" si="13"/>
        <v>0</v>
      </c>
      <c r="V51" s="59">
        <f t="shared" si="14"/>
        <v>0</v>
      </c>
      <c r="W51" s="62" t="s">
        <v>274</v>
      </c>
      <c r="X51" s="63" t="s">
        <v>275</v>
      </c>
      <c r="Y51" s="64" t="s">
        <v>168</v>
      </c>
      <c r="Z51" s="24">
        <v>7.0</v>
      </c>
      <c r="AA51" s="8"/>
      <c r="AB51" s="8">
        <f t="shared" si="15"/>
        <v>0</v>
      </c>
      <c r="AC51" s="8">
        <f t="shared" si="16"/>
        <v>0.01492537313</v>
      </c>
      <c r="AD51" s="8">
        <f t="shared" si="17"/>
        <v>0</v>
      </c>
      <c r="AE51" s="8"/>
      <c r="AF51" s="24">
        <v>1.0</v>
      </c>
      <c r="AG51" s="24" t="s">
        <v>162</v>
      </c>
      <c r="AH51" s="8">
        <f t="shared" si="18"/>
        <v>0</v>
      </c>
      <c r="AI51" s="8" t="str">
        <f t="shared" si="19"/>
        <v>BAJO</v>
      </c>
      <c r="AJ51" s="8">
        <f t="shared" si="20"/>
        <v>0</v>
      </c>
      <c r="AK51" s="8" t="s">
        <v>88</v>
      </c>
      <c r="AL51" s="8" t="s">
        <v>163</v>
      </c>
      <c r="AM51" s="8" t="s">
        <v>276</v>
      </c>
      <c r="AN51" s="8" t="s">
        <v>29</v>
      </c>
      <c r="AO51" s="8"/>
      <c r="AP51" s="8" t="str">
        <f>IF( AND(AI$51&lt;&gt;0,AH$12&lt;&gt;0),AL$51&amp;" - "&amp;AK$51,0)</f>
        <v>Estudiante requiere entrenamiento de subhabilidad Tarea - Reintegración</v>
      </c>
      <c r="AQ51" s="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8" t="s">
        <v>29</v>
      </c>
    </row>
    <row r="52" ht="18.75" customHeight="1">
      <c r="A52" s="1"/>
      <c r="B52" s="1"/>
      <c r="C52" s="1" t="str">
        <f t="shared" si="4"/>
        <v>Diego Said </v>
      </c>
      <c r="D52" s="2"/>
      <c r="E52" s="53"/>
      <c r="F52" s="50"/>
      <c r="G52" s="66" t="s">
        <v>277</v>
      </c>
      <c r="H52" s="2"/>
      <c r="I52" s="42" t="s">
        <v>69</v>
      </c>
      <c r="J52" s="4">
        <f t="shared" si="1"/>
        <v>35</v>
      </c>
      <c r="K52" s="9">
        <f t="shared" si="2"/>
        <v>6</v>
      </c>
      <c r="L52" s="10"/>
      <c r="M52" s="11"/>
      <c r="N52" s="24" t="s">
        <v>147</v>
      </c>
      <c r="O52" s="24">
        <v>25.0</v>
      </c>
      <c r="P52" s="8">
        <f t="shared" si="9"/>
        <v>0</v>
      </c>
      <c r="Q52" s="8">
        <f t="shared" si="10"/>
        <v>0</v>
      </c>
      <c r="R52" s="8"/>
      <c r="S52" s="8">
        <f t="shared" si="11"/>
        <v>0</v>
      </c>
      <c r="T52" s="8" t="str">
        <f t="shared" si="12"/>
        <v>oo</v>
      </c>
      <c r="U52" s="8">
        <f t="shared" si="13"/>
        <v>0</v>
      </c>
      <c r="V52" s="59">
        <f t="shared" si="14"/>
        <v>0</v>
      </c>
      <c r="W52" s="62" t="s">
        <v>278</v>
      </c>
      <c r="X52" s="63" t="s">
        <v>279</v>
      </c>
      <c r="Y52" s="64" t="s">
        <v>239</v>
      </c>
      <c r="Z52" s="24">
        <v>2.0</v>
      </c>
      <c r="AA52" s="8"/>
      <c r="AB52" s="8">
        <f t="shared" si="15"/>
        <v>0</v>
      </c>
      <c r="AC52" s="8">
        <f t="shared" si="16"/>
        <v>0.01492537313</v>
      </c>
      <c r="AD52" s="8">
        <f t="shared" si="17"/>
        <v>0</v>
      </c>
      <c r="AE52" s="8"/>
      <c r="AF52" s="24">
        <v>12.0</v>
      </c>
      <c r="AG52" s="24" t="s">
        <v>161</v>
      </c>
      <c r="AH52" s="8">
        <f t="shared" si="18"/>
        <v>0</v>
      </c>
      <c r="AI52" s="8" t="str">
        <f t="shared" si="19"/>
        <v>BAJO</v>
      </c>
      <c r="AJ52" s="8">
        <f t="shared" si="20"/>
        <v>0</v>
      </c>
      <c r="AK52" s="8" t="s">
        <v>88</v>
      </c>
      <c r="AL52" s="8" t="s">
        <v>174</v>
      </c>
      <c r="AM52" s="8" t="s">
        <v>280</v>
      </c>
      <c r="AN52" s="8" t="s">
        <v>29</v>
      </c>
      <c r="AO52" s="8"/>
      <c r="AP52" s="8">
        <f>IF( AND(AI$52&lt;&gt;0,AH$23&lt;&gt;0),AL$52&amp;" - "&amp;AK$52,0)</f>
        <v>0</v>
      </c>
      <c r="AQ52" s="8">
        <f>IF( AP52&lt;&gt;0,AM$52,0)</f>
        <v>0</v>
      </c>
      <c r="AR52" s="8" t="s">
        <v>29</v>
      </c>
    </row>
    <row r="53" ht="20.25" customHeight="1">
      <c r="A53" s="1"/>
      <c r="B53" s="1"/>
      <c r="C53" s="1" t="str">
        <f t="shared" si="4"/>
        <v>Muro </v>
      </c>
      <c r="D53" s="2"/>
      <c r="E53" s="52" t="s">
        <v>13</v>
      </c>
      <c r="F53" s="30" t="s">
        <v>271</v>
      </c>
      <c r="G53" s="51" t="s">
        <v>25</v>
      </c>
      <c r="H53" s="2"/>
      <c r="I53" s="1"/>
      <c r="J53" s="4">
        <f t="shared" si="1"/>
        <v>0</v>
      </c>
      <c r="K53" s="9">
        <f t="shared" si="2"/>
        <v>0</v>
      </c>
      <c r="L53" s="10"/>
      <c r="M53" s="11"/>
      <c r="N53" s="24" t="s">
        <v>147</v>
      </c>
      <c r="O53" s="24">
        <v>26.0</v>
      </c>
      <c r="P53" s="8">
        <f t="shared" si="9"/>
        <v>1</v>
      </c>
      <c r="Q53" s="8">
        <f t="shared" si="10"/>
        <v>0.01492537313</v>
      </c>
      <c r="R53" s="8"/>
      <c r="S53" s="8">
        <f t="shared" si="11"/>
        <v>0</v>
      </c>
      <c r="T53" s="8">
        <f t="shared" si="12"/>
        <v>0</v>
      </c>
      <c r="U53" s="8">
        <f t="shared" si="13"/>
        <v>0</v>
      </c>
      <c r="V53" s="59">
        <f t="shared" si="14"/>
        <v>0</v>
      </c>
      <c r="W53" s="62" t="s">
        <v>77</v>
      </c>
      <c r="X53" s="63" t="s">
        <v>281</v>
      </c>
      <c r="Y53" s="64" t="s">
        <v>239</v>
      </c>
      <c r="Z53" s="24">
        <v>3.0</v>
      </c>
      <c r="AA53" s="8"/>
      <c r="AB53" s="8">
        <f t="shared" si="15"/>
        <v>0</v>
      </c>
      <c r="AC53" s="8">
        <f t="shared" si="16"/>
        <v>0.01492537313</v>
      </c>
      <c r="AD53" s="8">
        <f t="shared" si="17"/>
        <v>0</v>
      </c>
      <c r="AE53" s="8"/>
      <c r="AF53" s="8"/>
      <c r="AG53" s="8"/>
      <c r="AH53" s="8"/>
      <c r="AI53" s="8"/>
      <c r="AJ53" s="8"/>
      <c r="AK53" s="8"/>
      <c r="AL53" s="8"/>
      <c r="AM53" s="8"/>
      <c r="AN53" s="8"/>
      <c r="AO53" s="8"/>
      <c r="AP53" s="24" t="s">
        <v>282</v>
      </c>
      <c r="AQ53" s="8"/>
      <c r="AR53" s="8"/>
    </row>
    <row r="54" ht="18.75" customHeight="1">
      <c r="A54" s="1"/>
      <c r="B54" s="1"/>
      <c r="C54" s="1" t="str">
        <f t="shared" si="4"/>
        <v>Diego Said </v>
      </c>
      <c r="D54" s="2"/>
      <c r="E54" s="52" t="s">
        <v>47</v>
      </c>
      <c r="F54" s="30" t="s">
        <v>283</v>
      </c>
      <c r="G54" s="51" t="s">
        <v>284</v>
      </c>
      <c r="H54" s="2"/>
      <c r="I54" s="1"/>
      <c r="J54" s="4">
        <f t="shared" si="1"/>
        <v>0</v>
      </c>
      <c r="K54" s="9">
        <f t="shared" si="2"/>
        <v>0</v>
      </c>
      <c r="L54" s="10"/>
      <c r="M54" s="11"/>
      <c r="N54" s="24" t="s">
        <v>147</v>
      </c>
      <c r="O54" s="24">
        <v>27.0</v>
      </c>
      <c r="P54" s="8">
        <f t="shared" si="9"/>
        <v>0</v>
      </c>
      <c r="Q54" s="8">
        <f t="shared" si="10"/>
        <v>0</v>
      </c>
      <c r="R54" s="8"/>
      <c r="S54" s="8">
        <f t="shared" si="11"/>
        <v>0</v>
      </c>
      <c r="T54" s="8" t="str">
        <f t="shared" si="12"/>
        <v>oo</v>
      </c>
      <c r="U54" s="8">
        <f t="shared" si="13"/>
        <v>0</v>
      </c>
      <c r="V54" s="59">
        <f t="shared" si="14"/>
        <v>0</v>
      </c>
      <c r="W54" s="62" t="s">
        <v>285</v>
      </c>
      <c r="X54" s="63" t="s">
        <v>286</v>
      </c>
      <c r="Y54" s="64" t="s">
        <v>239</v>
      </c>
      <c r="Z54" s="24">
        <v>10.0</v>
      </c>
      <c r="AA54" s="8"/>
      <c r="AB54" s="8">
        <f t="shared" si="15"/>
        <v>0</v>
      </c>
      <c r="AC54" s="8">
        <f t="shared" si="16"/>
        <v>0.01492537313</v>
      </c>
      <c r="AD54" s="8">
        <f t="shared" si="17"/>
        <v>0</v>
      </c>
      <c r="AE54" s="8"/>
      <c r="AF54" s="8"/>
      <c r="AG54" s="8"/>
      <c r="AH54" s="8"/>
      <c r="AI54" s="8"/>
      <c r="AJ54" s="8"/>
      <c r="AK54" s="8" t="s">
        <v>27</v>
      </c>
      <c r="AL54" s="8" t="s">
        <v>287</v>
      </c>
      <c r="AM54" s="65" t="s">
        <v>288</v>
      </c>
      <c r="AN54" s="8" t="s">
        <v>29</v>
      </c>
      <c r="AO54" s="8"/>
      <c r="AP54" s="8" t="str">
        <f>IF(AND(AD39&lt;0.5,AI$28&lt;&gt;0, AH$17&lt;&gt;0),AL$28&amp;" - "&amp;AK$28,0)</f>
        <v>Estudiante requiere entrenamiento de subhabilidad Informar - Comunicación</v>
      </c>
      <c r="AQ54" s="8"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8" t="s">
        <v>29</v>
      </c>
    </row>
    <row r="55" ht="21.0" customHeight="1">
      <c r="A55" s="1"/>
      <c r="B55" s="1"/>
      <c r="C55" s="1" t="str">
        <f t="shared" si="4"/>
        <v>Diego Said </v>
      </c>
      <c r="D55" s="2"/>
      <c r="E55" s="53"/>
      <c r="F55" s="50"/>
      <c r="G55" s="51" t="s">
        <v>289</v>
      </c>
      <c r="H55" s="2"/>
      <c r="I55" s="42" t="s">
        <v>104</v>
      </c>
      <c r="J55" s="4">
        <f t="shared" si="1"/>
        <v>19</v>
      </c>
      <c r="K55" s="9">
        <f t="shared" si="2"/>
        <v>7</v>
      </c>
      <c r="L55" s="10"/>
      <c r="M55" s="11"/>
      <c r="N55" s="24" t="s">
        <v>147</v>
      </c>
      <c r="O55" s="24">
        <v>28.0</v>
      </c>
      <c r="P55" s="8">
        <f t="shared" si="9"/>
        <v>0</v>
      </c>
      <c r="Q55" s="8">
        <f t="shared" si="10"/>
        <v>0</v>
      </c>
      <c r="R55" s="8"/>
      <c r="S55" s="8">
        <f t="shared" si="11"/>
        <v>0</v>
      </c>
      <c r="T55" s="8" t="str">
        <f t="shared" si="12"/>
        <v>oo</v>
      </c>
      <c r="U55" s="8">
        <f t="shared" si="13"/>
        <v>0</v>
      </c>
      <c r="V55" s="59">
        <f t="shared" si="14"/>
        <v>0</v>
      </c>
      <c r="W55" s="62" t="s">
        <v>186</v>
      </c>
      <c r="X55" s="63" t="s">
        <v>290</v>
      </c>
      <c r="Y55" s="64" t="s">
        <v>209</v>
      </c>
      <c r="Z55" s="24">
        <v>11.0</v>
      </c>
      <c r="AA55" s="8"/>
      <c r="AB55" s="8">
        <f t="shared" si="15"/>
        <v>0</v>
      </c>
      <c r="AC55" s="8">
        <f t="shared" si="16"/>
        <v>0.02985074627</v>
      </c>
      <c r="AD55" s="8">
        <f t="shared" si="17"/>
        <v>0</v>
      </c>
      <c r="AE55" s="8"/>
      <c r="AF55" s="8"/>
      <c r="AG55" s="8"/>
      <c r="AH55" s="8"/>
      <c r="AI55" s="8"/>
      <c r="AJ55" s="8"/>
      <c r="AK55" s="8" t="s">
        <v>27</v>
      </c>
      <c r="AL55" s="8" t="s">
        <v>291</v>
      </c>
      <c r="AM55" s="65" t="s">
        <v>293</v>
      </c>
      <c r="AN55" s="8" t="s">
        <v>29</v>
      </c>
      <c r="AO55" s="8"/>
      <c r="AP55" s="8" t="str">
        <f>IF( AND(AD60&lt;0.5,AI$29&lt;&gt;0,AH$17&lt;&gt;0),AL$29&amp;" - "&amp;AK$29,0)</f>
        <v>Estudiante requiere entrenamiento de subhabilidad Tarea - Comunicación</v>
      </c>
      <c r="AQ55" s="8" t="str">
        <f t="shared" si="21"/>
        <v>Debe indicarle que cuando se efectúen un pedido de información, que realice una contribución a continuación de la oración de apertura “Resumiendo,…”.</v>
      </c>
      <c r="AR55" s="8" t="s">
        <v>29</v>
      </c>
    </row>
    <row r="56" ht="21.0" customHeight="1">
      <c r="A56" s="1"/>
      <c r="B56" s="1"/>
      <c r="C56" s="1" t="str">
        <f t="shared" si="4"/>
        <v>Diego Said </v>
      </c>
      <c r="D56" s="2"/>
      <c r="E56" s="53"/>
      <c r="F56" s="50"/>
      <c r="G56" s="51" t="s">
        <v>294</v>
      </c>
      <c r="H56" s="2"/>
      <c r="I56" s="42" t="s">
        <v>198</v>
      </c>
      <c r="J56" s="4">
        <f t="shared" si="1"/>
        <v>8</v>
      </c>
      <c r="K56" s="9">
        <f t="shared" si="2"/>
        <v>5</v>
      </c>
      <c r="L56" s="10"/>
      <c r="M56" s="11"/>
      <c r="N56" s="24" t="s">
        <v>147</v>
      </c>
      <c r="O56" s="24">
        <v>29.0</v>
      </c>
      <c r="P56" s="8">
        <f t="shared" si="9"/>
        <v>0</v>
      </c>
      <c r="Q56" s="8">
        <f t="shared" si="10"/>
        <v>0</v>
      </c>
      <c r="R56" s="8"/>
      <c r="S56" s="8">
        <f t="shared" si="11"/>
        <v>0</v>
      </c>
      <c r="T56" s="8" t="str">
        <f t="shared" si="12"/>
        <v>oo</v>
      </c>
      <c r="U56" s="8">
        <f t="shared" si="13"/>
        <v>0</v>
      </c>
      <c r="V56" s="59">
        <f t="shared" si="14"/>
        <v>0</v>
      </c>
      <c r="W56" s="62" t="s">
        <v>295</v>
      </c>
      <c r="X56" s="63" t="s">
        <v>296</v>
      </c>
      <c r="Y56" s="64" t="s">
        <v>209</v>
      </c>
      <c r="Z56" s="24">
        <v>4.0</v>
      </c>
      <c r="AA56" s="8"/>
      <c r="AB56" s="8">
        <f t="shared" si="15"/>
        <v>0</v>
      </c>
      <c r="AC56" s="8">
        <f t="shared" si="16"/>
        <v>0.02985074627</v>
      </c>
      <c r="AD56" s="8">
        <f t="shared" si="17"/>
        <v>0</v>
      </c>
      <c r="AE56" s="8"/>
      <c r="AF56" s="8"/>
      <c r="AG56" s="8"/>
      <c r="AH56" s="8"/>
      <c r="AI56" s="8"/>
      <c r="AJ56" s="8"/>
      <c r="AK56" s="8" t="s">
        <v>27</v>
      </c>
      <c r="AL56" s="8" t="s">
        <v>297</v>
      </c>
      <c r="AM56" s="65" t="s">
        <v>298</v>
      </c>
      <c r="AN56" s="8" t="s">
        <v>29</v>
      </c>
      <c r="AO56" s="8"/>
      <c r="AP56" s="8">
        <f>IF( AND(AD46&lt;0.5,AI$30&lt;&gt;0,AH$18&lt;&gt;0),AL$30&amp;" - "&amp;AK$30,0)</f>
        <v>0</v>
      </c>
      <c r="AQ56" s="8">
        <f t="shared" si="21"/>
        <v>0</v>
      </c>
      <c r="AR56" s="8" t="s">
        <v>29</v>
      </c>
    </row>
    <row r="57" ht="20.25" customHeight="1">
      <c r="A57" s="1"/>
      <c r="B57" s="1"/>
      <c r="C57" s="1" t="str">
        <f t="shared" si="4"/>
        <v>Diego Said </v>
      </c>
      <c r="D57" s="2"/>
      <c r="E57" s="53"/>
      <c r="F57" s="50"/>
      <c r="G57" s="51" t="s">
        <v>299</v>
      </c>
      <c r="H57" s="2"/>
      <c r="I57" s="1"/>
      <c r="J57" s="4">
        <f t="shared" si="1"/>
        <v>0</v>
      </c>
      <c r="K57" s="9">
        <f t="shared" si="2"/>
        <v>0</v>
      </c>
      <c r="L57" s="10"/>
      <c r="M57" s="11"/>
      <c r="N57" s="24" t="s">
        <v>147</v>
      </c>
      <c r="O57" s="24">
        <v>30.0</v>
      </c>
      <c r="P57" s="8">
        <f t="shared" si="9"/>
        <v>1</v>
      </c>
      <c r="Q57" s="8">
        <f t="shared" si="10"/>
        <v>0.01492537313</v>
      </c>
      <c r="R57" s="8"/>
      <c r="S57" s="8">
        <f t="shared" si="11"/>
        <v>0</v>
      </c>
      <c r="T57" s="8">
        <f t="shared" si="12"/>
        <v>0</v>
      </c>
      <c r="U57" s="8">
        <f t="shared" si="13"/>
        <v>0</v>
      </c>
      <c r="V57" s="59">
        <f t="shared" si="14"/>
        <v>0</v>
      </c>
      <c r="W57" s="62" t="s">
        <v>44</v>
      </c>
      <c r="X57" s="63" t="s">
        <v>300</v>
      </c>
      <c r="Y57" s="64" t="s">
        <v>209</v>
      </c>
      <c r="Z57" s="24">
        <v>8.0</v>
      </c>
      <c r="AA57" s="8"/>
      <c r="AB57" s="8">
        <f t="shared" si="15"/>
        <v>0</v>
      </c>
      <c r="AC57" s="8">
        <f t="shared" si="16"/>
        <v>0.02985074627</v>
      </c>
      <c r="AD57" s="8">
        <f t="shared" si="17"/>
        <v>0</v>
      </c>
      <c r="AE57" s="8"/>
      <c r="AF57" s="8"/>
      <c r="AG57" s="8"/>
      <c r="AH57" s="8"/>
      <c r="AI57" s="8"/>
      <c r="AJ57" s="8"/>
      <c r="AK57" s="8" t="s">
        <v>39</v>
      </c>
      <c r="AL57" s="8" t="s">
        <v>301</v>
      </c>
      <c r="AM57" s="65" t="s">
        <v>302</v>
      </c>
      <c r="AN57" s="8" t="s">
        <v>29</v>
      </c>
      <c r="AO57" s="8"/>
      <c r="AP57" s="8">
        <f>IF( AND(AD29&lt;0.5,AI$31&lt;&gt;0,AH$16&lt;&gt;0),AL$31&amp;" - "&amp;AK$31,0)</f>
        <v>0</v>
      </c>
      <c r="AQ57" s="8">
        <f t="shared" si="21"/>
        <v>0</v>
      </c>
      <c r="AR57" s="8" t="s">
        <v>29</v>
      </c>
    </row>
    <row r="58" ht="15.75" customHeight="1">
      <c r="A58" s="1"/>
      <c r="B58" s="1"/>
      <c r="C58" s="1" t="str">
        <f t="shared" si="4"/>
        <v>Muro </v>
      </c>
      <c r="D58" s="2"/>
      <c r="E58" s="52" t="s">
        <v>13</v>
      </c>
      <c r="F58" s="30" t="s">
        <v>303</v>
      </c>
      <c r="G58" s="51" t="s">
        <v>304</v>
      </c>
      <c r="H58" s="2"/>
      <c r="I58" s="42" t="s">
        <v>215</v>
      </c>
      <c r="J58" s="4">
        <f t="shared" si="1"/>
        <v>11</v>
      </c>
      <c r="K58" s="9">
        <f t="shared" si="2"/>
        <v>5</v>
      </c>
      <c r="L58" s="10"/>
      <c r="M58" s="11"/>
      <c r="N58" s="24" t="s">
        <v>147</v>
      </c>
      <c r="O58" s="24">
        <v>31.0</v>
      </c>
      <c r="P58" s="8">
        <f t="shared" si="9"/>
        <v>0</v>
      </c>
      <c r="Q58" s="8">
        <f t="shared" si="10"/>
        <v>0</v>
      </c>
      <c r="R58" s="8"/>
      <c r="S58" s="8">
        <f t="shared" si="11"/>
        <v>0</v>
      </c>
      <c r="T58" s="8" t="str">
        <f t="shared" si="12"/>
        <v>oo</v>
      </c>
      <c r="U58" s="8">
        <f t="shared" si="13"/>
        <v>0</v>
      </c>
      <c r="V58" s="59">
        <f t="shared" si="14"/>
        <v>0</v>
      </c>
      <c r="W58" s="62" t="s">
        <v>305</v>
      </c>
      <c r="X58" s="63" t="s">
        <v>306</v>
      </c>
      <c r="Y58" s="64" t="s">
        <v>209</v>
      </c>
      <c r="Z58" s="24">
        <v>1.0</v>
      </c>
      <c r="AA58" s="8"/>
      <c r="AB58" s="8">
        <f t="shared" si="15"/>
        <v>0</v>
      </c>
      <c r="AC58" s="8">
        <f t="shared" si="16"/>
        <v>0.02985074627</v>
      </c>
      <c r="AD58" s="8">
        <f t="shared" si="17"/>
        <v>0</v>
      </c>
      <c r="AE58" s="8"/>
      <c r="AF58" s="8"/>
      <c r="AG58" s="8"/>
      <c r="AH58" s="8"/>
      <c r="AI58" s="8"/>
      <c r="AJ58" s="8"/>
      <c r="AK58" s="8" t="s">
        <v>39</v>
      </c>
      <c r="AL58" s="8" t="s">
        <v>307</v>
      </c>
      <c r="AM58" s="65" t="s">
        <v>308</v>
      </c>
      <c r="AN58" s="8" t="s">
        <v>29</v>
      </c>
      <c r="AO58" s="8"/>
      <c r="AP58" s="8">
        <f>IF( AND(AD28&lt;0.5,AI$32&lt;&gt;0,AH$16&lt;&gt;0),AL$32&amp;" - "&amp;AK$32,0)</f>
        <v>0</v>
      </c>
      <c r="AQ58" s="8">
        <f t="shared" si="21"/>
        <v>0</v>
      </c>
      <c r="AR58" s="8" t="s">
        <v>29</v>
      </c>
    </row>
    <row r="59" ht="17.25" customHeight="1">
      <c r="A59" s="1"/>
      <c r="B59" s="1"/>
      <c r="C59" s="1" t="str">
        <f t="shared" si="4"/>
        <v>Muro </v>
      </c>
      <c r="D59" s="2"/>
      <c r="E59" s="53"/>
      <c r="F59" s="50"/>
      <c r="G59" s="51" t="s">
        <v>309</v>
      </c>
      <c r="H59" s="2"/>
      <c r="I59" s="42" t="s">
        <v>226</v>
      </c>
      <c r="J59" s="4">
        <f t="shared" si="1"/>
        <v>14</v>
      </c>
      <c r="K59" s="9">
        <f t="shared" si="2"/>
        <v>5</v>
      </c>
      <c r="L59" s="68"/>
      <c r="M59" s="69"/>
      <c r="N59" s="24" t="s">
        <v>147</v>
      </c>
      <c r="O59" s="24">
        <v>32.0</v>
      </c>
      <c r="P59" s="8">
        <f t="shared" si="9"/>
        <v>1</v>
      </c>
      <c r="Q59" s="8">
        <f t="shared" si="10"/>
        <v>0.01492537313</v>
      </c>
      <c r="R59" s="8"/>
      <c r="S59" s="8">
        <f t="shared" si="11"/>
        <v>0</v>
      </c>
      <c r="T59" s="8">
        <f t="shared" si="12"/>
        <v>0</v>
      </c>
      <c r="U59" s="8">
        <f t="shared" si="13"/>
        <v>0</v>
      </c>
      <c r="V59" s="59">
        <f t="shared" si="14"/>
        <v>0</v>
      </c>
      <c r="W59" s="62" t="s">
        <v>61</v>
      </c>
      <c r="X59" s="63" t="s">
        <v>310</v>
      </c>
      <c r="Y59" s="64" t="s">
        <v>209</v>
      </c>
      <c r="Z59" s="24">
        <v>1.0</v>
      </c>
      <c r="AA59" s="8"/>
      <c r="AB59" s="8">
        <f t="shared" si="15"/>
        <v>0</v>
      </c>
      <c r="AC59" s="8">
        <f t="shared" si="16"/>
        <v>0.02985074627</v>
      </c>
      <c r="AD59" s="8">
        <f t="shared" si="17"/>
        <v>0</v>
      </c>
      <c r="AE59" s="8"/>
      <c r="AF59" s="8"/>
      <c r="AG59" s="8"/>
      <c r="AH59" s="8"/>
      <c r="AI59" s="8"/>
      <c r="AJ59" s="8"/>
      <c r="AK59" s="8" t="s">
        <v>39</v>
      </c>
      <c r="AL59" s="8" t="s">
        <v>287</v>
      </c>
      <c r="AM59" s="65" t="s">
        <v>311</v>
      </c>
      <c r="AN59" s="8" t="s">
        <v>29</v>
      </c>
      <c r="AO59" s="8"/>
      <c r="AP59" s="8">
        <f>IF( AND(AD39&lt;0.5,AI$33&lt;&gt;0,AH$16&lt;&gt;0),AL$33&amp;" - "&amp;AK$33,0)</f>
        <v>0</v>
      </c>
      <c r="AQ59" s="8">
        <f t="shared" si="21"/>
        <v>0</v>
      </c>
      <c r="AR59" s="8" t="s">
        <v>29</v>
      </c>
    </row>
    <row r="60" ht="17.25" customHeight="1">
      <c r="A60" s="1"/>
      <c r="B60" s="1"/>
      <c r="C60" s="1" t="str">
        <f t="shared" si="4"/>
        <v>Muro </v>
      </c>
      <c r="D60" s="2"/>
      <c r="E60" s="53"/>
      <c r="F60" s="50"/>
      <c r="G60" s="51" t="s">
        <v>312</v>
      </c>
      <c r="H60" s="2"/>
      <c r="I60" s="42" t="s">
        <v>255</v>
      </c>
      <c r="J60" s="4">
        <f t="shared" si="1"/>
        <v>20</v>
      </c>
      <c r="K60" s="9">
        <f t="shared" si="2"/>
        <v>9</v>
      </c>
      <c r="L60" s="10"/>
      <c r="M60" s="11"/>
      <c r="N60" s="24" t="s">
        <v>147</v>
      </c>
      <c r="O60" s="24">
        <v>33.0</v>
      </c>
      <c r="P60" s="8">
        <f t="shared" si="9"/>
        <v>0</v>
      </c>
      <c r="Q60" s="8">
        <f t="shared" si="10"/>
        <v>0</v>
      </c>
      <c r="R60" s="8"/>
      <c r="S60" s="8">
        <f t="shared" si="11"/>
        <v>0</v>
      </c>
      <c r="T60" s="8" t="str">
        <f t="shared" si="12"/>
        <v>oo</v>
      </c>
      <c r="U60" s="8">
        <f t="shared" si="13"/>
        <v>0</v>
      </c>
      <c r="V60" s="59">
        <f t="shared" si="14"/>
        <v>0</v>
      </c>
      <c r="W60" s="62" t="s">
        <v>158</v>
      </c>
      <c r="X60" s="63" t="s">
        <v>314</v>
      </c>
      <c r="Y60" s="64" t="s">
        <v>162</v>
      </c>
      <c r="Z60" s="24">
        <v>5.0</v>
      </c>
      <c r="AA60" s="8"/>
      <c r="AB60" s="8">
        <f t="shared" si="15"/>
        <v>0</v>
      </c>
      <c r="AC60" s="8">
        <f t="shared" si="16"/>
        <v>0.01492537313</v>
      </c>
      <c r="AD60" s="8">
        <f t="shared" si="17"/>
        <v>0</v>
      </c>
      <c r="AE60" s="8"/>
      <c r="AF60" s="8"/>
      <c r="AG60" s="8"/>
      <c r="AH60" s="8"/>
      <c r="AI60" s="8"/>
      <c r="AJ60" s="8"/>
      <c r="AK60" s="8" t="s">
        <v>39</v>
      </c>
      <c r="AL60" s="8" t="s">
        <v>315</v>
      </c>
      <c r="AM60" s="65" t="s">
        <v>316</v>
      </c>
      <c r="AN60" s="8" t="s">
        <v>29</v>
      </c>
      <c r="AO60" s="8"/>
      <c r="AP60" s="8">
        <f>IF( AND(AD37&lt;0.5,AI$34&lt;&gt;0,AH$16&lt;&gt;0),AL$34&amp;" - "&amp;AK$34,0)</f>
        <v>0</v>
      </c>
      <c r="AQ60" s="8">
        <f t="shared" si="21"/>
        <v>0</v>
      </c>
      <c r="AR60" s="8" t="s">
        <v>29</v>
      </c>
    </row>
    <row r="61" ht="21.75" customHeight="1">
      <c r="A61" s="1"/>
      <c r="B61" s="1"/>
      <c r="C61" s="1" t="str">
        <f t="shared" si="4"/>
        <v>Bruno Rios </v>
      </c>
      <c r="D61" s="2"/>
      <c r="E61" s="52" t="s">
        <v>23</v>
      </c>
      <c r="F61" s="30" t="s">
        <v>317</v>
      </c>
      <c r="G61" s="51" t="s">
        <v>318</v>
      </c>
      <c r="H61" s="2"/>
      <c r="I61" s="1"/>
      <c r="J61" s="4">
        <f t="shared" si="1"/>
        <v>0</v>
      </c>
      <c r="K61" s="9">
        <f t="shared" si="2"/>
        <v>0</v>
      </c>
      <c r="L61" s="10"/>
      <c r="M61" s="11"/>
      <c r="N61" s="24" t="s">
        <v>147</v>
      </c>
      <c r="O61" s="24">
        <v>34.0</v>
      </c>
      <c r="P61" s="8">
        <f t="shared" si="9"/>
        <v>0</v>
      </c>
      <c r="Q61" s="8">
        <f t="shared" si="10"/>
        <v>0</v>
      </c>
      <c r="R61" s="8"/>
      <c r="S61" s="8">
        <f t="shared" si="11"/>
        <v>0</v>
      </c>
      <c r="T61" s="8" t="str">
        <f t="shared" si="12"/>
        <v>oo</v>
      </c>
      <c r="U61" s="8">
        <f t="shared" si="13"/>
        <v>0</v>
      </c>
      <c r="V61" s="59">
        <f t="shared" si="14"/>
        <v>0</v>
      </c>
      <c r="W61" s="62" t="s">
        <v>319</v>
      </c>
      <c r="X61" s="63" t="s">
        <v>320</v>
      </c>
      <c r="Y61" s="64" t="s">
        <v>162</v>
      </c>
      <c r="Z61" s="24">
        <v>4.0</v>
      </c>
      <c r="AA61" s="8"/>
      <c r="AB61" s="8">
        <f t="shared" si="15"/>
        <v>0</v>
      </c>
      <c r="AC61" s="8">
        <f t="shared" si="16"/>
        <v>0.01492537313</v>
      </c>
      <c r="AD61" s="8">
        <f t="shared" si="17"/>
        <v>0</v>
      </c>
      <c r="AE61" s="8"/>
      <c r="AF61" s="8"/>
      <c r="AG61" s="8"/>
      <c r="AH61" s="8"/>
      <c r="AI61" s="8"/>
      <c r="AJ61" s="8"/>
      <c r="AK61" s="8" t="s">
        <v>39</v>
      </c>
      <c r="AL61" s="8" t="s">
        <v>291</v>
      </c>
      <c r="AM61" s="65" t="s">
        <v>321</v>
      </c>
      <c r="AN61" s="8" t="s">
        <v>29</v>
      </c>
      <c r="AO61" s="8"/>
      <c r="AP61" s="8">
        <f>IF( AND(AD60&lt;0.5,AI$35&lt;&gt;0,AH$16&lt;&gt;0),AL$35&amp;" - "&amp;AK$35,0)</f>
        <v>0</v>
      </c>
      <c r="AQ61" s="8">
        <f t="shared" si="21"/>
        <v>0</v>
      </c>
      <c r="AR61" s="8" t="s">
        <v>29</v>
      </c>
    </row>
    <row r="62" ht="18.75" customHeight="1">
      <c r="A62" s="1"/>
      <c r="B62" s="1"/>
      <c r="C62" s="1" t="str">
        <f t="shared" si="4"/>
        <v>Diego Said </v>
      </c>
      <c r="D62" s="2"/>
      <c r="E62" s="52" t="s">
        <v>47</v>
      </c>
      <c r="F62" s="30" t="s">
        <v>322</v>
      </c>
      <c r="G62" s="51" t="s">
        <v>323</v>
      </c>
      <c r="H62" s="2"/>
      <c r="I62" s="42" t="s">
        <v>110</v>
      </c>
      <c r="J62" s="4">
        <f t="shared" si="1"/>
        <v>9</v>
      </c>
      <c r="K62" s="9">
        <f t="shared" si="2"/>
        <v>11</v>
      </c>
      <c r="L62" s="10"/>
      <c r="M62" s="11"/>
      <c r="N62" s="24" t="s">
        <v>147</v>
      </c>
      <c r="O62" s="24">
        <v>35.0</v>
      </c>
      <c r="P62" s="8">
        <f t="shared" si="9"/>
        <v>1</v>
      </c>
      <c r="Q62" s="8">
        <f t="shared" si="10"/>
        <v>0.01492537313</v>
      </c>
      <c r="R62" s="8"/>
      <c r="S62" s="8">
        <f t="shared" si="11"/>
        <v>0</v>
      </c>
      <c r="T62" s="8">
        <f t="shared" si="12"/>
        <v>0</v>
      </c>
      <c r="U62" s="8">
        <f t="shared" si="13"/>
        <v>0</v>
      </c>
      <c r="V62" s="59">
        <f t="shared" si="14"/>
        <v>0</v>
      </c>
      <c r="W62" s="62" t="s">
        <v>69</v>
      </c>
      <c r="X62" s="63" t="s">
        <v>324</v>
      </c>
      <c r="Y62" s="64" t="s">
        <v>162</v>
      </c>
      <c r="Z62" s="24">
        <v>6.0</v>
      </c>
      <c r="AA62" s="8"/>
      <c r="AB62" s="8">
        <f t="shared" si="15"/>
        <v>0</v>
      </c>
      <c r="AC62" s="8">
        <f t="shared" si="16"/>
        <v>0.01492537313</v>
      </c>
      <c r="AD62" s="8">
        <f t="shared" si="17"/>
        <v>0</v>
      </c>
      <c r="AE62" s="8"/>
      <c r="AF62" s="8"/>
      <c r="AG62" s="8"/>
      <c r="AH62" s="8"/>
      <c r="AI62" s="8"/>
      <c r="AJ62" s="8"/>
      <c r="AK62" s="8" t="s">
        <v>39</v>
      </c>
      <c r="AL62" s="8" t="s">
        <v>297</v>
      </c>
      <c r="AM62" s="65" t="s">
        <v>325</v>
      </c>
      <c r="AN62" s="8"/>
      <c r="AO62" s="8"/>
      <c r="AP62" s="8" t="str">
        <f>IF( AND(AD46&lt;0.5,AI$36&lt;&gt;0,AH$19&lt;&gt;0),AL$36&amp;" - "&amp;AK$36,0)</f>
        <v>Estudiante requiere entrenamiento de subhabilidad Requerir - Evaluación</v>
      </c>
      <c r="AQ62" s="8"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8" t="s">
        <v>29</v>
      </c>
    </row>
    <row r="63" ht="18.0" customHeight="1">
      <c r="A63" s="1"/>
      <c r="B63" s="1"/>
      <c r="C63" s="1" t="str">
        <f t="shared" si="4"/>
        <v>Diego Said </v>
      </c>
      <c r="D63" s="2"/>
      <c r="E63" s="53"/>
      <c r="F63" s="50"/>
      <c r="G63" s="51" t="s">
        <v>326</v>
      </c>
      <c r="H63" s="2"/>
      <c r="J63" s="4">
        <f t="shared" si="1"/>
        <v>0</v>
      </c>
      <c r="K63" s="9">
        <f t="shared" si="2"/>
        <v>0</v>
      </c>
      <c r="L63" s="10"/>
      <c r="M63" s="11"/>
      <c r="N63" s="24" t="s">
        <v>147</v>
      </c>
      <c r="O63" s="24">
        <v>36.0</v>
      </c>
      <c r="P63" s="8">
        <f t="shared" si="9"/>
        <v>0</v>
      </c>
      <c r="Q63" s="8">
        <f t="shared" si="10"/>
        <v>0</v>
      </c>
      <c r="R63" s="8"/>
      <c r="S63" s="8">
        <f t="shared" si="11"/>
        <v>0</v>
      </c>
      <c r="T63" s="8" t="str">
        <f t="shared" si="12"/>
        <v>oo</v>
      </c>
      <c r="U63" s="8">
        <f t="shared" si="13"/>
        <v>0</v>
      </c>
      <c r="V63" s="59">
        <f t="shared" si="14"/>
        <v>0</v>
      </c>
      <c r="W63" s="62" t="s">
        <v>327</v>
      </c>
      <c r="X63" s="63" t="s">
        <v>328</v>
      </c>
      <c r="Y63" s="64" t="s">
        <v>162</v>
      </c>
      <c r="Z63" s="24">
        <v>1.0</v>
      </c>
      <c r="AA63" s="8"/>
      <c r="AB63" s="8">
        <f t="shared" si="15"/>
        <v>0</v>
      </c>
      <c r="AC63" s="8">
        <f t="shared" si="16"/>
        <v>0.01492537313</v>
      </c>
      <c r="AD63" s="8">
        <f t="shared" si="17"/>
        <v>0</v>
      </c>
      <c r="AE63" s="8"/>
      <c r="AF63" s="8"/>
      <c r="AG63" s="8"/>
      <c r="AH63" s="8"/>
      <c r="AI63" s="8"/>
      <c r="AJ63" s="8"/>
      <c r="AK63" s="8" t="s">
        <v>39</v>
      </c>
      <c r="AL63" s="8" t="s">
        <v>329</v>
      </c>
      <c r="AM63" s="65" t="s">
        <v>330</v>
      </c>
      <c r="AN63" s="8" t="s">
        <v>29</v>
      </c>
      <c r="AO63" s="8"/>
      <c r="AP63" s="8" t="str">
        <f>IF( AND(AD55&lt;0.5,AI$37&lt;&gt;0,AH$19&lt;&gt;0),AL$37&amp;" - "&amp;AK$37,0)</f>
        <v>Estudiante requiere entrenamiento de subhabilidad Mantenimiento - Evaluación</v>
      </c>
      <c r="AQ63" s="8" t="str">
        <f t="shared" si="21"/>
        <v>Indicar que en un futuro debe formular al menos un requerimiento al grupo. El estudiante debe hacer su contribución a continuación de la oración de apertura “¿Están de acuerdo…?”.</v>
      </c>
      <c r="AR63" s="8" t="s">
        <v>29</v>
      </c>
    </row>
    <row r="64" ht="25.5" customHeight="1">
      <c r="A64" s="1"/>
      <c r="B64" s="1"/>
      <c r="C64" s="1" t="str">
        <f t="shared" si="4"/>
        <v>Muro </v>
      </c>
      <c r="D64" s="2"/>
      <c r="E64" s="42" t="s">
        <v>13</v>
      </c>
      <c r="F64" s="42" t="s">
        <v>331</v>
      </c>
      <c r="G64" s="70" t="s">
        <v>332</v>
      </c>
      <c r="H64" s="2"/>
      <c r="I64" s="1"/>
      <c r="J64" s="4">
        <f t="shared" si="1"/>
        <v>0</v>
      </c>
      <c r="K64" s="9">
        <f t="shared" si="2"/>
        <v>0</v>
      </c>
      <c r="L64" s="10"/>
      <c r="M64" s="11"/>
      <c r="N64" s="8"/>
      <c r="O64" s="8"/>
      <c r="P64" s="8"/>
      <c r="Q64" s="8"/>
      <c r="R64" s="8"/>
      <c r="S64" s="8"/>
      <c r="T64" s="8"/>
      <c r="U64" s="8"/>
      <c r="V64" s="59"/>
      <c r="W64" s="59"/>
      <c r="X64" s="59"/>
      <c r="Y64" s="59"/>
      <c r="Z64" s="8"/>
      <c r="AA64" s="8"/>
      <c r="AB64" s="8"/>
      <c r="AC64" s="8"/>
      <c r="AD64" s="8"/>
      <c r="AE64" s="8"/>
      <c r="AF64" s="8"/>
      <c r="AG64" s="8"/>
      <c r="AH64" s="8"/>
      <c r="AI64" s="8"/>
      <c r="AJ64" s="8"/>
      <c r="AK64" s="8" t="s">
        <v>51</v>
      </c>
      <c r="AL64" s="8" t="s">
        <v>301</v>
      </c>
      <c r="AM64" s="65" t="s">
        <v>333</v>
      </c>
      <c r="AN64" s="8" t="s">
        <v>29</v>
      </c>
      <c r="AO64" s="8"/>
      <c r="AP64" s="8">
        <f>IF( AND(AD29&lt;0.5,AI$38&lt;&gt;0,AH$15&lt;&gt;0),AL$38&amp;" - "&amp;AK$38,0)</f>
        <v>0</v>
      </c>
      <c r="AQ64" s="8">
        <f t="shared" si="21"/>
        <v>0</v>
      </c>
      <c r="AR64" s="8" t="s">
        <v>29</v>
      </c>
    </row>
    <row r="65" ht="30.75" customHeight="1">
      <c r="A65" s="1"/>
      <c r="B65" s="1"/>
      <c r="C65" s="1" t="str">
        <f t="shared" si="4"/>
        <v>Muro </v>
      </c>
      <c r="D65" s="2"/>
      <c r="E65" s="1"/>
      <c r="F65" s="1"/>
      <c r="G65" s="70" t="s">
        <v>334</v>
      </c>
      <c r="H65" s="2"/>
      <c r="I65" s="42" t="s">
        <v>295</v>
      </c>
      <c r="J65" s="4">
        <f t="shared" si="1"/>
        <v>29</v>
      </c>
      <c r="K65" s="9">
        <f t="shared" si="2"/>
        <v>4</v>
      </c>
      <c r="L65" s="10"/>
      <c r="M65" s="11"/>
      <c r="N65" s="8"/>
      <c r="O65" s="8"/>
      <c r="P65" s="8"/>
      <c r="Q65" s="8"/>
      <c r="R65" s="8"/>
      <c r="S65" s="8"/>
      <c r="T65" s="8"/>
      <c r="U65" s="8"/>
      <c r="V65" s="59"/>
      <c r="W65" s="59"/>
      <c r="X65" s="59"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9"/>
      <c r="Z65" s="8"/>
      <c r="AA65" s="8"/>
      <c r="AB65" s="8"/>
      <c r="AC65" s="8"/>
      <c r="AD65" s="8"/>
      <c r="AE65" s="8"/>
      <c r="AF65" s="8"/>
      <c r="AG65" s="8"/>
      <c r="AH65" s="8"/>
      <c r="AI65" s="8"/>
      <c r="AJ65" s="8"/>
      <c r="AK65" s="8" t="s">
        <v>51</v>
      </c>
      <c r="AL65" s="8" t="s">
        <v>287</v>
      </c>
      <c r="AM65" s="65" t="s">
        <v>335</v>
      </c>
      <c r="AN65" s="8" t="s">
        <v>29</v>
      </c>
      <c r="AO65" s="8"/>
      <c r="AP65" s="8">
        <f>IF( AND(AD39&lt;0.5,AI$39&lt;&gt;0,AH$15&lt;&gt;0),AL$39&amp;" - "&amp;AK$39,0)</f>
        <v>0</v>
      </c>
      <c r="AQ65" s="8">
        <f t="shared" si="21"/>
        <v>0</v>
      </c>
      <c r="AR65" s="8" t="s">
        <v>29</v>
      </c>
    </row>
    <row r="66" ht="24.75" customHeight="1">
      <c r="A66" s="1"/>
      <c r="B66" s="1"/>
      <c r="C66" s="1" t="str">
        <f t="shared" si="4"/>
        <v>Muro </v>
      </c>
      <c r="D66" s="2"/>
      <c r="E66" s="1"/>
      <c r="F66" s="1"/>
      <c r="G66" s="70" t="s">
        <v>336</v>
      </c>
      <c r="H66" s="2"/>
      <c r="I66" s="42" t="s">
        <v>44</v>
      </c>
      <c r="J66" s="4">
        <f t="shared" si="1"/>
        <v>30</v>
      </c>
      <c r="K66" s="9">
        <f t="shared" si="2"/>
        <v>8</v>
      </c>
      <c r="L66" s="10"/>
      <c r="M66" s="11"/>
      <c r="N66" s="59"/>
      <c r="O66" s="59"/>
      <c r="P66" s="59"/>
      <c r="Q66" s="59"/>
      <c r="R66" s="59"/>
      <c r="S66" s="59"/>
      <c r="T66" s="59"/>
      <c r="U66" s="59"/>
      <c r="V66" s="59"/>
      <c r="W66" s="59"/>
      <c r="X66" s="59"/>
      <c r="Y66" s="59"/>
      <c r="Z66" s="8"/>
      <c r="AA66" s="8"/>
      <c r="AB66" s="8"/>
      <c r="AC66" s="8"/>
      <c r="AD66" s="8"/>
      <c r="AE66" s="8"/>
      <c r="AF66" s="8"/>
      <c r="AG66" s="8"/>
      <c r="AH66" s="8"/>
      <c r="AI66" s="8"/>
      <c r="AJ66" s="8"/>
      <c r="AK66" s="8" t="s">
        <v>51</v>
      </c>
      <c r="AL66" s="8" t="s">
        <v>329</v>
      </c>
      <c r="AM66" s="65" t="s">
        <v>337</v>
      </c>
      <c r="AN66" s="8" t="s">
        <v>29</v>
      </c>
      <c r="AO66" s="8"/>
      <c r="AP66" s="8">
        <f>IF( AND(AD55&lt;0.5,AI$40&lt;&gt;0,AH$15&lt;&gt;0),AL$40&amp;" - "&amp;AK$40,0)</f>
        <v>0</v>
      </c>
      <c r="AQ66" s="8">
        <f t="shared" si="21"/>
        <v>0</v>
      </c>
      <c r="AR66" s="8" t="s">
        <v>29</v>
      </c>
    </row>
    <row r="67" ht="27.0" customHeight="1">
      <c r="A67" s="1"/>
      <c r="B67" s="1"/>
      <c r="C67" s="1" t="str">
        <f t="shared" si="4"/>
        <v>Muro </v>
      </c>
      <c r="D67" s="2"/>
      <c r="E67" s="1"/>
      <c r="F67" s="1"/>
      <c r="G67" s="70" t="s">
        <v>338</v>
      </c>
      <c r="H67" s="2"/>
      <c r="I67" s="42" t="s">
        <v>104</v>
      </c>
      <c r="J67" s="4">
        <f t="shared" si="1"/>
        <v>19</v>
      </c>
      <c r="K67" s="9">
        <f t="shared" si="2"/>
        <v>7</v>
      </c>
      <c r="L67" s="10"/>
      <c r="M67" s="11"/>
      <c r="N67" s="59"/>
      <c r="O67" s="59"/>
      <c r="P67" s="59"/>
      <c r="Q67" s="59"/>
      <c r="R67" s="59"/>
      <c r="S67" s="59"/>
      <c r="T67" s="59"/>
      <c r="U67" s="59"/>
      <c r="V67" s="59"/>
      <c r="W67" s="59"/>
      <c r="X67" s="59"/>
      <c r="Y67" s="59"/>
      <c r="Z67" s="8"/>
      <c r="AA67" s="8"/>
      <c r="AB67" s="8"/>
      <c r="AC67" s="8"/>
      <c r="AD67" s="8"/>
      <c r="AE67" s="8"/>
      <c r="AF67" s="8"/>
      <c r="AG67" s="8"/>
      <c r="AH67" s="8"/>
      <c r="AI67" s="8"/>
      <c r="AJ67" s="8"/>
      <c r="AK67" s="8" t="s">
        <v>51</v>
      </c>
      <c r="AL67" s="8" t="s">
        <v>291</v>
      </c>
      <c r="AM67" s="65" t="s">
        <v>339</v>
      </c>
      <c r="AN67" s="8" t="s">
        <v>29</v>
      </c>
      <c r="AO67" s="8"/>
      <c r="AP67" s="8">
        <f>IF( AND(AD60&lt;0.5,AI$41&lt;&gt;0,AH$15&lt;&gt;0),AL$41&amp;" - "&amp;AK$41,0)</f>
        <v>0</v>
      </c>
      <c r="AQ67" s="8">
        <f t="shared" si="21"/>
        <v>0</v>
      </c>
      <c r="AR67" s="8" t="s">
        <v>29</v>
      </c>
    </row>
    <row r="68" ht="24.0" customHeight="1">
      <c r="A68" s="1"/>
      <c r="B68" s="1"/>
      <c r="C68" s="1" t="str">
        <f t="shared" si="4"/>
        <v>Diego Said </v>
      </c>
      <c r="D68" s="2"/>
      <c r="E68" s="42" t="s">
        <v>47</v>
      </c>
      <c r="F68" s="42" t="s">
        <v>340</v>
      </c>
      <c r="G68" s="70" t="s">
        <v>341</v>
      </c>
      <c r="H68" s="2"/>
      <c r="I68" s="1"/>
      <c r="J68" s="4">
        <f t="shared" si="1"/>
        <v>0</v>
      </c>
      <c r="K68" s="9">
        <f t="shared" si="2"/>
        <v>0</v>
      </c>
      <c r="L68" s="10"/>
      <c r="M68" s="11"/>
      <c r="N68" s="59"/>
      <c r="O68" s="59"/>
      <c r="P68" s="59"/>
      <c r="Q68" s="59"/>
      <c r="R68" s="59"/>
      <c r="S68" s="59"/>
      <c r="T68" s="59"/>
      <c r="U68" s="59"/>
      <c r="V68" s="59"/>
      <c r="W68" s="59"/>
      <c r="X68" s="59"/>
      <c r="Y68" s="59"/>
      <c r="Z68" s="8"/>
      <c r="AA68" s="8"/>
      <c r="AB68" s="8"/>
      <c r="AC68" s="8"/>
      <c r="AD68" s="8"/>
      <c r="AE68" s="8"/>
      <c r="AF68" s="8"/>
      <c r="AG68" s="8"/>
      <c r="AH68" s="8"/>
      <c r="AI68" s="8"/>
      <c r="AJ68" s="8"/>
      <c r="AK68" s="8" t="s">
        <v>51</v>
      </c>
      <c r="AL68" s="8" t="s">
        <v>297</v>
      </c>
      <c r="AM68" s="65" t="s">
        <v>342</v>
      </c>
      <c r="AN68" s="8" t="s">
        <v>29</v>
      </c>
      <c r="AO68" s="8"/>
      <c r="AP68" s="8">
        <f>IF( AND(AD46&lt;0.5,AI$42&lt;&gt;0,AH$20&lt;&gt;0),AL$42&amp;" - "&amp;AK$42,0)</f>
        <v>0</v>
      </c>
      <c r="AQ68" s="8">
        <f t="shared" si="21"/>
        <v>0</v>
      </c>
      <c r="AR68" s="8" t="s">
        <v>29</v>
      </c>
    </row>
    <row r="69" ht="15.0" customHeight="1">
      <c r="A69" s="1"/>
      <c r="B69" s="1"/>
      <c r="C69" s="1" t="str">
        <f t="shared" si="4"/>
        <v>Diego Said </v>
      </c>
      <c r="D69" s="2"/>
      <c r="E69" s="1"/>
      <c r="F69" s="1"/>
      <c r="G69" s="70" t="s">
        <v>343</v>
      </c>
      <c r="H69" s="2"/>
      <c r="I69" s="1"/>
      <c r="J69" s="4">
        <f t="shared" si="1"/>
        <v>0</v>
      </c>
      <c r="K69" s="9">
        <f t="shared" si="2"/>
        <v>0</v>
      </c>
      <c r="L69" s="10"/>
      <c r="M69" s="11"/>
      <c r="N69" s="59"/>
      <c r="O69" s="59"/>
      <c r="P69" s="59"/>
      <c r="Q69" s="59"/>
      <c r="R69" s="59"/>
      <c r="S69" s="59"/>
      <c r="T69" s="59"/>
      <c r="U69" s="59"/>
      <c r="V69" s="59"/>
      <c r="W69" s="59"/>
      <c r="X69" s="59"/>
      <c r="Y69" s="59"/>
      <c r="Z69" s="8"/>
      <c r="AA69" s="8"/>
      <c r="AB69" s="8"/>
      <c r="AC69" s="8"/>
      <c r="AD69" s="8"/>
      <c r="AE69" s="8"/>
      <c r="AF69" s="8"/>
      <c r="AG69" s="8"/>
      <c r="AH69" s="8"/>
      <c r="AI69" s="8"/>
      <c r="AJ69" s="8"/>
      <c r="AK69" s="8" t="s">
        <v>240</v>
      </c>
      <c r="AL69" s="8" t="s">
        <v>240</v>
      </c>
      <c r="AM69" s="8" t="s">
        <v>240</v>
      </c>
      <c r="AN69" s="8" t="s">
        <v>29</v>
      </c>
      <c r="AO69" s="8"/>
      <c r="AP69" s="8"/>
      <c r="AQ69" s="8">
        <f t="shared" si="21"/>
        <v>0</v>
      </c>
      <c r="AR69" s="8" t="s">
        <v>29</v>
      </c>
    </row>
    <row r="70" ht="15.0" customHeight="1">
      <c r="A70" s="1"/>
      <c r="B70" s="1"/>
      <c r="C70" s="1" t="str">
        <f t="shared" si="4"/>
        <v>Bruno Rios </v>
      </c>
      <c r="D70" s="2"/>
      <c r="E70" s="42" t="s">
        <v>23</v>
      </c>
      <c r="F70" s="42" t="s">
        <v>340</v>
      </c>
      <c r="G70" s="70" t="s">
        <v>344</v>
      </c>
      <c r="H70" s="2"/>
      <c r="I70" s="1"/>
      <c r="J70" s="4">
        <f t="shared" si="1"/>
        <v>0</v>
      </c>
      <c r="K70" s="9">
        <f t="shared" si="2"/>
        <v>0</v>
      </c>
      <c r="L70" s="10"/>
      <c r="M70" s="11"/>
      <c r="N70" s="59"/>
      <c r="O70" s="59"/>
      <c r="P70" s="59"/>
      <c r="Q70" s="59"/>
      <c r="R70" s="59"/>
      <c r="S70" s="59"/>
      <c r="T70" s="59"/>
      <c r="U70" s="59"/>
      <c r="V70" s="59"/>
      <c r="W70" s="59"/>
      <c r="X70" s="59"/>
      <c r="Y70" s="59"/>
      <c r="Z70" s="8"/>
      <c r="AA70" s="8"/>
      <c r="AB70" s="8"/>
      <c r="AC70" s="8"/>
      <c r="AD70" s="8"/>
      <c r="AE70" s="8"/>
      <c r="AF70" s="8"/>
      <c r="AG70" s="8"/>
      <c r="AH70" s="8"/>
      <c r="AI70" s="8"/>
      <c r="AJ70" s="8"/>
      <c r="AK70" s="8" t="s">
        <v>240</v>
      </c>
      <c r="AL70" s="8" t="s">
        <v>240</v>
      </c>
      <c r="AM70" s="8" t="s">
        <v>240</v>
      </c>
      <c r="AN70" s="8" t="s">
        <v>29</v>
      </c>
      <c r="AO70" s="8"/>
      <c r="AP70" s="8"/>
      <c r="AQ70" s="8">
        <f t="shared" si="21"/>
        <v>0</v>
      </c>
      <c r="AR70" s="8" t="s">
        <v>29</v>
      </c>
    </row>
    <row r="71" ht="24.0" customHeight="1">
      <c r="A71" s="1"/>
      <c r="B71" s="1"/>
      <c r="C71" s="1" t="str">
        <f t="shared" si="4"/>
        <v>Bruno Rios </v>
      </c>
      <c r="D71" s="2"/>
      <c r="E71" s="42" t="s">
        <v>23</v>
      </c>
      <c r="F71" s="42" t="s">
        <v>345</v>
      </c>
      <c r="G71" s="3"/>
      <c r="H71" s="2"/>
      <c r="I71" s="1"/>
      <c r="J71" s="4">
        <f t="shared" si="1"/>
        <v>0</v>
      </c>
      <c r="K71" s="9">
        <f t="shared" si="2"/>
        <v>0</v>
      </c>
      <c r="L71" s="10"/>
      <c r="M71" s="11"/>
      <c r="N71" s="59"/>
      <c r="O71" s="59"/>
      <c r="P71" s="59"/>
      <c r="Q71" s="59"/>
      <c r="R71" s="59"/>
      <c r="S71" s="59"/>
      <c r="T71" s="59"/>
      <c r="U71" s="59"/>
      <c r="V71" s="59"/>
      <c r="W71" s="59"/>
      <c r="X71" s="59"/>
      <c r="Y71" s="59"/>
      <c r="Z71" s="8"/>
      <c r="AA71" s="8"/>
      <c r="AB71" s="8"/>
      <c r="AC71" s="8"/>
      <c r="AD71" s="8"/>
      <c r="AE71" s="8"/>
      <c r="AF71" s="8"/>
      <c r="AG71" s="8"/>
      <c r="AH71" s="8"/>
      <c r="AI71" s="8"/>
      <c r="AJ71" s="8"/>
      <c r="AK71" s="8" t="s">
        <v>65</v>
      </c>
      <c r="AL71" s="8" t="s">
        <v>346</v>
      </c>
      <c r="AM71" s="65" t="s">
        <v>347</v>
      </c>
      <c r="AN71" s="8"/>
      <c r="AO71" s="8"/>
      <c r="AP71" s="8" t="str">
        <f>IF( AND(AD52&lt;0.5,AI$45&lt;&gt;0,OR(AH$21&lt;&gt;0,AH$14&lt;&gt;0)),AL$45&amp;" - "&amp;AK$45,0)</f>
        <v>Estudiante requiere entrenamiento de subhabilidad Reconocimiento - Decisión</v>
      </c>
      <c r="AQ71" s="8" t="str">
        <f t="shared" si="21"/>
        <v>Indicar que en un futuro debe formular al menos una muestra de aprobación al grupo. El estudiante debe hacer su contribución a continuación de la oración de apertura “Sí, estoy de acuerdo…”.</v>
      </c>
      <c r="AR71" s="8" t="s">
        <v>29</v>
      </c>
    </row>
    <row r="72" ht="24.75" customHeight="1">
      <c r="A72" s="1"/>
      <c r="B72" s="1"/>
      <c r="C72" s="1" t="str">
        <f t="shared" si="4"/>
        <v>Bruno Rios </v>
      </c>
      <c r="D72" s="2"/>
      <c r="E72" s="1"/>
      <c r="F72" s="1"/>
      <c r="G72" s="70" t="s">
        <v>348</v>
      </c>
      <c r="H72" s="2"/>
      <c r="I72" s="42" t="s">
        <v>135</v>
      </c>
      <c r="J72" s="4">
        <f t="shared" si="1"/>
        <v>3</v>
      </c>
      <c r="K72" s="9">
        <f t="shared" si="2"/>
        <v>5</v>
      </c>
      <c r="L72" s="10"/>
      <c r="M72" s="11"/>
      <c r="N72" s="59"/>
      <c r="O72" s="59"/>
      <c r="P72" s="59"/>
      <c r="Q72" s="59"/>
      <c r="R72" s="59"/>
      <c r="S72" s="59"/>
      <c r="T72" s="59"/>
      <c r="U72" s="59"/>
      <c r="V72" s="59"/>
      <c r="W72" s="59"/>
      <c r="X72" s="59"/>
      <c r="Y72" s="59"/>
      <c r="Z72" s="8"/>
      <c r="AA72" s="8"/>
      <c r="AB72" s="8"/>
      <c r="AC72" s="8"/>
      <c r="AD72" s="8"/>
      <c r="AE72" s="8"/>
      <c r="AF72" s="8"/>
      <c r="AG72" s="8"/>
      <c r="AH72" s="8"/>
      <c r="AI72" s="8"/>
      <c r="AJ72" s="8"/>
      <c r="AK72" s="8" t="s">
        <v>79</v>
      </c>
      <c r="AL72" s="8" t="s">
        <v>346</v>
      </c>
      <c r="AM72" s="65" t="s">
        <v>349</v>
      </c>
      <c r="AN72" s="8" t="s">
        <v>29</v>
      </c>
      <c r="AO72" s="8"/>
      <c r="AP72" s="8" t="str">
        <f>IF( AND(AD52&lt;0.5,AI$46&lt;&gt;0,AH$13&lt;&gt;0),AL$46&amp;" - "&amp;AK$46,0)</f>
        <v>Estudiante requiere entrenamiento de subhabilidad Reconocimiento - Reducción de tensión</v>
      </c>
      <c r="AQ72" s="8" t="str">
        <f t="shared" si="21"/>
        <v>Indicar que en un futuro debe formular al menos una muestra de relajamiento al grupo. El estudiante debe hacer su contribución a continuación de la oración de apertura “Gracias amigos,…”.</v>
      </c>
      <c r="AR72" s="8" t="s">
        <v>29</v>
      </c>
    </row>
    <row r="73" ht="15.0" customHeight="1">
      <c r="A73" s="1"/>
      <c r="B73" s="1"/>
      <c r="C73" s="1" t="str">
        <f t="shared" si="4"/>
        <v>Muro </v>
      </c>
      <c r="D73" s="2"/>
      <c r="E73" s="42" t="s">
        <v>13</v>
      </c>
      <c r="F73" s="42" t="s">
        <v>350</v>
      </c>
      <c r="G73" s="70" t="s">
        <v>351</v>
      </c>
      <c r="H73" s="2"/>
      <c r="I73" s="42" t="s">
        <v>215</v>
      </c>
      <c r="J73" s="4">
        <f t="shared" si="1"/>
        <v>11</v>
      </c>
      <c r="K73" s="9">
        <f t="shared" si="2"/>
        <v>5</v>
      </c>
      <c r="L73" s="10"/>
      <c r="M73" s="11"/>
      <c r="N73" s="59"/>
      <c r="O73" s="59"/>
      <c r="P73" s="59"/>
      <c r="Q73" s="59"/>
      <c r="R73" s="59"/>
      <c r="S73" s="59"/>
      <c r="T73" s="59"/>
      <c r="U73" s="59"/>
      <c r="V73" s="59"/>
      <c r="W73" s="59"/>
      <c r="X73" s="59"/>
      <c r="Y73" s="59"/>
      <c r="Z73" s="8"/>
      <c r="AA73" s="8"/>
      <c r="AB73" s="8"/>
      <c r="AC73" s="8"/>
      <c r="AD73" s="8"/>
      <c r="AE73" s="8"/>
      <c r="AF73" s="8"/>
      <c r="AG73" s="8"/>
      <c r="AH73" s="8"/>
      <c r="AI73" s="8"/>
      <c r="AJ73" s="8"/>
      <c r="AK73" s="8" t="s">
        <v>79</v>
      </c>
      <c r="AL73" s="8" t="s">
        <v>301</v>
      </c>
      <c r="AM73" s="8" t="s">
        <v>352</v>
      </c>
      <c r="AN73" s="8" t="s">
        <v>29</v>
      </c>
      <c r="AO73" s="8"/>
      <c r="AP73" s="8">
        <f>IF( AND(AD29&lt;0.5,AI$47&lt;&gt;0,AH$22&lt;&gt;0),AL$47&amp;" - "&amp;AK$47,0)</f>
        <v>0</v>
      </c>
      <c r="AQ73" s="8">
        <f t="shared" si="21"/>
        <v>0</v>
      </c>
      <c r="AR73" s="8" t="s">
        <v>29</v>
      </c>
    </row>
    <row r="74" ht="15.0" customHeight="1">
      <c r="A74" s="1"/>
      <c r="B74" s="1"/>
      <c r="C74" s="1" t="str">
        <f t="shared" si="4"/>
        <v>Muro </v>
      </c>
      <c r="D74" s="2"/>
      <c r="E74" s="1"/>
      <c r="F74" s="1"/>
      <c r="G74" s="70" t="s">
        <v>353</v>
      </c>
      <c r="H74" s="2"/>
      <c r="I74" s="42" t="s">
        <v>77</v>
      </c>
      <c r="J74" s="4">
        <f t="shared" si="1"/>
        <v>26</v>
      </c>
      <c r="K74" s="9">
        <f t="shared" si="2"/>
        <v>3</v>
      </c>
      <c r="L74" s="10"/>
      <c r="M74" s="11"/>
      <c r="N74" s="59"/>
      <c r="O74" s="59"/>
      <c r="P74" s="59"/>
      <c r="Q74" s="59"/>
      <c r="R74" s="59"/>
      <c r="S74" s="59"/>
      <c r="T74" s="59"/>
      <c r="U74" s="59"/>
      <c r="V74" s="59"/>
      <c r="W74" s="59"/>
      <c r="X74" s="59"/>
      <c r="Y74" s="59"/>
      <c r="Z74" s="8"/>
      <c r="AA74" s="8"/>
      <c r="AB74" s="8"/>
      <c r="AC74" s="8"/>
      <c r="AD74" s="8"/>
      <c r="AE74" s="8"/>
      <c r="AF74" s="8"/>
      <c r="AG74" s="8"/>
      <c r="AH74" s="8"/>
      <c r="AI74" s="8"/>
      <c r="AJ74" s="8"/>
      <c r="AK74" s="8" t="s">
        <v>79</v>
      </c>
      <c r="AL74" s="8" t="s">
        <v>329</v>
      </c>
      <c r="AM74" s="8" t="s">
        <v>352</v>
      </c>
      <c r="AN74" s="8" t="s">
        <v>29</v>
      </c>
      <c r="AO74" s="8"/>
      <c r="AP74" s="8">
        <f>IF( AND(AD55&lt;0.5,AI$48&lt;&gt;0,AH$22&lt;&gt;0),AL$48&amp;" - "&amp;AK$48,0)</f>
        <v>0</v>
      </c>
      <c r="AQ74" s="8">
        <f t="shared" si="21"/>
        <v>0</v>
      </c>
      <c r="AR74" s="8" t="s">
        <v>29</v>
      </c>
    </row>
    <row r="75" ht="15.0" customHeight="1">
      <c r="A75" s="1"/>
      <c r="B75" s="1"/>
      <c r="C75" s="1" t="str">
        <f t="shared" si="4"/>
        <v>Bruno Rios </v>
      </c>
      <c r="D75" s="2"/>
      <c r="E75" s="42" t="s">
        <v>23</v>
      </c>
      <c r="F75" s="42" t="s">
        <v>354</v>
      </c>
      <c r="G75" s="70" t="s">
        <v>355</v>
      </c>
      <c r="H75" s="2"/>
      <c r="I75" s="1"/>
      <c r="J75" s="4">
        <f t="shared" si="1"/>
        <v>0</v>
      </c>
      <c r="K75" s="9">
        <f t="shared" si="2"/>
        <v>0</v>
      </c>
      <c r="L75" s="10"/>
      <c r="M75" s="11"/>
      <c r="N75" s="59"/>
      <c r="O75" s="59"/>
      <c r="P75" s="59"/>
      <c r="Q75" s="59"/>
      <c r="R75" s="59"/>
      <c r="S75" s="59"/>
      <c r="T75" s="59"/>
      <c r="U75" s="59"/>
      <c r="V75" s="59"/>
      <c r="W75" s="59"/>
      <c r="X75" s="59"/>
      <c r="Y75" s="59"/>
      <c r="Z75" s="8"/>
      <c r="AA75" s="8"/>
      <c r="AB75" s="8"/>
      <c r="AC75" s="8"/>
      <c r="AD75" s="8"/>
      <c r="AE75" s="8"/>
      <c r="AF75" s="8"/>
      <c r="AG75" s="8"/>
      <c r="AH75" s="8"/>
      <c r="AI75" s="8"/>
      <c r="AJ75" s="8"/>
      <c r="AK75" s="8" t="s">
        <v>88</v>
      </c>
      <c r="AL75" s="8" t="s">
        <v>356</v>
      </c>
      <c r="AM75" s="8" t="s">
        <v>357</v>
      </c>
      <c r="AN75" s="8" t="s">
        <v>29</v>
      </c>
      <c r="AO75" s="8"/>
      <c r="AP75" s="8" t="str">
        <f>IF( AND(AD37&lt;0.5,AI$49&lt;&gt;0,AH$12&lt;&gt;0),AL$49&amp;" - "&amp;AK$49,0)</f>
        <v>Estudiante requiere entrenamiento de subhabilidad Motivar  - Reintegración</v>
      </c>
      <c r="AQ75" s="8" t="str">
        <f t="shared" si="21"/>
        <v>Indicar que en un futuro debe formular al menos una muestra de solidaridad al grupo. El estudiante debe hacer su contribución a continuación de la oración de apertura “¡vamos por buen camino!...”.</v>
      </c>
      <c r="AR75" s="8" t="s">
        <v>29</v>
      </c>
    </row>
    <row r="76" ht="24.75" customHeight="1">
      <c r="A76" s="1"/>
      <c r="B76" s="1"/>
      <c r="C76" s="1" t="str">
        <f t="shared" si="4"/>
        <v>Diego Said </v>
      </c>
      <c r="D76" s="2"/>
      <c r="E76" s="42" t="s">
        <v>47</v>
      </c>
      <c r="F76" s="42" t="s">
        <v>358</v>
      </c>
      <c r="G76" s="70" t="s">
        <v>359</v>
      </c>
      <c r="H76" s="2"/>
      <c r="I76" s="42" t="s">
        <v>69</v>
      </c>
      <c r="J76" s="4">
        <f t="shared" si="1"/>
        <v>35</v>
      </c>
      <c r="K76" s="9">
        <f t="shared" si="2"/>
        <v>6</v>
      </c>
      <c r="L76" s="10"/>
      <c r="M76" s="11"/>
      <c r="N76" s="59"/>
      <c r="O76" s="59"/>
      <c r="P76" s="59"/>
      <c r="Q76" s="59"/>
      <c r="R76" s="59"/>
      <c r="S76" s="59"/>
      <c r="T76" s="59"/>
      <c r="U76" s="59"/>
      <c r="V76" s="59"/>
      <c r="W76" s="59"/>
      <c r="X76" s="59"/>
      <c r="Y76" s="59"/>
      <c r="Z76" s="8"/>
      <c r="AA76" s="8"/>
      <c r="AB76" s="8"/>
      <c r="AC76" s="8"/>
      <c r="AD76" s="8"/>
      <c r="AE76" s="8"/>
      <c r="AF76" s="8"/>
      <c r="AG76" s="8"/>
      <c r="AH76" s="8"/>
      <c r="AI76" s="8"/>
      <c r="AJ76" s="8"/>
      <c r="AK76" s="8" t="s">
        <v>88</v>
      </c>
      <c r="AL76" s="8" t="s">
        <v>329</v>
      </c>
      <c r="AM76" s="65" t="s">
        <v>360</v>
      </c>
      <c r="AN76" s="8" t="s">
        <v>29</v>
      </c>
      <c r="AO76" s="8"/>
      <c r="AP76" s="8" t="str">
        <f>IF( AND(AD55&lt;0.5,AI$50&lt;&gt;0,AH$12&lt;&gt;0),AL$50&amp;" - "&amp;AK$50,0)</f>
        <v>Estudiante requiere entrenamiento de subhabilidad Mantenimiento - Reintegración</v>
      </c>
      <c r="AQ76" s="8"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8" t="s">
        <v>29</v>
      </c>
    </row>
    <row r="77" ht="15.0" customHeight="1">
      <c r="A77" s="1"/>
      <c r="B77" s="1"/>
      <c r="C77" s="1" t="str">
        <f t="shared" si="4"/>
        <v>Diego Said </v>
      </c>
      <c r="D77" s="2"/>
      <c r="E77" s="1"/>
      <c r="F77" s="1"/>
      <c r="G77" s="70" t="s">
        <v>361</v>
      </c>
      <c r="H77" s="2"/>
      <c r="I77" s="1"/>
      <c r="J77" s="4">
        <f t="shared" si="1"/>
        <v>0</v>
      </c>
      <c r="K77" s="9">
        <f t="shared" si="2"/>
        <v>0</v>
      </c>
      <c r="L77" s="10"/>
      <c r="M77" s="11"/>
      <c r="N77" s="59"/>
      <c r="O77" s="59"/>
      <c r="P77" s="59"/>
      <c r="Q77" s="59"/>
      <c r="R77" s="59"/>
      <c r="S77" s="59"/>
      <c r="T77" s="59"/>
      <c r="U77" s="59"/>
      <c r="V77" s="59"/>
      <c r="W77" s="59"/>
      <c r="X77" s="59"/>
      <c r="Y77" s="59"/>
      <c r="Z77" s="8"/>
      <c r="AA77" s="8"/>
      <c r="AB77" s="8"/>
      <c r="AC77" s="8"/>
      <c r="AD77" s="8"/>
      <c r="AE77" s="8"/>
      <c r="AF77" s="8"/>
      <c r="AG77" s="8"/>
      <c r="AH77" s="8"/>
      <c r="AI77" s="8"/>
      <c r="AJ77" s="8"/>
      <c r="AK77" s="8" t="s">
        <v>88</v>
      </c>
      <c r="AL77" s="8" t="s">
        <v>291</v>
      </c>
      <c r="AM77" s="8" t="s">
        <v>362</v>
      </c>
      <c r="AN77" s="8" t="s">
        <v>29</v>
      </c>
      <c r="AO77" s="8"/>
      <c r="AP77" s="8" t="str">
        <f>IF( AND(AD60&lt;0.5,AI$51&lt;&gt;0,AH$12&lt;&gt;0),AL$51&amp;" - "&amp;AK$51,0)</f>
        <v>Estudiante requiere entrenamiento de subhabilidad Tarea - Reintegración</v>
      </c>
      <c r="AQ77" s="8" t="str">
        <f t="shared" si="21"/>
        <v>Indicar que en un futuro debe formular al menos una muestra de solidaridad al grupo. El estudiante debe hacer su contribución a continuación de la oración de apertura “¡Hasta la próxima!...”.</v>
      </c>
      <c r="AR77" s="8" t="s">
        <v>29</v>
      </c>
    </row>
    <row r="78" ht="15.0" customHeight="1">
      <c r="A78" s="1"/>
      <c r="B78" s="1"/>
      <c r="C78" s="1" t="str">
        <f t="shared" si="4"/>
        <v>Muro </v>
      </c>
      <c r="D78" s="2"/>
      <c r="E78" s="42" t="s">
        <v>13</v>
      </c>
      <c r="F78" s="42" t="s">
        <v>363</v>
      </c>
      <c r="G78" s="70" t="s">
        <v>364</v>
      </c>
      <c r="H78" s="2"/>
      <c r="I78" s="1"/>
      <c r="J78" s="4">
        <f t="shared" si="1"/>
        <v>0</v>
      </c>
      <c r="K78" s="9">
        <f t="shared" si="2"/>
        <v>0</v>
      </c>
      <c r="L78" s="10"/>
      <c r="M78" s="11"/>
      <c r="N78" s="59"/>
      <c r="O78" s="59"/>
      <c r="P78" s="59"/>
      <c r="Q78" s="59"/>
      <c r="R78" s="59"/>
      <c r="S78" s="59"/>
      <c r="T78" s="59"/>
      <c r="U78" s="59"/>
      <c r="V78" s="59"/>
      <c r="W78" s="59"/>
      <c r="X78" s="59"/>
      <c r="Y78" s="59"/>
      <c r="Z78" s="8"/>
      <c r="AA78" s="8"/>
      <c r="AB78" s="8"/>
      <c r="AC78" s="8"/>
      <c r="AD78" s="8"/>
      <c r="AE78" s="8"/>
      <c r="AF78" s="8"/>
      <c r="AG78" s="8"/>
      <c r="AH78" s="8"/>
      <c r="AI78" s="8"/>
      <c r="AJ78" s="8"/>
      <c r="AK78" s="8" t="s">
        <v>88</v>
      </c>
      <c r="AL78" s="8" t="s">
        <v>301</v>
      </c>
      <c r="AM78" s="8" t="s">
        <v>365</v>
      </c>
      <c r="AN78" s="8" t="s">
        <v>29</v>
      </c>
      <c r="AO78" s="8"/>
      <c r="AP78" s="8">
        <f>IF( AND(AD29&lt;0.5,AI$52&lt;&gt;0,AH$23&lt;&gt;0),AL$52&amp;" - "&amp;AK$52,0)</f>
        <v>0</v>
      </c>
      <c r="AQ78" s="8">
        <f t="shared" si="21"/>
        <v>0</v>
      </c>
      <c r="AR78" s="8" t="s">
        <v>29</v>
      </c>
    </row>
    <row r="79" ht="15.0" customHeight="1">
      <c r="A79" s="1"/>
      <c r="B79" s="1"/>
      <c r="C79" s="1" t="str">
        <f t="shared" si="4"/>
        <v>Muro </v>
      </c>
      <c r="D79" s="2"/>
      <c r="E79" s="1"/>
      <c r="F79" s="1"/>
      <c r="G79" s="70" t="s">
        <v>366</v>
      </c>
      <c r="H79" s="2"/>
      <c r="I79" s="42" t="s">
        <v>135</v>
      </c>
      <c r="J79" s="4">
        <f t="shared" si="1"/>
        <v>3</v>
      </c>
      <c r="K79" s="9">
        <f t="shared" si="2"/>
        <v>5</v>
      </c>
      <c r="L79" s="10"/>
      <c r="M79" s="11"/>
      <c r="N79" s="59"/>
      <c r="O79" s="59"/>
      <c r="P79" s="59"/>
      <c r="Q79" s="59"/>
      <c r="R79" s="59"/>
      <c r="S79" s="59"/>
      <c r="T79" s="59"/>
      <c r="U79" s="59"/>
      <c r="V79" s="59"/>
      <c r="W79" s="59"/>
      <c r="X79" s="59"/>
      <c r="Y79" s="59"/>
      <c r="Z79" s="8"/>
      <c r="AA79" s="8"/>
      <c r="AB79" s="8"/>
      <c r="AC79" s="8"/>
      <c r="AD79" s="8"/>
      <c r="AE79" s="8"/>
      <c r="AF79" s="8"/>
      <c r="AG79" s="8"/>
      <c r="AH79" s="8"/>
      <c r="AI79" s="8"/>
      <c r="AJ79" s="8"/>
      <c r="AK79" s="8"/>
      <c r="AL79" s="8"/>
      <c r="AM79" s="8"/>
      <c r="AN79" s="8"/>
      <c r="AO79" s="8"/>
      <c r="AP79" s="8"/>
      <c r="AQ79" s="8"/>
      <c r="AR79" s="8" t="s">
        <v>29</v>
      </c>
    </row>
    <row r="80" ht="15.0" customHeight="1">
      <c r="A80" s="1"/>
      <c r="B80" s="1"/>
      <c r="C80" s="1" t="str">
        <f t="shared" si="4"/>
        <v>Muro </v>
      </c>
      <c r="D80" s="2"/>
      <c r="E80" s="1"/>
      <c r="F80" s="1"/>
      <c r="G80" s="70" t="s">
        <v>367</v>
      </c>
      <c r="H80" s="2"/>
      <c r="I80" s="1"/>
      <c r="J80" s="4">
        <f t="shared" si="1"/>
        <v>0</v>
      </c>
      <c r="K80" s="9">
        <f t="shared" si="2"/>
        <v>0</v>
      </c>
      <c r="L80" s="10"/>
      <c r="M80" s="11"/>
      <c r="N80" s="59"/>
      <c r="O80" s="59"/>
      <c r="P80" s="59"/>
      <c r="Q80" s="59"/>
      <c r="R80" s="59"/>
      <c r="S80" s="59"/>
      <c r="T80" s="59"/>
      <c r="U80" s="59"/>
      <c r="V80" s="59"/>
      <c r="W80" s="59"/>
      <c r="X80" s="59"/>
      <c r="Y80" s="59"/>
      <c r="Z80" s="8"/>
      <c r="AA80" s="8"/>
      <c r="AB80" s="8"/>
      <c r="AC80" s="8"/>
      <c r="AD80" s="8"/>
      <c r="AE80" s="8"/>
      <c r="AF80" s="8"/>
      <c r="AG80" s="8"/>
      <c r="AH80" s="8"/>
      <c r="AI80" s="8"/>
      <c r="AJ80" s="8"/>
      <c r="AK80" s="8"/>
      <c r="AL80" s="8"/>
      <c r="AM80" s="8"/>
      <c r="AN80" s="8"/>
      <c r="AO80" s="8"/>
      <c r="AP80" s="8"/>
      <c r="AQ80" s="8"/>
      <c r="AR80" s="8"/>
    </row>
    <row r="81" ht="15.0" customHeight="1">
      <c r="A81" s="1"/>
      <c r="B81" s="1"/>
      <c r="C81" s="1" t="str">
        <f t="shared" si="4"/>
        <v>Alfredo </v>
      </c>
      <c r="D81" s="2"/>
      <c r="E81" s="42" t="s">
        <v>57</v>
      </c>
      <c r="F81" s="42" t="s">
        <v>363</v>
      </c>
      <c r="G81" s="70" t="s">
        <v>368</v>
      </c>
      <c r="H81" s="2"/>
      <c r="I81" s="1"/>
      <c r="J81" s="4">
        <f t="shared" si="1"/>
        <v>0</v>
      </c>
      <c r="K81" s="9">
        <f t="shared" si="2"/>
        <v>0</v>
      </c>
      <c r="L81" s="10"/>
      <c r="M81" s="11"/>
      <c r="N81" s="59"/>
      <c r="O81" s="59"/>
      <c r="P81" s="59"/>
      <c r="Q81" s="59"/>
      <c r="R81" s="59"/>
      <c r="S81" s="59"/>
      <c r="T81" s="59"/>
      <c r="U81" s="59"/>
      <c r="V81" s="59"/>
      <c r="W81" s="59"/>
      <c r="X81" s="59"/>
      <c r="Y81" s="59"/>
      <c r="Z81" s="8"/>
      <c r="AA81" s="8"/>
      <c r="AB81" s="8"/>
      <c r="AC81" s="8"/>
      <c r="AD81" s="8"/>
      <c r="AE81" s="8"/>
      <c r="AF81" s="8"/>
      <c r="AG81" s="8"/>
      <c r="AH81" s="8"/>
      <c r="AI81" s="8"/>
      <c r="AJ81" s="8"/>
      <c r="AK81" s="8"/>
      <c r="AL81" s="8"/>
      <c r="AM81" s="8"/>
      <c r="AN81" s="8"/>
      <c r="AO81" s="8"/>
      <c r="AP81" s="8"/>
      <c r="AQ81" s="8"/>
      <c r="AR81" s="8"/>
    </row>
    <row r="82" ht="15.0" customHeight="1">
      <c r="A82" s="1"/>
      <c r="B82" s="1"/>
      <c r="C82" s="1" t="str">
        <f t="shared" si="4"/>
        <v>Bruno Rios </v>
      </c>
      <c r="D82" s="2"/>
      <c r="E82" s="42" t="s">
        <v>23</v>
      </c>
      <c r="F82" s="42" t="s">
        <v>363</v>
      </c>
      <c r="G82" s="70" t="s">
        <v>369</v>
      </c>
      <c r="H82" s="2"/>
      <c r="I82" s="42" t="s">
        <v>259</v>
      </c>
      <c r="J82" s="4">
        <f t="shared" si="1"/>
        <v>21</v>
      </c>
      <c r="K82" s="9">
        <f t="shared" si="2"/>
        <v>7</v>
      </c>
      <c r="L82" s="10"/>
      <c r="M82" s="11"/>
      <c r="N82" s="59"/>
      <c r="O82" s="59"/>
      <c r="P82" s="59"/>
      <c r="Q82" s="59"/>
      <c r="R82" s="59"/>
      <c r="S82" s="59"/>
      <c r="T82" s="59"/>
      <c r="U82" s="59"/>
      <c r="V82" s="59"/>
      <c r="W82" s="59"/>
      <c r="X82" s="59"/>
      <c r="Y82" s="59"/>
      <c r="Z82" s="8"/>
      <c r="AA82" s="8"/>
      <c r="AB82" s="8"/>
      <c r="AC82" s="8"/>
      <c r="AD82" s="8"/>
      <c r="AE82" s="8"/>
      <c r="AF82" s="8"/>
      <c r="AG82" s="8"/>
      <c r="AH82" s="8"/>
      <c r="AI82" s="8"/>
      <c r="AJ82" s="8"/>
      <c r="AK82" s="8"/>
      <c r="AL82" s="8"/>
      <c r="AM82" s="8"/>
      <c r="AN82" s="8"/>
      <c r="AO82" s="8"/>
      <c r="AP82" s="8"/>
      <c r="AQ82" s="8"/>
      <c r="AR82" s="8"/>
    </row>
    <row r="83" ht="15.0" customHeight="1">
      <c r="A83" s="1"/>
      <c r="B83" s="1"/>
      <c r="C83" s="1" t="str">
        <f t="shared" si="4"/>
        <v>Alfredo </v>
      </c>
      <c r="D83" s="2"/>
      <c r="E83" s="42" t="s">
        <v>57</v>
      </c>
      <c r="F83" s="42" t="s">
        <v>371</v>
      </c>
      <c r="G83" s="70" t="s">
        <v>372</v>
      </c>
      <c r="H83" s="2"/>
      <c r="I83" s="42"/>
      <c r="J83" s="4">
        <f t="shared" si="1"/>
        <v>0</v>
      </c>
      <c r="K83" s="9">
        <f t="shared" si="2"/>
        <v>0</v>
      </c>
      <c r="L83" s="10"/>
      <c r="M83" s="11"/>
      <c r="N83" s="59"/>
      <c r="O83" s="59"/>
      <c r="P83" s="59"/>
      <c r="Q83" s="59"/>
      <c r="R83" s="59"/>
      <c r="S83" s="59"/>
      <c r="T83" s="59"/>
      <c r="U83" s="59"/>
      <c r="V83" s="59"/>
      <c r="W83" s="59"/>
      <c r="X83" s="59"/>
      <c r="Y83" s="59"/>
      <c r="Z83" s="8"/>
      <c r="AA83" s="8"/>
      <c r="AB83" s="8"/>
      <c r="AC83" s="8"/>
      <c r="AD83" s="8"/>
      <c r="AE83" s="8"/>
      <c r="AF83" s="8"/>
      <c r="AG83" s="8"/>
      <c r="AH83" s="8"/>
      <c r="AI83" s="8"/>
      <c r="AJ83" s="8"/>
      <c r="AK83" s="8"/>
      <c r="AL83" s="8"/>
      <c r="AM83" s="8"/>
      <c r="AN83" s="8"/>
      <c r="AO83" s="8"/>
      <c r="AP83" s="8"/>
      <c r="AQ83" s="8"/>
      <c r="AR83" s="8"/>
    </row>
    <row r="84" ht="15.0" customHeight="1">
      <c r="A84" s="1"/>
      <c r="B84" s="1"/>
      <c r="C84" s="1" t="str">
        <f t="shared" si="4"/>
        <v>Alfredo </v>
      </c>
      <c r="D84" s="2"/>
      <c r="E84" s="1"/>
      <c r="F84" s="1"/>
      <c r="G84" s="70" t="s">
        <v>373</v>
      </c>
      <c r="H84" s="2"/>
      <c r="I84" s="42" t="s">
        <v>44</v>
      </c>
      <c r="J84" s="4">
        <f t="shared" si="1"/>
        <v>30</v>
      </c>
      <c r="K84" s="9">
        <f t="shared" si="2"/>
        <v>8</v>
      </c>
      <c r="L84" s="10"/>
      <c r="M84" s="11"/>
      <c r="N84" s="59"/>
      <c r="O84" s="59"/>
      <c r="P84" s="59"/>
      <c r="Q84" s="59"/>
      <c r="R84" s="59"/>
      <c r="S84" s="59"/>
      <c r="T84" s="59"/>
      <c r="U84" s="59"/>
      <c r="V84" s="59"/>
      <c r="W84" s="59"/>
      <c r="X84" s="59"/>
      <c r="Y84" s="59"/>
      <c r="Z84" s="8"/>
      <c r="AA84" s="8"/>
      <c r="AB84" s="8"/>
      <c r="AC84" s="8"/>
      <c r="AD84" s="8"/>
      <c r="AE84" s="8"/>
      <c r="AF84" s="8"/>
      <c r="AG84" s="8"/>
      <c r="AH84" s="8"/>
      <c r="AI84" s="8"/>
      <c r="AJ84" s="8"/>
      <c r="AK84" s="8"/>
      <c r="AL84" s="8"/>
      <c r="AM84" s="8"/>
      <c r="AN84" s="8"/>
      <c r="AO84" s="8"/>
      <c r="AP84" s="8"/>
      <c r="AQ84" s="8"/>
      <c r="AR84" s="8"/>
    </row>
    <row r="85" ht="15.0" customHeight="1">
      <c r="A85" s="1"/>
      <c r="B85" s="1"/>
      <c r="C85" s="1" t="str">
        <f t="shared" si="4"/>
        <v>Diego Said </v>
      </c>
      <c r="D85" s="2"/>
      <c r="E85" s="42" t="s">
        <v>47</v>
      </c>
      <c r="F85" s="42" t="s">
        <v>371</v>
      </c>
      <c r="G85" s="70" t="s">
        <v>374</v>
      </c>
      <c r="H85" s="2"/>
      <c r="I85" s="1"/>
      <c r="J85" s="4">
        <f t="shared" si="1"/>
        <v>0</v>
      </c>
      <c r="K85" s="9">
        <f t="shared" si="2"/>
        <v>0</v>
      </c>
      <c r="L85" s="10"/>
      <c r="M85" s="11"/>
      <c r="N85" s="59"/>
      <c r="O85" s="59"/>
      <c r="P85" s="59"/>
      <c r="Q85" s="59"/>
      <c r="R85" s="59"/>
      <c r="S85" s="59"/>
      <c r="T85" s="59"/>
      <c r="U85" s="59"/>
      <c r="V85" s="59"/>
      <c r="W85" s="59"/>
      <c r="X85" s="59"/>
      <c r="Y85" s="59"/>
      <c r="Z85" s="8"/>
      <c r="AA85" s="8"/>
      <c r="AB85" s="8"/>
      <c r="AC85" s="8"/>
      <c r="AD85" s="8"/>
      <c r="AE85" s="8"/>
      <c r="AF85" s="8"/>
      <c r="AG85" s="8"/>
      <c r="AH85" s="8"/>
      <c r="AI85" s="8"/>
      <c r="AJ85" s="8"/>
      <c r="AK85" s="8"/>
      <c r="AL85" s="8"/>
      <c r="AM85" s="8"/>
      <c r="AN85" s="8"/>
      <c r="AO85" s="8"/>
      <c r="AP85" s="8"/>
      <c r="AQ85" s="8"/>
      <c r="AR85" s="8"/>
    </row>
    <row r="86" ht="15.0" customHeight="1">
      <c r="A86" s="1"/>
      <c r="B86" s="1"/>
      <c r="C86" s="1" t="str">
        <f t="shared" si="4"/>
        <v>Alfredo </v>
      </c>
      <c r="D86" s="2"/>
      <c r="E86" s="42" t="s">
        <v>57</v>
      </c>
      <c r="F86" s="42" t="s">
        <v>371</v>
      </c>
      <c r="G86" s="70" t="s">
        <v>375</v>
      </c>
      <c r="H86" s="2"/>
      <c r="I86" s="1"/>
      <c r="J86" s="4">
        <f t="shared" si="1"/>
        <v>0</v>
      </c>
      <c r="K86" s="9">
        <f t="shared" si="2"/>
        <v>0</v>
      </c>
      <c r="L86" s="10"/>
      <c r="M86" s="11"/>
      <c r="N86" s="59"/>
      <c r="O86" s="59"/>
      <c r="P86" s="59"/>
      <c r="Q86" s="59"/>
      <c r="R86" s="59"/>
      <c r="S86" s="59"/>
      <c r="T86" s="59"/>
      <c r="U86" s="59"/>
      <c r="V86" s="59"/>
      <c r="W86" s="59"/>
      <c r="X86" s="59"/>
      <c r="Y86" s="59"/>
      <c r="Z86" s="8"/>
      <c r="AA86" s="8"/>
      <c r="AB86" s="8"/>
      <c r="AC86" s="8"/>
      <c r="AD86" s="8"/>
      <c r="AE86" s="8"/>
      <c r="AF86" s="8"/>
      <c r="AG86" s="8"/>
      <c r="AH86" s="8"/>
      <c r="AI86" s="8"/>
      <c r="AJ86" s="8"/>
      <c r="AK86" s="8"/>
      <c r="AL86" s="8"/>
      <c r="AM86" s="8"/>
      <c r="AN86" s="8"/>
      <c r="AO86" s="8"/>
      <c r="AP86" s="8"/>
      <c r="AQ86" s="8"/>
      <c r="AR86" s="8"/>
    </row>
    <row r="87" ht="15.0" customHeight="1">
      <c r="A87" s="1"/>
      <c r="B87" s="1"/>
      <c r="C87" s="1" t="str">
        <f t="shared" si="4"/>
        <v>Diego Said </v>
      </c>
      <c r="D87" s="2"/>
      <c r="E87" s="42" t="s">
        <v>47</v>
      </c>
      <c r="F87" s="42" t="s">
        <v>371</v>
      </c>
      <c r="G87" s="70" t="s">
        <v>25</v>
      </c>
      <c r="H87" s="2"/>
      <c r="I87" s="1"/>
      <c r="J87" s="4">
        <f t="shared" si="1"/>
        <v>0</v>
      </c>
      <c r="K87" s="9">
        <f t="shared" si="2"/>
        <v>0</v>
      </c>
      <c r="L87" s="10"/>
      <c r="M87" s="11"/>
      <c r="N87" s="59"/>
      <c r="O87" s="59"/>
      <c r="P87" s="59"/>
      <c r="Q87" s="59"/>
      <c r="R87" s="59"/>
      <c r="S87" s="59"/>
      <c r="T87" s="59"/>
      <c r="U87" s="59"/>
      <c r="V87" s="59"/>
      <c r="W87" s="59"/>
      <c r="X87" s="59"/>
      <c r="Y87" s="59"/>
      <c r="Z87" s="8"/>
      <c r="AA87" s="8"/>
      <c r="AB87" s="8"/>
      <c r="AC87" s="8"/>
      <c r="AD87" s="8"/>
      <c r="AE87" s="8"/>
      <c r="AF87" s="8"/>
      <c r="AG87" s="8"/>
      <c r="AH87" s="8"/>
      <c r="AI87" s="8"/>
      <c r="AJ87" s="8"/>
      <c r="AK87" s="8"/>
      <c r="AL87" s="8"/>
      <c r="AM87" s="8"/>
      <c r="AN87" s="8"/>
      <c r="AO87" s="8"/>
      <c r="AP87" s="8"/>
      <c r="AQ87" s="8"/>
      <c r="AR87" s="8"/>
    </row>
    <row r="88" ht="15.0" customHeight="1">
      <c r="A88" s="1"/>
      <c r="B88" s="1"/>
      <c r="C88" s="1" t="str">
        <f t="shared" si="4"/>
        <v>Muro </v>
      </c>
      <c r="D88" s="2"/>
      <c r="E88" s="42" t="s">
        <v>13</v>
      </c>
      <c r="F88" s="42" t="s">
        <v>377</v>
      </c>
      <c r="G88" s="70" t="s">
        <v>378</v>
      </c>
      <c r="H88" s="2"/>
      <c r="I88" s="1"/>
      <c r="J88" s="4">
        <f t="shared" si="1"/>
        <v>0</v>
      </c>
      <c r="K88" s="9">
        <f t="shared" si="2"/>
        <v>0</v>
      </c>
      <c r="L88" s="10"/>
      <c r="M88" s="11"/>
      <c r="N88" s="59"/>
      <c r="O88" s="59"/>
      <c r="P88" s="59"/>
      <c r="Q88" s="59"/>
      <c r="R88" s="59"/>
      <c r="S88" s="59"/>
      <c r="T88" s="59"/>
      <c r="U88" s="59"/>
      <c r="V88" s="59"/>
      <c r="W88" s="59"/>
      <c r="X88" s="59"/>
      <c r="Y88" s="59"/>
      <c r="Z88" s="8"/>
      <c r="AA88" s="8"/>
      <c r="AB88" s="8"/>
      <c r="AC88" s="8"/>
      <c r="AD88" s="8"/>
      <c r="AE88" s="8"/>
      <c r="AF88" s="8"/>
      <c r="AG88" s="8"/>
      <c r="AH88" s="8"/>
      <c r="AI88" s="8"/>
      <c r="AJ88" s="8"/>
      <c r="AK88" s="8"/>
      <c r="AL88" s="8"/>
      <c r="AM88" s="8"/>
      <c r="AN88" s="8"/>
      <c r="AO88" s="8"/>
      <c r="AP88" s="8"/>
      <c r="AQ88" s="8"/>
      <c r="AR88" s="8"/>
    </row>
    <row r="89" ht="15.0" customHeight="1">
      <c r="A89" s="1"/>
      <c r="B89" s="1"/>
      <c r="C89" s="1" t="str">
        <f t="shared" si="4"/>
        <v>Muro </v>
      </c>
      <c r="D89" s="2"/>
      <c r="E89" s="1"/>
      <c r="F89" s="1"/>
      <c r="G89" s="70" t="s">
        <v>379</v>
      </c>
      <c r="H89" s="2"/>
      <c r="I89" s="1"/>
      <c r="J89" s="4">
        <f t="shared" si="1"/>
        <v>0</v>
      </c>
      <c r="K89" s="9">
        <f t="shared" si="2"/>
        <v>0</v>
      </c>
      <c r="L89" s="10"/>
      <c r="M89" s="11"/>
      <c r="N89" s="59"/>
      <c r="O89" s="59"/>
      <c r="P89" s="59"/>
      <c r="Q89" s="59"/>
      <c r="R89" s="59"/>
      <c r="S89" s="59"/>
      <c r="T89" s="59"/>
      <c r="U89" s="59"/>
      <c r="V89" s="59"/>
      <c r="W89" s="59"/>
      <c r="X89" s="59"/>
      <c r="Y89" s="59"/>
      <c r="Z89" s="59"/>
      <c r="AA89" s="59"/>
      <c r="AB89" s="59"/>
      <c r="AC89" s="59"/>
      <c r="AD89" s="59"/>
      <c r="AE89" s="59"/>
      <c r="AF89" s="59"/>
      <c r="AG89" s="59"/>
      <c r="AH89" s="1"/>
      <c r="AI89" s="1"/>
      <c r="AJ89" s="1"/>
      <c r="AK89" s="1"/>
      <c r="AL89" s="1"/>
      <c r="AM89" s="1"/>
      <c r="AN89" s="1"/>
      <c r="AO89" s="1"/>
      <c r="AP89" s="1"/>
      <c r="AQ89" s="1"/>
      <c r="AR89" s="13"/>
    </row>
    <row r="90" ht="15.0" customHeight="1">
      <c r="C90" s="1" t="str">
        <f t="shared" si="4"/>
        <v>Muro </v>
      </c>
      <c r="G90" s="74" t="s">
        <v>380</v>
      </c>
      <c r="I90" s="74" t="s">
        <v>295</v>
      </c>
      <c r="J90" s="4">
        <f t="shared" si="1"/>
        <v>29</v>
      </c>
      <c r="K90" s="9">
        <f t="shared" si="2"/>
        <v>4</v>
      </c>
    </row>
    <row r="91" ht="15.0" customHeight="1">
      <c r="C91" s="1" t="str">
        <f t="shared" si="4"/>
        <v>Muro </v>
      </c>
      <c r="G91" s="74" t="s">
        <v>381</v>
      </c>
      <c r="J91" s="4">
        <f t="shared" si="1"/>
        <v>0</v>
      </c>
      <c r="K91" s="9">
        <f t="shared" si="2"/>
        <v>0</v>
      </c>
    </row>
    <row r="92" ht="15.0" customHeight="1">
      <c r="C92" s="1" t="str">
        <f t="shared" si="4"/>
        <v>Muro </v>
      </c>
      <c r="G92" s="74" t="s">
        <v>382</v>
      </c>
      <c r="J92" s="4">
        <f t="shared" si="1"/>
        <v>0</v>
      </c>
      <c r="K92" s="9">
        <f t="shared" si="2"/>
        <v>0</v>
      </c>
    </row>
    <row r="93" ht="15.0" customHeight="1">
      <c r="C93" s="1" t="str">
        <f t="shared" si="4"/>
        <v>Diego Said </v>
      </c>
      <c r="E93" s="74" t="s">
        <v>47</v>
      </c>
      <c r="F93" s="74" t="s">
        <v>383</v>
      </c>
      <c r="G93" s="74" t="s">
        <v>384</v>
      </c>
      <c r="I93" s="74" t="s">
        <v>77</v>
      </c>
      <c r="J93" s="4">
        <f t="shared" si="1"/>
        <v>26</v>
      </c>
      <c r="K93" s="9">
        <f t="shared" si="2"/>
        <v>3</v>
      </c>
    </row>
    <row r="94" ht="15.0" customHeight="1">
      <c r="C94" s="1" t="str">
        <f t="shared" si="4"/>
        <v>Diego Said </v>
      </c>
      <c r="G94" s="74" t="s">
        <v>385</v>
      </c>
      <c r="J94" s="4">
        <f t="shared" si="1"/>
        <v>0</v>
      </c>
      <c r="K94" s="9">
        <f t="shared" si="2"/>
        <v>0</v>
      </c>
    </row>
    <row r="95" ht="15.0" customHeight="1">
      <c r="C95" s="1" t="str">
        <f t="shared" si="4"/>
        <v>Bruno Rios </v>
      </c>
      <c r="E95" s="74" t="s">
        <v>23</v>
      </c>
      <c r="F95" s="74" t="s">
        <v>386</v>
      </c>
      <c r="G95" s="74" t="s">
        <v>387</v>
      </c>
      <c r="J95" s="4">
        <f t="shared" si="1"/>
        <v>0</v>
      </c>
      <c r="K95" s="9">
        <f t="shared" si="2"/>
        <v>0</v>
      </c>
    </row>
    <row r="96" ht="15.0" customHeight="1">
      <c r="C96" s="1" t="str">
        <f t="shared" si="4"/>
        <v>Bruno Rios </v>
      </c>
      <c r="G96" s="74" t="s">
        <v>388</v>
      </c>
      <c r="J96" s="4">
        <f t="shared" si="1"/>
        <v>0</v>
      </c>
      <c r="K96" s="9">
        <f t="shared" si="2"/>
        <v>0</v>
      </c>
    </row>
    <row r="97" ht="15.0" customHeight="1">
      <c r="C97" s="1" t="str">
        <f t="shared" si="4"/>
        <v>Diego Said </v>
      </c>
      <c r="E97" s="74" t="s">
        <v>47</v>
      </c>
      <c r="F97" s="74" t="s">
        <v>389</v>
      </c>
      <c r="G97" s="74" t="s">
        <v>390</v>
      </c>
      <c r="J97" s="4">
        <f t="shared" si="1"/>
        <v>0</v>
      </c>
      <c r="K97" s="9">
        <f t="shared" si="2"/>
        <v>0</v>
      </c>
    </row>
    <row r="98" ht="15.0" customHeight="1">
      <c r="C98" s="1" t="str">
        <f t="shared" si="4"/>
        <v>Diego Said </v>
      </c>
      <c r="G98" s="74" t="s">
        <v>392</v>
      </c>
      <c r="J98" s="4">
        <f t="shared" si="1"/>
        <v>0</v>
      </c>
      <c r="K98" s="9">
        <f t="shared" si="2"/>
        <v>0</v>
      </c>
    </row>
    <row r="99" ht="15.0" customHeight="1">
      <c r="C99" s="1" t="str">
        <f t="shared" si="4"/>
        <v>Diego Said </v>
      </c>
      <c r="G99" s="74" t="s">
        <v>393</v>
      </c>
      <c r="J99" s="4">
        <f t="shared" si="1"/>
        <v>0</v>
      </c>
      <c r="K99" s="9">
        <f t="shared" si="2"/>
        <v>0</v>
      </c>
    </row>
    <row r="100" ht="15.0" customHeight="1">
      <c r="C100" s="1" t="str">
        <f t="shared" si="4"/>
        <v>Bruno Rios </v>
      </c>
      <c r="E100" s="74" t="s">
        <v>23</v>
      </c>
      <c r="F100" s="74" t="s">
        <v>389</v>
      </c>
      <c r="G100" s="74" t="s">
        <v>394</v>
      </c>
      <c r="I100" s="74" t="s">
        <v>215</v>
      </c>
      <c r="J100" s="4">
        <f t="shared" si="1"/>
        <v>11</v>
      </c>
      <c r="K100" s="9">
        <f t="shared" si="2"/>
        <v>5</v>
      </c>
    </row>
    <row r="101" ht="15.0" customHeight="1">
      <c r="C101" s="1" t="str">
        <f t="shared" si="4"/>
        <v>Muro </v>
      </c>
      <c r="E101" s="74" t="s">
        <v>13</v>
      </c>
      <c r="F101" s="74" t="s">
        <v>395</v>
      </c>
      <c r="G101" s="74" t="s">
        <v>157</v>
      </c>
      <c r="I101" s="74" t="s">
        <v>215</v>
      </c>
      <c r="J101" s="4">
        <f t="shared" si="1"/>
        <v>11</v>
      </c>
      <c r="K101" s="9">
        <f t="shared" si="2"/>
        <v>5</v>
      </c>
    </row>
    <row r="102" ht="15.0" customHeight="1">
      <c r="C102" s="1" t="str">
        <f t="shared" si="4"/>
        <v>Muro </v>
      </c>
      <c r="G102" s="74" t="s">
        <v>396</v>
      </c>
      <c r="I102" s="74" t="s">
        <v>44</v>
      </c>
      <c r="J102" s="4">
        <f t="shared" si="1"/>
        <v>30</v>
      </c>
      <c r="K102" s="9">
        <f t="shared" si="2"/>
        <v>8</v>
      </c>
    </row>
    <row r="103" ht="15.0" customHeight="1">
      <c r="C103" s="1" t="str">
        <f t="shared" si="4"/>
        <v>Diego Said </v>
      </c>
      <c r="E103" s="74" t="s">
        <v>47</v>
      </c>
      <c r="F103" s="74" t="s">
        <v>399</v>
      </c>
      <c r="G103" s="74" t="s">
        <v>400</v>
      </c>
      <c r="I103" s="74" t="s">
        <v>77</v>
      </c>
      <c r="J103" s="4">
        <f t="shared" si="1"/>
        <v>26</v>
      </c>
      <c r="K103" s="9">
        <f t="shared" si="2"/>
        <v>3</v>
      </c>
    </row>
    <row r="104" ht="15.0" customHeight="1">
      <c r="C104" s="1" t="str">
        <f t="shared" si="4"/>
        <v>Alfredo </v>
      </c>
      <c r="E104" s="74" t="s">
        <v>57</v>
      </c>
      <c r="F104" s="74" t="s">
        <v>403</v>
      </c>
      <c r="G104" s="74" t="s">
        <v>404</v>
      </c>
      <c r="J104" s="4">
        <f t="shared" si="1"/>
        <v>0</v>
      </c>
      <c r="K104" s="9">
        <f t="shared" si="2"/>
        <v>0</v>
      </c>
    </row>
    <row r="105" ht="15.0" customHeight="1">
      <c r="C105" s="1" t="str">
        <f t="shared" si="4"/>
        <v>Alfredo </v>
      </c>
      <c r="G105" s="74" t="s">
        <v>25</v>
      </c>
      <c r="J105" s="4">
        <f t="shared" si="1"/>
        <v>0</v>
      </c>
      <c r="K105" s="9">
        <f t="shared" si="2"/>
        <v>0</v>
      </c>
    </row>
    <row r="106" ht="15.0" customHeight="1">
      <c r="C106" s="1" t="str">
        <f t="shared" si="4"/>
        <v>Alfredo </v>
      </c>
      <c r="G106" s="74" t="s">
        <v>25</v>
      </c>
      <c r="J106" s="4">
        <f t="shared" si="1"/>
        <v>0</v>
      </c>
      <c r="K106" s="9">
        <f t="shared" si="2"/>
        <v>0</v>
      </c>
    </row>
    <row r="107" ht="15.0" customHeight="1">
      <c r="C107" s="1" t="str">
        <f t="shared" si="4"/>
        <v>Alfredo </v>
      </c>
      <c r="E107" s="74" t="s">
        <v>57</v>
      </c>
      <c r="F107" s="74" t="s">
        <v>409</v>
      </c>
      <c r="G107" s="74" t="s">
        <v>410</v>
      </c>
      <c r="I107" s="74" t="s">
        <v>44</v>
      </c>
      <c r="J107" s="4">
        <f t="shared" si="1"/>
        <v>30</v>
      </c>
      <c r="K107" s="9">
        <f t="shared" si="2"/>
        <v>8</v>
      </c>
    </row>
    <row r="108" ht="15.0" customHeight="1">
      <c r="C108" s="1" t="str">
        <f t="shared" si="4"/>
        <v>Alfredo </v>
      </c>
      <c r="G108" s="74" t="s">
        <v>413</v>
      </c>
      <c r="I108" s="74" t="s">
        <v>69</v>
      </c>
      <c r="J108" s="4">
        <f t="shared" si="1"/>
        <v>35</v>
      </c>
      <c r="K108" s="9">
        <f t="shared" si="2"/>
        <v>6</v>
      </c>
    </row>
    <row r="109" ht="15.0" customHeight="1">
      <c r="C109" s="1" t="str">
        <f t="shared" si="4"/>
        <v>Alfredo </v>
      </c>
      <c r="G109" s="74" t="s">
        <v>415</v>
      </c>
      <c r="J109" s="4">
        <f t="shared" si="1"/>
        <v>0</v>
      </c>
      <c r="K109" s="9">
        <f t="shared" si="2"/>
        <v>0</v>
      </c>
    </row>
    <row r="110" ht="15.0" customHeight="1">
      <c r="C110" s="1" t="str">
        <f t="shared" si="4"/>
        <v>Muro </v>
      </c>
      <c r="E110" s="74" t="s">
        <v>13</v>
      </c>
      <c r="F110" s="74" t="s">
        <v>417</v>
      </c>
      <c r="G110" s="74" t="s">
        <v>418</v>
      </c>
      <c r="J110" s="4">
        <f t="shared" si="1"/>
        <v>0</v>
      </c>
      <c r="K110" s="9">
        <f t="shared" si="2"/>
        <v>0</v>
      </c>
    </row>
    <row r="111" ht="15.0" customHeight="1">
      <c r="C111" s="1" t="str">
        <f t="shared" si="4"/>
        <v>Muro </v>
      </c>
      <c r="G111" s="74" t="s">
        <v>421</v>
      </c>
      <c r="J111" s="4">
        <f t="shared" si="1"/>
        <v>0</v>
      </c>
      <c r="K111" s="9">
        <f t="shared" si="2"/>
        <v>0</v>
      </c>
    </row>
    <row r="112" ht="15.0" customHeight="1">
      <c r="C112" s="1" t="str">
        <f t="shared" si="4"/>
        <v>Muro </v>
      </c>
      <c r="G112" s="74" t="s">
        <v>422</v>
      </c>
      <c r="J112" s="4">
        <f t="shared" si="1"/>
        <v>0</v>
      </c>
      <c r="K112" s="9">
        <f t="shared" si="2"/>
        <v>0</v>
      </c>
    </row>
    <row r="113" ht="15.0" customHeight="1">
      <c r="C113" s="1" t="str">
        <f t="shared" si="4"/>
        <v>Alfredo </v>
      </c>
      <c r="E113" s="74" t="s">
        <v>57</v>
      </c>
      <c r="F113" s="74" t="s">
        <v>417</v>
      </c>
      <c r="G113" s="74" t="s">
        <v>424</v>
      </c>
      <c r="J113" s="4">
        <f t="shared" si="1"/>
        <v>0</v>
      </c>
      <c r="K113" s="9">
        <f t="shared" si="2"/>
        <v>0</v>
      </c>
    </row>
    <row r="114" ht="15.0" customHeight="1">
      <c r="C114" s="1" t="str">
        <f t="shared" si="4"/>
        <v>Muro </v>
      </c>
      <c r="E114" s="74" t="s">
        <v>13</v>
      </c>
      <c r="F114" s="74" t="s">
        <v>426</v>
      </c>
      <c r="G114" s="74" t="s">
        <v>427</v>
      </c>
      <c r="J114" s="4">
        <f t="shared" si="1"/>
        <v>0</v>
      </c>
      <c r="K114" s="9">
        <f t="shared" si="2"/>
        <v>0</v>
      </c>
    </row>
    <row r="115" ht="15.0" customHeight="1">
      <c r="C115" s="1" t="str">
        <f t="shared" si="4"/>
        <v>Alfredo </v>
      </c>
      <c r="E115" s="74" t="s">
        <v>57</v>
      </c>
      <c r="F115" s="74" t="s">
        <v>430</v>
      </c>
      <c r="G115" s="74" t="s">
        <v>431</v>
      </c>
      <c r="J115" s="4">
        <f t="shared" si="1"/>
        <v>0</v>
      </c>
      <c r="K115" s="9">
        <f t="shared" si="2"/>
        <v>0</v>
      </c>
    </row>
    <row r="116" ht="15.0" customHeight="1">
      <c r="C116" s="1" t="str">
        <f t="shared" si="4"/>
        <v>Alfredo </v>
      </c>
      <c r="G116" s="74" t="s">
        <v>434</v>
      </c>
      <c r="J116" s="4">
        <f t="shared" si="1"/>
        <v>0</v>
      </c>
      <c r="K116" s="9">
        <f t="shared" si="2"/>
        <v>0</v>
      </c>
    </row>
    <row r="117" ht="15.0" customHeight="1">
      <c r="C117" s="1" t="str">
        <f t="shared" si="4"/>
        <v>Alfredo </v>
      </c>
      <c r="G117" s="74" t="s">
        <v>436</v>
      </c>
      <c r="J117" s="4">
        <f t="shared" si="1"/>
        <v>0</v>
      </c>
      <c r="K117" s="9">
        <f t="shared" si="2"/>
        <v>0</v>
      </c>
    </row>
    <row r="118" ht="15.0" customHeight="1">
      <c r="C118" s="1" t="str">
        <f t="shared" si="4"/>
        <v>Diego Said </v>
      </c>
      <c r="E118" s="74" t="s">
        <v>47</v>
      </c>
      <c r="F118" s="74" t="s">
        <v>439</v>
      </c>
      <c r="G118" s="74" t="s">
        <v>440</v>
      </c>
      <c r="J118" s="4">
        <f t="shared" si="1"/>
        <v>0</v>
      </c>
      <c r="K118" s="9">
        <f t="shared" si="2"/>
        <v>0</v>
      </c>
    </row>
    <row r="119" ht="15.0" customHeight="1">
      <c r="C119" s="1" t="str">
        <f t="shared" si="4"/>
        <v>Diego Said </v>
      </c>
      <c r="E119" s="74" t="s">
        <v>47</v>
      </c>
      <c r="F119" s="74" t="s">
        <v>442</v>
      </c>
      <c r="G119" s="74" t="s">
        <v>444</v>
      </c>
      <c r="I119" s="74" t="s">
        <v>135</v>
      </c>
      <c r="J119" s="4">
        <f t="shared" si="1"/>
        <v>3</v>
      </c>
      <c r="K119" s="9">
        <f t="shared" si="2"/>
        <v>5</v>
      </c>
    </row>
    <row r="120" ht="15.0" customHeight="1">
      <c r="C120" s="1" t="str">
        <f t="shared" si="4"/>
        <v>Diego Said </v>
      </c>
      <c r="G120" s="74" t="s">
        <v>445</v>
      </c>
      <c r="J120" s="4">
        <f t="shared" si="1"/>
        <v>0</v>
      </c>
      <c r="K120" s="9">
        <f t="shared" si="2"/>
        <v>0</v>
      </c>
    </row>
    <row r="121" ht="15.0" customHeight="1">
      <c r="C121" s="1" t="str">
        <f t="shared" si="4"/>
        <v>Muro </v>
      </c>
      <c r="E121" s="74" t="s">
        <v>13</v>
      </c>
      <c r="F121" s="74" t="s">
        <v>442</v>
      </c>
      <c r="G121" s="74" t="s">
        <v>447</v>
      </c>
      <c r="J121" s="4">
        <f t="shared" si="1"/>
        <v>0</v>
      </c>
      <c r="K121" s="9">
        <f t="shared" si="2"/>
        <v>0</v>
      </c>
    </row>
    <row r="122" ht="15.0" customHeight="1">
      <c r="C122" s="1" t="str">
        <f t="shared" si="4"/>
        <v>Diego Said </v>
      </c>
      <c r="E122" s="74" t="s">
        <v>47</v>
      </c>
      <c r="F122" s="74" t="s">
        <v>449</v>
      </c>
      <c r="G122" s="74" t="s">
        <v>450</v>
      </c>
      <c r="I122" s="74" t="s">
        <v>61</v>
      </c>
      <c r="J122" s="4">
        <f t="shared" si="1"/>
        <v>32</v>
      </c>
      <c r="K122" s="9">
        <f t="shared" si="2"/>
        <v>1</v>
      </c>
    </row>
    <row r="123" ht="15.0" customHeight="1">
      <c r="C123" s="1" t="str">
        <f t="shared" si="4"/>
        <v>Muro </v>
      </c>
      <c r="E123" s="74" t="s">
        <v>13</v>
      </c>
      <c r="F123" s="74" t="s">
        <v>452</v>
      </c>
      <c r="G123" s="74" t="s">
        <v>453</v>
      </c>
      <c r="J123" s="4">
        <f t="shared" si="1"/>
        <v>0</v>
      </c>
      <c r="K123" s="9">
        <f t="shared" si="2"/>
        <v>0</v>
      </c>
    </row>
    <row r="124" ht="15.0" customHeight="1">
      <c r="C124" s="1" t="str">
        <f t="shared" si="4"/>
        <v>Muro </v>
      </c>
      <c r="G124" s="74" t="s">
        <v>456</v>
      </c>
      <c r="J124" s="4">
        <f t="shared" si="1"/>
        <v>0</v>
      </c>
      <c r="K124" s="9">
        <f t="shared" si="2"/>
        <v>0</v>
      </c>
    </row>
    <row r="125" ht="15.0" customHeight="1">
      <c r="C125" s="1" t="str">
        <f t="shared" si="4"/>
        <v>Muro </v>
      </c>
      <c r="G125" s="74" t="s">
        <v>459</v>
      </c>
      <c r="J125" s="4">
        <f t="shared" si="1"/>
        <v>0</v>
      </c>
      <c r="K125" s="9">
        <f t="shared" si="2"/>
        <v>0</v>
      </c>
    </row>
    <row r="126" ht="15.0" customHeight="1">
      <c r="C126" s="1" t="str">
        <f t="shared" si="4"/>
        <v>Diego Said </v>
      </c>
      <c r="E126" s="74" t="s">
        <v>47</v>
      </c>
      <c r="F126" s="74" t="s">
        <v>461</v>
      </c>
      <c r="G126" s="74" t="s">
        <v>462</v>
      </c>
      <c r="I126" s="74" t="s">
        <v>158</v>
      </c>
      <c r="J126" s="4">
        <f t="shared" si="1"/>
        <v>33</v>
      </c>
      <c r="K126" s="9">
        <f t="shared" si="2"/>
        <v>5</v>
      </c>
    </row>
    <row r="127" ht="15.0" customHeight="1">
      <c r="C127" s="1" t="str">
        <f t="shared" si="4"/>
        <v>Muro </v>
      </c>
      <c r="E127" s="74" t="s">
        <v>13</v>
      </c>
      <c r="F127" s="74" t="s">
        <v>463</v>
      </c>
      <c r="G127" s="74" t="s">
        <v>464</v>
      </c>
      <c r="I127" s="74" t="s">
        <v>135</v>
      </c>
      <c r="J127" s="4">
        <f t="shared" si="1"/>
        <v>3</v>
      </c>
      <c r="K127" s="9">
        <f t="shared" si="2"/>
        <v>5</v>
      </c>
    </row>
    <row r="128" ht="15.0" customHeight="1">
      <c r="C128" s="1" t="str">
        <f t="shared" si="4"/>
        <v>Diego Said </v>
      </c>
      <c r="E128" s="74" t="s">
        <v>47</v>
      </c>
      <c r="F128" s="74" t="s">
        <v>463</v>
      </c>
      <c r="G128" s="74" t="s">
        <v>467</v>
      </c>
      <c r="I128" s="74" t="s">
        <v>207</v>
      </c>
      <c r="J128" s="4">
        <f t="shared" si="1"/>
        <v>10</v>
      </c>
      <c r="K128" s="9">
        <f t="shared" si="2"/>
        <v>1</v>
      </c>
    </row>
    <row r="129" ht="15.0" customHeight="1">
      <c r="C129" s="1" t="str">
        <f t="shared" si="4"/>
        <v>Muro </v>
      </c>
      <c r="E129" s="74" t="s">
        <v>13</v>
      </c>
      <c r="F129" s="74" t="s">
        <v>470</v>
      </c>
      <c r="G129" s="74" t="s">
        <v>471</v>
      </c>
      <c r="I129" s="74" t="s">
        <v>44</v>
      </c>
      <c r="J129" s="4">
        <f t="shared" si="1"/>
        <v>30</v>
      </c>
      <c r="K129" s="9">
        <f t="shared" si="2"/>
        <v>8</v>
      </c>
    </row>
    <row r="130" ht="15.0" customHeight="1">
      <c r="C130" s="1" t="str">
        <f t="shared" si="4"/>
        <v>Diego Said </v>
      </c>
      <c r="E130" s="74" t="s">
        <v>47</v>
      </c>
      <c r="F130" s="74" t="s">
        <v>470</v>
      </c>
      <c r="G130" s="74" t="s">
        <v>472</v>
      </c>
      <c r="J130" s="4">
        <f t="shared" si="1"/>
        <v>0</v>
      </c>
      <c r="K130" s="9">
        <f t="shared" si="2"/>
        <v>0</v>
      </c>
    </row>
    <row r="131" ht="15.0" customHeight="1">
      <c r="C131" s="1" t="str">
        <f t="shared" si="4"/>
        <v>Muro </v>
      </c>
      <c r="E131" s="74" t="s">
        <v>13</v>
      </c>
      <c r="F131" s="74" t="s">
        <v>470</v>
      </c>
      <c r="G131" s="74" t="s">
        <v>475</v>
      </c>
      <c r="J131" s="4">
        <f t="shared" si="1"/>
        <v>0</v>
      </c>
      <c r="K131" s="9">
        <f t="shared" si="2"/>
        <v>0</v>
      </c>
    </row>
    <row r="132" ht="15.0" customHeight="1">
      <c r="C132" s="1" t="str">
        <f t="shared" si="4"/>
        <v>Diego Said </v>
      </c>
      <c r="E132" s="74" t="s">
        <v>47</v>
      </c>
      <c r="F132" s="74" t="s">
        <v>470</v>
      </c>
      <c r="G132" s="74" t="s">
        <v>476</v>
      </c>
      <c r="J132" s="4">
        <f t="shared" si="1"/>
        <v>0</v>
      </c>
      <c r="K132" s="9">
        <f t="shared" si="2"/>
        <v>0</v>
      </c>
    </row>
    <row r="133" ht="15.0" customHeight="1">
      <c r="C133" s="1" t="str">
        <f t="shared" si="4"/>
        <v>Muro </v>
      </c>
      <c r="E133" s="74" t="s">
        <v>13</v>
      </c>
      <c r="F133" s="74" t="s">
        <v>470</v>
      </c>
      <c r="G133" s="74" t="s">
        <v>477</v>
      </c>
      <c r="I133" s="74" t="s">
        <v>178</v>
      </c>
      <c r="J133" s="4">
        <f t="shared" si="1"/>
        <v>15</v>
      </c>
      <c r="K133" s="9">
        <f t="shared" si="2"/>
        <v>4</v>
      </c>
    </row>
    <row r="134" ht="15.0" customHeight="1">
      <c r="C134" s="1" t="str">
        <f t="shared" si="4"/>
        <v>Muro </v>
      </c>
      <c r="G134" s="74" t="s">
        <v>478</v>
      </c>
      <c r="J134" s="4">
        <f t="shared" si="1"/>
        <v>0</v>
      </c>
      <c r="K134" s="9">
        <f t="shared" si="2"/>
        <v>0</v>
      </c>
    </row>
    <row r="135" ht="15.0" customHeight="1">
      <c r="C135" s="1" t="str">
        <f t="shared" si="4"/>
        <v>Diego Said </v>
      </c>
      <c r="E135" s="74" t="s">
        <v>47</v>
      </c>
      <c r="F135" s="74" t="s">
        <v>479</v>
      </c>
      <c r="G135" s="74" t="s">
        <v>480</v>
      </c>
      <c r="I135" s="74" t="s">
        <v>44</v>
      </c>
      <c r="J135" s="4">
        <f t="shared" si="1"/>
        <v>30</v>
      </c>
      <c r="K135" s="9">
        <f t="shared" si="2"/>
        <v>8</v>
      </c>
    </row>
    <row r="136" ht="15.0" customHeight="1">
      <c r="C136" s="1" t="str">
        <f t="shared" si="4"/>
        <v>Muro </v>
      </c>
      <c r="E136" s="74" t="s">
        <v>13</v>
      </c>
      <c r="F136" s="74" t="s">
        <v>479</v>
      </c>
      <c r="G136" s="74" t="s">
        <v>481</v>
      </c>
      <c r="I136" s="74" t="s">
        <v>77</v>
      </c>
      <c r="J136" s="4">
        <f t="shared" si="1"/>
        <v>26</v>
      </c>
      <c r="K136" s="9">
        <f t="shared" si="2"/>
        <v>3</v>
      </c>
    </row>
    <row r="137" ht="15.0" customHeight="1">
      <c r="C137" s="1" t="str">
        <f t="shared" si="4"/>
        <v>Muro </v>
      </c>
      <c r="E137" s="74" t="s">
        <v>13</v>
      </c>
      <c r="F137" s="74" t="s">
        <v>482</v>
      </c>
      <c r="G137" s="74" t="s">
        <v>483</v>
      </c>
      <c r="J137" s="4">
        <f t="shared" si="1"/>
        <v>0</v>
      </c>
      <c r="K137" s="9">
        <f t="shared" si="2"/>
        <v>0</v>
      </c>
    </row>
    <row r="138" ht="15.0" customHeight="1">
      <c r="C138" s="1" t="str">
        <f t="shared" si="4"/>
        <v>Diego Said </v>
      </c>
      <c r="E138" s="74" t="s">
        <v>47</v>
      </c>
      <c r="F138" s="74" t="s">
        <v>482</v>
      </c>
      <c r="G138" s="74" t="s">
        <v>484</v>
      </c>
      <c r="J138" s="4">
        <f t="shared" si="1"/>
        <v>0</v>
      </c>
      <c r="K138" s="9">
        <f t="shared" si="2"/>
        <v>0</v>
      </c>
    </row>
    <row r="139" ht="15.0" customHeight="1">
      <c r="C139" s="1" t="str">
        <f t="shared" si="4"/>
        <v>Diego Said </v>
      </c>
      <c r="G139" s="74" t="s">
        <v>485</v>
      </c>
      <c r="J139" s="4">
        <f t="shared" si="1"/>
        <v>0</v>
      </c>
      <c r="K139" s="9">
        <f t="shared" si="2"/>
        <v>0</v>
      </c>
    </row>
    <row r="140" ht="15.0" customHeight="1">
      <c r="C140" s="1" t="str">
        <f t="shared" si="4"/>
        <v>Diego Said </v>
      </c>
      <c r="G140" s="74" t="s">
        <v>486</v>
      </c>
      <c r="J140" s="4">
        <f t="shared" si="1"/>
        <v>0</v>
      </c>
      <c r="K140" s="9">
        <f t="shared" si="2"/>
        <v>0</v>
      </c>
    </row>
    <row r="141" ht="15.0" customHeight="1">
      <c r="C141" s="1" t="str">
        <f t="shared" si="4"/>
        <v>Muro </v>
      </c>
      <c r="E141" s="74" t="s">
        <v>13</v>
      </c>
      <c r="F141" s="74" t="s">
        <v>482</v>
      </c>
      <c r="G141" s="74" t="s">
        <v>487</v>
      </c>
      <c r="J141" s="4">
        <f t="shared" si="1"/>
        <v>0</v>
      </c>
      <c r="K141" s="9">
        <f t="shared" si="2"/>
        <v>0</v>
      </c>
    </row>
    <row r="142" ht="15.0" customHeight="1">
      <c r="C142" s="1" t="str">
        <f t="shared" si="4"/>
        <v>Alfredo </v>
      </c>
      <c r="E142" s="74" t="s">
        <v>57</v>
      </c>
      <c r="F142" s="74" t="s">
        <v>488</v>
      </c>
      <c r="G142" s="74" t="s">
        <v>489</v>
      </c>
      <c r="I142" s="74" t="s">
        <v>135</v>
      </c>
      <c r="J142" s="4">
        <f t="shared" si="1"/>
        <v>3</v>
      </c>
      <c r="K142" s="9">
        <f t="shared" si="2"/>
        <v>5</v>
      </c>
    </row>
    <row r="143" ht="15.0" customHeight="1">
      <c r="C143" s="1" t="str">
        <f t="shared" si="4"/>
        <v>Muro </v>
      </c>
      <c r="E143" s="74" t="s">
        <v>13</v>
      </c>
      <c r="F143" s="74" t="s">
        <v>490</v>
      </c>
      <c r="G143" s="74" t="s">
        <v>491</v>
      </c>
      <c r="I143" s="74" t="s">
        <v>187</v>
      </c>
      <c r="J143" s="4">
        <f t="shared" si="1"/>
        <v>6</v>
      </c>
      <c r="K143" s="9">
        <f t="shared" si="2"/>
        <v>5</v>
      </c>
    </row>
    <row r="144" ht="15.0" customHeight="1">
      <c r="C144" s="1" t="str">
        <f t="shared" si="4"/>
        <v>Diego Said </v>
      </c>
      <c r="E144" s="74" t="s">
        <v>47</v>
      </c>
      <c r="F144" s="74" t="s">
        <v>492</v>
      </c>
      <c r="G144" s="74" t="s">
        <v>493</v>
      </c>
      <c r="I144" s="74" t="s">
        <v>186</v>
      </c>
      <c r="J144" s="4">
        <f t="shared" si="1"/>
        <v>28</v>
      </c>
      <c r="K144" s="9">
        <f t="shared" si="2"/>
        <v>11</v>
      </c>
    </row>
    <row r="145" ht="15.0" customHeight="1">
      <c r="C145" s="1" t="str">
        <f t="shared" si="4"/>
        <v>Muro </v>
      </c>
      <c r="E145" s="74" t="s">
        <v>13</v>
      </c>
      <c r="F145" s="74" t="s">
        <v>494</v>
      </c>
      <c r="G145" s="74" t="s">
        <v>495</v>
      </c>
      <c r="I145" s="74"/>
      <c r="J145" s="4">
        <f t="shared" si="1"/>
        <v>0</v>
      </c>
      <c r="K145" s="9">
        <f t="shared" si="2"/>
        <v>0</v>
      </c>
    </row>
    <row r="146" ht="15.0" customHeight="1">
      <c r="C146" s="1" t="str">
        <f t="shared" si="4"/>
        <v>Muro </v>
      </c>
      <c r="G146" s="74" t="s">
        <v>496</v>
      </c>
      <c r="I146" s="74" t="s">
        <v>178</v>
      </c>
      <c r="J146" s="4">
        <f t="shared" si="1"/>
        <v>15</v>
      </c>
      <c r="K146" s="9">
        <f t="shared" si="2"/>
        <v>4</v>
      </c>
    </row>
    <row r="147" ht="15.0" customHeight="1">
      <c r="C147" s="1" t="str">
        <f t="shared" si="4"/>
        <v>Alfredo </v>
      </c>
      <c r="E147" s="74" t="s">
        <v>57</v>
      </c>
      <c r="F147" s="74" t="s">
        <v>497</v>
      </c>
      <c r="G147" s="74" t="s">
        <v>498</v>
      </c>
      <c r="I147" s="74" t="s">
        <v>259</v>
      </c>
      <c r="J147" s="4">
        <f t="shared" si="1"/>
        <v>21</v>
      </c>
      <c r="K147" s="9">
        <f t="shared" si="2"/>
        <v>7</v>
      </c>
    </row>
    <row r="148" ht="15.0" customHeight="1">
      <c r="C148" s="1" t="str">
        <f t="shared" si="4"/>
        <v>Alfredo </v>
      </c>
      <c r="G148" s="74" t="s">
        <v>499</v>
      </c>
      <c r="J148" s="4">
        <f t="shared" si="1"/>
        <v>0</v>
      </c>
      <c r="K148" s="9">
        <f t="shared" si="2"/>
        <v>0</v>
      </c>
    </row>
    <row r="149" ht="15.0" customHeight="1">
      <c r="C149" s="1" t="str">
        <f t="shared" si="4"/>
        <v>Muro </v>
      </c>
      <c r="E149" s="74" t="s">
        <v>13</v>
      </c>
      <c r="F149" s="74" t="s">
        <v>500</v>
      </c>
      <c r="G149" s="74" t="s">
        <v>501</v>
      </c>
      <c r="I149" s="74" t="s">
        <v>305</v>
      </c>
      <c r="J149" s="4">
        <f t="shared" si="1"/>
        <v>31</v>
      </c>
      <c r="K149" s="9">
        <f t="shared" si="2"/>
        <v>1</v>
      </c>
    </row>
    <row r="150" ht="15.0" customHeight="1">
      <c r="C150" s="1" t="str">
        <f t="shared" si="4"/>
        <v>Alfredo </v>
      </c>
      <c r="E150" s="74" t="s">
        <v>57</v>
      </c>
      <c r="F150" s="74" t="s">
        <v>500</v>
      </c>
      <c r="G150" s="74" t="s">
        <v>502</v>
      </c>
      <c r="J150" s="4">
        <f t="shared" si="1"/>
        <v>0</v>
      </c>
      <c r="K150" s="9">
        <f t="shared" si="2"/>
        <v>0</v>
      </c>
    </row>
    <row r="151" ht="15.0" customHeight="1">
      <c r="C151" s="1" t="str">
        <f t="shared" si="4"/>
        <v>Alfredo </v>
      </c>
      <c r="G151" s="74" t="s">
        <v>503</v>
      </c>
      <c r="I151" s="74" t="s">
        <v>278</v>
      </c>
      <c r="J151" s="4">
        <f t="shared" si="1"/>
        <v>25</v>
      </c>
      <c r="K151" s="9">
        <f t="shared" si="2"/>
        <v>2</v>
      </c>
    </row>
    <row r="152" ht="15.0" customHeight="1">
      <c r="C152" s="1" t="str">
        <f t="shared" si="4"/>
        <v>Diego Said </v>
      </c>
      <c r="E152" s="74" t="s">
        <v>47</v>
      </c>
      <c r="F152" s="74" t="s">
        <v>504</v>
      </c>
      <c r="G152" s="74" t="s">
        <v>505</v>
      </c>
      <c r="I152" s="74" t="s">
        <v>327</v>
      </c>
      <c r="J152" s="4">
        <f t="shared" si="1"/>
        <v>36</v>
      </c>
      <c r="K152" s="9">
        <f t="shared" si="2"/>
        <v>1</v>
      </c>
    </row>
    <row r="153" ht="15.0" customHeight="1">
      <c r="C153" s="1" t="str">
        <f t="shared" si="4"/>
        <v>Diego Said </v>
      </c>
      <c r="E153" s="74" t="s">
        <v>47</v>
      </c>
      <c r="F153" s="74" t="s">
        <v>506</v>
      </c>
      <c r="G153" s="74" t="s">
        <v>507</v>
      </c>
      <c r="I153" s="74" t="s">
        <v>259</v>
      </c>
      <c r="J153" s="4">
        <f t="shared" si="1"/>
        <v>21</v>
      </c>
      <c r="K153" s="9">
        <f t="shared" si="2"/>
        <v>7</v>
      </c>
    </row>
    <row r="154" ht="15.0" customHeight="1">
      <c r="C154" s="1" t="str">
        <f t="shared" si="4"/>
        <v>Bruno Rios </v>
      </c>
      <c r="E154" s="74" t="s">
        <v>23</v>
      </c>
      <c r="F154" s="74" t="s">
        <v>508</v>
      </c>
      <c r="G154" s="74" t="s">
        <v>509</v>
      </c>
      <c r="I154" s="74" t="s">
        <v>259</v>
      </c>
      <c r="J154" s="4">
        <f t="shared" si="1"/>
        <v>21</v>
      </c>
      <c r="K154" s="9">
        <f t="shared" si="2"/>
        <v>7</v>
      </c>
    </row>
    <row r="155" ht="15.0" customHeight="1">
      <c r="C155" s="1" t="str">
        <f t="shared" si="4"/>
        <v>Muro </v>
      </c>
      <c r="E155" s="74" t="s">
        <v>13</v>
      </c>
      <c r="F155" s="74" t="s">
        <v>510</v>
      </c>
      <c r="G155" s="74" t="s">
        <v>511</v>
      </c>
      <c r="I155" s="74" t="s">
        <v>110</v>
      </c>
      <c r="J155" s="4">
        <f t="shared" si="1"/>
        <v>9</v>
      </c>
      <c r="K155" s="9">
        <f t="shared" si="2"/>
        <v>11</v>
      </c>
    </row>
    <row r="156" ht="15.0" customHeight="1">
      <c r="C156" s="1" t="str">
        <f t="shared" si="4"/>
        <v>Alfredo </v>
      </c>
      <c r="E156" s="74" t="s">
        <v>57</v>
      </c>
      <c r="F156" s="74" t="s">
        <v>512</v>
      </c>
      <c r="G156" s="74" t="s">
        <v>513</v>
      </c>
      <c r="I156" s="74" t="s">
        <v>77</v>
      </c>
      <c r="J156" s="4">
        <f t="shared" si="1"/>
        <v>26</v>
      </c>
      <c r="K156" s="9">
        <f t="shared" si="2"/>
        <v>3</v>
      </c>
    </row>
    <row r="157" ht="15.0" customHeight="1">
      <c r="C157" s="1" t="str">
        <f t="shared" si="4"/>
        <v>Muro </v>
      </c>
      <c r="E157" s="74" t="s">
        <v>13</v>
      </c>
      <c r="F157" s="74" t="s">
        <v>514</v>
      </c>
      <c r="G157" s="74" t="s">
        <v>515</v>
      </c>
      <c r="I157" s="74" t="s">
        <v>278</v>
      </c>
      <c r="J157" s="4">
        <f t="shared" si="1"/>
        <v>25</v>
      </c>
      <c r="K157" s="9">
        <f t="shared" si="2"/>
        <v>2</v>
      </c>
    </row>
    <row r="158" ht="15.0" customHeight="1">
      <c r="C158" s="1" t="str">
        <f t="shared" si="4"/>
        <v>Diego Said </v>
      </c>
      <c r="E158" s="74" t="s">
        <v>47</v>
      </c>
      <c r="F158" s="74" t="s">
        <v>516</v>
      </c>
      <c r="G158" s="74" t="s">
        <v>517</v>
      </c>
      <c r="I158" s="74" t="s">
        <v>207</v>
      </c>
      <c r="J158" s="4">
        <f t="shared" si="1"/>
        <v>10</v>
      </c>
      <c r="K158" s="9">
        <f t="shared" si="2"/>
        <v>1</v>
      </c>
    </row>
    <row r="159" ht="15.0" customHeight="1">
      <c r="C159" s="1" t="str">
        <f t="shared" si="4"/>
        <v>Diego Said </v>
      </c>
      <c r="J159" s="4">
        <f t="shared" si="1"/>
        <v>0</v>
      </c>
      <c r="K159" s="9">
        <f t="shared" si="2"/>
        <v>0</v>
      </c>
    </row>
    <row r="160" ht="15.0" customHeight="1">
      <c r="C160" s="1" t="str">
        <f t="shared" si="4"/>
        <v>Diego Said </v>
      </c>
      <c r="J160" s="4">
        <f t="shared" si="1"/>
        <v>0</v>
      </c>
      <c r="K160" s="9">
        <f t="shared" si="2"/>
        <v>0</v>
      </c>
    </row>
    <row r="161" ht="15.0" customHeight="1">
      <c r="C161" s="1" t="str">
        <f t="shared" si="4"/>
        <v>Diego Said </v>
      </c>
      <c r="J161" s="4">
        <f t="shared" si="1"/>
        <v>0</v>
      </c>
      <c r="K161" s="9">
        <f t="shared" si="2"/>
        <v>0</v>
      </c>
    </row>
    <row r="162" ht="15.0" customHeight="1">
      <c r="C162" s="1" t="str">
        <f t="shared" si="4"/>
        <v>Diego Said </v>
      </c>
      <c r="J162" s="4">
        <f t="shared" si="1"/>
        <v>0</v>
      </c>
      <c r="K162" s="9">
        <f t="shared" si="2"/>
        <v>0</v>
      </c>
    </row>
    <row r="163" ht="15.0" customHeight="1">
      <c r="C163" s="1" t="str">
        <f t="shared" si="4"/>
        <v>Diego Said </v>
      </c>
      <c r="J163" s="4">
        <f t="shared" si="1"/>
        <v>0</v>
      </c>
      <c r="K163" s="9">
        <f t="shared" si="2"/>
        <v>0</v>
      </c>
    </row>
    <row r="164" ht="15.0" customHeight="1">
      <c r="C164" s="1" t="str">
        <f t="shared" si="4"/>
        <v>Diego Said </v>
      </c>
      <c r="J164" s="4">
        <f t="shared" si="1"/>
        <v>0</v>
      </c>
      <c r="K164" s="9">
        <f t="shared" si="2"/>
        <v>0</v>
      </c>
    </row>
    <row r="165" ht="15.0" customHeight="1">
      <c r="C165" s="1" t="str">
        <f t="shared" si="4"/>
        <v>Diego Said </v>
      </c>
      <c r="J165" s="4">
        <f t="shared" si="1"/>
        <v>0</v>
      </c>
      <c r="K165" s="9">
        <f t="shared" si="2"/>
        <v>0</v>
      </c>
    </row>
    <row r="166" ht="15.0" customHeight="1">
      <c r="C166" s="1" t="str">
        <f t="shared" si="4"/>
        <v>Diego Said </v>
      </c>
      <c r="J166" s="4">
        <f t="shared" si="1"/>
        <v>0</v>
      </c>
      <c r="K166" s="9">
        <f t="shared" si="2"/>
        <v>0</v>
      </c>
    </row>
    <row r="167" ht="15.0" customHeight="1">
      <c r="C167" s="1" t="str">
        <f t="shared" si="4"/>
        <v>Diego Said </v>
      </c>
      <c r="J167" s="4">
        <f t="shared" si="1"/>
        <v>0</v>
      </c>
      <c r="K167" s="9">
        <f t="shared" si="2"/>
        <v>0</v>
      </c>
    </row>
    <row r="168" ht="15.0" customHeight="1">
      <c r="C168" s="1" t="str">
        <f t="shared" si="4"/>
        <v>Diego Said </v>
      </c>
      <c r="J168" s="4">
        <f t="shared" si="1"/>
        <v>0</v>
      </c>
      <c r="K168" s="9">
        <f t="shared" si="2"/>
        <v>0</v>
      </c>
    </row>
    <row r="169" ht="15.0" customHeight="1">
      <c r="C169" s="1" t="str">
        <f t="shared" si="4"/>
        <v>Diego Said </v>
      </c>
      <c r="J169" s="4">
        <f t="shared" si="1"/>
        <v>0</v>
      </c>
      <c r="K169" s="9">
        <f t="shared" si="2"/>
        <v>0</v>
      </c>
    </row>
    <row r="170" ht="15.0" customHeight="1">
      <c r="C170" s="1" t="str">
        <f t="shared" si="4"/>
        <v>Diego Said </v>
      </c>
      <c r="J170" s="4">
        <f t="shared" si="1"/>
        <v>0</v>
      </c>
      <c r="K170" s="9">
        <f t="shared" si="2"/>
        <v>0</v>
      </c>
    </row>
    <row r="171" ht="15.0" customHeight="1">
      <c r="C171" s="1" t="str">
        <f t="shared" si="4"/>
        <v>Diego Said </v>
      </c>
      <c r="J171" s="4">
        <f t="shared" si="1"/>
        <v>0</v>
      </c>
      <c r="K171" s="9">
        <f t="shared" si="2"/>
        <v>0</v>
      </c>
    </row>
    <row r="172" ht="15.0" customHeight="1">
      <c r="C172" s="1" t="str">
        <f t="shared" si="4"/>
        <v>Diego Said </v>
      </c>
    </row>
    <row r="173" ht="15.0" customHeight="1">
      <c r="C173" s="1" t="str">
        <f t="shared" si="4"/>
        <v>Diego Said </v>
      </c>
    </row>
    <row r="174" ht="15.0" customHeight="1">
      <c r="C174" s="1" t="str">
        <f t="shared" si="4"/>
        <v>Diego Said </v>
      </c>
    </row>
    <row r="175" ht="15.0" customHeight="1">
      <c r="C175" s="1" t="str">
        <f t="shared" si="4"/>
        <v>Diego Said </v>
      </c>
    </row>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5 I7:I16 I18:I38 I40:I62 I64:I14883">
      <formula1>$W$28:$W$63</formula1>
    </dataValidation>
    <dataValidation type="list" allowBlank="1" showErrorMessage="1" sqref="K1:K2">
      <formula1>$O$4:$O$15</formula1>
    </dataValidation>
  </dataValidations>
  <hyperlinks>
    <hyperlink r:id="rId2" ref="G52"/>
  </hyperlinks>
  <drawing r:id="rId3"/>
  <legacyDrawing r:id="rId4"/>
</worksheet>
</file>