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al Estate Investement\"/>
    </mc:Choice>
  </mc:AlternateContent>
  <xr:revisionPtr revIDLastSave="0" documentId="13_ncr:1_{575190A6-9371-4574-A3FB-79B592B2BD37}" xr6:coauthVersionLast="47" xr6:coauthVersionMax="47" xr10:uidLastSave="{00000000-0000-0000-0000-000000000000}"/>
  <bookViews>
    <workbookView xWindow="4005" yWindow="3075" windowWidth="21600" windowHeight="11205" xr2:uid="{7D6A08E4-E215-45F9-9CE5-E713A8446BB0}"/>
  </bookViews>
  <sheets>
    <sheet name="Compiled Page" sheetId="2" r:id="rId1"/>
    <sheet name="Value Add Debt" sheetId="4" r:id="rId2"/>
    <sheet name="Opportunistic Deb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46" i="2"/>
  <c r="A47" i="2"/>
  <c r="A48" i="2"/>
  <c r="A46" i="2"/>
  <c r="B46" i="2"/>
  <c r="B48" i="2"/>
  <c r="B47" i="2"/>
  <c r="G5" i="4"/>
  <c r="B32" i="2"/>
  <c r="G4" i="4"/>
  <c r="D43" i="2"/>
  <c r="B43" i="2"/>
  <c r="D41" i="2"/>
  <c r="B41" i="2"/>
  <c r="D40" i="2"/>
  <c r="B40" i="2"/>
  <c r="D39" i="2"/>
  <c r="B39" i="2"/>
  <c r="D38" i="2"/>
  <c r="B38" i="2"/>
  <c r="D37" i="2"/>
  <c r="B37" i="2"/>
  <c r="D36" i="2"/>
  <c r="B36" i="2"/>
  <c r="B26" i="2"/>
  <c r="D35" i="2"/>
  <c r="B35" i="2"/>
  <c r="H19" i="4"/>
  <c r="H21" i="4"/>
  <c r="O6" i="4"/>
  <c r="N6" i="4"/>
  <c r="M6" i="4"/>
  <c r="O5" i="4"/>
  <c r="N5" i="4"/>
  <c r="M5" i="4"/>
  <c r="G28" i="4"/>
  <c r="C9" i="4"/>
  <c r="C11" i="4"/>
  <c r="E24" i="4"/>
  <c r="F24" i="4"/>
  <c r="G24" i="4"/>
  <c r="H24" i="4"/>
  <c r="D24" i="4"/>
  <c r="E23" i="4"/>
  <c r="F23" i="4"/>
  <c r="G23" i="4"/>
  <c r="H23" i="4"/>
  <c r="D23" i="4"/>
  <c r="G4" i="1"/>
  <c r="B27" i="1" l="1"/>
  <c r="G27" i="1" l="1"/>
  <c r="C28" i="1"/>
  <c r="D18" i="1"/>
  <c r="C18" i="1"/>
  <c r="C28" i="4"/>
  <c r="C19" i="4"/>
  <c r="C21" i="4" s="1"/>
  <c r="D23" i="1"/>
  <c r="D24" i="1"/>
  <c r="C29" i="1"/>
  <c r="C27" i="1"/>
  <c r="D27" i="1"/>
  <c r="C23" i="1"/>
  <c r="C30" i="4"/>
  <c r="B19" i="4"/>
  <c r="C17" i="4"/>
  <c r="C24" i="4"/>
  <c r="D29" i="1" l="1"/>
  <c r="D17" i="1" l="1"/>
  <c r="C17" i="1"/>
  <c r="D17" i="4"/>
  <c r="F17" i="1"/>
  <c r="E17" i="1"/>
  <c r="C10" i="1"/>
  <c r="C8" i="1"/>
  <c r="C11" i="1" s="1"/>
  <c r="C13" i="1" s="1"/>
  <c r="B18" i="1"/>
  <c r="C19" i="1" s="1"/>
  <c r="C8" i="4"/>
  <c r="B23" i="1" l="1"/>
  <c r="C13" i="4"/>
  <c r="E17" i="4"/>
  <c r="D18" i="4"/>
  <c r="G17" i="1"/>
  <c r="D28" i="4" l="1"/>
  <c r="D30" i="4" s="1"/>
  <c r="D25" i="4"/>
  <c r="B24" i="4"/>
  <c r="B28" i="4" s="1"/>
  <c r="E23" i="1"/>
  <c r="F23" i="1"/>
  <c r="G23" i="1"/>
  <c r="G24" i="1" s="1"/>
  <c r="B29" i="1"/>
  <c r="E18" i="4"/>
  <c r="B30" i="4" l="1"/>
  <c r="E25" i="4"/>
  <c r="E28" i="4"/>
  <c r="E30" i="4" s="1"/>
  <c r="F27" i="1"/>
  <c r="F29" i="1" s="1"/>
  <c r="F24" i="1"/>
  <c r="E27" i="1"/>
  <c r="E24" i="1"/>
  <c r="E29" i="1" l="1"/>
  <c r="B17" i="2" l="1"/>
  <c r="B7" i="2"/>
  <c r="B4" i="2"/>
  <c r="B3" i="2"/>
  <c r="D3" i="2"/>
  <c r="D25" i="2"/>
  <c r="D9" i="2"/>
  <c r="E20" i="1"/>
  <c r="D19" i="4"/>
  <c r="D17" i="2"/>
  <c r="D7" i="2"/>
  <c r="D4" i="2"/>
  <c r="B27" i="2" l="1"/>
  <c r="E18" i="1"/>
  <c r="D20" i="1"/>
  <c r="C20" i="1"/>
  <c r="B21" i="4"/>
  <c r="B25" i="2"/>
  <c r="D21" i="4"/>
  <c r="B10" i="2"/>
  <c r="B9" i="2"/>
  <c r="F20" i="1" l="1"/>
  <c r="H17" i="1"/>
  <c r="G20" i="1"/>
  <c r="E21" i="4"/>
  <c r="B11" i="2"/>
  <c r="E19" i="4"/>
  <c r="F17" i="4"/>
  <c r="C9" i="1" l="1"/>
  <c r="H23" i="1"/>
  <c r="H24" i="1" s="1"/>
  <c r="C25" i="1" s="1"/>
  <c r="B28" i="2"/>
  <c r="F18" i="4"/>
  <c r="G18" i="1"/>
  <c r="F21" i="4"/>
  <c r="B12" i="2"/>
  <c r="F19" i="4"/>
  <c r="B29" i="2" s="1"/>
  <c r="G17" i="4"/>
  <c r="F25" i="4" l="1"/>
  <c r="F28" i="4"/>
  <c r="H20" i="1"/>
  <c r="G29" i="1"/>
  <c r="C30" i="1" s="1"/>
  <c r="G18" i="4"/>
  <c r="G25" i="4"/>
  <c r="G21" i="4"/>
  <c r="B13" i="2"/>
  <c r="B20" i="2"/>
  <c r="H17" i="4"/>
  <c r="F30" i="4" l="1"/>
  <c r="H25" i="4"/>
  <c r="C26" i="4" s="1"/>
  <c r="H18" i="4"/>
  <c r="B14" i="2"/>
  <c r="B16" i="2"/>
  <c r="C22" i="4" l="1"/>
  <c r="G6" i="4"/>
  <c r="G19" i="4"/>
  <c r="C20" i="4" s="1"/>
  <c r="B21" i="2"/>
  <c r="B18" i="2"/>
  <c r="D10" i="2"/>
  <c r="G30" i="4" l="1"/>
  <c r="C31" i="4" s="1"/>
  <c r="C29" i="4"/>
  <c r="H5" i="4"/>
  <c r="H4" i="4"/>
  <c r="D26" i="2"/>
  <c r="B20" i="1"/>
  <c r="B24" i="2"/>
  <c r="B22" i="2"/>
  <c r="B30" i="2"/>
  <c r="D27" i="2"/>
  <c r="D11" i="2"/>
  <c r="D28" i="2"/>
  <c r="C21" i="1" l="1"/>
  <c r="D32" i="2" s="1"/>
  <c r="G5" i="1"/>
  <c r="D47" i="2" s="1"/>
  <c r="D12" i="2"/>
  <c r="F18" i="1"/>
  <c r="D24" i="2" l="1"/>
  <c r="G6" i="1"/>
  <c r="D29" i="2"/>
  <c r="D13" i="2"/>
  <c r="D20" i="2"/>
  <c r="H4" i="1" l="1"/>
  <c r="D48" i="2"/>
  <c r="H5" i="1"/>
  <c r="D14" i="2"/>
  <c r="H18" i="1"/>
  <c r="D16" i="2" s="1"/>
  <c r="D21" i="2" l="1"/>
  <c r="D18" i="2"/>
  <c r="D22" i="2" l="1"/>
  <c r="D30" i="2"/>
</calcChain>
</file>

<file path=xl/sharedStrings.xml><?xml version="1.0" encoding="utf-8"?>
<sst xmlns="http://schemas.openxmlformats.org/spreadsheetml/2006/main" count="96" uniqueCount="58">
  <si>
    <t>Buyers total Cash basis</t>
  </si>
  <si>
    <t>Additional Investment at the end of year 1</t>
  </si>
  <si>
    <t>Purchase Price</t>
  </si>
  <si>
    <t xml:space="preserve">Additional Equity Captial Investment </t>
  </si>
  <si>
    <t>Total Basis</t>
  </si>
  <si>
    <t>Annual NOI Growth Rate</t>
  </si>
  <si>
    <t>Year 1 NOI</t>
  </si>
  <si>
    <t>Year 2</t>
  </si>
  <si>
    <t>Year 3</t>
  </si>
  <si>
    <t>Year 4</t>
  </si>
  <si>
    <t>Year 5</t>
  </si>
  <si>
    <t>Year 6</t>
  </si>
  <si>
    <t>Year 6 NOI</t>
  </si>
  <si>
    <t>Exit Cap Rate</t>
  </si>
  <si>
    <t xml:space="preserve">Residual Sales Proceeds </t>
  </si>
  <si>
    <t>Year 5 NOI</t>
  </si>
  <si>
    <t>Residual Sales Proceeds</t>
  </si>
  <si>
    <t>Final IRR Data Entry</t>
  </si>
  <si>
    <t>IRR</t>
  </si>
  <si>
    <t>Initial Data Entry</t>
  </si>
  <si>
    <t>Year 1</t>
  </si>
  <si>
    <t>Final Entry</t>
  </si>
  <si>
    <t>Opportunistic</t>
  </si>
  <si>
    <t xml:space="preserve">Year 2 NOI </t>
  </si>
  <si>
    <t>Residual Proceeds</t>
  </si>
  <si>
    <t>NOI</t>
  </si>
  <si>
    <t>NOI Growth Rate</t>
  </si>
  <si>
    <t xml:space="preserve">Year 3 NOI </t>
  </si>
  <si>
    <t>Value Add</t>
  </si>
  <si>
    <t xml:space="preserve">TR </t>
  </si>
  <si>
    <t>TR</t>
  </si>
  <si>
    <t>Total Cost</t>
  </si>
  <si>
    <t>Loan Amount</t>
  </si>
  <si>
    <t>LTC</t>
  </si>
  <si>
    <t>Interest Rate</t>
  </si>
  <si>
    <t>Interest Payment</t>
  </si>
  <si>
    <t>Net Cash Flow</t>
  </si>
  <si>
    <t xml:space="preserve"> </t>
  </si>
  <si>
    <t>Annual Rate of Return</t>
  </si>
  <si>
    <t>Cash on Cash</t>
  </si>
  <si>
    <t>10 Year Average</t>
  </si>
  <si>
    <t>TR Multiple</t>
  </si>
  <si>
    <t>Attribution Of Benefits</t>
  </si>
  <si>
    <t>Cash Flow Benefits</t>
  </si>
  <si>
    <t>Profit At Sale</t>
  </si>
  <si>
    <t>Total Cash Benefits</t>
  </si>
  <si>
    <t>Leveraged Metrics</t>
  </si>
  <si>
    <t>Levaraged Metrics</t>
  </si>
  <si>
    <t>Less Debt Service</t>
  </si>
  <si>
    <t>+25%</t>
  </si>
  <si>
    <t>-25%</t>
  </si>
  <si>
    <t>Projected Selling Price</t>
  </si>
  <si>
    <t>After Debt</t>
  </si>
  <si>
    <t>Ratio</t>
  </si>
  <si>
    <t>36:64</t>
  </si>
  <si>
    <t>25:75</t>
  </si>
  <si>
    <t>Attribution of Benefits</t>
  </si>
  <si>
    <t>Year 1 and 2 IRR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</si>
</sst>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(#,##0\)"/>
    <numFmt numFmtId="165" formatCode="0.0"/>
    <numFmt numFmtId="166" formatCode="0.0%"/>
    <numFmt numFmtId="167" formatCode="#,##0.00000000_);\(#,##0.00000000\)"/>
    <numFmt numFmtId="168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left"/>
    </xf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166" fontId="0" fillId="0" borderId="0" xfId="0" applyNumberFormat="1"/>
    <xf numFmtId="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0" fillId="0" borderId="0" xfId="1" applyFont="1"/>
    <xf numFmtId="10" fontId="0" fillId="0" borderId="0" xfId="1" applyNumberFormat="1" applyFont="1"/>
    <xf numFmtId="9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49" fontId="1" fillId="0" borderId="0" xfId="0" applyNumberFormat="1" applyFont="1"/>
    <xf numFmtId="10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0" fontId="0" fillId="3" borderId="0" xfId="0" applyNumberFormat="1" applyFill="1"/>
    <xf numFmtId="2" fontId="0" fillId="3" borderId="0" xfId="0" applyNumberFormat="1" applyFill="1"/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0" fontId="0" fillId="3" borderId="0" xfId="1" applyNumberFormat="1" applyFont="1" applyFill="1"/>
    <xf numFmtId="10" fontId="0" fillId="3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5C85-54D9-4F8A-8C5D-403B6C1EA7F5}">
  <dimension ref="A2:D49"/>
  <sheetViews>
    <sheetView tabSelected="1" topLeftCell="A15" zoomScale="84" zoomScaleNormal="84" workbookViewId="0">
      <selection activeCell="H39" sqref="H39"/>
    </sheetView>
  </sheetViews>
  <sheetFormatPr defaultColWidth="9.140625" defaultRowHeight="15" x14ac:dyDescent="0.25"/>
  <cols>
    <col min="1" max="1" width="32.42578125" style="3" customWidth="1"/>
    <col min="2" max="2" width="21.42578125" style="3" customWidth="1"/>
    <col min="3" max="3" width="5.7109375" style="3" customWidth="1"/>
    <col min="4" max="4" width="16.5703125" style="3" customWidth="1"/>
    <col min="5" max="5" width="9.140625" style="3"/>
    <col min="6" max="6" width="17.42578125" style="3" customWidth="1"/>
    <col min="7" max="16384" width="9.140625" style="3"/>
  </cols>
  <sheetData>
    <row r="2" spans="1:4" x14ac:dyDescent="0.25">
      <c r="B2" s="4" t="s">
        <v>28</v>
      </c>
      <c r="D2" s="4" t="s">
        <v>22</v>
      </c>
    </row>
    <row r="3" spans="1:4" x14ac:dyDescent="0.25">
      <c r="A3" s="5" t="s">
        <v>2</v>
      </c>
      <c r="B3" s="6">
        <f>'Value Add Debt'!C3</f>
        <v>6500000</v>
      </c>
      <c r="D3" s="6">
        <f>'Opportunistic Debt'!C3</f>
        <v>2770000</v>
      </c>
    </row>
    <row r="4" spans="1:4" ht="30" x14ac:dyDescent="0.25">
      <c r="A4" s="5" t="s">
        <v>3</v>
      </c>
      <c r="B4" s="6">
        <f>'Value Add Debt'!C4</f>
        <v>1000000</v>
      </c>
      <c r="D4" s="6">
        <f>'Opportunistic Debt'!C4</f>
        <v>4000000</v>
      </c>
    </row>
    <row r="5" spans="1:4" x14ac:dyDescent="0.25">
      <c r="A5" s="5" t="s">
        <v>4</v>
      </c>
    </row>
    <row r="6" spans="1:4" x14ac:dyDescent="0.25">
      <c r="A6" s="5"/>
    </row>
    <row r="7" spans="1:4" x14ac:dyDescent="0.25">
      <c r="A7" s="5" t="s">
        <v>5</v>
      </c>
      <c r="B7" s="14">
        <f>'Value Add Debt'!C7</f>
        <v>0.02</v>
      </c>
      <c r="D7" s="14">
        <f>'Opportunistic Debt'!C7</f>
        <v>0.02</v>
      </c>
    </row>
    <row r="8" spans="1:4" x14ac:dyDescent="0.25">
      <c r="A8" s="5"/>
    </row>
    <row r="9" spans="1:4" x14ac:dyDescent="0.25">
      <c r="A9" s="5" t="s">
        <v>6</v>
      </c>
      <c r="B9" s="3">
        <f>'Value Add Debt'!C17</f>
        <v>0</v>
      </c>
      <c r="D9" s="19">
        <f>'Opportunistic Debt'!C17</f>
        <v>0</v>
      </c>
    </row>
    <row r="10" spans="1:4" x14ac:dyDescent="0.25">
      <c r="A10" s="5" t="s">
        <v>7</v>
      </c>
      <c r="B10" s="6">
        <f>'Value Add Debt'!D17</f>
        <v>712500</v>
      </c>
      <c r="D10" s="6">
        <f>'Opportunistic Debt'!D17</f>
        <v>0</v>
      </c>
    </row>
    <row r="11" spans="1:4" x14ac:dyDescent="0.25">
      <c r="A11" s="5" t="s">
        <v>8</v>
      </c>
      <c r="B11" s="15">
        <f>'Value Add Debt'!E17</f>
        <v>726750</v>
      </c>
      <c r="D11" s="6">
        <f>'Opportunistic Debt'!E17</f>
        <v>726750</v>
      </c>
    </row>
    <row r="12" spans="1:4" x14ac:dyDescent="0.25">
      <c r="A12" s="5" t="s">
        <v>9</v>
      </c>
      <c r="B12" s="15">
        <f>'Value Add Debt'!F17</f>
        <v>741285</v>
      </c>
      <c r="D12" s="6">
        <f>'Opportunistic Debt'!F17</f>
        <v>741285</v>
      </c>
    </row>
    <row r="13" spans="1:4" x14ac:dyDescent="0.25">
      <c r="A13" s="5" t="s">
        <v>10</v>
      </c>
      <c r="B13" s="15">
        <f>'Value Add Debt'!G17</f>
        <v>756110.70000000007</v>
      </c>
      <c r="D13" s="6">
        <f>'Opportunistic Debt'!G17</f>
        <v>756110.70000000007</v>
      </c>
    </row>
    <row r="14" spans="1:4" x14ac:dyDescent="0.25">
      <c r="A14" s="5" t="s">
        <v>11</v>
      </c>
      <c r="B14" s="15">
        <f>'Value Add Debt'!H17</f>
        <v>771232.91400000011</v>
      </c>
      <c r="D14" s="6">
        <f>'Opportunistic Debt'!H17</f>
        <v>771232.91400000011</v>
      </c>
    </row>
    <row r="16" spans="1:4" x14ac:dyDescent="0.25">
      <c r="A16" s="5" t="s">
        <v>12</v>
      </c>
      <c r="B16" s="15">
        <f>'Value Add Debt'!H17</f>
        <v>771232.91400000011</v>
      </c>
      <c r="D16" s="6">
        <f>'Opportunistic Debt'!H18</f>
        <v>771232.91400000011</v>
      </c>
    </row>
    <row r="17" spans="1:4" x14ac:dyDescent="0.25">
      <c r="A17" s="5" t="s">
        <v>13</v>
      </c>
      <c r="B17" s="17">
        <f>'Value Add Debt'!C6</f>
        <v>7.2499999999999995E-2</v>
      </c>
      <c r="D17" s="17">
        <f>'Opportunistic Debt'!C6</f>
        <v>7.2499999999999995E-2</v>
      </c>
    </row>
    <row r="18" spans="1:4" x14ac:dyDescent="0.25">
      <c r="A18" s="5" t="s">
        <v>14</v>
      </c>
      <c r="B18" s="15">
        <f>'Value Add Debt'!C9</f>
        <v>10637695.365517244</v>
      </c>
      <c r="D18" s="6">
        <f>'Opportunistic Debt'!C9</f>
        <v>10637695.365517244</v>
      </c>
    </row>
    <row r="20" spans="1:4" x14ac:dyDescent="0.25">
      <c r="A20" s="5" t="s">
        <v>15</v>
      </c>
      <c r="B20" s="15">
        <f>'Value Add Debt'!G17</f>
        <v>756110.70000000007</v>
      </c>
      <c r="D20" s="6">
        <f>'Opportunistic Debt'!G17</f>
        <v>756110.70000000007</v>
      </c>
    </row>
    <row r="21" spans="1:4" x14ac:dyDescent="0.25">
      <c r="A21" s="5" t="s">
        <v>16</v>
      </c>
      <c r="B21" s="15">
        <f>'Value Add Debt'!C9</f>
        <v>10637695.365517244</v>
      </c>
      <c r="D21" s="6">
        <f>'Opportunistic Debt'!C9</f>
        <v>10637695.365517244</v>
      </c>
    </row>
    <row r="22" spans="1:4" x14ac:dyDescent="0.25">
      <c r="A22" s="5" t="s">
        <v>17</v>
      </c>
      <c r="B22" s="6">
        <f>'Value Add Debt'!G19</f>
        <v>11393806.065517243</v>
      </c>
      <c r="D22" s="6">
        <f>'Opportunistic Debt'!G18</f>
        <v>11393806.065517243</v>
      </c>
    </row>
    <row r="24" spans="1:4" x14ac:dyDescent="0.25">
      <c r="A24" s="5" t="s">
        <v>18</v>
      </c>
      <c r="B24" s="18">
        <f>'Value Add Debt'!C20</f>
        <v>0.14062473486015037</v>
      </c>
      <c r="D24" s="18">
        <f>'Opportunistic Debt'!C19</f>
        <v>0.17516593145706594</v>
      </c>
    </row>
    <row r="25" spans="1:4" x14ac:dyDescent="0.25">
      <c r="A25" s="5" t="s">
        <v>19</v>
      </c>
      <c r="B25" s="19">
        <f>'Value Add Debt'!B19</f>
        <v>-6500000</v>
      </c>
      <c r="D25" s="19">
        <f>'Opportunistic Debt'!B18</f>
        <v>-2770000</v>
      </c>
    </row>
    <row r="26" spans="1:4" x14ac:dyDescent="0.25">
      <c r="A26" s="5" t="s">
        <v>20</v>
      </c>
      <c r="B26" s="19">
        <f>'Value Add Debt'!C19</f>
        <v>-1000000</v>
      </c>
      <c r="D26" s="19">
        <f>'Opportunistic Debt'!C18</f>
        <v>-2000000</v>
      </c>
    </row>
    <row r="27" spans="1:4" x14ac:dyDescent="0.25">
      <c r="A27" s="5" t="s">
        <v>7</v>
      </c>
      <c r="B27" s="3">
        <f>'Value Add Debt'!D19</f>
        <v>712500</v>
      </c>
      <c r="D27" s="19">
        <f>'Opportunistic Debt'!D18</f>
        <v>-2000000</v>
      </c>
    </row>
    <row r="28" spans="1:4" x14ac:dyDescent="0.25">
      <c r="A28" s="5" t="s">
        <v>8</v>
      </c>
      <c r="B28" s="3">
        <f>'Value Add Debt'!E19</f>
        <v>726750</v>
      </c>
      <c r="D28" s="6">
        <f>'Opportunistic Debt'!E18</f>
        <v>726750</v>
      </c>
    </row>
    <row r="29" spans="1:4" x14ac:dyDescent="0.25">
      <c r="A29" s="5" t="s">
        <v>9</v>
      </c>
      <c r="B29" s="15">
        <f>'Value Add Debt'!F19</f>
        <v>741285</v>
      </c>
      <c r="D29" s="6">
        <f>'Opportunistic Debt'!F18</f>
        <v>741285</v>
      </c>
    </row>
    <row r="30" spans="1:4" x14ac:dyDescent="0.25">
      <c r="A30" s="5" t="s">
        <v>21</v>
      </c>
      <c r="B30" s="6">
        <f>'Value Add Debt'!G19</f>
        <v>11393806.065517243</v>
      </c>
      <c r="D30" s="6">
        <f>'Opportunistic Debt'!G18</f>
        <v>11393806.065517243</v>
      </c>
    </row>
    <row r="32" spans="1:4" x14ac:dyDescent="0.25">
      <c r="A32" s="3" t="s">
        <v>29</v>
      </c>
      <c r="B32" s="16">
        <f>1.8</f>
        <v>1.8</v>
      </c>
      <c r="D32" s="16">
        <f>'Opportunistic Debt'!C21</f>
        <v>1.8998288132226355</v>
      </c>
    </row>
    <row r="34" spans="1:4" x14ac:dyDescent="0.25">
      <c r="A34" s="4" t="s">
        <v>52</v>
      </c>
    </row>
    <row r="35" spans="1:4" x14ac:dyDescent="0.25">
      <c r="A35" s="3" t="s">
        <v>18</v>
      </c>
      <c r="B35" s="31">
        <f>'Value Add Debt'!C29</f>
        <v>0.23468299952014782</v>
      </c>
      <c r="C35" s="35"/>
      <c r="D35" s="31">
        <f>'Opportunistic Debt'!C28</f>
        <v>0.24899469920225425</v>
      </c>
    </row>
    <row r="36" spans="1:4" x14ac:dyDescent="0.25">
      <c r="A36" s="5" t="s">
        <v>19</v>
      </c>
      <c r="B36" s="42">
        <f>'Value Add Debt'!B30</f>
        <v>-3000000</v>
      </c>
      <c r="C36" s="43"/>
      <c r="D36" s="42">
        <f>'Opportunistic Debt'!B29</f>
        <v>-2708000</v>
      </c>
    </row>
    <row r="37" spans="1:4" x14ac:dyDescent="0.25">
      <c r="A37" s="5" t="s">
        <v>20</v>
      </c>
      <c r="B37" s="42">
        <f>'Value Add Debt'!C30</f>
        <v>0</v>
      </c>
      <c r="C37" s="43"/>
      <c r="D37" s="42">
        <f>'Opportunistic Debt'!C29</f>
        <v>0</v>
      </c>
    </row>
    <row r="38" spans="1:4" x14ac:dyDescent="0.25">
      <c r="A38" s="5" t="s">
        <v>7</v>
      </c>
      <c r="B38" s="43">
        <f>'Value Add Debt'!D30</f>
        <v>420000</v>
      </c>
      <c r="C38" s="43"/>
      <c r="D38" s="42">
        <f>'Opportunistic Debt'!D29</f>
        <v>0</v>
      </c>
    </row>
    <row r="39" spans="1:4" x14ac:dyDescent="0.25">
      <c r="A39" s="5" t="s">
        <v>8</v>
      </c>
      <c r="B39" s="43">
        <f>'Value Add Debt'!E30</f>
        <v>434250</v>
      </c>
      <c r="C39" s="43"/>
      <c r="D39" s="44">
        <f>'Opportunistic Debt'!E29</f>
        <v>422100</v>
      </c>
    </row>
    <row r="40" spans="1:4" x14ac:dyDescent="0.25">
      <c r="A40" s="5" t="s">
        <v>9</v>
      </c>
      <c r="B40" s="45">
        <f>'Value Add Debt'!F30</f>
        <v>448785</v>
      </c>
      <c r="C40" s="43"/>
      <c r="D40" s="44">
        <f>'Opportunistic Debt'!F29</f>
        <v>436635</v>
      </c>
    </row>
    <row r="41" spans="1:4" x14ac:dyDescent="0.25">
      <c r="A41" s="5" t="s">
        <v>21</v>
      </c>
      <c r="B41" s="37">
        <f>'Value Add Debt'!G30</f>
        <v>6601306.065517243</v>
      </c>
      <c r="C41" s="35"/>
      <c r="D41" s="36">
        <f>'Opportunistic Debt'!G29</f>
        <v>7027156.065517243</v>
      </c>
    </row>
    <row r="42" spans="1:4" x14ac:dyDescent="0.25">
      <c r="B42" s="43"/>
      <c r="C42" s="43"/>
      <c r="D42" s="43"/>
    </row>
    <row r="43" spans="1:4" x14ac:dyDescent="0.25">
      <c r="A43" s="3" t="s">
        <v>30</v>
      </c>
      <c r="B43" s="32">
        <f>'Value Add Debt'!C31</f>
        <v>2.6347803551724143</v>
      </c>
      <c r="C43" s="35"/>
      <c r="D43" s="32">
        <f>'Opportunistic Debt'!C30</f>
        <v>2.9120720330565888</v>
      </c>
    </row>
    <row r="44" spans="1:4" x14ac:dyDescent="0.25">
      <c r="B44" s="16"/>
      <c r="D44" s="16"/>
    </row>
    <row r="45" spans="1:4" x14ac:dyDescent="0.25">
      <c r="A45" s="4" t="s">
        <v>56</v>
      </c>
    </row>
    <row r="46" spans="1:4" x14ac:dyDescent="0.25">
      <c r="A46" s="3" t="str">
        <f>'Value Add Debt'!E4</f>
        <v>Cash Flow Benefits</v>
      </c>
      <c r="B46" s="6">
        <f>'Value Add Debt'!G4</f>
        <v>1766645.7000000002</v>
      </c>
      <c r="D46" s="6">
        <f>'Opportunistic Debt'!G4</f>
        <v>1310195.7000000002</v>
      </c>
    </row>
    <row r="47" spans="1:4" x14ac:dyDescent="0.25">
      <c r="A47" s="3" t="str">
        <f>'Value Add Debt'!E5</f>
        <v>Profit At Sale</v>
      </c>
      <c r="B47" s="3">
        <f>'Value Add Debt'!G5</f>
        <v>3137695.3655172437</v>
      </c>
      <c r="D47" s="3">
        <f>'Opportunistic Debt'!G5</f>
        <v>3867695.3655172437</v>
      </c>
    </row>
    <row r="48" spans="1:4" x14ac:dyDescent="0.25">
      <c r="A48" s="3" t="str">
        <f>'Value Add Debt'!E6</f>
        <v>Total Cash Benefits</v>
      </c>
      <c r="B48" s="6">
        <f>'Value Add Debt'!G6</f>
        <v>4904341.0655172439</v>
      </c>
      <c r="D48" s="6">
        <f>'Opportunistic Debt'!G6</f>
        <v>5177891.0655172439</v>
      </c>
    </row>
    <row r="49" spans="1:4" x14ac:dyDescent="0.25">
      <c r="A49" s="3" t="s">
        <v>53</v>
      </c>
      <c r="B49" s="35" t="s">
        <v>54</v>
      </c>
      <c r="D49" s="35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677A-B667-4E82-BFE9-D976CB5772F6}">
  <dimension ref="A3:O31"/>
  <sheetViews>
    <sheetView workbookViewId="0">
      <selection activeCell="C26" sqref="C26"/>
    </sheetView>
  </sheetViews>
  <sheetFormatPr defaultRowHeight="15" x14ac:dyDescent="0.25"/>
  <cols>
    <col min="1" max="1" width="21.42578125" customWidth="1"/>
    <col min="2" max="2" width="12.140625" bestFit="1" customWidth="1"/>
    <col min="3" max="3" width="12.5703125" bestFit="1" customWidth="1"/>
    <col min="5" max="6" width="9.5703125" bestFit="1" customWidth="1"/>
    <col min="7" max="7" width="12.85546875" customWidth="1"/>
    <col min="8" max="8" width="10.140625" bestFit="1" customWidth="1"/>
    <col min="13" max="13" width="10.5703125" bestFit="1" customWidth="1"/>
    <col min="14" max="14" width="18.7109375" bestFit="1" customWidth="1"/>
  </cols>
  <sheetData>
    <row r="3" spans="1:15" x14ac:dyDescent="0.25">
      <c r="A3" s="2" t="s">
        <v>0</v>
      </c>
      <c r="C3" s="1">
        <v>6500000</v>
      </c>
      <c r="E3" s="40" t="s">
        <v>42</v>
      </c>
      <c r="F3" s="40"/>
      <c r="G3" s="40"/>
      <c r="J3" s="40" t="s">
        <v>47</v>
      </c>
      <c r="K3" s="40"/>
      <c r="L3" s="40"/>
    </row>
    <row r="4" spans="1:15" ht="30" x14ac:dyDescent="0.25">
      <c r="A4" s="2" t="s">
        <v>1</v>
      </c>
      <c r="C4" s="1">
        <v>1000000</v>
      </c>
      <c r="E4" s="40" t="s">
        <v>43</v>
      </c>
      <c r="F4" s="40"/>
      <c r="G4" s="1">
        <f>SUM(D24:G24)</f>
        <v>1766645.7000000002</v>
      </c>
      <c r="H4" s="20">
        <f>G4/G6</f>
        <v>0.36022080772917825</v>
      </c>
      <c r="M4" s="11"/>
      <c r="N4" s="30" t="s">
        <v>49</v>
      </c>
      <c r="O4" s="30" t="s">
        <v>50</v>
      </c>
    </row>
    <row r="5" spans="1:15" x14ac:dyDescent="0.25">
      <c r="A5" s="2" t="s">
        <v>23</v>
      </c>
      <c r="C5" s="1">
        <v>712500</v>
      </c>
      <c r="E5" s="40" t="s">
        <v>44</v>
      </c>
      <c r="F5" s="40"/>
      <c r="G5" s="11">
        <f>B21+C9</f>
        <v>3137695.3655172437</v>
      </c>
      <c r="H5" s="20">
        <f>G5/G6</f>
        <v>0.63977919227082181</v>
      </c>
      <c r="J5" t="s">
        <v>13</v>
      </c>
      <c r="M5" s="10">
        <f>C6</f>
        <v>7.2499999999999995E-2</v>
      </c>
      <c r="N5" s="29">
        <f>M5+0.0025</f>
        <v>7.4999999999999997E-2</v>
      </c>
      <c r="O5" s="10">
        <f>M5-0.0025</f>
        <v>6.9999999999999993E-2</v>
      </c>
    </row>
    <row r="6" spans="1:15" x14ac:dyDescent="0.25">
      <c r="A6" s="2" t="s">
        <v>13</v>
      </c>
      <c r="C6" s="10">
        <v>7.2499999999999995E-2</v>
      </c>
      <c r="E6" s="40" t="s">
        <v>45</v>
      </c>
      <c r="F6" s="40"/>
      <c r="G6" s="1">
        <f>SUM(G4:G5)</f>
        <v>4904341.0655172439</v>
      </c>
      <c r="J6" t="s">
        <v>15</v>
      </c>
      <c r="M6" s="1">
        <f>G17</f>
        <v>756110.70000000007</v>
      </c>
      <c r="N6" s="1">
        <f>G17</f>
        <v>756110.70000000007</v>
      </c>
      <c r="O6" s="1">
        <f>G17</f>
        <v>756110.70000000007</v>
      </c>
    </row>
    <row r="7" spans="1:15" x14ac:dyDescent="0.25">
      <c r="A7" s="2" t="s">
        <v>26</v>
      </c>
      <c r="C7" s="12">
        <v>0.02</v>
      </c>
      <c r="J7" t="s">
        <v>51</v>
      </c>
    </row>
    <row r="8" spans="1:15" x14ac:dyDescent="0.25">
      <c r="A8" s="2" t="s">
        <v>31</v>
      </c>
      <c r="C8" s="11">
        <f>C3+C4</f>
        <v>7500000</v>
      </c>
    </row>
    <row r="9" spans="1:15" x14ac:dyDescent="0.25">
      <c r="A9" s="2" t="s">
        <v>24</v>
      </c>
      <c r="C9" s="9">
        <f>H17/C6</f>
        <v>10637695.365517244</v>
      </c>
      <c r="M9" s="9"/>
    </row>
    <row r="10" spans="1:15" x14ac:dyDescent="0.25">
      <c r="A10" s="2" t="s">
        <v>33</v>
      </c>
      <c r="C10" s="12">
        <v>0.6</v>
      </c>
      <c r="M10" s="11"/>
      <c r="N10" s="28"/>
    </row>
    <row r="11" spans="1:15" x14ac:dyDescent="0.25">
      <c r="A11" s="2" t="s">
        <v>32</v>
      </c>
      <c r="C11">
        <f>C8*C10</f>
        <v>4500000</v>
      </c>
    </row>
    <row r="12" spans="1:15" x14ac:dyDescent="0.25">
      <c r="A12" s="2" t="s">
        <v>34</v>
      </c>
      <c r="C12" s="10">
        <v>6.5000000000000002E-2</v>
      </c>
    </row>
    <row r="13" spans="1:15" x14ac:dyDescent="0.25">
      <c r="A13" s="2" t="s">
        <v>35</v>
      </c>
      <c r="C13">
        <f>C11*C12</f>
        <v>292500</v>
      </c>
    </row>
    <row r="14" spans="1:15" x14ac:dyDescent="0.25">
      <c r="A14" s="2"/>
      <c r="C14" s="11"/>
    </row>
    <row r="15" spans="1:15" x14ac:dyDescent="0.25">
      <c r="C15" t="s">
        <v>37</v>
      </c>
    </row>
    <row r="16" spans="1:15" x14ac:dyDescent="0.25"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</row>
    <row r="17" spans="1:11" x14ac:dyDescent="0.25">
      <c r="A17" t="s">
        <v>25</v>
      </c>
      <c r="C17" s="7">
        <f>0</f>
        <v>0</v>
      </c>
      <c r="D17" s="1">
        <f>C5</f>
        <v>712500</v>
      </c>
      <c r="E17" s="9">
        <f>D17*1.02</f>
        <v>726750</v>
      </c>
      <c r="F17" s="9">
        <f t="shared" ref="F17:H17" si="0">E17*1.02</f>
        <v>741285</v>
      </c>
      <c r="G17" s="9">
        <f t="shared" si="0"/>
        <v>756110.70000000007</v>
      </c>
      <c r="H17" s="9">
        <f t="shared" si="0"/>
        <v>771232.91400000011</v>
      </c>
    </row>
    <row r="18" spans="1:11" x14ac:dyDescent="0.25">
      <c r="A18" t="s">
        <v>38</v>
      </c>
      <c r="C18">
        <v>0</v>
      </c>
      <c r="D18" s="21">
        <f>D17/$C$8</f>
        <v>9.5000000000000001E-2</v>
      </c>
      <c r="E18" s="21">
        <f t="shared" ref="E18:H18" si="1">E17/$C$8</f>
        <v>9.69E-2</v>
      </c>
      <c r="F18" s="21">
        <f t="shared" si="1"/>
        <v>9.8837999999999995E-2</v>
      </c>
      <c r="G18" s="21">
        <f t="shared" si="1"/>
        <v>0.10081476</v>
      </c>
      <c r="H18" s="21">
        <f t="shared" si="1"/>
        <v>0.10283105520000002</v>
      </c>
    </row>
    <row r="19" spans="1:11" x14ac:dyDescent="0.25">
      <c r="A19" t="s">
        <v>18</v>
      </c>
      <c r="B19" s="11">
        <f>-(C3)</f>
        <v>-6500000</v>
      </c>
      <c r="C19" s="11">
        <f>-C4</f>
        <v>-1000000</v>
      </c>
      <c r="D19" s="11">
        <f t="shared" ref="D19:F19" si="2">D17</f>
        <v>712500</v>
      </c>
      <c r="E19" s="11">
        <f t="shared" si="2"/>
        <v>726750</v>
      </c>
      <c r="F19" s="11">
        <f t="shared" si="2"/>
        <v>741285</v>
      </c>
      <c r="G19" s="11">
        <f>G17+C9</f>
        <v>11393806.065517243</v>
      </c>
      <c r="H19" s="11">
        <f>H17</f>
        <v>771232.91400000011</v>
      </c>
    </row>
    <row r="20" spans="1:11" x14ac:dyDescent="0.25">
      <c r="C20" s="13">
        <f>IRR(B19:G19)</f>
        <v>0.14062473486015037</v>
      </c>
    </row>
    <row r="21" spans="1:11" x14ac:dyDescent="0.25">
      <c r="A21" t="s">
        <v>30</v>
      </c>
      <c r="B21" s="11">
        <f>B19+C19</f>
        <v>-7500000</v>
      </c>
      <c r="C21" s="11">
        <f>C19</f>
        <v>-1000000</v>
      </c>
      <c r="D21" s="11">
        <f t="shared" ref="D21:G21" si="3">D17</f>
        <v>712500</v>
      </c>
      <c r="E21" s="11">
        <f t="shared" si="3"/>
        <v>726750</v>
      </c>
      <c r="F21" s="11">
        <f t="shared" si="3"/>
        <v>741285</v>
      </c>
      <c r="G21" s="11">
        <f t="shared" si="3"/>
        <v>756110.70000000007</v>
      </c>
      <c r="H21" s="9">
        <f>C9</f>
        <v>10637695.365517244</v>
      </c>
    </row>
    <row r="22" spans="1:11" x14ac:dyDescent="0.25">
      <c r="C22" s="8">
        <f>-((SUM(D21:G21)+H21)/B21)</f>
        <v>1.8099121420689657</v>
      </c>
    </row>
    <row r="23" spans="1:11" x14ac:dyDescent="0.25">
      <c r="A23" t="s">
        <v>48</v>
      </c>
      <c r="C23" s="8"/>
      <c r="D23" s="11">
        <f>-$C$13</f>
        <v>-292500</v>
      </c>
      <c r="E23" s="11">
        <f t="shared" ref="E23:H23" si="4">-$C$13</f>
        <v>-292500</v>
      </c>
      <c r="F23" s="11">
        <f t="shared" si="4"/>
        <v>-292500</v>
      </c>
      <c r="G23" s="11">
        <f t="shared" si="4"/>
        <v>-292500</v>
      </c>
      <c r="H23" s="11">
        <f t="shared" si="4"/>
        <v>-292500</v>
      </c>
    </row>
    <row r="24" spans="1:11" x14ac:dyDescent="0.25">
      <c r="A24" t="s">
        <v>36</v>
      </c>
      <c r="B24" s="11">
        <f>-(C8-C11)</f>
        <v>-3000000</v>
      </c>
      <c r="C24" s="7">
        <f>0</f>
        <v>0</v>
      </c>
      <c r="D24" s="1">
        <f>D17+D23</f>
        <v>420000</v>
      </c>
      <c r="E24" s="1">
        <f t="shared" ref="E24:H24" si="5">E17+E23</f>
        <v>434250</v>
      </c>
      <c r="F24" s="1">
        <f t="shared" si="5"/>
        <v>448785</v>
      </c>
      <c r="G24" s="1">
        <f t="shared" si="5"/>
        <v>463610.70000000007</v>
      </c>
      <c r="H24" s="1">
        <f t="shared" si="5"/>
        <v>478732.91400000011</v>
      </c>
    </row>
    <row r="25" spans="1:11" x14ac:dyDescent="0.25">
      <c r="A25" t="s">
        <v>39</v>
      </c>
      <c r="C25">
        <v>0</v>
      </c>
      <c r="D25" s="21">
        <f>D24/$C$11</f>
        <v>9.3333333333333338E-2</v>
      </c>
      <c r="E25" s="21">
        <f>E24/$C$11</f>
        <v>9.6500000000000002E-2</v>
      </c>
      <c r="F25" s="21">
        <f t="shared" ref="F25:H25" si="6">F24/$C$11</f>
        <v>9.9729999999999999E-2</v>
      </c>
      <c r="G25" s="21">
        <f t="shared" si="6"/>
        <v>0.10302460000000002</v>
      </c>
      <c r="H25" s="21">
        <f t="shared" si="6"/>
        <v>0.10638509200000003</v>
      </c>
    </row>
    <row r="26" spans="1:11" x14ac:dyDescent="0.25">
      <c r="A26" t="s">
        <v>40</v>
      </c>
      <c r="C26" s="38">
        <f>(SUM(D25:H25)/6)</f>
        <v>8.3162170888888901E-2</v>
      </c>
    </row>
    <row r="27" spans="1:11" x14ac:dyDescent="0.25">
      <c r="K27" s="11"/>
    </row>
    <row r="28" spans="1:11" x14ac:dyDescent="0.25">
      <c r="A28" t="s">
        <v>18</v>
      </c>
      <c r="B28" s="11">
        <f>(B24)</f>
        <v>-3000000</v>
      </c>
      <c r="C28" s="11">
        <f>0</f>
        <v>0</v>
      </c>
      <c r="D28" s="11">
        <f>D24</f>
        <v>420000</v>
      </c>
      <c r="E28" s="11">
        <f t="shared" ref="E28:F28" si="7">E24</f>
        <v>434250</v>
      </c>
      <c r="F28" s="11">
        <f t="shared" si="7"/>
        <v>448785</v>
      </c>
      <c r="G28" s="11">
        <f>G17+C9-C11-C13</f>
        <v>6601306.065517243</v>
      </c>
      <c r="H28" s="11"/>
    </row>
    <row r="29" spans="1:11" x14ac:dyDescent="0.25">
      <c r="C29" s="33">
        <f>IRR(B28:G28)</f>
        <v>0.23468299952014782</v>
      </c>
      <c r="D29" s="10"/>
    </row>
    <row r="30" spans="1:11" x14ac:dyDescent="0.25">
      <c r="A30" t="s">
        <v>41</v>
      </c>
      <c r="B30" s="11">
        <f>B28</f>
        <v>-3000000</v>
      </c>
      <c r="C30">
        <f>0</f>
        <v>0</v>
      </c>
      <c r="D30" s="11">
        <f>D28</f>
        <v>420000</v>
      </c>
      <c r="E30" s="11">
        <f t="shared" ref="E30:G30" si="8">E28</f>
        <v>434250</v>
      </c>
      <c r="F30" s="11">
        <f t="shared" si="8"/>
        <v>448785</v>
      </c>
      <c r="G30" s="11">
        <f t="shared" si="8"/>
        <v>6601306.065517243</v>
      </c>
    </row>
    <row r="31" spans="1:11" x14ac:dyDescent="0.25">
      <c r="C31" s="34">
        <f>-((SUM(D30:G30)+H30)/B30)</f>
        <v>2.6347803551724143</v>
      </c>
    </row>
  </sheetData>
  <mergeCells count="5">
    <mergeCell ref="E3:G3"/>
    <mergeCell ref="E4:F4"/>
    <mergeCell ref="E5:F5"/>
    <mergeCell ref="E6:F6"/>
    <mergeCell ref="J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6D5A-59E3-48E3-82EB-3C561D8E9C64}">
  <dimension ref="A3:L30"/>
  <sheetViews>
    <sheetView workbookViewId="0">
      <selection activeCell="K33" sqref="K33"/>
    </sheetView>
  </sheetViews>
  <sheetFormatPr defaultColWidth="8.85546875" defaultRowHeight="15" x14ac:dyDescent="0.25"/>
  <cols>
    <col min="1" max="1" width="21.42578125" style="3" customWidth="1"/>
    <col min="2" max="2" width="12.140625" style="3" bestFit="1" customWidth="1"/>
    <col min="3" max="3" width="12.5703125" style="3" bestFit="1" customWidth="1"/>
    <col min="4" max="4" width="10.5703125" style="3" bestFit="1" customWidth="1"/>
    <col min="5" max="6" width="9.5703125" style="3" bestFit="1" customWidth="1"/>
    <col min="7" max="7" width="12.85546875" style="3" customWidth="1"/>
    <col min="8" max="8" width="10.140625" style="3" bestFit="1" customWidth="1"/>
    <col min="9" max="16384" width="8.85546875" style="3"/>
  </cols>
  <sheetData>
    <row r="3" spans="1:12" x14ac:dyDescent="0.25">
      <c r="A3" s="5" t="s">
        <v>0</v>
      </c>
      <c r="C3" s="6">
        <v>2770000</v>
      </c>
      <c r="E3" s="41" t="s">
        <v>42</v>
      </c>
      <c r="F3" s="41"/>
      <c r="G3" s="41"/>
      <c r="J3" s="41" t="s">
        <v>46</v>
      </c>
      <c r="K3" s="41"/>
      <c r="L3" s="41"/>
    </row>
    <row r="4" spans="1:12" ht="30" x14ac:dyDescent="0.25">
      <c r="A4" s="5" t="s">
        <v>1</v>
      </c>
      <c r="C4" s="6">
        <v>4000000</v>
      </c>
      <c r="E4" s="41" t="s">
        <v>43</v>
      </c>
      <c r="F4" s="41"/>
      <c r="G4" s="6">
        <f>SUM(E23:G23)</f>
        <v>1310195.7000000002</v>
      </c>
      <c r="H4" s="22">
        <f>G4/G6</f>
        <v>0.25303655164269445</v>
      </c>
    </row>
    <row r="5" spans="1:12" x14ac:dyDescent="0.25">
      <c r="A5" s="5" t="s">
        <v>27</v>
      </c>
      <c r="C5" s="6">
        <v>726750</v>
      </c>
      <c r="E5" s="41" t="s">
        <v>44</v>
      </c>
      <c r="F5" s="41"/>
      <c r="G5" s="23">
        <f>B20+C9</f>
        <v>3867695.3655172437</v>
      </c>
      <c r="H5" s="22">
        <f>G5/G6</f>
        <v>0.74696344835730555</v>
      </c>
    </row>
    <row r="6" spans="1:12" x14ac:dyDescent="0.25">
      <c r="A6" s="5" t="s">
        <v>13</v>
      </c>
      <c r="C6" s="17">
        <v>7.2499999999999995E-2</v>
      </c>
      <c r="E6" s="41" t="s">
        <v>45</v>
      </c>
      <c r="F6" s="41"/>
      <c r="G6" s="6">
        <f>SUM(G4:G5)</f>
        <v>5177891.0655172439</v>
      </c>
    </row>
    <row r="7" spans="1:12" x14ac:dyDescent="0.25">
      <c r="A7" s="5" t="s">
        <v>26</v>
      </c>
      <c r="C7" s="14">
        <v>0.02</v>
      </c>
    </row>
    <row r="8" spans="1:12" x14ac:dyDescent="0.25">
      <c r="A8" s="5" t="s">
        <v>31</v>
      </c>
      <c r="C8" s="6">
        <f>C3+C4</f>
        <v>6770000</v>
      </c>
    </row>
    <row r="9" spans="1:12" x14ac:dyDescent="0.25">
      <c r="A9" s="5" t="s">
        <v>24</v>
      </c>
      <c r="C9" s="15">
        <f>H17/C6</f>
        <v>10637695.365517244</v>
      </c>
    </row>
    <row r="10" spans="1:12" x14ac:dyDescent="0.25">
      <c r="A10" s="5" t="s">
        <v>33</v>
      </c>
      <c r="C10" s="22">
        <f>60%</f>
        <v>0.6</v>
      </c>
    </row>
    <row r="11" spans="1:12" x14ac:dyDescent="0.25">
      <c r="A11" s="5" t="s">
        <v>32</v>
      </c>
      <c r="C11" s="24">
        <f>C8*C10</f>
        <v>4062000</v>
      </c>
    </row>
    <row r="12" spans="1:12" x14ac:dyDescent="0.25">
      <c r="A12" s="5" t="s">
        <v>34</v>
      </c>
      <c r="C12" s="25">
        <v>7.4999999999999997E-2</v>
      </c>
    </row>
    <row r="13" spans="1:12" x14ac:dyDescent="0.25">
      <c r="A13" s="5" t="s">
        <v>35</v>
      </c>
      <c r="C13" s="3">
        <f>C11*C12</f>
        <v>304650</v>
      </c>
    </row>
    <row r="14" spans="1:12" x14ac:dyDescent="0.25">
      <c r="A14" s="3" t="s">
        <v>57</v>
      </c>
      <c r="C14" s="3">
        <f>C4/2</f>
        <v>2000000</v>
      </c>
    </row>
    <row r="16" spans="1:12" x14ac:dyDescent="0.25"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</row>
    <row r="17" spans="1:8" x14ac:dyDescent="0.25">
      <c r="A17" s="3" t="s">
        <v>25</v>
      </c>
      <c r="C17" s="19">
        <f>0</f>
        <v>0</v>
      </c>
      <c r="D17" s="6">
        <f>0</f>
        <v>0</v>
      </c>
      <c r="E17" s="15">
        <f>C5</f>
        <v>726750</v>
      </c>
      <c r="F17" s="15">
        <f>E17*1.02</f>
        <v>741285</v>
      </c>
      <c r="G17" s="15">
        <f>F17*1.02</f>
        <v>756110.70000000007</v>
      </c>
      <c r="H17" s="15">
        <f>G17*1.02</f>
        <v>771232.91400000011</v>
      </c>
    </row>
    <row r="18" spans="1:8" x14ac:dyDescent="0.25">
      <c r="A18" s="3" t="s">
        <v>18</v>
      </c>
      <c r="B18" s="23">
        <f>-(C3)</f>
        <v>-2770000</v>
      </c>
      <c r="C18" s="23">
        <f>-(C14)</f>
        <v>-2000000</v>
      </c>
      <c r="D18" s="23">
        <f>-(C14)</f>
        <v>-2000000</v>
      </c>
      <c r="E18" s="23">
        <f>E17</f>
        <v>726750</v>
      </c>
      <c r="F18" s="23">
        <f>F17</f>
        <v>741285</v>
      </c>
      <c r="G18" s="23">
        <f>G17+C9</f>
        <v>11393806.065517243</v>
      </c>
      <c r="H18" s="23">
        <f>H17</f>
        <v>771232.91400000011</v>
      </c>
    </row>
    <row r="19" spans="1:8" x14ac:dyDescent="0.25">
      <c r="C19" s="26">
        <f>IRR(B18:G18)</f>
        <v>0.17516593145706594</v>
      </c>
    </row>
    <row r="20" spans="1:8" x14ac:dyDescent="0.25">
      <c r="A20" s="3" t="s">
        <v>30</v>
      </c>
      <c r="B20" s="23">
        <f>B18+C18+D18</f>
        <v>-6770000</v>
      </c>
      <c r="C20" s="23">
        <f>C17</f>
        <v>0</v>
      </c>
      <c r="D20" s="23">
        <f>D17</f>
        <v>0</v>
      </c>
      <c r="E20" s="23">
        <f>E17</f>
        <v>726750</v>
      </c>
      <c r="F20" s="23">
        <f>F17</f>
        <v>741285</v>
      </c>
      <c r="G20" s="23">
        <f>G17</f>
        <v>756110.70000000007</v>
      </c>
      <c r="H20" s="15">
        <f>C9</f>
        <v>10637695.365517244</v>
      </c>
    </row>
    <row r="21" spans="1:8" x14ac:dyDescent="0.25">
      <c r="C21" s="27">
        <f>-((SUM(C20:G20)+H20)/B20)</f>
        <v>1.8998288132226355</v>
      </c>
    </row>
    <row r="23" spans="1:8" x14ac:dyDescent="0.25">
      <c r="A23" s="3" t="s">
        <v>36</v>
      </c>
      <c r="B23" s="23">
        <f>-(C11)</f>
        <v>-4062000</v>
      </c>
      <c r="C23" s="19">
        <f>0</f>
        <v>0</v>
      </c>
      <c r="D23" s="6">
        <f>0</f>
        <v>0</v>
      </c>
      <c r="E23" s="15">
        <f>E17-$C$13</f>
        <v>422100</v>
      </c>
      <c r="F23" s="15">
        <f>F17-$C$13</f>
        <v>436635</v>
      </c>
      <c r="G23" s="15">
        <f>G17-$C$13</f>
        <v>451460.70000000007</v>
      </c>
      <c r="H23" s="15">
        <f>H17-$C$13</f>
        <v>466582.91400000011</v>
      </c>
    </row>
    <row r="24" spans="1:8" x14ac:dyDescent="0.25">
      <c r="A24" s="3" t="s">
        <v>39</v>
      </c>
      <c r="C24" s="3">
        <v>0</v>
      </c>
      <c r="D24" s="19">
        <f>0</f>
        <v>0</v>
      </c>
      <c r="E24" s="18">
        <f>E23/$C$11</f>
        <v>0.10391432791728213</v>
      </c>
      <c r="F24" s="18">
        <f t="shared" ref="F24:H24" si="0">F23/$C$11</f>
        <v>0.10749261447562777</v>
      </c>
      <c r="G24" s="18">
        <f t="shared" si="0"/>
        <v>0.11114246676514034</v>
      </c>
      <c r="H24" s="18">
        <f t="shared" si="0"/>
        <v>0.11486531610044316</v>
      </c>
    </row>
    <row r="25" spans="1:8" x14ac:dyDescent="0.25">
      <c r="A25" s="3" t="s">
        <v>40</v>
      </c>
      <c r="C25" s="39">
        <f>(SUM(D24:H24)/6)</f>
        <v>7.2902454209748904E-2</v>
      </c>
    </row>
    <row r="27" spans="1:8" x14ac:dyDescent="0.25">
      <c r="A27" s="3" t="s">
        <v>18</v>
      </c>
      <c r="B27" s="23">
        <f>-(C8-C11)</f>
        <v>-2708000</v>
      </c>
      <c r="C27" s="23">
        <f>0</f>
        <v>0</v>
      </c>
      <c r="D27" s="23">
        <f>D23</f>
        <v>0</v>
      </c>
      <c r="E27" s="23">
        <f t="shared" ref="E27:F27" si="1">E23</f>
        <v>422100</v>
      </c>
      <c r="F27" s="23">
        <f t="shared" si="1"/>
        <v>436635</v>
      </c>
      <c r="G27" s="23">
        <f>G17+C9-C11-C13</f>
        <v>7027156.065517243</v>
      </c>
      <c r="H27" s="23"/>
    </row>
    <row r="28" spans="1:8" x14ac:dyDescent="0.25">
      <c r="C28" s="31">
        <f>IRR(B27:G27)</f>
        <v>0.24899469920225425</v>
      </c>
      <c r="D28" s="17"/>
    </row>
    <row r="29" spans="1:8" x14ac:dyDescent="0.25">
      <c r="A29" s="3" t="s">
        <v>41</v>
      </c>
      <c r="B29" s="23">
        <f>B27</f>
        <v>-2708000</v>
      </c>
      <c r="C29" s="3">
        <f>0</f>
        <v>0</v>
      </c>
      <c r="D29" s="23">
        <f>D27</f>
        <v>0</v>
      </c>
      <c r="E29" s="23">
        <f t="shared" ref="E29:G29" si="2">E27</f>
        <v>422100</v>
      </c>
      <c r="F29" s="23">
        <f t="shared" si="2"/>
        <v>436635</v>
      </c>
      <c r="G29" s="23">
        <f t="shared" si="2"/>
        <v>7027156.065517243</v>
      </c>
    </row>
    <row r="30" spans="1:8" x14ac:dyDescent="0.25">
      <c r="C30" s="32">
        <f>-((SUM(D29:G29)+H29)/B29)</f>
        <v>2.9120720330565888</v>
      </c>
    </row>
  </sheetData>
  <mergeCells count="5">
    <mergeCell ref="E3:G3"/>
    <mergeCell ref="E4:F4"/>
    <mergeCell ref="E5:F5"/>
    <mergeCell ref="E6:F6"/>
    <mergeCell ref="J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Compiled Page</vt:lpstr>
      <vt:lpstr>Value Add Debt</vt:lpstr>
      <vt:lpstr>Opportunistic 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</dc:creator>
  <cp:lastModifiedBy>Shweta</cp:lastModifiedBy>
  <dcterms:created xsi:type="dcterms:W3CDTF">2023-11-06T00:11:13Z</dcterms:created>
  <dcterms:modified xsi:type="dcterms:W3CDTF">2023-11-08T17:19:20Z</dcterms:modified>
</cp:coreProperties>
</file>