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wetashweta/Downloads/"/>
    </mc:Choice>
  </mc:AlternateContent>
  <xr:revisionPtr revIDLastSave="0" documentId="8_{B73AD60A-8FDB-AF40-8DAB-5AA309624FE3}" xr6:coauthVersionLast="47" xr6:coauthVersionMax="47" xr10:uidLastSave="{00000000-0000-0000-0000-000000000000}"/>
  <bookViews>
    <workbookView xWindow="0" yWindow="760" windowWidth="30240" windowHeight="17480" xr2:uid="{1BB782B2-8067-49B0-A993-DC63C54D4962}"/>
  </bookViews>
  <sheets>
    <sheet name="Nike Model_Matrix_Real estate P" sheetId="14" r:id="rId1"/>
    <sheet name="Calculation" sheetId="2" r:id="rId2"/>
    <sheet name="BASE MODEL" sheetId="6" r:id="rId3"/>
    <sheet name="Refi " sheetId="10" r:id="rId4"/>
    <sheet name="Refi10" sheetId="12" r:id="rId5"/>
    <sheet name="Refi15" sheetId="13" r:id="rId6"/>
    <sheet name="Refi20" sheetId="9" state="hidden" r:id="rId7"/>
    <sheet name="Refi 20" sheetId="16" r:id="rId8"/>
    <sheet name="Matrix" sheetId="15" r:id="rId9"/>
  </sheets>
  <externalReferences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0" l="1"/>
  <c r="C13" i="10"/>
  <c r="D33" i="10"/>
  <c r="I9" i="10"/>
  <c r="C13" i="6"/>
  <c r="D15" i="6" s="1"/>
  <c r="D49" i="13"/>
  <c r="O21" i="13"/>
  <c r="Q8" i="6"/>
  <c r="Q16" i="6"/>
  <c r="O20" i="16"/>
  <c r="O23" i="16" s="1"/>
  <c r="I12" i="16"/>
  <c r="I15" i="16"/>
  <c r="I16" i="16"/>
  <c r="I23" i="16"/>
  <c r="I22" i="16"/>
  <c r="I24" i="16"/>
  <c r="J36" i="16"/>
  <c r="J44" i="16"/>
  <c r="K23" i="16"/>
  <c r="L4" i="14"/>
  <c r="L27" i="14"/>
  <c r="L26" i="14"/>
  <c r="AB49" i="15"/>
  <c r="X33" i="13"/>
  <c r="X33" i="15"/>
  <c r="O10" i="15" s="1"/>
  <c r="X42" i="15" s="1"/>
  <c r="O8" i="15" s="1"/>
  <c r="S35" i="15"/>
  <c r="S33" i="15"/>
  <c r="S33" i="13"/>
  <c r="O8" i="16"/>
  <c r="R49" i="16"/>
  <c r="R51" i="16" s="1"/>
  <c r="M49" i="16"/>
  <c r="M51" i="16" s="1"/>
  <c r="H49" i="16"/>
  <c r="H51" i="16" s="1"/>
  <c r="S45" i="16"/>
  <c r="T45" i="16" s="1"/>
  <c r="U45" i="16" s="1"/>
  <c r="V45" i="16" s="1"/>
  <c r="W45" i="16" s="1"/>
  <c r="N45" i="16"/>
  <c r="O45" i="16" s="1"/>
  <c r="P45" i="16" s="1"/>
  <c r="Q45" i="16" s="1"/>
  <c r="R45" i="16" s="1"/>
  <c r="M45" i="16"/>
  <c r="L45" i="16"/>
  <c r="K45" i="16"/>
  <c r="J45" i="16"/>
  <c r="I45" i="16"/>
  <c r="G45" i="16"/>
  <c r="E45" i="16"/>
  <c r="H42" i="16"/>
  <c r="I42" i="16" s="1"/>
  <c r="J42" i="16" s="1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G42" i="16"/>
  <c r="F42" i="16"/>
  <c r="E42" i="16"/>
  <c r="Y35" i="16"/>
  <c r="Z35" i="16" s="1"/>
  <c r="AA35" i="16" s="1"/>
  <c r="AB35" i="16" s="1"/>
  <c r="AC35" i="16" s="1"/>
  <c r="X35" i="16"/>
  <c r="M35" i="16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L35" i="16"/>
  <c r="K35" i="16"/>
  <c r="J35" i="16"/>
  <c r="I35" i="16"/>
  <c r="H35" i="16"/>
  <c r="G35" i="16"/>
  <c r="F35" i="16"/>
  <c r="E35" i="16"/>
  <c r="D35" i="16"/>
  <c r="AA34" i="16"/>
  <c r="AB34" i="16" s="1"/>
  <c r="AC34" i="16" s="1"/>
  <c r="Y34" i="16"/>
  <c r="Z34" i="16" s="1"/>
  <c r="X34" i="16"/>
  <c r="I34" i="16"/>
  <c r="E34" i="16"/>
  <c r="F34" i="16" s="1"/>
  <c r="G34" i="16" s="1"/>
  <c r="H34" i="16" s="1"/>
  <c r="D34" i="16"/>
  <c r="X33" i="16"/>
  <c r="M33" i="16"/>
  <c r="L33" i="16"/>
  <c r="K33" i="16"/>
  <c r="J33" i="16"/>
  <c r="I33" i="16"/>
  <c r="H33" i="16"/>
  <c r="G33" i="16"/>
  <c r="F33" i="16"/>
  <c r="E33" i="16"/>
  <c r="D33" i="16"/>
  <c r="J23" i="16"/>
  <c r="D18" i="16"/>
  <c r="D42" i="16" s="1"/>
  <c r="D17" i="16"/>
  <c r="D43" i="16" s="1"/>
  <c r="E43" i="16" s="1"/>
  <c r="F43" i="16" s="1"/>
  <c r="G43" i="16" s="1"/>
  <c r="H43" i="16" s="1"/>
  <c r="I43" i="16" s="1"/>
  <c r="J43" i="16" s="1"/>
  <c r="K43" i="16" s="1"/>
  <c r="L43" i="16" s="1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X43" i="16" s="1"/>
  <c r="Y43" i="16" s="1"/>
  <c r="Z43" i="16" s="1"/>
  <c r="AA43" i="16" s="1"/>
  <c r="AB43" i="16" s="1"/>
  <c r="AC43" i="16" s="1"/>
  <c r="H45" i="16"/>
  <c r="D15" i="16"/>
  <c r="D13" i="16"/>
  <c r="C13" i="16"/>
  <c r="D36" i="16" s="1"/>
  <c r="D40" i="16" s="1"/>
  <c r="O10" i="16"/>
  <c r="X42" i="16" s="1"/>
  <c r="I9" i="16"/>
  <c r="I7" i="16"/>
  <c r="R51" i="12"/>
  <c r="D52" i="9"/>
  <c r="D51" i="9"/>
  <c r="I24" i="15"/>
  <c r="W33" i="15"/>
  <c r="R49" i="15"/>
  <c r="R51" i="15" s="1"/>
  <c r="O23" i="9"/>
  <c r="O23" i="13"/>
  <c r="D15" i="15"/>
  <c r="X36" i="15"/>
  <c r="D17" i="15"/>
  <c r="D18" i="15"/>
  <c r="X35" i="15"/>
  <c r="X34" i="15"/>
  <c r="P16" i="2"/>
  <c r="N16" i="2"/>
  <c r="L16" i="2"/>
  <c r="S15" i="2"/>
  <c r="T13" i="2"/>
  <c r="R13" i="2"/>
  <c r="T14" i="2"/>
  <c r="Q16" i="2"/>
  <c r="Q15" i="2"/>
  <c r="Q6" i="2"/>
  <c r="Q7" i="2"/>
  <c r="Q8" i="2"/>
  <c r="Q9" i="2"/>
  <c r="Q10" i="2"/>
  <c r="Q11" i="2"/>
  <c r="Q12" i="2"/>
  <c r="Q13" i="2"/>
  <c r="Q14" i="2"/>
  <c r="Q5" i="2"/>
  <c r="O16" i="2"/>
  <c r="O15" i="2"/>
  <c r="O10" i="2"/>
  <c r="O11" i="2"/>
  <c r="O12" i="2"/>
  <c r="O13" i="2"/>
  <c r="O14" i="2"/>
  <c r="O9" i="2"/>
  <c r="M11" i="2"/>
  <c r="M12" i="2"/>
  <c r="M13" i="2"/>
  <c r="M14" i="2"/>
  <c r="C15" i="2"/>
  <c r="P15" i="2"/>
  <c r="N15" i="2"/>
  <c r="L15" i="2"/>
  <c r="R14" i="2"/>
  <c r="R12" i="2"/>
  <c r="T12" i="2" s="1"/>
  <c r="R11" i="2"/>
  <c r="T11" i="2" s="1"/>
  <c r="R10" i="2"/>
  <c r="T10" i="2" s="1"/>
  <c r="R9" i="2"/>
  <c r="T9" i="2" s="1"/>
  <c r="R8" i="2"/>
  <c r="T8" i="2" s="1"/>
  <c r="R7" i="2"/>
  <c r="T7" i="2" s="1"/>
  <c r="R6" i="2"/>
  <c r="T6" i="2" s="1"/>
  <c r="R5" i="2"/>
  <c r="T5" i="2" s="1"/>
  <c r="H51" i="15"/>
  <c r="M49" i="15"/>
  <c r="M51" i="15" s="1"/>
  <c r="H49" i="15"/>
  <c r="S45" i="15"/>
  <c r="T45" i="15" s="1"/>
  <c r="U45" i="15" s="1"/>
  <c r="V45" i="15" s="1"/>
  <c r="W45" i="15" s="1"/>
  <c r="N45" i="15"/>
  <c r="O45" i="15" s="1"/>
  <c r="P45" i="15" s="1"/>
  <c r="Q45" i="15" s="1"/>
  <c r="R45" i="15" s="1"/>
  <c r="M45" i="15"/>
  <c r="L45" i="15"/>
  <c r="K45" i="15"/>
  <c r="J45" i="15"/>
  <c r="I45" i="15"/>
  <c r="G45" i="15"/>
  <c r="H42" i="15"/>
  <c r="I42" i="15" s="1"/>
  <c r="J42" i="15" s="1"/>
  <c r="K42" i="15" s="1"/>
  <c r="L42" i="15" s="1"/>
  <c r="M42" i="15" s="1"/>
  <c r="N42" i="15" s="1"/>
  <c r="O42" i="15" s="1"/>
  <c r="P42" i="15" s="1"/>
  <c r="Q42" i="15" s="1"/>
  <c r="R42" i="15" s="1"/>
  <c r="S42" i="15" s="1"/>
  <c r="T42" i="15" s="1"/>
  <c r="U42" i="15" s="1"/>
  <c r="V42" i="15" s="1"/>
  <c r="W42" i="15" s="1"/>
  <c r="G42" i="15"/>
  <c r="F42" i="15"/>
  <c r="E42" i="15"/>
  <c r="M35" i="15"/>
  <c r="N35" i="15" s="1"/>
  <c r="O35" i="15" s="1"/>
  <c r="P35" i="15" s="1"/>
  <c r="Q35" i="15" s="1"/>
  <c r="R35" i="15" s="1"/>
  <c r="T35" i="15" s="1"/>
  <c r="U35" i="15" s="1"/>
  <c r="V35" i="15" s="1"/>
  <c r="W35" i="15" s="1"/>
  <c r="Y35" i="15" s="1"/>
  <c r="Z35" i="15" s="1"/>
  <c r="AA35" i="15" s="1"/>
  <c r="AB35" i="15" s="1"/>
  <c r="AC35" i="15" s="1"/>
  <c r="L35" i="15"/>
  <c r="K35" i="15"/>
  <c r="J35" i="15"/>
  <c r="I35" i="15"/>
  <c r="H35" i="15"/>
  <c r="G35" i="15"/>
  <c r="F35" i="15"/>
  <c r="E35" i="15"/>
  <c r="D35" i="15"/>
  <c r="D34" i="15"/>
  <c r="E34" i="15" s="1"/>
  <c r="F34" i="15" s="1"/>
  <c r="G34" i="15" s="1"/>
  <c r="H34" i="15" s="1"/>
  <c r="I34" i="15" s="1"/>
  <c r="N33" i="15"/>
  <c r="M33" i="15"/>
  <c r="L33" i="15"/>
  <c r="K33" i="15"/>
  <c r="J33" i="15"/>
  <c r="I33" i="15"/>
  <c r="H33" i="15"/>
  <c r="G33" i="15"/>
  <c r="F33" i="15"/>
  <c r="E33" i="15"/>
  <c r="D33" i="15"/>
  <c r="O20" i="15"/>
  <c r="I16" i="15"/>
  <c r="I17" i="15" s="1"/>
  <c r="D16" i="15"/>
  <c r="D37" i="15" s="1"/>
  <c r="D41" i="15" s="1"/>
  <c r="I15" i="15"/>
  <c r="D13" i="15"/>
  <c r="C13" i="15"/>
  <c r="K11" i="15"/>
  <c r="J11" i="15"/>
  <c r="I25" i="15" s="1"/>
  <c r="J25" i="15" s="1"/>
  <c r="I11" i="15"/>
  <c r="K25" i="15" s="1"/>
  <c r="K9" i="15"/>
  <c r="I9" i="15"/>
  <c r="J9" i="15" s="1"/>
  <c r="I7" i="15"/>
  <c r="Y42" i="16" l="1"/>
  <c r="Z42" i="16" s="1"/>
  <c r="AA42" i="16" s="1"/>
  <c r="AB42" i="16" s="1"/>
  <c r="AC42" i="16" s="1"/>
  <c r="J34" i="16"/>
  <c r="K34" i="16" s="1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E36" i="16"/>
  <c r="N33" i="16"/>
  <c r="J9" i="16"/>
  <c r="I11" i="16"/>
  <c r="K9" i="16"/>
  <c r="D16" i="16"/>
  <c r="Y33" i="16"/>
  <c r="C49" i="16"/>
  <c r="D45" i="16"/>
  <c r="I17" i="16"/>
  <c r="F45" i="16"/>
  <c r="C51" i="16"/>
  <c r="M15" i="2"/>
  <c r="M16" i="2" s="1"/>
  <c r="T15" i="2"/>
  <c r="R15" i="2"/>
  <c r="Y42" i="15"/>
  <c r="Z42" i="15" s="1"/>
  <c r="AA42" i="15" s="1"/>
  <c r="AB42" i="15" s="1"/>
  <c r="AC42" i="15" s="1"/>
  <c r="J34" i="15"/>
  <c r="E37" i="15"/>
  <c r="D36" i="15"/>
  <c r="D43" i="15"/>
  <c r="E43" i="15" s="1"/>
  <c r="F43" i="15" s="1"/>
  <c r="G43" i="15" s="1"/>
  <c r="H43" i="15" s="1"/>
  <c r="I43" i="15" s="1"/>
  <c r="J43" i="15" s="1"/>
  <c r="K43" i="15" s="1"/>
  <c r="L43" i="15" s="1"/>
  <c r="M43" i="15" s="1"/>
  <c r="N43" i="15" s="1"/>
  <c r="O43" i="15" s="1"/>
  <c r="P43" i="15" s="1"/>
  <c r="Q43" i="15" s="1"/>
  <c r="R43" i="15" s="1"/>
  <c r="S43" i="15" s="1"/>
  <c r="T43" i="15" s="1"/>
  <c r="U43" i="15" s="1"/>
  <c r="V43" i="15" s="1"/>
  <c r="W43" i="15" s="1"/>
  <c r="X43" i="15" s="1"/>
  <c r="Y43" i="15" s="1"/>
  <c r="Z43" i="15" s="1"/>
  <c r="AA43" i="15" s="1"/>
  <c r="AB43" i="15" s="1"/>
  <c r="AC43" i="15" s="1"/>
  <c r="O33" i="15"/>
  <c r="C51" i="15"/>
  <c r="D45" i="15"/>
  <c r="C49" i="15"/>
  <c r="K23" i="15"/>
  <c r="H45" i="15"/>
  <c r="J23" i="15"/>
  <c r="I23" i="15"/>
  <c r="D42" i="15"/>
  <c r="E45" i="15"/>
  <c r="F45" i="15"/>
  <c r="Z33" i="16" l="1"/>
  <c r="K11" i="16"/>
  <c r="K25" i="16"/>
  <c r="J11" i="16"/>
  <c r="I25" i="16" s="1"/>
  <c r="J25" i="16" s="1"/>
  <c r="F36" i="16"/>
  <c r="E40" i="16"/>
  <c r="O33" i="16"/>
  <c r="K19" i="16"/>
  <c r="J19" i="16"/>
  <c r="I19" i="16"/>
  <c r="D37" i="16"/>
  <c r="E37" i="16"/>
  <c r="D40" i="15"/>
  <c r="E36" i="15"/>
  <c r="P33" i="15"/>
  <c r="K34" i="15"/>
  <c r="D38" i="15"/>
  <c r="D44" i="15" s="1"/>
  <c r="E41" i="15"/>
  <c r="F37" i="15"/>
  <c r="K19" i="15"/>
  <c r="J19" i="15"/>
  <c r="I19" i="15"/>
  <c r="F40" i="16" l="1"/>
  <c r="G36" i="16"/>
  <c r="F38" i="16"/>
  <c r="D41" i="16"/>
  <c r="D38" i="16"/>
  <c r="D44" i="16" s="1"/>
  <c r="AA33" i="16"/>
  <c r="P33" i="16"/>
  <c r="F37" i="16"/>
  <c r="E41" i="16"/>
  <c r="E38" i="16"/>
  <c r="E44" i="16" s="1"/>
  <c r="E46" i="16" s="1"/>
  <c r="Q33" i="15"/>
  <c r="G37" i="15"/>
  <c r="F41" i="15"/>
  <c r="L34" i="15"/>
  <c r="E40" i="15"/>
  <c r="F36" i="15"/>
  <c r="E38" i="15"/>
  <c r="I18" i="15"/>
  <c r="D46" i="15"/>
  <c r="I8" i="15"/>
  <c r="D46" i="16" l="1"/>
  <c r="I18" i="16"/>
  <c r="I8" i="16"/>
  <c r="E51" i="16"/>
  <c r="E49" i="16"/>
  <c r="E47" i="16"/>
  <c r="F44" i="16"/>
  <c r="F46" i="16" s="1"/>
  <c r="AB33" i="16"/>
  <c r="F41" i="16"/>
  <c r="G37" i="16"/>
  <c r="H36" i="16"/>
  <c r="G40" i="16"/>
  <c r="G38" i="16"/>
  <c r="Q33" i="16"/>
  <c r="J8" i="15"/>
  <c r="J7" i="15" s="1"/>
  <c r="K8" i="15"/>
  <c r="K7" i="15" s="1"/>
  <c r="H37" i="15"/>
  <c r="G41" i="15"/>
  <c r="F40" i="15"/>
  <c r="G36" i="15"/>
  <c r="F38" i="15"/>
  <c r="F44" i="15" s="1"/>
  <c r="F46" i="15" s="1"/>
  <c r="R33" i="15"/>
  <c r="M34" i="15"/>
  <c r="D47" i="15"/>
  <c r="D51" i="15"/>
  <c r="D49" i="15"/>
  <c r="K20" i="15"/>
  <c r="I20" i="15"/>
  <c r="J20" i="15"/>
  <c r="E44" i="15"/>
  <c r="E46" i="15" s="1"/>
  <c r="G44" i="16" l="1"/>
  <c r="G46" i="16" s="1"/>
  <c r="R33" i="16"/>
  <c r="J8" i="16"/>
  <c r="J7" i="16" s="1"/>
  <c r="K8" i="16"/>
  <c r="K7" i="16" s="1"/>
  <c r="F49" i="16"/>
  <c r="F51" i="16"/>
  <c r="F47" i="16"/>
  <c r="H40" i="16"/>
  <c r="I36" i="16"/>
  <c r="G41" i="16"/>
  <c r="H37" i="16"/>
  <c r="AC33" i="16"/>
  <c r="D47" i="16"/>
  <c r="J20" i="16"/>
  <c r="D51" i="16"/>
  <c r="D49" i="16"/>
  <c r="K20" i="16"/>
  <c r="I20" i="16"/>
  <c r="H20" i="15"/>
  <c r="I37" i="15"/>
  <c r="H41" i="15"/>
  <c r="E51" i="15"/>
  <c r="E47" i="15"/>
  <c r="E49" i="15"/>
  <c r="N34" i="15"/>
  <c r="F49" i="15"/>
  <c r="F47" i="15"/>
  <c r="F51" i="15"/>
  <c r="H36" i="15"/>
  <c r="G40" i="15"/>
  <c r="G38" i="15"/>
  <c r="G44" i="15" s="1"/>
  <c r="G46" i="15" s="1"/>
  <c r="G49" i="16" l="1"/>
  <c r="G47" i="16"/>
  <c r="G51" i="16"/>
  <c r="I40" i="16"/>
  <c r="I38" i="16"/>
  <c r="H20" i="16"/>
  <c r="H41" i="16"/>
  <c r="I37" i="16"/>
  <c r="H38" i="16"/>
  <c r="H44" i="16" s="1"/>
  <c r="H46" i="16" s="1"/>
  <c r="H47" i="16" s="1"/>
  <c r="S33" i="16"/>
  <c r="O34" i="15"/>
  <c r="T33" i="15"/>
  <c r="J37" i="15"/>
  <c r="I41" i="15"/>
  <c r="G49" i="15"/>
  <c r="G47" i="15"/>
  <c r="G51" i="15"/>
  <c r="I36" i="15"/>
  <c r="H40" i="15"/>
  <c r="H38" i="15"/>
  <c r="H44" i="15" s="1"/>
  <c r="H46" i="15" s="1"/>
  <c r="H47" i="15" s="1"/>
  <c r="T33" i="16" l="1"/>
  <c r="J40" i="16"/>
  <c r="K36" i="16"/>
  <c r="J37" i="16"/>
  <c r="J38" i="16" s="1"/>
  <c r="I41" i="16"/>
  <c r="I44" i="16" s="1"/>
  <c r="I46" i="16" s="1"/>
  <c r="J41" i="15"/>
  <c r="K37" i="15"/>
  <c r="J36" i="15"/>
  <c r="I40" i="15"/>
  <c r="I38" i="15"/>
  <c r="I44" i="15" s="1"/>
  <c r="I46" i="15" s="1"/>
  <c r="U33" i="15"/>
  <c r="P34" i="15"/>
  <c r="I47" i="16" l="1"/>
  <c r="I51" i="16"/>
  <c r="I49" i="16"/>
  <c r="U33" i="16"/>
  <c r="L36" i="16"/>
  <c r="K40" i="16"/>
  <c r="J41" i="16"/>
  <c r="J46" i="16" s="1"/>
  <c r="K37" i="16"/>
  <c r="V33" i="15"/>
  <c r="I51" i="15"/>
  <c r="I49" i="15"/>
  <c r="I47" i="15"/>
  <c r="K36" i="15"/>
  <c r="J40" i="15"/>
  <c r="J38" i="15"/>
  <c r="J44" i="15" s="1"/>
  <c r="J46" i="15" s="1"/>
  <c r="K41" i="15"/>
  <c r="L37" i="15"/>
  <c r="Q34" i="15"/>
  <c r="J47" i="16" l="1"/>
  <c r="J51" i="16"/>
  <c r="J49" i="16"/>
  <c r="V33" i="16"/>
  <c r="L37" i="16"/>
  <c r="L38" i="16" s="1"/>
  <c r="K41" i="16"/>
  <c r="L40" i="16"/>
  <c r="M36" i="16"/>
  <c r="K38" i="16"/>
  <c r="J47" i="15"/>
  <c r="J51" i="15"/>
  <c r="J49" i="15"/>
  <c r="L36" i="15"/>
  <c r="K40" i="15"/>
  <c r="K38" i="15"/>
  <c r="K44" i="15" s="1"/>
  <c r="K46" i="15" s="1"/>
  <c r="R34" i="15"/>
  <c r="L41" i="15"/>
  <c r="M37" i="15"/>
  <c r="L44" i="16" l="1"/>
  <c r="L46" i="16" s="1"/>
  <c r="K44" i="16"/>
  <c r="K46" i="16" s="1"/>
  <c r="W33" i="16"/>
  <c r="L41" i="16"/>
  <c r="M37" i="16"/>
  <c r="N36" i="16"/>
  <c r="M40" i="16"/>
  <c r="M38" i="16"/>
  <c r="S34" i="15"/>
  <c r="K47" i="15"/>
  <c r="K51" i="15"/>
  <c r="K49" i="15"/>
  <c r="L40" i="15"/>
  <c r="M36" i="15"/>
  <c r="L38" i="15"/>
  <c r="N37" i="15"/>
  <c r="M41" i="15"/>
  <c r="N37" i="16" l="1"/>
  <c r="M41" i="16"/>
  <c r="L47" i="16"/>
  <c r="L51" i="16"/>
  <c r="L49" i="16"/>
  <c r="M44" i="16"/>
  <c r="M46" i="16" s="1"/>
  <c r="M47" i="16" s="1"/>
  <c r="N40" i="16"/>
  <c r="O36" i="16"/>
  <c r="K47" i="16"/>
  <c r="K51" i="16"/>
  <c r="K49" i="16"/>
  <c r="M40" i="15"/>
  <c r="N36" i="15"/>
  <c r="M38" i="15"/>
  <c r="Y33" i="15"/>
  <c r="T34" i="15"/>
  <c r="O37" i="15"/>
  <c r="N41" i="15"/>
  <c r="L44" i="15"/>
  <c r="L46" i="15" s="1"/>
  <c r="N41" i="16" l="1"/>
  <c r="O37" i="16"/>
  <c r="P36" i="16"/>
  <c r="O40" i="16"/>
  <c r="O38" i="16"/>
  <c r="N38" i="16"/>
  <c r="Z33" i="15"/>
  <c r="P37" i="15"/>
  <c r="O41" i="15"/>
  <c r="U34" i="15"/>
  <c r="M44" i="15"/>
  <c r="M46" i="15" s="1"/>
  <c r="M47" i="15" s="1"/>
  <c r="L47" i="15"/>
  <c r="L51" i="15"/>
  <c r="L49" i="15"/>
  <c r="N40" i="15"/>
  <c r="O36" i="15"/>
  <c r="N38" i="15"/>
  <c r="N44" i="15" s="1"/>
  <c r="N44" i="16" l="1"/>
  <c r="P40" i="16"/>
  <c r="Q36" i="16"/>
  <c r="O41" i="16"/>
  <c r="O44" i="16" s="1"/>
  <c r="O46" i="16" s="1"/>
  <c r="P37" i="16"/>
  <c r="P38" i="16" s="1"/>
  <c r="I12" i="15"/>
  <c r="N46" i="15"/>
  <c r="V34" i="15"/>
  <c r="O40" i="15"/>
  <c r="P36" i="15"/>
  <c r="O38" i="15"/>
  <c r="O44" i="15" s="1"/>
  <c r="O46" i="15" s="1"/>
  <c r="Q37" i="15"/>
  <c r="P41" i="15"/>
  <c r="AA33" i="15"/>
  <c r="P44" i="16" l="1"/>
  <c r="P46" i="16" s="1"/>
  <c r="O49" i="16"/>
  <c r="O47" i="16"/>
  <c r="O51" i="16"/>
  <c r="Q40" i="16"/>
  <c r="R36" i="16"/>
  <c r="P41" i="16"/>
  <c r="Q37" i="16"/>
  <c r="N46" i="16"/>
  <c r="K12" i="15"/>
  <c r="K13" i="15" s="1"/>
  <c r="K22" i="15" s="1"/>
  <c r="K24" i="15" s="1"/>
  <c r="J12" i="15"/>
  <c r="J13" i="15" s="1"/>
  <c r="J22" i="15" s="1"/>
  <c r="J24" i="15" s="1"/>
  <c r="I13" i="15"/>
  <c r="I22" i="15" s="1"/>
  <c r="O49" i="15"/>
  <c r="O47" i="15"/>
  <c r="O51" i="15"/>
  <c r="R37" i="15"/>
  <c r="Q41" i="15"/>
  <c r="Q36" i="15"/>
  <c r="P40" i="15"/>
  <c r="P38" i="15"/>
  <c r="P44" i="15" s="1"/>
  <c r="P46" i="15" s="1"/>
  <c r="W34" i="15"/>
  <c r="AB33" i="15"/>
  <c r="AC33" i="15" s="1"/>
  <c r="N49" i="15"/>
  <c r="N47" i="15"/>
  <c r="N51" i="15"/>
  <c r="R37" i="16" l="1"/>
  <c r="Q41" i="16"/>
  <c r="N49" i="16"/>
  <c r="N51" i="16"/>
  <c r="N47" i="16"/>
  <c r="P49" i="16"/>
  <c r="P47" i="16"/>
  <c r="P51" i="16"/>
  <c r="Q38" i="16"/>
  <c r="R40" i="16"/>
  <c r="S36" i="16"/>
  <c r="J12" i="16"/>
  <c r="J13" i="16" s="1"/>
  <c r="J22" i="16" s="1"/>
  <c r="J24" i="16" s="1"/>
  <c r="K12" i="16"/>
  <c r="K13" i="16" s="1"/>
  <c r="K22" i="16" s="1"/>
  <c r="K24" i="16" s="1"/>
  <c r="I13" i="16"/>
  <c r="R41" i="15"/>
  <c r="S37" i="15"/>
  <c r="P49" i="15"/>
  <c r="P47" i="15"/>
  <c r="P51" i="15"/>
  <c r="R36" i="15"/>
  <c r="Q40" i="15"/>
  <c r="Q38" i="15"/>
  <c r="Q44" i="15" s="1"/>
  <c r="Q46" i="15" s="1"/>
  <c r="Q44" i="16" l="1"/>
  <c r="Q46" i="16" s="1"/>
  <c r="R41" i="16"/>
  <c r="S37" i="16"/>
  <c r="R38" i="16"/>
  <c r="T36" i="16"/>
  <c r="S40" i="16"/>
  <c r="S38" i="16"/>
  <c r="Y34" i="15"/>
  <c r="Q51" i="15"/>
  <c r="Q49" i="15"/>
  <c r="Q47" i="15"/>
  <c r="S36" i="15"/>
  <c r="R40" i="15"/>
  <c r="R38" i="15"/>
  <c r="R44" i="15" s="1"/>
  <c r="R46" i="15" s="1"/>
  <c r="R47" i="15" s="1"/>
  <c r="S41" i="15"/>
  <c r="T37" i="15"/>
  <c r="T40" i="16" l="1"/>
  <c r="U36" i="16"/>
  <c r="R44" i="16"/>
  <c r="R46" i="16" s="1"/>
  <c r="R47" i="16" s="1"/>
  <c r="T37" i="16"/>
  <c r="S41" i="16"/>
  <c r="S44" i="16" s="1"/>
  <c r="S46" i="16" s="1"/>
  <c r="Q47" i="16"/>
  <c r="Q51" i="16"/>
  <c r="Q49" i="16"/>
  <c r="T36" i="15"/>
  <c r="S40" i="15"/>
  <c r="S38" i="15"/>
  <c r="S44" i="15" s="1"/>
  <c r="S46" i="15" s="1"/>
  <c r="Z34" i="15"/>
  <c r="T41" i="15"/>
  <c r="U37" i="15"/>
  <c r="S47" i="16" l="1"/>
  <c r="S49" i="16"/>
  <c r="S51" i="16" s="1"/>
  <c r="V36" i="16"/>
  <c r="U40" i="16"/>
  <c r="U37" i="16"/>
  <c r="T41" i="16"/>
  <c r="T38" i="16"/>
  <c r="T44" i="16" s="1"/>
  <c r="T46" i="16" s="1"/>
  <c r="V37" i="15"/>
  <c r="U41" i="15"/>
  <c r="AA34" i="15"/>
  <c r="T40" i="15"/>
  <c r="U36" i="15"/>
  <c r="T38" i="15"/>
  <c r="T44" i="15" s="1"/>
  <c r="T46" i="15" s="1"/>
  <c r="S47" i="15"/>
  <c r="S49" i="15"/>
  <c r="S51" i="15" s="1"/>
  <c r="T47" i="16" l="1"/>
  <c r="T49" i="16"/>
  <c r="T51" i="16" s="1"/>
  <c r="V37" i="16"/>
  <c r="U41" i="16"/>
  <c r="U38" i="16"/>
  <c r="U44" i="16" s="1"/>
  <c r="U46" i="16" s="1"/>
  <c r="V40" i="16"/>
  <c r="W36" i="16"/>
  <c r="V38" i="16"/>
  <c r="T47" i="15"/>
  <c r="T49" i="15"/>
  <c r="T51" i="15" s="1"/>
  <c r="AB34" i="15"/>
  <c r="U40" i="15"/>
  <c r="V36" i="15"/>
  <c r="U38" i="15"/>
  <c r="U44" i="15" s="1"/>
  <c r="U46" i="15" s="1"/>
  <c r="W37" i="15"/>
  <c r="V41" i="15"/>
  <c r="X36" i="16" l="1"/>
  <c r="W40" i="16"/>
  <c r="U49" i="16"/>
  <c r="U51" i="16" s="1"/>
  <c r="U47" i="16"/>
  <c r="V41" i="16"/>
  <c r="V44" i="16" s="1"/>
  <c r="V46" i="16" s="1"/>
  <c r="W37" i="16"/>
  <c r="U47" i="15"/>
  <c r="U49" i="15"/>
  <c r="U51" i="15" s="1"/>
  <c r="AC34" i="15"/>
  <c r="X37" i="15"/>
  <c r="W41" i="15"/>
  <c r="V40" i="15"/>
  <c r="W36" i="15"/>
  <c r="V38" i="15"/>
  <c r="V49" i="16" l="1"/>
  <c r="V51" i="16" s="1"/>
  <c r="V47" i="16"/>
  <c r="W41" i="16"/>
  <c r="X37" i="16"/>
  <c r="W38" i="16"/>
  <c r="W44" i="16" s="1"/>
  <c r="W46" i="16" s="1"/>
  <c r="X40" i="16"/>
  <c r="Y36" i="16"/>
  <c r="X38" i="16"/>
  <c r="W40" i="15"/>
  <c r="W38" i="15"/>
  <c r="W44" i="15" s="1"/>
  <c r="W46" i="15" s="1"/>
  <c r="Y37" i="15"/>
  <c r="X41" i="15"/>
  <c r="V44" i="15"/>
  <c r="V46" i="15" s="1"/>
  <c r="Y40" i="16" l="1"/>
  <c r="Z36" i="16"/>
  <c r="W47" i="16"/>
  <c r="X41" i="16"/>
  <c r="X44" i="16" s="1"/>
  <c r="Y37" i="16"/>
  <c r="V49" i="15"/>
  <c r="V51" i="15" s="1"/>
  <c r="V47" i="15"/>
  <c r="Z37" i="15"/>
  <c r="Y41" i="15"/>
  <c r="W47" i="15"/>
  <c r="Y36" i="15"/>
  <c r="X40" i="15"/>
  <c r="X38" i="15"/>
  <c r="O7" i="16" l="1"/>
  <c r="O9" i="16" s="1"/>
  <c r="O12" i="16" s="1"/>
  <c r="O15" i="16" s="1"/>
  <c r="Z37" i="16"/>
  <c r="Y41" i="16"/>
  <c r="Y38" i="16"/>
  <c r="Y44" i="16" s="1"/>
  <c r="Z40" i="16"/>
  <c r="AA36" i="16"/>
  <c r="Z38" i="16"/>
  <c r="Z36" i="15"/>
  <c r="Y40" i="15"/>
  <c r="Y38" i="15"/>
  <c r="Y44" i="15" s="1"/>
  <c r="Z41" i="15"/>
  <c r="AA37" i="15"/>
  <c r="X44" i="15"/>
  <c r="O7" i="15" s="1"/>
  <c r="O9" i="15" s="1"/>
  <c r="O12" i="15" s="1"/>
  <c r="O15" i="15" s="1"/>
  <c r="AB36" i="16" l="1"/>
  <c r="AA40" i="16"/>
  <c r="AA37" i="16"/>
  <c r="Z41" i="16"/>
  <c r="Z44" i="16" s="1"/>
  <c r="O19" i="16"/>
  <c r="O21" i="16" s="1"/>
  <c r="W49" i="16" s="1"/>
  <c r="W51" i="16" s="1"/>
  <c r="D52" i="16" s="1"/>
  <c r="O17" i="16"/>
  <c r="X45" i="16" s="1"/>
  <c r="AA41" i="15"/>
  <c r="AB37" i="15"/>
  <c r="AA36" i="15"/>
  <c r="Z40" i="15"/>
  <c r="Z38" i="15"/>
  <c r="AB37" i="16" l="1"/>
  <c r="AA41" i="16"/>
  <c r="AA38" i="16"/>
  <c r="AA44" i="16" s="1"/>
  <c r="AB40" i="16"/>
  <c r="AC36" i="16"/>
  <c r="AB38" i="16"/>
  <c r="Y45" i="16"/>
  <c r="X46" i="16"/>
  <c r="Z44" i="15"/>
  <c r="AB41" i="15"/>
  <c r="AC37" i="15"/>
  <c r="AC41" i="15" s="1"/>
  <c r="AB36" i="15"/>
  <c r="AA40" i="15"/>
  <c r="AA38" i="15"/>
  <c r="AA44" i="15" s="1"/>
  <c r="Z45" i="16" l="1"/>
  <c r="Y46" i="16"/>
  <c r="AC40" i="16"/>
  <c r="AC37" i="16"/>
  <c r="AC41" i="16" s="1"/>
  <c r="AB41" i="16"/>
  <c r="AB44" i="16" s="1"/>
  <c r="X49" i="16"/>
  <c r="X47" i="16"/>
  <c r="X51" i="16"/>
  <c r="AB40" i="15"/>
  <c r="AC36" i="15"/>
  <c r="AB38" i="15"/>
  <c r="AB44" i="15" s="1"/>
  <c r="AC38" i="16" l="1"/>
  <c r="AC44" i="16" s="1"/>
  <c r="Y47" i="16"/>
  <c r="Y51" i="16"/>
  <c r="Y49" i="16"/>
  <c r="AA45" i="16"/>
  <c r="Z46" i="16"/>
  <c r="AC40" i="15"/>
  <c r="AC38" i="15"/>
  <c r="AC44" i="15" s="1"/>
  <c r="O17" i="15"/>
  <c r="X45" i="15" s="1"/>
  <c r="O19" i="15"/>
  <c r="O21" i="15" s="1"/>
  <c r="W49" i="15" s="1"/>
  <c r="O22" i="15" l="1"/>
  <c r="O23" i="15" s="1"/>
  <c r="AB45" i="16"/>
  <c r="AA46" i="16"/>
  <c r="Z47" i="16"/>
  <c r="Z51" i="16"/>
  <c r="Z49" i="16"/>
  <c r="O22" i="16"/>
  <c r="W51" i="15"/>
  <c r="Y45" i="15"/>
  <c r="X46" i="15"/>
  <c r="X47" i="15" s="1"/>
  <c r="AA47" i="16" l="1"/>
  <c r="D48" i="16" s="1"/>
  <c r="O25" i="16" s="1"/>
  <c r="AA51" i="16"/>
  <c r="AA49" i="16"/>
  <c r="AC45" i="16"/>
  <c r="AC46" i="16" s="1"/>
  <c r="AC47" i="16" s="1"/>
  <c r="AB46" i="16"/>
  <c r="X49" i="15"/>
  <c r="X51" i="15"/>
  <c r="Z45" i="15"/>
  <c r="Y46" i="15"/>
  <c r="AB47" i="16" l="1"/>
  <c r="AB49" i="16"/>
  <c r="Y51" i="15"/>
  <c r="Y49" i="15"/>
  <c r="Y47" i="15"/>
  <c r="AA45" i="15"/>
  <c r="Z46" i="15"/>
  <c r="AB51" i="16" l="1"/>
  <c r="O29" i="16" s="1"/>
  <c r="D50" i="16"/>
  <c r="Z47" i="15"/>
  <c r="Z51" i="15"/>
  <c r="Z49" i="15"/>
  <c r="AB45" i="15"/>
  <c r="AA46" i="15"/>
  <c r="AA49" i="15" s="1"/>
  <c r="O27" i="16" l="1"/>
  <c r="H26" i="16"/>
  <c r="AA47" i="15"/>
  <c r="D48" i="15" s="1"/>
  <c r="O25" i="15" s="1"/>
  <c r="AA51" i="15"/>
  <c r="AC45" i="15"/>
  <c r="AC46" i="15" s="1"/>
  <c r="AC47" i="15" s="1"/>
  <c r="AB46" i="15"/>
  <c r="D50" i="15" s="1"/>
  <c r="H26" i="15" l="1"/>
  <c r="AB47" i="15"/>
  <c r="AB51" i="15"/>
  <c r="D52" i="15" s="1"/>
  <c r="O29" i="15" s="1"/>
  <c r="O27" i="15"/>
  <c r="L23" i="14" l="1"/>
  <c r="O15" i="12"/>
  <c r="O20" i="9"/>
  <c r="O21" i="9" s="1"/>
  <c r="L17" i="14" s="1"/>
  <c r="I27" i="14"/>
  <c r="J23" i="14"/>
  <c r="I23" i="14"/>
  <c r="L22" i="14"/>
  <c r="L21" i="14"/>
  <c r="I26" i="14"/>
  <c r="L14" i="14"/>
  <c r="L20" i="14"/>
  <c r="K20" i="14"/>
  <c r="L12" i="14"/>
  <c r="L13" i="14"/>
  <c r="L15" i="14"/>
  <c r="L16" i="14"/>
  <c r="K23" i="14" s="1"/>
  <c r="K11" i="14"/>
  <c r="L11" i="14"/>
  <c r="L9" i="14"/>
  <c r="L10" i="14"/>
  <c r="L8" i="14"/>
  <c r="K8" i="14"/>
  <c r="L5" i="14"/>
  <c r="L6" i="14"/>
  <c r="K21" i="14"/>
  <c r="K4" i="14"/>
  <c r="K22" i="14"/>
  <c r="J22" i="14"/>
  <c r="J20" i="14"/>
  <c r="K14" i="14"/>
  <c r="K15" i="14"/>
  <c r="K16" i="14"/>
  <c r="K17" i="14"/>
  <c r="K12" i="14"/>
  <c r="K13" i="14"/>
  <c r="J11" i="14"/>
  <c r="K9" i="14"/>
  <c r="K10" i="14"/>
  <c r="J8" i="14"/>
  <c r="K5" i="14"/>
  <c r="K6" i="14"/>
  <c r="J4" i="14"/>
  <c r="I21" i="14" s="1"/>
  <c r="J21" i="14"/>
  <c r="I20" i="14"/>
  <c r="J14" i="14"/>
  <c r="J12" i="14"/>
  <c r="J13" i="14"/>
  <c r="J15" i="14"/>
  <c r="J16" i="14"/>
  <c r="J17" i="14"/>
  <c r="J10" i="14"/>
  <c r="J9" i="14"/>
  <c r="J5" i="14"/>
  <c r="J6" i="14"/>
  <c r="I22" i="14"/>
  <c r="I17" i="14"/>
  <c r="I15" i="14"/>
  <c r="I16" i="14"/>
  <c r="I13" i="14"/>
  <c r="I12" i="14"/>
  <c r="I14" i="14"/>
  <c r="I11" i="14"/>
  <c r="I9" i="14"/>
  <c r="I10" i="14"/>
  <c r="I8" i="14"/>
  <c r="I6" i="14"/>
  <c r="I5" i="14"/>
  <c r="I4" i="14"/>
  <c r="C7" i="14"/>
  <c r="C6" i="14"/>
  <c r="C10" i="14" s="1"/>
  <c r="C5" i="14"/>
  <c r="C4" i="14"/>
  <c r="O18" i="9"/>
  <c r="O23" i="12"/>
  <c r="O18" i="12"/>
  <c r="AB49" i="9"/>
  <c r="O19" i="12"/>
  <c r="AB51" i="9"/>
  <c r="Y51" i="9"/>
  <c r="Z51" i="9"/>
  <c r="AA51" i="9"/>
  <c r="X51" i="9"/>
  <c r="Y49" i="9"/>
  <c r="Z49" i="9"/>
  <c r="AA49" i="9"/>
  <c r="X49" i="9"/>
  <c r="X47" i="9"/>
  <c r="Y47" i="9"/>
  <c r="Z47" i="9"/>
  <c r="AA47" i="9"/>
  <c r="AB47" i="9"/>
  <c r="AC47" i="9"/>
  <c r="X46" i="9"/>
  <c r="Y46" i="9"/>
  <c r="Z46" i="9"/>
  <c r="AA46" i="9"/>
  <c r="AB46" i="9"/>
  <c r="AC46" i="9"/>
  <c r="AC45" i="9"/>
  <c r="X45" i="9"/>
  <c r="O8" i="9"/>
  <c r="O7" i="9"/>
  <c r="Y44" i="9"/>
  <c r="Z44" i="9"/>
  <c r="AA44" i="9"/>
  <c r="AB44" i="9"/>
  <c r="AC44" i="9"/>
  <c r="Y43" i="9"/>
  <c r="Z43" i="9" s="1"/>
  <c r="AA43" i="9" s="1"/>
  <c r="AB43" i="9" s="1"/>
  <c r="AC43" i="9" s="1"/>
  <c r="AC42" i="9"/>
  <c r="AB42" i="9"/>
  <c r="AA42" i="9"/>
  <c r="Z42" i="9"/>
  <c r="Y42" i="9"/>
  <c r="X41" i="9"/>
  <c r="Y41" i="9"/>
  <c r="Z41" i="9"/>
  <c r="AA41" i="9"/>
  <c r="AB41" i="9"/>
  <c r="AC41" i="9"/>
  <c r="Y40" i="9"/>
  <c r="Z40" i="9"/>
  <c r="AA40" i="9"/>
  <c r="AB40" i="9"/>
  <c r="AC40" i="9"/>
  <c r="Y38" i="9"/>
  <c r="Z38" i="9"/>
  <c r="AA38" i="9"/>
  <c r="AB38" i="9"/>
  <c r="AC38" i="9"/>
  <c r="Y37" i="9"/>
  <c r="Z37" i="9"/>
  <c r="AA37" i="9" s="1"/>
  <c r="AB37" i="9" s="1"/>
  <c r="AC37" i="9" s="1"/>
  <c r="Y36" i="9"/>
  <c r="Z36" i="9"/>
  <c r="AA36" i="9" s="1"/>
  <c r="AB36" i="9" s="1"/>
  <c r="AC36" i="9" s="1"/>
  <c r="AC35" i="9"/>
  <c r="AB35" i="9"/>
  <c r="AA35" i="9"/>
  <c r="Z35" i="9"/>
  <c r="Y35" i="9"/>
  <c r="AC34" i="9"/>
  <c r="AB34" i="9"/>
  <c r="AA34" i="9"/>
  <c r="Z34" i="9"/>
  <c r="Y34" i="9"/>
  <c r="AC33" i="9"/>
  <c r="AB33" i="9"/>
  <c r="AA33" i="9"/>
  <c r="Z33" i="9"/>
  <c r="Y33" i="9"/>
  <c r="H49" i="13"/>
  <c r="H51" i="13" s="1"/>
  <c r="N45" i="13"/>
  <c r="O45" i="13" s="1"/>
  <c r="P45" i="13" s="1"/>
  <c r="Q45" i="13" s="1"/>
  <c r="R45" i="13" s="1"/>
  <c r="M45" i="13"/>
  <c r="L45" i="13"/>
  <c r="K45" i="13"/>
  <c r="J45" i="13"/>
  <c r="I45" i="13"/>
  <c r="E45" i="13"/>
  <c r="H42" i="13"/>
  <c r="I42" i="13" s="1"/>
  <c r="J42" i="13" s="1"/>
  <c r="K42" i="13" s="1"/>
  <c r="L42" i="13" s="1"/>
  <c r="M42" i="13" s="1"/>
  <c r="N42" i="13" s="1"/>
  <c r="O42" i="13" s="1"/>
  <c r="P42" i="13" s="1"/>
  <c r="Q42" i="13" s="1"/>
  <c r="R42" i="13" s="1"/>
  <c r="S42" i="13" s="1"/>
  <c r="G42" i="13"/>
  <c r="F42" i="13"/>
  <c r="E42" i="13"/>
  <c r="M35" i="13"/>
  <c r="N35" i="13" s="1"/>
  <c r="O35" i="13" s="1"/>
  <c r="P35" i="13" s="1"/>
  <c r="Q35" i="13" s="1"/>
  <c r="R35" i="13" s="1"/>
  <c r="S35" i="13" s="1"/>
  <c r="T35" i="13" s="1"/>
  <c r="U35" i="13" s="1"/>
  <c r="V35" i="13" s="1"/>
  <c r="W35" i="13" s="1"/>
  <c r="X35" i="13" s="1"/>
  <c r="L35" i="13"/>
  <c r="K35" i="13"/>
  <c r="J35" i="13"/>
  <c r="I35" i="13"/>
  <c r="H35" i="13"/>
  <c r="G35" i="13"/>
  <c r="F35" i="13"/>
  <c r="E35" i="13"/>
  <c r="D35" i="13"/>
  <c r="E34" i="13"/>
  <c r="F34" i="13" s="1"/>
  <c r="G34" i="13" s="1"/>
  <c r="H34" i="13" s="1"/>
  <c r="I34" i="13" s="1"/>
  <c r="D34" i="13"/>
  <c r="M33" i="13"/>
  <c r="L33" i="13"/>
  <c r="K33" i="13"/>
  <c r="J33" i="13"/>
  <c r="I33" i="13"/>
  <c r="H33" i="13"/>
  <c r="G33" i="13"/>
  <c r="F33" i="13"/>
  <c r="E33" i="13"/>
  <c r="D33" i="13"/>
  <c r="K23" i="13"/>
  <c r="I23" i="13"/>
  <c r="O20" i="13"/>
  <c r="I17" i="13"/>
  <c r="I16" i="13"/>
  <c r="G45" i="13" s="1"/>
  <c r="I15" i="13"/>
  <c r="C13" i="13"/>
  <c r="D17" i="13" s="1"/>
  <c r="D43" i="13" s="1"/>
  <c r="E43" i="13" s="1"/>
  <c r="F43" i="13" s="1"/>
  <c r="G43" i="13" s="1"/>
  <c r="H43" i="13" s="1"/>
  <c r="I43" i="13" s="1"/>
  <c r="J43" i="13" s="1"/>
  <c r="K43" i="13" s="1"/>
  <c r="L43" i="13" s="1"/>
  <c r="M43" i="13" s="1"/>
  <c r="N43" i="13" s="1"/>
  <c r="O43" i="13" s="1"/>
  <c r="P43" i="13" s="1"/>
  <c r="Q43" i="13" s="1"/>
  <c r="R43" i="13" s="1"/>
  <c r="S43" i="13" s="1"/>
  <c r="T43" i="13" s="1"/>
  <c r="U43" i="13" s="1"/>
  <c r="V43" i="13" s="1"/>
  <c r="W43" i="13" s="1"/>
  <c r="X43" i="13" s="1"/>
  <c r="I11" i="13"/>
  <c r="J11" i="13" s="1"/>
  <c r="I25" i="13" s="1"/>
  <c r="J25" i="13" s="1"/>
  <c r="J9" i="13"/>
  <c r="I9" i="13"/>
  <c r="K9" i="13" s="1"/>
  <c r="I7" i="13"/>
  <c r="N45" i="9"/>
  <c r="W42" i="9"/>
  <c r="V42" i="9"/>
  <c r="U42" i="9"/>
  <c r="T42" i="9"/>
  <c r="T44" i="9"/>
  <c r="T43" i="9"/>
  <c r="U43" i="9" s="1"/>
  <c r="V43" i="9" s="1"/>
  <c r="W43" i="9" s="1"/>
  <c r="X43" i="9" s="1"/>
  <c r="T41" i="9"/>
  <c r="U41" i="9"/>
  <c r="V41" i="9"/>
  <c r="W41" i="9"/>
  <c r="T40" i="9"/>
  <c r="U40" i="9"/>
  <c r="V40" i="9"/>
  <c r="W40" i="9"/>
  <c r="X40" i="9"/>
  <c r="T38" i="9"/>
  <c r="U38" i="9"/>
  <c r="V38" i="9"/>
  <c r="W38" i="9"/>
  <c r="X38" i="9"/>
  <c r="T37" i="9"/>
  <c r="U37" i="9"/>
  <c r="V37" i="9" s="1"/>
  <c r="W37" i="9" s="1"/>
  <c r="X37" i="9" s="1"/>
  <c r="T36" i="9"/>
  <c r="U36" i="9"/>
  <c r="V36" i="9"/>
  <c r="W36" i="9" s="1"/>
  <c r="X36" i="9" s="1"/>
  <c r="X35" i="9"/>
  <c r="W35" i="9"/>
  <c r="V35" i="9"/>
  <c r="U35" i="9"/>
  <c r="T35" i="9"/>
  <c r="D34" i="9"/>
  <c r="X34" i="9"/>
  <c r="W34" i="9"/>
  <c r="V34" i="9"/>
  <c r="U34" i="9"/>
  <c r="T34" i="9"/>
  <c r="X33" i="9"/>
  <c r="W33" i="9"/>
  <c r="V33" i="9"/>
  <c r="U33" i="9"/>
  <c r="T33" i="9"/>
  <c r="H49" i="12"/>
  <c r="H51" i="12" s="1"/>
  <c r="M45" i="12"/>
  <c r="L45" i="12"/>
  <c r="K45" i="12"/>
  <c r="J45" i="12"/>
  <c r="I45" i="12"/>
  <c r="D45" i="12"/>
  <c r="I19" i="12" s="1"/>
  <c r="I42" i="12"/>
  <c r="J42" i="12" s="1"/>
  <c r="K42" i="12" s="1"/>
  <c r="L42" i="12" s="1"/>
  <c r="M42" i="12" s="1"/>
  <c r="N42" i="12" s="1"/>
  <c r="H42" i="12"/>
  <c r="G42" i="12"/>
  <c r="F42" i="12"/>
  <c r="E42" i="12"/>
  <c r="M35" i="12"/>
  <c r="N35" i="12" s="1"/>
  <c r="O35" i="12" s="1"/>
  <c r="P35" i="12" s="1"/>
  <c r="Q35" i="12" s="1"/>
  <c r="R35" i="12" s="1"/>
  <c r="S35" i="12" s="1"/>
  <c r="L35" i="12"/>
  <c r="K35" i="12"/>
  <c r="J35" i="12"/>
  <c r="I35" i="12"/>
  <c r="H35" i="12"/>
  <c r="G35" i="12"/>
  <c r="F35" i="12"/>
  <c r="E35" i="12"/>
  <c r="D35" i="12"/>
  <c r="D34" i="12"/>
  <c r="E34" i="12" s="1"/>
  <c r="F34" i="12" s="1"/>
  <c r="G34" i="12" s="1"/>
  <c r="H34" i="12" s="1"/>
  <c r="I34" i="12" s="1"/>
  <c r="J34" i="12" s="1"/>
  <c r="K34" i="12" s="1"/>
  <c r="L34" i="12" s="1"/>
  <c r="M34" i="12" s="1"/>
  <c r="N34" i="12" s="1"/>
  <c r="O34" i="12" s="1"/>
  <c r="P34" i="12" s="1"/>
  <c r="Q34" i="12" s="1"/>
  <c r="R34" i="12" s="1"/>
  <c r="S34" i="12" s="1"/>
  <c r="M33" i="12"/>
  <c r="L33" i="12"/>
  <c r="K33" i="12"/>
  <c r="J33" i="12"/>
  <c r="I33" i="12"/>
  <c r="H33" i="12"/>
  <c r="G33" i="12"/>
  <c r="F33" i="12"/>
  <c r="E33" i="12"/>
  <c r="D33" i="12"/>
  <c r="D18" i="12" s="1"/>
  <c r="D42" i="12" s="1"/>
  <c r="O20" i="12"/>
  <c r="J19" i="12"/>
  <c r="I16" i="12"/>
  <c r="G45" i="12" s="1"/>
  <c r="I15" i="12"/>
  <c r="C13" i="12"/>
  <c r="D36" i="12" s="1"/>
  <c r="I11" i="12"/>
  <c r="K11" i="12" s="1"/>
  <c r="K9" i="12"/>
  <c r="I9" i="12"/>
  <c r="J9" i="12" s="1"/>
  <c r="I7" i="12"/>
  <c r="I11" i="9"/>
  <c r="J11" i="9" s="1"/>
  <c r="I25" i="9" s="1"/>
  <c r="J25" i="9" s="1"/>
  <c r="I9" i="9"/>
  <c r="K9" i="9" s="1"/>
  <c r="I11" i="10"/>
  <c r="H49" i="9"/>
  <c r="H51" i="9" s="1"/>
  <c r="J45" i="9"/>
  <c r="K45" i="9"/>
  <c r="L45" i="9"/>
  <c r="M45" i="9"/>
  <c r="I45" i="9"/>
  <c r="Q9" i="6"/>
  <c r="R42" i="9"/>
  <c r="S42" i="9" s="1"/>
  <c r="D45" i="10"/>
  <c r="K19" i="10" s="1"/>
  <c r="H42" i="10"/>
  <c r="I42" i="10" s="1"/>
  <c r="G42" i="10"/>
  <c r="F42" i="10"/>
  <c r="E42" i="10"/>
  <c r="M33" i="10"/>
  <c r="L33" i="10"/>
  <c r="K33" i="10"/>
  <c r="J33" i="10"/>
  <c r="I33" i="10"/>
  <c r="H33" i="10"/>
  <c r="G33" i="10"/>
  <c r="F33" i="10"/>
  <c r="E33" i="10"/>
  <c r="K25" i="10"/>
  <c r="D18" i="10"/>
  <c r="D42" i="10" s="1"/>
  <c r="I17" i="10"/>
  <c r="I15" i="10"/>
  <c r="I16" i="10" s="1"/>
  <c r="O20" i="10" s="1"/>
  <c r="D16" i="10"/>
  <c r="K11" i="10"/>
  <c r="J11" i="10"/>
  <c r="I25" i="10" s="1"/>
  <c r="J25" i="10" s="1"/>
  <c r="K9" i="10"/>
  <c r="J9" i="10"/>
  <c r="I7" i="10"/>
  <c r="H42" i="9"/>
  <c r="I42" i="9" s="1"/>
  <c r="J42" i="9" s="1"/>
  <c r="K42" i="9" s="1"/>
  <c r="L42" i="9" s="1"/>
  <c r="M42" i="9" s="1"/>
  <c r="N42" i="9" s="1"/>
  <c r="O42" i="9" s="1"/>
  <c r="P42" i="9" s="1"/>
  <c r="Q42" i="9" s="1"/>
  <c r="G42" i="9"/>
  <c r="F42" i="9"/>
  <c r="E42" i="9"/>
  <c r="M35" i="9"/>
  <c r="N35" i="9" s="1"/>
  <c r="O35" i="9" s="1"/>
  <c r="P35" i="9" s="1"/>
  <c r="Q35" i="9" s="1"/>
  <c r="R35" i="9" s="1"/>
  <c r="L35" i="9"/>
  <c r="K35" i="9"/>
  <c r="J35" i="9"/>
  <c r="I35" i="9"/>
  <c r="H35" i="9"/>
  <c r="G35" i="9"/>
  <c r="F35" i="9"/>
  <c r="E35" i="9"/>
  <c r="D35" i="9"/>
  <c r="E34" i="9"/>
  <c r="F34" i="9" s="1"/>
  <c r="G34" i="9" s="1"/>
  <c r="H34" i="9" s="1"/>
  <c r="I34" i="9" s="1"/>
  <c r="J34" i="9" s="1"/>
  <c r="K34" i="9" s="1"/>
  <c r="L34" i="9" s="1"/>
  <c r="M34" i="9" s="1"/>
  <c r="M33" i="9"/>
  <c r="N33" i="9" s="1"/>
  <c r="O33" i="9" s="1"/>
  <c r="L33" i="9"/>
  <c r="K33" i="9"/>
  <c r="J33" i="9"/>
  <c r="I33" i="9"/>
  <c r="H33" i="9"/>
  <c r="G33" i="9"/>
  <c r="F33" i="9"/>
  <c r="E33" i="9"/>
  <c r="D33" i="9"/>
  <c r="I16" i="9"/>
  <c r="C51" i="9" s="1"/>
  <c r="I15" i="9"/>
  <c r="C13" i="9"/>
  <c r="D16" i="9" s="1"/>
  <c r="I7" i="9"/>
  <c r="I11" i="6"/>
  <c r="S21" i="6" s="1"/>
  <c r="N45" i="6"/>
  <c r="J11" i="6"/>
  <c r="Q21" i="6" s="1"/>
  <c r="R21" i="6" s="1"/>
  <c r="M55" i="6"/>
  <c r="M54" i="6"/>
  <c r="I42" i="6"/>
  <c r="J42" i="6" s="1"/>
  <c r="K42" i="6" s="1"/>
  <c r="L42" i="6" s="1"/>
  <c r="M42" i="6" s="1"/>
  <c r="N42" i="6" s="1"/>
  <c r="H42" i="6"/>
  <c r="G42" i="6"/>
  <c r="F42" i="6"/>
  <c r="E42" i="6"/>
  <c r="M35" i="6"/>
  <c r="N35" i="6" s="1"/>
  <c r="L35" i="6"/>
  <c r="K35" i="6"/>
  <c r="J35" i="6"/>
  <c r="I35" i="6"/>
  <c r="H35" i="6"/>
  <c r="G35" i="6"/>
  <c r="F35" i="6"/>
  <c r="E35" i="6"/>
  <c r="D35" i="6"/>
  <c r="D34" i="6"/>
  <c r="E34" i="6" s="1"/>
  <c r="M33" i="6"/>
  <c r="N33" i="6" s="1"/>
  <c r="L33" i="6"/>
  <c r="K33" i="6"/>
  <c r="J33" i="6"/>
  <c r="I33" i="6"/>
  <c r="H33" i="6"/>
  <c r="G33" i="6"/>
  <c r="F33" i="6"/>
  <c r="E33" i="6"/>
  <c r="D33" i="6"/>
  <c r="D17" i="6"/>
  <c r="D43" i="6" s="1"/>
  <c r="E43" i="6" s="1"/>
  <c r="F43" i="6" s="1"/>
  <c r="G43" i="6" s="1"/>
  <c r="H43" i="6" s="1"/>
  <c r="I43" i="6" s="1"/>
  <c r="J43" i="6" s="1"/>
  <c r="K43" i="6" s="1"/>
  <c r="L43" i="6" s="1"/>
  <c r="M43" i="6" s="1"/>
  <c r="N43" i="6" s="1"/>
  <c r="K11" i="6"/>
  <c r="I9" i="6"/>
  <c r="K9" i="6" s="1"/>
  <c r="C55" i="6"/>
  <c r="Q7" i="6"/>
  <c r="I7" i="6"/>
  <c r="G10" i="2"/>
  <c r="E12" i="2"/>
  <c r="G12" i="2" s="1"/>
  <c r="E13" i="2"/>
  <c r="G13" i="2" s="1"/>
  <c r="E14" i="2"/>
  <c r="G14" i="2" s="1"/>
  <c r="E11" i="2"/>
  <c r="G11" i="2" s="1"/>
  <c r="E10" i="2"/>
  <c r="E9" i="2"/>
  <c r="G9" i="2" s="1"/>
  <c r="E6" i="2"/>
  <c r="G6" i="2" s="1"/>
  <c r="E7" i="2"/>
  <c r="G7" i="2" s="1"/>
  <c r="E8" i="2"/>
  <c r="G8" i="2" s="1"/>
  <c r="E5" i="2"/>
  <c r="G5" i="2" s="1"/>
  <c r="D15" i="2"/>
  <c r="B15" i="2"/>
  <c r="G45" i="10" l="1"/>
  <c r="H45" i="10"/>
  <c r="C54" i="10"/>
  <c r="C52" i="10"/>
  <c r="D36" i="10"/>
  <c r="D40" i="10" s="1"/>
  <c r="D17" i="10"/>
  <c r="D43" i="10" s="1"/>
  <c r="E43" i="10" s="1"/>
  <c r="F43" i="10" s="1"/>
  <c r="G43" i="10" s="1"/>
  <c r="H43" i="10" s="1"/>
  <c r="I43" i="10" s="1"/>
  <c r="D18" i="6"/>
  <c r="D42" i="6" s="1"/>
  <c r="I19" i="10"/>
  <c r="G15" i="2"/>
  <c r="E15" i="2"/>
  <c r="H45" i="13"/>
  <c r="K25" i="13"/>
  <c r="K11" i="13"/>
  <c r="T42" i="13"/>
  <c r="U42" i="13" s="1"/>
  <c r="V42" i="13" s="1"/>
  <c r="W42" i="13" s="1"/>
  <c r="X42" i="13" s="1"/>
  <c r="O8" i="13"/>
  <c r="J34" i="13"/>
  <c r="K34" i="13" s="1"/>
  <c r="D15" i="13"/>
  <c r="D18" i="13"/>
  <c r="D42" i="13" s="1"/>
  <c r="J23" i="13"/>
  <c r="C51" i="13"/>
  <c r="D36" i="13"/>
  <c r="D45" i="13"/>
  <c r="C49" i="13"/>
  <c r="F45" i="13"/>
  <c r="D16" i="13"/>
  <c r="N33" i="13"/>
  <c r="U44" i="9"/>
  <c r="O42" i="12"/>
  <c r="P42" i="12" s="1"/>
  <c r="Q42" i="12" s="1"/>
  <c r="R42" i="12" s="1"/>
  <c r="S42" i="12" s="1"/>
  <c r="D40" i="12"/>
  <c r="E36" i="12"/>
  <c r="C49" i="12"/>
  <c r="I23" i="12"/>
  <c r="K25" i="12"/>
  <c r="H45" i="12"/>
  <c r="D16" i="12"/>
  <c r="D15" i="12"/>
  <c r="J23" i="12"/>
  <c r="K23" i="12"/>
  <c r="K19" i="12"/>
  <c r="E45" i="12"/>
  <c r="J11" i="12"/>
  <c r="I25" i="12" s="1"/>
  <c r="J25" i="12" s="1"/>
  <c r="D17" i="12"/>
  <c r="D43" i="12" s="1"/>
  <c r="E43" i="12" s="1"/>
  <c r="F43" i="12" s="1"/>
  <c r="G43" i="12" s="1"/>
  <c r="H43" i="12" s="1"/>
  <c r="I43" i="12" s="1"/>
  <c r="J43" i="12" s="1"/>
  <c r="K43" i="12" s="1"/>
  <c r="L43" i="12" s="1"/>
  <c r="M43" i="12" s="1"/>
  <c r="N43" i="12" s="1"/>
  <c r="O43" i="12" s="1"/>
  <c r="P43" i="12" s="1"/>
  <c r="Q43" i="12" s="1"/>
  <c r="R43" i="12" s="1"/>
  <c r="S43" i="12" s="1"/>
  <c r="N33" i="12"/>
  <c r="F45" i="12"/>
  <c r="C51" i="12"/>
  <c r="I17" i="12"/>
  <c r="D18" i="9"/>
  <c r="D42" i="9" s="1"/>
  <c r="I17" i="9"/>
  <c r="F45" i="9"/>
  <c r="K25" i="9"/>
  <c r="K11" i="9"/>
  <c r="P33" i="9"/>
  <c r="N34" i="9"/>
  <c r="O34" i="9" s="1"/>
  <c r="P34" i="9" s="1"/>
  <c r="Q34" i="9" s="1"/>
  <c r="R34" i="9" s="1"/>
  <c r="S34" i="9" s="1"/>
  <c r="J23" i="9"/>
  <c r="C49" i="9"/>
  <c r="D15" i="9"/>
  <c r="S35" i="9"/>
  <c r="J42" i="10"/>
  <c r="K42" i="10" s="1"/>
  <c r="L42" i="10" s="1"/>
  <c r="M42" i="10" s="1"/>
  <c r="N42" i="10" s="1"/>
  <c r="E37" i="10"/>
  <c r="D37" i="10"/>
  <c r="D41" i="10" s="1"/>
  <c r="J19" i="10"/>
  <c r="N33" i="10"/>
  <c r="E45" i="10"/>
  <c r="F45" i="10"/>
  <c r="I23" i="10"/>
  <c r="J23" i="10"/>
  <c r="K23" i="10"/>
  <c r="E37" i="9"/>
  <c r="D37" i="9"/>
  <c r="D41" i="9" s="1"/>
  <c r="J9" i="9"/>
  <c r="K23" i="9"/>
  <c r="D36" i="9"/>
  <c r="D45" i="9"/>
  <c r="E45" i="9"/>
  <c r="G45" i="9"/>
  <c r="D17" i="9"/>
  <c r="D43" i="9" s="1"/>
  <c r="E43" i="9" s="1"/>
  <c r="F43" i="9" s="1"/>
  <c r="G43" i="9" s="1"/>
  <c r="H43" i="9" s="1"/>
  <c r="I43" i="9" s="1"/>
  <c r="H45" i="9"/>
  <c r="I23" i="9"/>
  <c r="F34" i="6"/>
  <c r="G34" i="6" s="1"/>
  <c r="H34" i="6" s="1"/>
  <c r="I34" i="6" s="1"/>
  <c r="J34" i="6" s="1"/>
  <c r="K45" i="6"/>
  <c r="J9" i="6"/>
  <c r="D36" i="6"/>
  <c r="D45" i="6"/>
  <c r="L45" i="6"/>
  <c r="D16" i="6"/>
  <c r="E45" i="6"/>
  <c r="M45" i="6"/>
  <c r="C54" i="6"/>
  <c r="C58" i="6"/>
  <c r="J45" i="6"/>
  <c r="F45" i="6"/>
  <c r="R16" i="6"/>
  <c r="G45" i="6"/>
  <c r="S16" i="6"/>
  <c r="H45" i="6"/>
  <c r="I45" i="6"/>
  <c r="C52" i="6"/>
  <c r="E36" i="10" l="1"/>
  <c r="E38" i="10" s="1"/>
  <c r="J43" i="10"/>
  <c r="K43" i="10" s="1"/>
  <c r="L43" i="10" s="1"/>
  <c r="M43" i="10" s="1"/>
  <c r="N43" i="10" s="1"/>
  <c r="O8" i="10"/>
  <c r="F15" i="2"/>
  <c r="D13" i="6" s="1"/>
  <c r="D13" i="9"/>
  <c r="D38" i="13"/>
  <c r="D44" i="13" s="1"/>
  <c r="E37" i="13"/>
  <c r="D37" i="13"/>
  <c r="D41" i="13" s="1"/>
  <c r="L34" i="13"/>
  <c r="E36" i="13"/>
  <c r="D40" i="13"/>
  <c r="O33" i="13"/>
  <c r="J19" i="13"/>
  <c r="K19" i="13"/>
  <c r="I19" i="13"/>
  <c r="V44" i="9"/>
  <c r="O8" i="12"/>
  <c r="F36" i="12"/>
  <c r="E40" i="12"/>
  <c r="O33" i="12"/>
  <c r="E37" i="12"/>
  <c r="E38" i="12" s="1"/>
  <c r="D37" i="12"/>
  <c r="Q33" i="9"/>
  <c r="E40" i="10"/>
  <c r="F36" i="10"/>
  <c r="D38" i="10"/>
  <c r="D44" i="10" s="1"/>
  <c r="E41" i="10"/>
  <c r="F37" i="10"/>
  <c r="J43" i="9"/>
  <c r="K43" i="9" s="1"/>
  <c r="L43" i="9" s="1"/>
  <c r="M43" i="9" s="1"/>
  <c r="N43" i="9" s="1"/>
  <c r="J19" i="9"/>
  <c r="K19" i="9"/>
  <c r="I19" i="9"/>
  <c r="E36" i="9"/>
  <c r="D40" i="9"/>
  <c r="F37" i="9"/>
  <c r="E41" i="9"/>
  <c r="D38" i="9"/>
  <c r="K34" i="6"/>
  <c r="E37" i="6"/>
  <c r="D37" i="6"/>
  <c r="D41" i="6" s="1"/>
  <c r="D40" i="6"/>
  <c r="E36" i="6"/>
  <c r="S12" i="6"/>
  <c r="R12" i="6"/>
  <c r="Q12" i="6"/>
  <c r="D38" i="6" l="1"/>
  <c r="D13" i="13"/>
  <c r="D13" i="12"/>
  <c r="E44" i="10"/>
  <c r="E46" i="10" s="1"/>
  <c r="M34" i="13"/>
  <c r="P33" i="13"/>
  <c r="F36" i="13"/>
  <c r="E40" i="13"/>
  <c r="E38" i="13"/>
  <c r="F37" i="13"/>
  <c r="E41" i="13"/>
  <c r="I8" i="13"/>
  <c r="I18" i="13"/>
  <c r="D46" i="13"/>
  <c r="X42" i="9"/>
  <c r="X44" i="9" s="1"/>
  <c r="W44" i="9"/>
  <c r="G36" i="12"/>
  <c r="F40" i="12"/>
  <c r="F38" i="12"/>
  <c r="F37" i="12"/>
  <c r="E41" i="12"/>
  <c r="E44" i="12" s="1"/>
  <c r="E46" i="12" s="1"/>
  <c r="P33" i="12"/>
  <c r="D41" i="12"/>
  <c r="D38" i="12"/>
  <c r="O43" i="9"/>
  <c r="P43" i="9" s="1"/>
  <c r="Q43" i="9" s="1"/>
  <c r="R43" i="9" s="1"/>
  <c r="S43" i="9" s="1"/>
  <c r="R33" i="9"/>
  <c r="F41" i="10"/>
  <c r="G37" i="10"/>
  <c r="I18" i="10"/>
  <c r="D50" i="10"/>
  <c r="D46" i="10"/>
  <c r="D49" i="10"/>
  <c r="I8" i="10"/>
  <c r="G36" i="10"/>
  <c r="F40" i="10"/>
  <c r="F38" i="10"/>
  <c r="F44" i="10" s="1"/>
  <c r="F36" i="9"/>
  <c r="E40" i="9"/>
  <c r="E38" i="9"/>
  <c r="E44" i="9" s="1"/>
  <c r="F41" i="9"/>
  <c r="G37" i="9"/>
  <c r="D44" i="9"/>
  <c r="E40" i="6"/>
  <c r="F36" i="6"/>
  <c r="E38" i="6"/>
  <c r="E41" i="6"/>
  <c r="F37" i="6"/>
  <c r="D44" i="6"/>
  <c r="L34" i="6"/>
  <c r="E49" i="10" l="1"/>
  <c r="E50" i="10"/>
  <c r="E44" i="13"/>
  <c r="E46" i="13" s="1"/>
  <c r="E49" i="13" s="1"/>
  <c r="G37" i="13"/>
  <c r="F41" i="13"/>
  <c r="D47" i="13"/>
  <c r="D51" i="13"/>
  <c r="K20" i="13"/>
  <c r="J20" i="13"/>
  <c r="I20" i="13"/>
  <c r="Q33" i="13"/>
  <c r="E47" i="13"/>
  <c r="G36" i="13"/>
  <c r="F40" i="13"/>
  <c r="F38" i="13"/>
  <c r="J8" i="13"/>
  <c r="J7" i="13" s="1"/>
  <c r="K8" i="13"/>
  <c r="K7" i="13" s="1"/>
  <c r="N34" i="13"/>
  <c r="E49" i="12"/>
  <c r="E47" i="12"/>
  <c r="E51" i="12"/>
  <c r="Q33" i="12"/>
  <c r="G37" i="12"/>
  <c r="F41" i="12"/>
  <c r="F44" i="12" s="1"/>
  <c r="F46" i="12" s="1"/>
  <c r="D44" i="12"/>
  <c r="G40" i="12"/>
  <c r="H36" i="12"/>
  <c r="S33" i="9"/>
  <c r="K20" i="10"/>
  <c r="D47" i="10"/>
  <c r="J20" i="10"/>
  <c r="D54" i="10"/>
  <c r="I20" i="10"/>
  <c r="D52" i="10"/>
  <c r="F50" i="10"/>
  <c r="F46" i="10"/>
  <c r="F49" i="10"/>
  <c r="K8" i="10"/>
  <c r="K7" i="10" s="1"/>
  <c r="J8" i="10"/>
  <c r="J7" i="10" s="1"/>
  <c r="G41" i="10"/>
  <c r="H37" i="10"/>
  <c r="G40" i="10"/>
  <c r="H36" i="10"/>
  <c r="G38" i="10"/>
  <c r="E47" i="10"/>
  <c r="E54" i="10"/>
  <c r="E52" i="10"/>
  <c r="H37" i="9"/>
  <c r="G41" i="9"/>
  <c r="I8" i="9"/>
  <c r="D46" i="9"/>
  <c r="I18" i="9"/>
  <c r="E46" i="9"/>
  <c r="F40" i="9"/>
  <c r="G36" i="9"/>
  <c r="F38" i="9"/>
  <c r="M34" i="6"/>
  <c r="E44" i="6"/>
  <c r="Q11" i="6"/>
  <c r="I8" i="6"/>
  <c r="D50" i="6"/>
  <c r="D46" i="6"/>
  <c r="D58" i="6" s="1"/>
  <c r="D49" i="6"/>
  <c r="F41" i="6"/>
  <c r="G37" i="6"/>
  <c r="F40" i="6"/>
  <c r="G36" i="6"/>
  <c r="F38" i="6"/>
  <c r="F44" i="6" l="1"/>
  <c r="F44" i="13"/>
  <c r="F46" i="13" s="1"/>
  <c r="F47" i="13" s="1"/>
  <c r="E51" i="13"/>
  <c r="O34" i="13"/>
  <c r="H20" i="13"/>
  <c r="R33" i="13"/>
  <c r="F51" i="13"/>
  <c r="G40" i="13"/>
  <c r="H36" i="13"/>
  <c r="G38" i="13"/>
  <c r="H37" i="13"/>
  <c r="G41" i="13"/>
  <c r="F47" i="12"/>
  <c r="F51" i="12"/>
  <c r="F49" i="12"/>
  <c r="I8" i="12"/>
  <c r="D46" i="12"/>
  <c r="I18" i="12"/>
  <c r="G41" i="12"/>
  <c r="H37" i="12"/>
  <c r="H38" i="12" s="1"/>
  <c r="R33" i="12"/>
  <c r="G38" i="12"/>
  <c r="I36" i="12"/>
  <c r="H40" i="12"/>
  <c r="F44" i="9"/>
  <c r="F47" i="10"/>
  <c r="F54" i="10"/>
  <c r="F52" i="10"/>
  <c r="H41" i="10"/>
  <c r="I37" i="10"/>
  <c r="G44" i="10"/>
  <c r="H20" i="10"/>
  <c r="H40" i="10"/>
  <c r="I36" i="10"/>
  <c r="H38" i="10"/>
  <c r="I20" i="9"/>
  <c r="D49" i="9"/>
  <c r="D47" i="9"/>
  <c r="K20" i="9"/>
  <c r="J20" i="9"/>
  <c r="H36" i="9"/>
  <c r="G40" i="9"/>
  <c r="G38" i="9"/>
  <c r="G44" i="9" s="1"/>
  <c r="K8" i="9"/>
  <c r="K7" i="9" s="1"/>
  <c r="J8" i="9"/>
  <c r="J7" i="9" s="1"/>
  <c r="E51" i="9"/>
  <c r="E49" i="9"/>
  <c r="E47" i="9"/>
  <c r="I37" i="9"/>
  <c r="H41" i="9"/>
  <c r="D47" i="6"/>
  <c r="S13" i="6"/>
  <c r="D52" i="6"/>
  <c r="R13" i="6"/>
  <c r="D55" i="6"/>
  <c r="D54" i="6"/>
  <c r="Q13" i="6"/>
  <c r="F50" i="6"/>
  <c r="F46" i="6"/>
  <c r="F49" i="6"/>
  <c r="K8" i="6"/>
  <c r="K7" i="6" s="1"/>
  <c r="J8" i="6"/>
  <c r="J7" i="6" s="1"/>
  <c r="G40" i="6"/>
  <c r="H36" i="6"/>
  <c r="G38" i="6"/>
  <c r="E50" i="6"/>
  <c r="E46" i="6"/>
  <c r="E49" i="6"/>
  <c r="G41" i="6"/>
  <c r="H37" i="6"/>
  <c r="N34" i="6"/>
  <c r="G44" i="6" l="1"/>
  <c r="G50" i="6" s="1"/>
  <c r="F49" i="13"/>
  <c r="H44" i="10"/>
  <c r="I37" i="13"/>
  <c r="H41" i="13"/>
  <c r="H40" i="13"/>
  <c r="I36" i="13"/>
  <c r="H38" i="13"/>
  <c r="H44" i="13" s="1"/>
  <c r="H46" i="13" s="1"/>
  <c r="H47" i="13" s="1"/>
  <c r="P34" i="13"/>
  <c r="G44" i="13"/>
  <c r="G46" i="13" s="1"/>
  <c r="S33" i="12"/>
  <c r="D51" i="12"/>
  <c r="D49" i="12"/>
  <c r="D47" i="12"/>
  <c r="K20" i="12"/>
  <c r="J20" i="12"/>
  <c r="I20" i="12"/>
  <c r="J36" i="12"/>
  <c r="I40" i="12"/>
  <c r="K8" i="12"/>
  <c r="K7" i="12" s="1"/>
  <c r="J8" i="12"/>
  <c r="J7" i="12" s="1"/>
  <c r="I37" i="12"/>
  <c r="H41" i="12"/>
  <c r="H44" i="12" s="1"/>
  <c r="H46" i="12" s="1"/>
  <c r="H47" i="12" s="1"/>
  <c r="G44" i="12"/>
  <c r="G46" i="12" s="1"/>
  <c r="F46" i="9"/>
  <c r="F51" i="9" s="1"/>
  <c r="I41" i="10"/>
  <c r="J37" i="10"/>
  <c r="H46" i="10"/>
  <c r="H49" i="10"/>
  <c r="H50" i="10"/>
  <c r="I40" i="10"/>
  <c r="J36" i="10"/>
  <c r="I38" i="10"/>
  <c r="G50" i="10"/>
  <c r="G46" i="10"/>
  <c r="G49" i="10"/>
  <c r="G46" i="9"/>
  <c r="H20" i="9"/>
  <c r="J37" i="9"/>
  <c r="I41" i="9"/>
  <c r="I36" i="9"/>
  <c r="H40" i="9"/>
  <c r="H38" i="9"/>
  <c r="H40" i="6"/>
  <c r="I36" i="6"/>
  <c r="H38" i="6"/>
  <c r="G46" i="6"/>
  <c r="G49" i="6"/>
  <c r="F58" i="6"/>
  <c r="F54" i="6"/>
  <c r="F55" i="6"/>
  <c r="F52" i="6"/>
  <c r="F47" i="6"/>
  <c r="H41" i="6"/>
  <c r="I37" i="6"/>
  <c r="E47" i="6"/>
  <c r="E58" i="6"/>
  <c r="E54" i="6"/>
  <c r="E55" i="6"/>
  <c r="E52" i="6"/>
  <c r="P13" i="6"/>
  <c r="Q34" i="13" l="1"/>
  <c r="J36" i="13"/>
  <c r="I40" i="13"/>
  <c r="I38" i="13"/>
  <c r="I44" i="13" s="1"/>
  <c r="I46" i="13" s="1"/>
  <c r="G51" i="13"/>
  <c r="G47" i="13"/>
  <c r="G49" i="13"/>
  <c r="T33" i="13"/>
  <c r="J37" i="13"/>
  <c r="I41" i="13"/>
  <c r="J37" i="12"/>
  <c r="I41" i="12"/>
  <c r="I38" i="12"/>
  <c r="K36" i="12"/>
  <c r="J40" i="12"/>
  <c r="J38" i="12"/>
  <c r="H20" i="12"/>
  <c r="G47" i="12"/>
  <c r="G51" i="12"/>
  <c r="G49" i="12"/>
  <c r="F47" i="9"/>
  <c r="F49" i="9"/>
  <c r="H44" i="9"/>
  <c r="G54" i="10"/>
  <c r="G52" i="10"/>
  <c r="G47" i="10"/>
  <c r="H47" i="10"/>
  <c r="J41" i="10"/>
  <c r="K37" i="10"/>
  <c r="I44" i="10"/>
  <c r="O7" i="10" s="1"/>
  <c r="J40" i="10"/>
  <c r="K36" i="10"/>
  <c r="J38" i="10"/>
  <c r="J36" i="9"/>
  <c r="I40" i="9"/>
  <c r="I38" i="9"/>
  <c r="J41" i="9"/>
  <c r="K37" i="9"/>
  <c r="H46" i="9"/>
  <c r="G51" i="9"/>
  <c r="G49" i="9"/>
  <c r="G47" i="9"/>
  <c r="G58" i="6"/>
  <c r="G54" i="6"/>
  <c r="G55" i="6"/>
  <c r="G52" i="6"/>
  <c r="G47" i="6"/>
  <c r="H44" i="6"/>
  <c r="I40" i="6"/>
  <c r="J36" i="6"/>
  <c r="I38" i="6"/>
  <c r="I41" i="6"/>
  <c r="J37" i="6"/>
  <c r="J41" i="13" l="1"/>
  <c r="K37" i="13"/>
  <c r="K36" i="13"/>
  <c r="J40" i="13"/>
  <c r="J38" i="13"/>
  <c r="J44" i="13" s="1"/>
  <c r="J46" i="13" s="1"/>
  <c r="I47" i="13"/>
  <c r="I49" i="13"/>
  <c r="I51" i="13"/>
  <c r="U33" i="13"/>
  <c r="R34" i="13"/>
  <c r="J44" i="12"/>
  <c r="J46" i="12" s="1"/>
  <c r="K40" i="12"/>
  <c r="L36" i="12"/>
  <c r="K38" i="12"/>
  <c r="I44" i="12"/>
  <c r="I46" i="12" s="1"/>
  <c r="K37" i="12"/>
  <c r="J41" i="12"/>
  <c r="I44" i="9"/>
  <c r="I46" i="9" s="1"/>
  <c r="J44" i="10"/>
  <c r="K40" i="10"/>
  <c r="L36" i="10"/>
  <c r="K38" i="10"/>
  <c r="K41" i="10"/>
  <c r="L37" i="10"/>
  <c r="I49" i="10"/>
  <c r="I50" i="10"/>
  <c r="J40" i="9"/>
  <c r="K36" i="9"/>
  <c r="J38" i="9"/>
  <c r="L37" i="9"/>
  <c r="K41" i="9"/>
  <c r="H47" i="9"/>
  <c r="H50" i="6"/>
  <c r="H46" i="6"/>
  <c r="H49" i="6"/>
  <c r="J41" i="6"/>
  <c r="K37" i="6"/>
  <c r="I44" i="6"/>
  <c r="J40" i="6"/>
  <c r="K36" i="6"/>
  <c r="J38" i="6"/>
  <c r="O9" i="10" l="1"/>
  <c r="O12" i="10" s="1"/>
  <c r="O15" i="10" s="1"/>
  <c r="O19" i="10" s="1"/>
  <c r="O21" i="10" s="1"/>
  <c r="H52" i="10" s="1"/>
  <c r="V33" i="13"/>
  <c r="L36" i="13"/>
  <c r="K40" i="13"/>
  <c r="K38" i="13"/>
  <c r="J47" i="13"/>
  <c r="J49" i="13"/>
  <c r="J51" i="13"/>
  <c r="K41" i="13"/>
  <c r="L37" i="13"/>
  <c r="S34" i="13"/>
  <c r="I51" i="12"/>
  <c r="I49" i="12"/>
  <c r="I47" i="12"/>
  <c r="M36" i="12"/>
  <c r="L40" i="12"/>
  <c r="L38" i="12"/>
  <c r="J51" i="12"/>
  <c r="J49" i="12"/>
  <c r="J47" i="12"/>
  <c r="K41" i="12"/>
  <c r="K44" i="12" s="1"/>
  <c r="K46" i="12" s="1"/>
  <c r="L37" i="12"/>
  <c r="L40" i="10"/>
  <c r="M36" i="10"/>
  <c r="L38" i="10"/>
  <c r="K44" i="10"/>
  <c r="L41" i="10"/>
  <c r="M37" i="10"/>
  <c r="J49" i="10"/>
  <c r="J50" i="10"/>
  <c r="L36" i="9"/>
  <c r="K40" i="9"/>
  <c r="K38" i="9"/>
  <c r="K44" i="9" s="1"/>
  <c r="I49" i="9"/>
  <c r="I47" i="9"/>
  <c r="I51" i="9"/>
  <c r="M37" i="9"/>
  <c r="L41" i="9"/>
  <c r="J44" i="9"/>
  <c r="K41" i="6"/>
  <c r="L37" i="6"/>
  <c r="I46" i="6"/>
  <c r="I49" i="6"/>
  <c r="I50" i="6"/>
  <c r="J44" i="6"/>
  <c r="K40" i="6"/>
  <c r="L36" i="6"/>
  <c r="K38" i="6"/>
  <c r="H54" i="6"/>
  <c r="H55" i="6"/>
  <c r="H52" i="6"/>
  <c r="H47" i="6"/>
  <c r="H58" i="6"/>
  <c r="K44" i="13" l="1"/>
  <c r="K46" i="13" s="1"/>
  <c r="K49" i="13" s="1"/>
  <c r="O17" i="10"/>
  <c r="M36" i="13"/>
  <c r="L40" i="13"/>
  <c r="L38" i="13"/>
  <c r="L44" i="13" s="1"/>
  <c r="L46" i="13" s="1"/>
  <c r="T34" i="13"/>
  <c r="M37" i="13"/>
  <c r="L41" i="13"/>
  <c r="W33" i="13"/>
  <c r="K51" i="12"/>
  <c r="K49" i="12"/>
  <c r="K47" i="12"/>
  <c r="M37" i="12"/>
  <c r="L41" i="12"/>
  <c r="L44" i="12" s="1"/>
  <c r="L46" i="12" s="1"/>
  <c r="N36" i="12"/>
  <c r="M40" i="12"/>
  <c r="L44" i="10"/>
  <c r="K50" i="10"/>
  <c r="K49" i="10"/>
  <c r="M40" i="10"/>
  <c r="N36" i="10"/>
  <c r="M38" i="10"/>
  <c r="M41" i="10"/>
  <c r="N37" i="10"/>
  <c r="N41" i="10" s="1"/>
  <c r="K46" i="9"/>
  <c r="J46" i="9"/>
  <c r="N37" i="9"/>
  <c r="O37" i="9" s="1"/>
  <c r="M41" i="9"/>
  <c r="M36" i="9"/>
  <c r="N36" i="9" s="1"/>
  <c r="O36" i="9" s="1"/>
  <c r="L40" i="9"/>
  <c r="L38" i="9"/>
  <c r="K44" i="6"/>
  <c r="L40" i="6"/>
  <c r="M36" i="6"/>
  <c r="L38" i="6"/>
  <c r="J49" i="6"/>
  <c r="J50" i="6"/>
  <c r="J46" i="6"/>
  <c r="I55" i="6"/>
  <c r="I52" i="6"/>
  <c r="I54" i="6"/>
  <c r="I47" i="6"/>
  <c r="I58" i="6"/>
  <c r="L41" i="6"/>
  <c r="M37" i="6"/>
  <c r="H54" i="10" l="1"/>
  <c r="K47" i="13"/>
  <c r="K51" i="13"/>
  <c r="M44" i="10"/>
  <c r="I45" i="10"/>
  <c r="I46" i="10" s="1"/>
  <c r="K45" i="10"/>
  <c r="K46" i="10" s="1"/>
  <c r="K47" i="10" s="1"/>
  <c r="M45" i="10"/>
  <c r="J45" i="10"/>
  <c r="J46" i="10" s="1"/>
  <c r="N45" i="10"/>
  <c r="L45" i="10"/>
  <c r="L46" i="10" s="1"/>
  <c r="L52" i="10" s="1"/>
  <c r="O18" i="10"/>
  <c r="U34" i="13"/>
  <c r="L47" i="13"/>
  <c r="L49" i="13"/>
  <c r="L51" i="13"/>
  <c r="N37" i="13"/>
  <c r="M41" i="13"/>
  <c r="N36" i="13"/>
  <c r="M40" i="13"/>
  <c r="M38" i="13"/>
  <c r="M44" i="13" s="1"/>
  <c r="M46" i="13" s="1"/>
  <c r="M47" i="13" s="1"/>
  <c r="L51" i="12"/>
  <c r="L49" i="12"/>
  <c r="L47" i="12"/>
  <c r="O36" i="12"/>
  <c r="N40" i="12"/>
  <c r="N37" i="12"/>
  <c r="M41" i="12"/>
  <c r="M38" i="12"/>
  <c r="M44" i="12" s="1"/>
  <c r="M46" i="12" s="1"/>
  <c r="M49" i="12" s="1"/>
  <c r="O41" i="9"/>
  <c r="P37" i="9"/>
  <c r="L44" i="9"/>
  <c r="L46" i="9" s="1"/>
  <c r="L49" i="9" s="1"/>
  <c r="P36" i="9"/>
  <c r="O40" i="9"/>
  <c r="O38" i="9"/>
  <c r="O44" i="9" s="1"/>
  <c r="N40" i="10"/>
  <c r="N38" i="10"/>
  <c r="N44" i="10" s="1"/>
  <c r="M49" i="10"/>
  <c r="M50" i="10"/>
  <c r="D51" i="10" s="1"/>
  <c r="M46" i="10"/>
  <c r="L50" i="10"/>
  <c r="L49" i="10"/>
  <c r="N41" i="9"/>
  <c r="K51" i="9"/>
  <c r="K49" i="9"/>
  <c r="K47" i="9"/>
  <c r="J49" i="9"/>
  <c r="J47" i="9"/>
  <c r="J51" i="9"/>
  <c r="M40" i="9"/>
  <c r="M38" i="9"/>
  <c r="M44" i="9" s="1"/>
  <c r="L44" i="6"/>
  <c r="M41" i="6"/>
  <c r="N37" i="6"/>
  <c r="N41" i="6" s="1"/>
  <c r="J55" i="6"/>
  <c r="J52" i="6"/>
  <c r="J47" i="6"/>
  <c r="J58" i="6"/>
  <c r="J54" i="6"/>
  <c r="M40" i="6"/>
  <c r="N36" i="6"/>
  <c r="M38" i="6"/>
  <c r="M44" i="6" s="1"/>
  <c r="M46" i="6" s="1"/>
  <c r="K49" i="6"/>
  <c r="K50" i="6"/>
  <c r="K46" i="6"/>
  <c r="K52" i="10" l="1"/>
  <c r="O24" i="10"/>
  <c r="M52" i="10"/>
  <c r="K54" i="10"/>
  <c r="M49" i="13"/>
  <c r="M51" i="13" s="1"/>
  <c r="M49" i="9"/>
  <c r="I54" i="10"/>
  <c r="I47" i="10"/>
  <c r="I52" i="10"/>
  <c r="D53" i="10" s="1"/>
  <c r="J52" i="10"/>
  <c r="J47" i="10"/>
  <c r="J54" i="10"/>
  <c r="M47" i="10"/>
  <c r="O37" i="13"/>
  <c r="N41" i="13"/>
  <c r="O36" i="13"/>
  <c r="N40" i="13"/>
  <c r="N38" i="13"/>
  <c r="N44" i="13" s="1"/>
  <c r="V34" i="13"/>
  <c r="O37" i="12"/>
  <c r="N41" i="12"/>
  <c r="N38" i="12"/>
  <c r="M47" i="12"/>
  <c r="O40" i="12"/>
  <c r="P36" i="12"/>
  <c r="Q37" i="9"/>
  <c r="P41" i="9"/>
  <c r="Q36" i="9"/>
  <c r="P40" i="9"/>
  <c r="P38" i="9"/>
  <c r="N50" i="10"/>
  <c r="N46" i="10"/>
  <c r="N47" i="10" s="1"/>
  <c r="I12" i="10"/>
  <c r="N49" i="10"/>
  <c r="L47" i="10"/>
  <c r="L54" i="10"/>
  <c r="N40" i="9"/>
  <c r="N38" i="9"/>
  <c r="N44" i="9" s="1"/>
  <c r="M46" i="9"/>
  <c r="L51" i="9"/>
  <c r="L47" i="9"/>
  <c r="M50" i="6"/>
  <c r="M49" i="6"/>
  <c r="K55" i="6"/>
  <c r="K52" i="6"/>
  <c r="K47" i="6"/>
  <c r="K58" i="6"/>
  <c r="K54" i="6"/>
  <c r="N40" i="6"/>
  <c r="N38" i="6"/>
  <c r="N44" i="6" s="1"/>
  <c r="N46" i="6" s="1"/>
  <c r="L49" i="6"/>
  <c r="L50" i="6"/>
  <c r="L46" i="6"/>
  <c r="D51" i="6" l="1"/>
  <c r="D48" i="10"/>
  <c r="M54" i="10"/>
  <c r="D55" i="10" s="1"/>
  <c r="O29" i="10" s="1"/>
  <c r="H26" i="10"/>
  <c r="O27" i="10" s="1"/>
  <c r="W34" i="13"/>
  <c r="N46" i="13"/>
  <c r="I12" i="13"/>
  <c r="O40" i="13"/>
  <c r="P36" i="13"/>
  <c r="O38" i="13"/>
  <c r="O44" i="13" s="1"/>
  <c r="O46" i="13" s="1"/>
  <c r="P37" i="13"/>
  <c r="O41" i="13"/>
  <c r="O41" i="12"/>
  <c r="P37" i="12"/>
  <c r="P38" i="12" s="1"/>
  <c r="O38" i="12"/>
  <c r="Q36" i="12"/>
  <c r="P40" i="12"/>
  <c r="N44" i="12"/>
  <c r="I12" i="9"/>
  <c r="O9" i="9"/>
  <c r="O12" i="9" s="1"/>
  <c r="O15" i="9" s="1"/>
  <c r="R37" i="9"/>
  <c r="Q41" i="9"/>
  <c r="R36" i="9"/>
  <c r="Q40" i="9"/>
  <c r="Q38" i="9"/>
  <c r="P44" i="9"/>
  <c r="K12" i="10"/>
  <c r="K13" i="10" s="1"/>
  <c r="K22" i="10" s="1"/>
  <c r="K24" i="10" s="1"/>
  <c r="J12" i="10"/>
  <c r="J13" i="10" s="1"/>
  <c r="J22" i="10" s="1"/>
  <c r="J24" i="10" s="1"/>
  <c r="I13" i="10"/>
  <c r="N54" i="10" s="1"/>
  <c r="M47" i="9"/>
  <c r="N50" i="6"/>
  <c r="N49" i="6"/>
  <c r="I12" i="6"/>
  <c r="I13" i="6" s="1"/>
  <c r="Q15" i="6" s="1"/>
  <c r="L47" i="6"/>
  <c r="L58" i="6"/>
  <c r="L54" i="6"/>
  <c r="N54" i="6" s="1"/>
  <c r="L55" i="6"/>
  <c r="N55" i="6" s="1"/>
  <c r="L52" i="6"/>
  <c r="M47" i="6"/>
  <c r="P40" i="13" l="1"/>
  <c r="Q36" i="13"/>
  <c r="P38" i="13"/>
  <c r="N49" i="13"/>
  <c r="N51" i="13"/>
  <c r="N47" i="13"/>
  <c r="Q37" i="13"/>
  <c r="P41" i="13"/>
  <c r="O51" i="13"/>
  <c r="O47" i="13"/>
  <c r="O49" i="13"/>
  <c r="I13" i="13"/>
  <c r="I22" i="13" s="1"/>
  <c r="I24" i="13" s="1"/>
  <c r="K12" i="13"/>
  <c r="K13" i="13" s="1"/>
  <c r="K22" i="13" s="1"/>
  <c r="K24" i="13" s="1"/>
  <c r="J12" i="13"/>
  <c r="J13" i="13" s="1"/>
  <c r="J22" i="13" s="1"/>
  <c r="J24" i="13" s="1"/>
  <c r="X34" i="13"/>
  <c r="P44" i="12"/>
  <c r="R36" i="12"/>
  <c r="Q40" i="12"/>
  <c r="Q37" i="12"/>
  <c r="P41" i="12"/>
  <c r="O7" i="12"/>
  <c r="O9" i="12" s="1"/>
  <c r="O12" i="12" s="1"/>
  <c r="I12" i="12"/>
  <c r="O44" i="12"/>
  <c r="O17" i="9"/>
  <c r="O19" i="9"/>
  <c r="Q44" i="9"/>
  <c r="S37" i="9"/>
  <c r="S41" i="9" s="1"/>
  <c r="R41" i="9"/>
  <c r="S36" i="9"/>
  <c r="R40" i="9"/>
  <c r="R38" i="9"/>
  <c r="I22" i="10"/>
  <c r="I24" i="10" s="1"/>
  <c r="I13" i="9"/>
  <c r="K12" i="9"/>
  <c r="K13" i="9" s="1"/>
  <c r="K22" i="9" s="1"/>
  <c r="K24" i="9" s="1"/>
  <c r="J12" i="9"/>
  <c r="J13" i="9" s="1"/>
  <c r="J22" i="9" s="1"/>
  <c r="J24" i="9" s="1"/>
  <c r="K12" i="6"/>
  <c r="K13" i="6" s="1"/>
  <c r="S15" i="6" s="1"/>
  <c r="S17" i="6" s="1"/>
  <c r="J12" i="6"/>
  <c r="J13" i="6" s="1"/>
  <c r="D48" i="6"/>
  <c r="M51" i="9" l="1"/>
  <c r="R37" i="13"/>
  <c r="Q41" i="13"/>
  <c r="P44" i="13"/>
  <c r="P46" i="13" s="1"/>
  <c r="R36" i="13"/>
  <c r="Q40" i="13"/>
  <c r="Q38" i="13"/>
  <c r="Q44" i="13" s="1"/>
  <c r="Q46" i="13" s="1"/>
  <c r="I13" i="12"/>
  <c r="K12" i="12"/>
  <c r="K13" i="12" s="1"/>
  <c r="K22" i="12" s="1"/>
  <c r="K24" i="12" s="1"/>
  <c r="J12" i="12"/>
  <c r="J13" i="12" s="1"/>
  <c r="J22" i="12" s="1"/>
  <c r="J24" i="12" s="1"/>
  <c r="O21" i="12"/>
  <c r="M51" i="12" s="1"/>
  <c r="O17" i="12"/>
  <c r="N45" i="12" s="1"/>
  <c r="R37" i="12"/>
  <c r="Q41" i="12"/>
  <c r="Q38" i="12"/>
  <c r="Q44" i="12" s="1"/>
  <c r="S36" i="12"/>
  <c r="R40" i="12"/>
  <c r="O45" i="9"/>
  <c r="N46" i="9"/>
  <c r="R44" i="9"/>
  <c r="S40" i="9"/>
  <c r="S38" i="9"/>
  <c r="S44" i="9" s="1"/>
  <c r="I22" i="9"/>
  <c r="I24" i="9" s="1"/>
  <c r="R15" i="6"/>
  <c r="R17" i="6" s="1"/>
  <c r="N58" i="6"/>
  <c r="Q17" i="6"/>
  <c r="M52" i="6" l="1"/>
  <c r="P51" i="13"/>
  <c r="P47" i="13"/>
  <c r="P49" i="13"/>
  <c r="S36" i="13"/>
  <c r="R40" i="13"/>
  <c r="R38" i="13"/>
  <c r="R44" i="13" s="1"/>
  <c r="R46" i="13" s="1"/>
  <c r="Q47" i="13"/>
  <c r="Q49" i="13"/>
  <c r="Q51" i="13"/>
  <c r="R41" i="13"/>
  <c r="S37" i="13"/>
  <c r="S37" i="12"/>
  <c r="S41" i="12" s="1"/>
  <c r="R41" i="12"/>
  <c r="O45" i="12"/>
  <c r="N46" i="12"/>
  <c r="R38" i="12"/>
  <c r="R44" i="12" s="1"/>
  <c r="S40" i="12"/>
  <c r="S51" i="12"/>
  <c r="I22" i="12"/>
  <c r="I24" i="12" s="1"/>
  <c r="N51" i="9"/>
  <c r="N49" i="9"/>
  <c r="N47" i="9"/>
  <c r="P45" i="9"/>
  <c r="O46" i="9"/>
  <c r="M58" i="6" l="1"/>
  <c r="D59" i="6" s="1"/>
  <c r="D53" i="6"/>
  <c r="P22" i="6" s="1"/>
  <c r="R47" i="13"/>
  <c r="T36" i="13"/>
  <c r="S40" i="13"/>
  <c r="S38" i="13"/>
  <c r="S44" i="13" s="1"/>
  <c r="S41" i="13"/>
  <c r="T37" i="13"/>
  <c r="S38" i="12"/>
  <c r="S44" i="12" s="1"/>
  <c r="N47" i="12"/>
  <c r="N51" i="12"/>
  <c r="N49" i="12"/>
  <c r="P45" i="12"/>
  <c r="O46" i="12"/>
  <c r="O51" i="9"/>
  <c r="O47" i="9"/>
  <c r="O49" i="9"/>
  <c r="Q45" i="9"/>
  <c r="P46" i="9"/>
  <c r="O7" i="13" l="1"/>
  <c r="U36" i="13"/>
  <c r="T40" i="13"/>
  <c r="T38" i="13"/>
  <c r="U37" i="13"/>
  <c r="T41" i="13"/>
  <c r="Q45" i="12"/>
  <c r="P46" i="12"/>
  <c r="O47" i="12"/>
  <c r="O51" i="12"/>
  <c r="O49" i="12"/>
  <c r="P51" i="9"/>
  <c r="P49" i="9"/>
  <c r="P47" i="9"/>
  <c r="R45" i="9"/>
  <c r="Q46" i="9"/>
  <c r="O9" i="13" l="1"/>
  <c r="O12" i="13" s="1"/>
  <c r="O15" i="13" s="1"/>
  <c r="O17" i="13" s="1"/>
  <c r="V37" i="13"/>
  <c r="U41" i="13"/>
  <c r="T44" i="13"/>
  <c r="V36" i="13"/>
  <c r="U40" i="13"/>
  <c r="U38" i="13"/>
  <c r="P51" i="12"/>
  <c r="P49" i="12"/>
  <c r="P47" i="12"/>
  <c r="R45" i="12"/>
  <c r="Q46" i="12"/>
  <c r="Q47" i="9"/>
  <c r="Q49" i="9"/>
  <c r="Q51" i="9"/>
  <c r="R46" i="9"/>
  <c r="S45" i="13" l="1"/>
  <c r="T45" i="13" s="1"/>
  <c r="S45" i="9"/>
  <c r="S46" i="9" s="1"/>
  <c r="S49" i="9" s="1"/>
  <c r="S51" i="9" s="1"/>
  <c r="O18" i="13"/>
  <c r="O19" i="13"/>
  <c r="W36" i="13"/>
  <c r="V40" i="13"/>
  <c r="V38" i="13"/>
  <c r="S46" i="13"/>
  <c r="U44" i="13"/>
  <c r="W37" i="13"/>
  <c r="V41" i="13"/>
  <c r="Q51" i="12"/>
  <c r="Q49" i="12"/>
  <c r="Q47" i="12"/>
  <c r="S45" i="12"/>
  <c r="S46" i="12" s="1"/>
  <c r="S47" i="12" s="1"/>
  <c r="R46" i="12"/>
  <c r="R47" i="9"/>
  <c r="U45" i="13" l="1"/>
  <c r="V45" i="13" s="1"/>
  <c r="W45" i="13" s="1"/>
  <c r="X45" i="13" s="1"/>
  <c r="T46" i="13"/>
  <c r="T49" i="13" s="1"/>
  <c r="T51" i="13" s="1"/>
  <c r="S47" i="9"/>
  <c r="T45" i="9"/>
  <c r="U45" i="9" s="1"/>
  <c r="T47" i="13"/>
  <c r="S47" i="13"/>
  <c r="S49" i="13"/>
  <c r="S51" i="13" s="1"/>
  <c r="X37" i="13"/>
  <c r="X41" i="13" s="1"/>
  <c r="W41" i="13"/>
  <c r="V44" i="13"/>
  <c r="V46" i="13" s="1"/>
  <c r="W40" i="13"/>
  <c r="X36" i="13"/>
  <c r="W38" i="13"/>
  <c r="R47" i="12"/>
  <c r="D48" i="12" s="1"/>
  <c r="R49" i="12"/>
  <c r="T46" i="9" l="1"/>
  <c r="R51" i="13"/>
  <c r="R49" i="13"/>
  <c r="R49" i="9" s="1"/>
  <c r="R51" i="9" s="1"/>
  <c r="U46" i="13"/>
  <c r="V45" i="9"/>
  <c r="U46" i="9"/>
  <c r="T47" i="9"/>
  <c r="T49" i="9"/>
  <c r="V49" i="13"/>
  <c r="V51" i="13" s="1"/>
  <c r="V47" i="13"/>
  <c r="W44" i="13"/>
  <c r="W46" i="13" s="1"/>
  <c r="W47" i="13" s="1"/>
  <c r="X40" i="13"/>
  <c r="X38" i="13"/>
  <c r="X44" i="13" s="1"/>
  <c r="D52" i="12"/>
  <c r="O29" i="12" s="1"/>
  <c r="J27" i="14" s="1"/>
  <c r="D50" i="12"/>
  <c r="U47" i="13" l="1"/>
  <c r="D48" i="13" s="1"/>
  <c r="U49" i="13"/>
  <c r="U51" i="13" s="1"/>
  <c r="T51" i="9"/>
  <c r="U49" i="9"/>
  <c r="U51" i="9" s="1"/>
  <c r="U47" i="9"/>
  <c r="W45" i="9"/>
  <c r="V46" i="9"/>
  <c r="X46" i="13"/>
  <c r="X47" i="13" s="1"/>
  <c r="W49" i="13"/>
  <c r="D50" i="13" s="1"/>
  <c r="O27" i="12"/>
  <c r="J26" i="14" s="1"/>
  <c r="H26" i="12"/>
  <c r="V49" i="9" l="1"/>
  <c r="V47" i="9"/>
  <c r="W46" i="9"/>
  <c r="W51" i="13"/>
  <c r="D52" i="13" l="1"/>
  <c r="O29" i="13" s="1"/>
  <c r="K27" i="14" s="1"/>
  <c r="W47" i="9"/>
  <c r="D48" i="9" s="1"/>
  <c r="O25" i="9" s="1"/>
  <c r="W49" i="9"/>
  <c r="D50" i="9" s="1"/>
  <c r="Y45" i="9"/>
  <c r="Z45" i="9" s="1"/>
  <c r="AA45" i="9" s="1"/>
  <c r="AB45" i="9" s="1"/>
  <c r="V51" i="9"/>
  <c r="O27" i="13"/>
  <c r="K26" i="14" s="1"/>
  <c r="H26" i="13"/>
  <c r="O29" i="9" l="1"/>
  <c r="W51" i="9"/>
  <c r="H26" i="9"/>
  <c r="O27" i="9"/>
</calcChain>
</file>

<file path=xl/sharedStrings.xml><?xml version="1.0" encoding="utf-8"?>
<sst xmlns="http://schemas.openxmlformats.org/spreadsheetml/2006/main" count="570" uniqueCount="119">
  <si>
    <t>Assumptions</t>
  </si>
  <si>
    <t>Sales Price at Completion</t>
  </si>
  <si>
    <t>Buyers Total Cash Basis</t>
  </si>
  <si>
    <t>Sony</t>
  </si>
  <si>
    <t>Nike</t>
  </si>
  <si>
    <t>Cole-Haan</t>
  </si>
  <si>
    <t>Rent</t>
  </si>
  <si>
    <t>Rate</t>
  </si>
  <si>
    <t>Basic Lease and Building Data</t>
  </si>
  <si>
    <t>Gross Rental Avg</t>
  </si>
  <si>
    <t>Base Rental Adjustment every 5 year</t>
  </si>
  <si>
    <t>OE Growth Rate</t>
  </si>
  <si>
    <t>RE Taxes Growth Rate</t>
  </si>
  <si>
    <t>Replacement Reserve Growth Rate</t>
  </si>
  <si>
    <t>Net Operating Income</t>
  </si>
  <si>
    <t>Initial Return of Purchase Price</t>
  </si>
  <si>
    <t>Initial Return of Cash Basis</t>
  </si>
  <si>
    <t>Assumed Expense Inflation</t>
  </si>
  <si>
    <t>Sony- Base Rent</t>
  </si>
  <si>
    <t>Nike- Base Rent</t>
  </si>
  <si>
    <t>Cole-Haan- Base Rent</t>
  </si>
  <si>
    <t>Operating Expenses</t>
  </si>
  <si>
    <t>Real Estate Tax</t>
  </si>
  <si>
    <t xml:space="preserve">RE Taxes </t>
  </si>
  <si>
    <t xml:space="preserve">OE Growth </t>
  </si>
  <si>
    <t>Replacement Reserve</t>
  </si>
  <si>
    <t xml:space="preserve">Total Revenue </t>
  </si>
  <si>
    <t>Less Operating Expenses</t>
  </si>
  <si>
    <t>Less RE Taxes</t>
  </si>
  <si>
    <t>Less Replacement Fee</t>
  </si>
  <si>
    <t>Floor</t>
  </si>
  <si>
    <t>Total</t>
  </si>
  <si>
    <t>GF</t>
  </si>
  <si>
    <t>Basement</t>
  </si>
  <si>
    <t>Cole-haan</t>
  </si>
  <si>
    <t>NOI</t>
  </si>
  <si>
    <t>Less Management Fee</t>
  </si>
  <si>
    <t>Annual Rate of Return</t>
  </si>
  <si>
    <t>Investment Opportunity</t>
  </si>
  <si>
    <t>Initial Cap Rate- Year 1 yield</t>
  </si>
  <si>
    <t>Exit Cap Rate</t>
  </si>
  <si>
    <t>Year 11 NOI</t>
  </si>
  <si>
    <t>Less Annual Loan Payment</t>
  </si>
  <si>
    <t>Net Cash Flow</t>
  </si>
  <si>
    <t>Levarage Metrics</t>
  </si>
  <si>
    <t>less loan amount</t>
  </si>
  <si>
    <t>Equity Invested at closing</t>
  </si>
  <si>
    <t>NOI and Yield</t>
  </si>
  <si>
    <t>Less DS</t>
  </si>
  <si>
    <t>Cash on Cash</t>
  </si>
  <si>
    <t>Levarage IRRs</t>
  </si>
  <si>
    <t>Selling Price</t>
  </si>
  <si>
    <t>IRR</t>
  </si>
  <si>
    <t>Projected Selling Point</t>
  </si>
  <si>
    <t>Year 1 NOI</t>
  </si>
  <si>
    <t>Exit Rate</t>
  </si>
  <si>
    <t>Less Loan Amount</t>
  </si>
  <si>
    <t>Net residual Amount</t>
  </si>
  <si>
    <t>TR multiple</t>
  </si>
  <si>
    <t>Financing Assumptions</t>
  </si>
  <si>
    <t>Year 6 NOI</t>
  </si>
  <si>
    <t>Adjusted NOI</t>
  </si>
  <si>
    <t>Lenders Cap Rate</t>
  </si>
  <si>
    <t>Lenders new valuation</t>
  </si>
  <si>
    <t>New LTv</t>
  </si>
  <si>
    <t>New Loan amount</t>
  </si>
  <si>
    <t>New interest Rate</t>
  </si>
  <si>
    <t>New DS</t>
  </si>
  <si>
    <t>New Loan</t>
  </si>
  <si>
    <t>Less Loan</t>
  </si>
  <si>
    <t>Net Loan Proceeds</t>
  </si>
  <si>
    <t>Exit Selling Price</t>
  </si>
  <si>
    <t>Manag</t>
  </si>
  <si>
    <t>Avg ROR</t>
  </si>
  <si>
    <t>Exit cap Rate</t>
  </si>
  <si>
    <t>Adjusted IRR</t>
  </si>
  <si>
    <t>TR Mulitple</t>
  </si>
  <si>
    <t>Year 16 NOI</t>
  </si>
  <si>
    <t>DSCR</t>
  </si>
  <si>
    <t xml:space="preserve">Selling Price </t>
  </si>
  <si>
    <t>Year 21 NOI</t>
  </si>
  <si>
    <t>IRR(-25)</t>
  </si>
  <si>
    <t>IRR(+25)</t>
  </si>
  <si>
    <t>Buyers total Cash</t>
  </si>
  <si>
    <t>Loan To Value Ratio</t>
  </si>
  <si>
    <t>Loan Amount</t>
  </si>
  <si>
    <t>Interest rate</t>
  </si>
  <si>
    <t>Annual Debt service payment</t>
  </si>
  <si>
    <t>Equity investmentat closing</t>
  </si>
  <si>
    <t>NOI year 1</t>
  </si>
  <si>
    <t>Cash on cash year 1 return</t>
  </si>
  <si>
    <t>10 year Average ROR</t>
  </si>
  <si>
    <t>Sales Proceeds</t>
  </si>
  <si>
    <t>Net Sales Proceeds</t>
  </si>
  <si>
    <t>10 year levarage IRR</t>
  </si>
  <si>
    <t>Financing Assumption</t>
  </si>
  <si>
    <t>Next Year NOI</t>
  </si>
  <si>
    <t>Add Back Reserve/Fee</t>
  </si>
  <si>
    <t>Lenders New Valuation</t>
  </si>
  <si>
    <t>New LTV</t>
  </si>
  <si>
    <t>New Loan Amount</t>
  </si>
  <si>
    <t>New Interest Rate</t>
  </si>
  <si>
    <t>New DS Payment</t>
  </si>
  <si>
    <t>Less Loan Balance</t>
  </si>
  <si>
    <t>Refi</t>
  </si>
  <si>
    <t>Refi 10</t>
  </si>
  <si>
    <t>Refi 15</t>
  </si>
  <si>
    <t>Refi 20</t>
  </si>
  <si>
    <t xml:space="preserve">New Loan </t>
  </si>
  <si>
    <t>TR Multiple</t>
  </si>
  <si>
    <t xml:space="preserve">Original </t>
  </si>
  <si>
    <t>Base Rental Rate</t>
  </si>
  <si>
    <t xml:space="preserve">New Management Fee </t>
  </si>
  <si>
    <t>Residual Amount</t>
  </si>
  <si>
    <t>Suite revenue</t>
  </si>
  <si>
    <t xml:space="preserve">Hotel Room revenue </t>
  </si>
  <si>
    <t>Price per room</t>
  </si>
  <si>
    <t>number of rooms</t>
  </si>
  <si>
    <t>Hotel 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</si>
</sst>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4" formatCode="0.0"/>
    <numFmt numFmtId="165" formatCode="0.0%"/>
    <numFmt numFmtId="166" formatCode="#,##0;\(#,##0\)"/>
    <numFmt numFmtId="167" formatCode="#,##0.0;\(#,##0.0\)"/>
    <numFmt numFmtId="168" formatCode="#,##0.00;\(#,##0.00\)"/>
    <numFmt numFmtId="169" formatCode="#,##0.0"/>
    <numFmt numFmtId="170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8" borderId="0" xfId="0" applyNumberFormat="1" applyFill="1" applyAlignment="1">
      <alignment horizontal="center"/>
    </xf>
    <xf numFmtId="166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4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0" fontId="4" fillId="5" borderId="0" xfId="1" applyNumberFormat="1" applyFont="1" applyFill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0" fontId="0" fillId="0" borderId="0" xfId="1" applyNumberFormat="1" applyFont="1" applyAlignment="1">
      <alignment horizontal="left"/>
    </xf>
    <xf numFmtId="1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66" fontId="4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5" fontId="0" fillId="0" borderId="0" xfId="1" applyNumberFormat="1" applyFont="1" applyAlignment="1">
      <alignment horizontal="left"/>
    </xf>
    <xf numFmtId="9" fontId="0" fillId="0" borderId="0" xfId="1" applyFont="1" applyAlignment="1">
      <alignment horizontal="left"/>
    </xf>
    <xf numFmtId="165" fontId="0" fillId="0" borderId="0" xfId="0" applyNumberFormat="1" applyAlignment="1">
      <alignment horizontal="left"/>
    </xf>
    <xf numFmtId="0" fontId="0" fillId="7" borderId="0" xfId="0" applyFill="1" applyAlignment="1">
      <alignment horizontal="left"/>
    </xf>
    <xf numFmtId="3" fontId="0" fillId="7" borderId="0" xfId="0" applyNumberFormat="1" applyFill="1" applyAlignment="1">
      <alignment horizontal="left"/>
    </xf>
    <xf numFmtId="0" fontId="0" fillId="11" borderId="0" xfId="0" applyFill="1" applyAlignment="1">
      <alignment horizontal="left"/>
    </xf>
    <xf numFmtId="166" fontId="4" fillId="11" borderId="0" xfId="0" applyNumberFormat="1" applyFont="1" applyFill="1" applyAlignment="1">
      <alignment horizontal="left"/>
    </xf>
    <xf numFmtId="0" fontId="0" fillId="12" borderId="0" xfId="0" applyFill="1" applyAlignment="1">
      <alignment horizontal="left"/>
    </xf>
    <xf numFmtId="166" fontId="4" fillId="12" borderId="0" xfId="0" applyNumberFormat="1" applyFont="1" applyFill="1" applyAlignment="1">
      <alignment horizontal="left"/>
    </xf>
    <xf numFmtId="1" fontId="0" fillId="12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10" fontId="4" fillId="5" borderId="0" xfId="1" applyNumberFormat="1" applyFont="1" applyFill="1" applyAlignment="1">
      <alignment horizontal="left"/>
    </xf>
    <xf numFmtId="10" fontId="4" fillId="0" borderId="0" xfId="1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0" fontId="4" fillId="0" borderId="0" xfId="1" applyNumberFormat="1" applyFont="1" applyFill="1" applyAlignment="1">
      <alignment horizontal="left"/>
    </xf>
    <xf numFmtId="167" fontId="0" fillId="0" borderId="0" xfId="0" applyNumberFormat="1" applyAlignment="1">
      <alignment horizontal="left"/>
    </xf>
    <xf numFmtId="10" fontId="0" fillId="13" borderId="0" xfId="0" applyNumberFormat="1" applyFill="1" applyAlignment="1">
      <alignment horizontal="left"/>
    </xf>
    <xf numFmtId="164" fontId="0" fillId="0" borderId="0" xfId="1" applyNumberFormat="1" applyFont="1" applyAlignment="1">
      <alignment horizontal="left"/>
    </xf>
    <xf numFmtId="164" fontId="0" fillId="0" borderId="0" xfId="0" applyNumberFormat="1" applyAlignment="1">
      <alignment horizontal="left"/>
    </xf>
    <xf numFmtId="2" fontId="0" fillId="2" borderId="0" xfId="0" applyNumberFormat="1" applyFill="1" applyAlignment="1">
      <alignment horizontal="left"/>
    </xf>
    <xf numFmtId="10" fontId="0" fillId="2" borderId="0" xfId="0" applyNumberFormat="1" applyFill="1" applyAlignment="1">
      <alignment horizontal="left"/>
    </xf>
    <xf numFmtId="2" fontId="0" fillId="2" borderId="0" xfId="1" applyNumberFormat="1" applyFont="1" applyFill="1" applyAlignment="1">
      <alignment horizontal="left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2" fontId="0" fillId="0" borderId="0" xfId="1" applyNumberFormat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4" fillId="2" borderId="0" xfId="1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2" fontId="0" fillId="2" borderId="0" xfId="1" applyNumberFormat="1" applyFont="1" applyFill="1" applyAlignment="1">
      <alignment horizontal="center"/>
    </xf>
    <xf numFmtId="168" fontId="4" fillId="0" borderId="0" xfId="0" applyNumberFormat="1" applyFont="1" applyAlignment="1">
      <alignment horizontal="center"/>
    </xf>
    <xf numFmtId="10" fontId="4" fillId="0" borderId="0" xfId="1" applyNumberFormat="1" applyFont="1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1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center" vertical="center"/>
    </xf>
    <xf numFmtId="164" fontId="0" fillId="2" borderId="0" xfId="1" applyNumberFormat="1" applyFont="1" applyFill="1" applyAlignment="1">
      <alignment horizontal="left"/>
    </xf>
    <xf numFmtId="0" fontId="0" fillId="1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10" fontId="0" fillId="2" borderId="0" xfId="1" applyNumberFormat="1" applyFont="1" applyFill="1" applyAlignment="1">
      <alignment horizontal="left"/>
    </xf>
    <xf numFmtId="10" fontId="4" fillId="2" borderId="0" xfId="1" applyNumberFormat="1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3" fillId="4" borderId="0" xfId="0" applyFont="1" applyFill="1" applyAlignment="1">
      <alignment horizontal="left"/>
    </xf>
    <xf numFmtId="0" fontId="0" fillId="16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i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/Real%20Estate%20Investement/Nike%20Model-%20Matrix.xlsx" TargetMode="External"/><Relationship Id="rId1" Type="http://schemas.openxmlformats.org/officeDocument/2006/relationships/externalLinkPath" Target="https://uillinoisedu-my.sharepoint.com/personal/fshweta2_illinois_edu/Documents/Real%20Estate%20Investement/Nike%20Model-%20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lied page"/>
      <sheetName val="Calculation"/>
      <sheetName val="BASE MODEL"/>
      <sheetName val="Refi "/>
      <sheetName val="Refi10"/>
      <sheetName val="Refi15"/>
      <sheetName val="Refi20"/>
      <sheetName val="Sheet7"/>
      <sheetName val="Refi"/>
      <sheetName val="Refi10 "/>
      <sheetName val="RI-FI-10  "/>
      <sheetName val="RI-FI-15"/>
    </sheetNames>
    <sheetDataSet>
      <sheetData sheetId="0"/>
      <sheetData sheetId="1"/>
      <sheetData sheetId="2"/>
      <sheetData sheetId="3">
        <row r="7">
          <cell r="O7">
            <v>3885524.0336587331</v>
          </cell>
        </row>
        <row r="8">
          <cell r="O8">
            <v>279691.96634126687</v>
          </cell>
        </row>
        <row r="9">
          <cell r="O9">
            <v>4165216</v>
          </cell>
        </row>
        <row r="11">
          <cell r="O11">
            <v>7.2499999999999995E-2</v>
          </cell>
        </row>
        <row r="12">
          <cell r="O12">
            <v>57451255.172413796</v>
          </cell>
        </row>
        <row r="13">
          <cell r="O13">
            <v>0.5</v>
          </cell>
        </row>
        <row r="15">
          <cell r="O15">
            <v>28725627.586206898</v>
          </cell>
        </row>
        <row r="16">
          <cell r="O16">
            <v>6.9900000000000004E-2</v>
          </cell>
        </row>
        <row r="17">
          <cell r="O17">
            <v>-2007921.3682758622</v>
          </cell>
        </row>
        <row r="18">
          <cell r="O18">
            <v>1.9350977060397083</v>
          </cell>
        </row>
        <row r="19">
          <cell r="O19">
            <v>28725627.586206898</v>
          </cell>
        </row>
        <row r="20">
          <cell r="O20">
            <v>-24286723</v>
          </cell>
        </row>
        <row r="21">
          <cell r="O21">
            <v>4438904.5862068981</v>
          </cell>
        </row>
        <row r="24">
          <cell r="O24">
            <v>55031027.707750522</v>
          </cell>
        </row>
        <row r="26">
          <cell r="O26">
            <v>7.7499999999999999E-2</v>
          </cell>
        </row>
        <row r="27">
          <cell r="O27">
            <v>9.6732653906595134E-2</v>
          </cell>
        </row>
        <row r="29">
          <cell r="O29">
            <v>2.0024577085345499</v>
          </cell>
        </row>
        <row r="45">
          <cell r="I45">
            <v>-2007921.3972</v>
          </cell>
          <cell r="J45">
            <v>-2007921.3972</v>
          </cell>
          <cell r="K45">
            <v>-2007921.3972</v>
          </cell>
          <cell r="L45">
            <v>-2007921.3972</v>
          </cell>
          <cell r="M45">
            <v>-2007921.3972</v>
          </cell>
        </row>
        <row r="52">
          <cell r="H52">
            <v>6140135.3610764407</v>
          </cell>
        </row>
      </sheetData>
      <sheetData sheetId="4">
        <row r="7">
          <cell r="O7">
            <v>4264904.6473506652</v>
          </cell>
        </row>
        <row r="8">
          <cell r="O8">
            <v>316832.95264933608</v>
          </cell>
        </row>
        <row r="9">
          <cell r="O9">
            <v>4581737.6000000015</v>
          </cell>
        </row>
        <row r="11">
          <cell r="O11">
            <v>0.06</v>
          </cell>
        </row>
        <row r="12">
          <cell r="O12">
            <v>76362293.333333358</v>
          </cell>
        </row>
        <row r="13">
          <cell r="O13">
            <v>0.5</v>
          </cell>
        </row>
        <row r="15">
          <cell r="O15">
            <v>38181146.666666679</v>
          </cell>
        </row>
        <row r="16">
          <cell r="O16">
            <v>5.9299999999999999E-2</v>
          </cell>
        </row>
        <row r="17">
          <cell r="O17">
            <v>-2264141.9973333338</v>
          </cell>
        </row>
        <row r="19">
          <cell r="O19">
            <v>38181146.666666679</v>
          </cell>
        </row>
        <row r="20">
          <cell r="O20">
            <v>-28725628</v>
          </cell>
        </row>
        <row r="21">
          <cell r="O21">
            <v>9455518.6666666791</v>
          </cell>
        </row>
      </sheetData>
      <sheetData sheetId="5"/>
      <sheetData sheetId="6"/>
      <sheetData sheetId="7"/>
      <sheetData sheetId="8" refreshError="1"/>
      <sheetData sheetId="9" refreshError="1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culation"/>
      <sheetName val="BASE MODEL"/>
      <sheetName val="Refi "/>
      <sheetName val="Refi10"/>
      <sheetName val="Refi15"/>
      <sheetName val="Refi20 (3)"/>
      <sheetName val="Quiz"/>
      <sheetName val="Matrics"/>
      <sheetName val="Sheet7"/>
      <sheetName val="Sheet1"/>
    </sheetNames>
    <sheetDataSet>
      <sheetData sheetId="0">
        <row r="15">
          <cell r="F15">
            <v>28.368845335491024</v>
          </cell>
        </row>
      </sheetData>
      <sheetData sheetId="1"/>
      <sheetData sheetId="2"/>
      <sheetData sheetId="3">
        <row r="17">
          <cell r="O17">
            <v>-2264141.9973333338</v>
          </cell>
        </row>
        <row r="49">
          <cell r="M49">
            <v>11313700.663981887</v>
          </cell>
        </row>
      </sheetData>
      <sheetData sheetId="4">
        <row r="17">
          <cell r="O17">
            <v>-2730715.6096000015</v>
          </cell>
        </row>
        <row r="19">
          <cell r="O19">
            <v>45817376.000000022</v>
          </cell>
        </row>
        <row r="49">
          <cell r="R49">
            <v>9614478.1398852468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F03A-6C11-4A48-B228-F4DD577CDFAA}">
  <dimension ref="A2:N27"/>
  <sheetViews>
    <sheetView tabSelected="1" workbookViewId="0">
      <selection activeCell="M26" sqref="M26"/>
    </sheetView>
  </sheetViews>
  <sheetFormatPr baseColWidth="10" defaultColWidth="9.1640625" defaultRowHeight="15" x14ac:dyDescent="0.2"/>
  <cols>
    <col min="1" max="1" width="25" style="60" customWidth="1"/>
    <col min="2" max="2" width="13.33203125" style="60" customWidth="1"/>
    <col min="3" max="3" width="9.5" style="60" bestFit="1" customWidth="1"/>
    <col min="4" max="5" width="9.1640625" style="60"/>
    <col min="6" max="6" width="20" style="60" bestFit="1" customWidth="1"/>
    <col min="7" max="8" width="9.1640625" style="60"/>
    <col min="9" max="9" width="16.1640625" style="60" bestFit="1" customWidth="1"/>
    <col min="10" max="10" width="14.6640625" style="60" bestFit="1" customWidth="1"/>
    <col min="11" max="11" width="11.5" style="60" bestFit="1" customWidth="1"/>
    <col min="12" max="12" width="17.33203125" style="60" bestFit="1" customWidth="1"/>
    <col min="13" max="13" width="23" style="60" customWidth="1"/>
    <col min="14" max="14" width="17.1640625" style="60" customWidth="1"/>
    <col min="15" max="16384" width="9.1640625" style="60"/>
  </cols>
  <sheetData>
    <row r="2" spans="1:12" x14ac:dyDescent="0.2">
      <c r="A2" s="98" t="s">
        <v>59</v>
      </c>
      <c r="B2" s="98"/>
      <c r="C2" s="98"/>
      <c r="F2" s="98" t="s">
        <v>95</v>
      </c>
      <c r="G2" s="98"/>
      <c r="H2" s="98"/>
    </row>
    <row r="3" spans="1:12" x14ac:dyDescent="0.2">
      <c r="C3" s="93" t="s">
        <v>110</v>
      </c>
      <c r="F3" s="97"/>
      <c r="G3" s="97"/>
      <c r="I3" s="92" t="s">
        <v>104</v>
      </c>
      <c r="J3" s="92" t="s">
        <v>105</v>
      </c>
      <c r="K3" s="92" t="s">
        <v>106</v>
      </c>
      <c r="L3" s="92" t="s">
        <v>107</v>
      </c>
    </row>
    <row r="4" spans="1:12" x14ac:dyDescent="0.2">
      <c r="A4" s="60" t="s">
        <v>83</v>
      </c>
      <c r="C4" s="60">
        <f>48573445</f>
        <v>48573445</v>
      </c>
      <c r="F4" s="60" t="s">
        <v>96</v>
      </c>
      <c r="I4" s="60">
        <f>'[1]Refi '!O7</f>
        <v>3885524.0336587331</v>
      </c>
      <c r="J4" s="60">
        <f>[1]Refi10!O7</f>
        <v>4264904.6473506652</v>
      </c>
      <c r="K4" s="61">
        <f>Refi15!O7</f>
        <v>4680762.4941017982</v>
      </c>
      <c r="L4" s="61">
        <f>Refi20!O7</f>
        <v>5136512.6251412677</v>
      </c>
    </row>
    <row r="5" spans="1:12" x14ac:dyDescent="0.2">
      <c r="A5" s="60" t="s">
        <v>84</v>
      </c>
      <c r="C5" s="62">
        <f>50%</f>
        <v>0.5</v>
      </c>
      <c r="F5" s="63" t="s">
        <v>97</v>
      </c>
      <c r="I5" s="60">
        <f>'[1]Refi '!O8</f>
        <v>279691.96634126687</v>
      </c>
      <c r="J5" s="60">
        <f>[1]Refi10!O8</f>
        <v>316832.95264933608</v>
      </c>
      <c r="K5" s="61">
        <f>Refi15!O8</f>
        <v>359148.8658982038</v>
      </c>
      <c r="L5" s="61">
        <f>Refi20!O8</f>
        <v>407389.87085873482</v>
      </c>
    </row>
    <row r="6" spans="1:12" x14ac:dyDescent="0.2">
      <c r="A6" s="60" t="s">
        <v>85</v>
      </c>
      <c r="C6" s="60">
        <f>24286722.5</f>
        <v>24286722.5</v>
      </c>
      <c r="F6" s="63" t="s">
        <v>61</v>
      </c>
      <c r="I6" s="60">
        <f>'[1]Refi '!O9</f>
        <v>4165216</v>
      </c>
      <c r="J6" s="60">
        <f>[1]Refi10!O9</f>
        <v>4581737.6000000015</v>
      </c>
      <c r="K6" s="61">
        <f>Refi15!O9</f>
        <v>5039911.3600000022</v>
      </c>
      <c r="L6" s="61">
        <f>Refi20!O9</f>
        <v>5543902.4960000021</v>
      </c>
    </row>
    <row r="7" spans="1:12" x14ac:dyDescent="0.2">
      <c r="A7" s="60" t="s">
        <v>86</v>
      </c>
      <c r="C7" s="64">
        <f>7.5%</f>
        <v>7.4999999999999997E-2</v>
      </c>
      <c r="F7" s="63"/>
    </row>
    <row r="8" spans="1:12" x14ac:dyDescent="0.2">
      <c r="A8" s="60" t="s">
        <v>87</v>
      </c>
      <c r="C8" s="60">
        <v>1821504</v>
      </c>
      <c r="F8" s="63" t="s">
        <v>62</v>
      </c>
      <c r="I8" s="65">
        <f>'[1]Refi '!O11</f>
        <v>7.2499999999999995E-2</v>
      </c>
      <c r="J8" s="66">
        <f>[1]Refi10!O11</f>
        <v>0.06</v>
      </c>
      <c r="K8" s="67">
        <f>Refi15!O11</f>
        <v>5.5E-2</v>
      </c>
      <c r="L8" s="67">
        <f>Refi20!O11</f>
        <v>4.2500000000000003E-2</v>
      </c>
    </row>
    <row r="9" spans="1:12" x14ac:dyDescent="0.2">
      <c r="F9" s="63" t="s">
        <v>98</v>
      </c>
      <c r="I9" s="61">
        <f>'[1]Refi '!O12</f>
        <v>57451255.172413796</v>
      </c>
      <c r="J9" s="61">
        <f>[1]Refi10!O12</f>
        <v>76362293.333333358</v>
      </c>
      <c r="K9" s="61">
        <f>Refi15!O12</f>
        <v>91634752.000000045</v>
      </c>
      <c r="L9" s="61">
        <f>Refi20!O12</f>
        <v>130444764.61176474</v>
      </c>
    </row>
    <row r="10" spans="1:12" x14ac:dyDescent="0.2">
      <c r="A10" s="60" t="s">
        <v>88</v>
      </c>
      <c r="C10" s="60">
        <f>C6</f>
        <v>24286722.5</v>
      </c>
      <c r="F10" s="63" t="s">
        <v>99</v>
      </c>
      <c r="I10" s="65">
        <f>'[1]Refi '!O13</f>
        <v>0.5</v>
      </c>
      <c r="J10" s="69">
        <f>[1]Refi10!O13</f>
        <v>0.5</v>
      </c>
      <c r="K10" s="67">
        <f>Refi15!O13</f>
        <v>0.5</v>
      </c>
      <c r="L10" s="67">
        <f>Refi20!O13</f>
        <v>0.5</v>
      </c>
    </row>
    <row r="11" spans="1:12" x14ac:dyDescent="0.2">
      <c r="A11" s="60" t="s">
        <v>89</v>
      </c>
      <c r="C11" s="60">
        <v>3539487.2</v>
      </c>
      <c r="F11" s="63" t="s">
        <v>100</v>
      </c>
      <c r="I11" s="61">
        <f>'[1]Refi '!O15</f>
        <v>28725627.586206898</v>
      </c>
      <c r="J11" s="61">
        <f>[1]Refi10!O15</f>
        <v>38181146.666666679</v>
      </c>
      <c r="K11" s="61">
        <f>Refi15!O15</f>
        <v>45817376.000000022</v>
      </c>
      <c r="L11" s="61">
        <f>Refi20!O15</f>
        <v>65222382.305882372</v>
      </c>
    </row>
    <row r="12" spans="1:12" x14ac:dyDescent="0.2">
      <c r="A12" s="60" t="s">
        <v>90</v>
      </c>
      <c r="C12" s="67">
        <v>7.0699999999999999E-2</v>
      </c>
      <c r="F12" s="63" t="s">
        <v>101</v>
      </c>
      <c r="I12" s="65">
        <f>'[1]Refi '!O16</f>
        <v>6.9900000000000004E-2</v>
      </c>
      <c r="J12" s="71">
        <f>[1]Refi10!O16</f>
        <v>5.9299999999999999E-2</v>
      </c>
      <c r="K12" s="71">
        <f>5.96%</f>
        <v>5.96E-2</v>
      </c>
      <c r="L12" s="71">
        <f>Refi20!O16</f>
        <v>3.3099999999999997E-2</v>
      </c>
    </row>
    <row r="13" spans="1:12" x14ac:dyDescent="0.2">
      <c r="A13" s="60" t="s">
        <v>91</v>
      </c>
      <c r="C13" s="67">
        <v>7.7499999999999999E-2</v>
      </c>
      <c r="F13" s="63" t="s">
        <v>102</v>
      </c>
      <c r="I13" s="72">
        <f>'[1]Refi '!O17</f>
        <v>-2007921.3682758622</v>
      </c>
      <c r="J13" s="72">
        <f>[1]Refi10!O17</f>
        <v>-2264141.9973333338</v>
      </c>
      <c r="K13" s="72">
        <f>Refi15!O17</f>
        <v>-2730715.6096000015</v>
      </c>
      <c r="L13" s="72">
        <f>Refi20!O17</f>
        <v>-2158860.8543247064</v>
      </c>
    </row>
    <row r="14" spans="1:12" x14ac:dyDescent="0.2">
      <c r="F14" s="63" t="s">
        <v>78</v>
      </c>
      <c r="I14" s="73">
        <f>'[1]Refi '!O18</f>
        <v>1.9350977060397083</v>
      </c>
      <c r="J14" s="68">
        <f>Refi10!O18</f>
        <v>1.8836736619760572</v>
      </c>
      <c r="K14" s="74">
        <f>Refi15!O18</f>
        <v>1.71411569833427</v>
      </c>
      <c r="L14" s="75">
        <f>Refi20!O18</f>
        <v>2.3792698889563098</v>
      </c>
    </row>
    <row r="15" spans="1:12" x14ac:dyDescent="0.2">
      <c r="A15" s="60" t="s">
        <v>74</v>
      </c>
      <c r="C15" s="67">
        <v>7.7899999999999997E-2</v>
      </c>
      <c r="F15" s="73" t="s">
        <v>108</v>
      </c>
      <c r="I15" s="61">
        <f>'[1]Refi '!O19</f>
        <v>28725627.586206898</v>
      </c>
      <c r="J15" s="61">
        <f>[1]Refi10!O19</f>
        <v>38181146.666666679</v>
      </c>
      <c r="K15" s="61">
        <f>Refi15!O19</f>
        <v>45817376.000000022</v>
      </c>
      <c r="L15" s="61">
        <f>Refi20!O19</f>
        <v>65222382.305882372</v>
      </c>
    </row>
    <row r="16" spans="1:12" x14ac:dyDescent="0.2">
      <c r="A16" s="60" t="s">
        <v>41</v>
      </c>
      <c r="C16" s="80">
        <v>4264904.8899999997</v>
      </c>
      <c r="F16" s="60" t="s">
        <v>69</v>
      </c>
      <c r="I16" s="72">
        <f>'[1]Refi '!O20</f>
        <v>-24286723</v>
      </c>
      <c r="J16" s="72">
        <f>[1]Refi10!O20</f>
        <v>-28725628</v>
      </c>
      <c r="K16" s="72">
        <f>Refi15!O20</f>
        <v>-38181146.666666679</v>
      </c>
      <c r="L16" s="72">
        <f>Refi20!O20</f>
        <v>-45817376.000000022</v>
      </c>
    </row>
    <row r="17" spans="1:14" x14ac:dyDescent="0.2">
      <c r="A17" s="60" t="s">
        <v>92</v>
      </c>
      <c r="C17" s="60">
        <v>54748458.140000001</v>
      </c>
      <c r="F17" s="60" t="s">
        <v>70</v>
      </c>
      <c r="I17" s="73">
        <f>'[1]Refi '!O21</f>
        <v>4438904.5862068981</v>
      </c>
      <c r="J17" s="68">
        <f>[1]Refi10!O21</f>
        <v>9455518.6666666791</v>
      </c>
      <c r="K17" s="72">
        <f>Refi15!O21</f>
        <v>7636229.3333333433</v>
      </c>
      <c r="L17" s="70">
        <f>Refi20!O21</f>
        <v>19405006.30588235</v>
      </c>
    </row>
    <row r="18" spans="1:14" x14ac:dyDescent="0.2">
      <c r="A18" s="60" t="s">
        <v>69</v>
      </c>
      <c r="C18" s="60">
        <v>24286722.5</v>
      </c>
    </row>
    <row r="19" spans="1:14" x14ac:dyDescent="0.2">
      <c r="A19" s="60" t="s">
        <v>93</v>
      </c>
      <c r="C19" s="60">
        <v>30461735.640000001</v>
      </c>
    </row>
    <row r="20" spans="1:14" x14ac:dyDescent="0.2">
      <c r="F20" s="60" t="s">
        <v>40</v>
      </c>
      <c r="I20" s="65">
        <f>'[1]Refi '!O26</f>
        <v>7.7499999999999999E-2</v>
      </c>
      <c r="J20" s="67">
        <f>Refi10!O26</f>
        <v>6.5000000000000002E-2</v>
      </c>
      <c r="K20" s="67">
        <f>Refi15!O26</f>
        <v>0.06</v>
      </c>
      <c r="L20" s="67">
        <f>Refi20!O26</f>
        <v>4.7500000000000001E-2</v>
      </c>
    </row>
    <row r="21" spans="1:14" x14ac:dyDescent="0.2">
      <c r="A21" s="60" t="s">
        <v>94</v>
      </c>
      <c r="C21" s="71">
        <v>9.2499999999999999E-2</v>
      </c>
      <c r="F21" s="60" t="s">
        <v>96</v>
      </c>
      <c r="I21" s="60">
        <f>J4</f>
        <v>4264904.6473506652</v>
      </c>
      <c r="J21" s="60">
        <f>K4</f>
        <v>4680762.4941017982</v>
      </c>
      <c r="K21" s="61">
        <f>L4</f>
        <v>5136512.6251412677</v>
      </c>
      <c r="L21" s="70">
        <f>Refi20!AC44</f>
        <v>5635874.5381914759</v>
      </c>
    </row>
    <row r="22" spans="1:14" x14ac:dyDescent="0.2">
      <c r="A22" s="60" t="s">
        <v>58</v>
      </c>
      <c r="C22" s="60">
        <v>2.0299999999999998</v>
      </c>
      <c r="F22" s="60" t="s">
        <v>71</v>
      </c>
      <c r="I22" s="70">
        <f>'[1]Refi '!O24</f>
        <v>55031027.707750522</v>
      </c>
      <c r="J22" s="70">
        <f>Refi10!O23</f>
        <v>72011730.678489193</v>
      </c>
      <c r="K22" s="70">
        <f>Refi15!O23</f>
        <v>85608543.752354458</v>
      </c>
      <c r="L22" s="70">
        <f>Refi20!O23</f>
        <v>118649990.27771528</v>
      </c>
    </row>
    <row r="23" spans="1:14" x14ac:dyDescent="0.2">
      <c r="A23" s="60" t="s">
        <v>78</v>
      </c>
      <c r="C23" s="60">
        <v>1.94</v>
      </c>
      <c r="F23" s="60" t="s">
        <v>103</v>
      </c>
      <c r="I23" s="72">
        <f>J16</f>
        <v>-28725628</v>
      </c>
      <c r="J23" s="72">
        <f>K16</f>
        <v>-38181146.666666679</v>
      </c>
      <c r="K23" s="72">
        <f>L16</f>
        <v>-45817376.000000022</v>
      </c>
      <c r="L23" s="72">
        <f>-L9*L10</f>
        <v>-65222382.305882372</v>
      </c>
    </row>
    <row r="26" spans="1:14" x14ac:dyDescent="0.2">
      <c r="F26" s="76" t="s">
        <v>52</v>
      </c>
      <c r="G26" s="76"/>
      <c r="H26" s="76"/>
      <c r="I26" s="77">
        <f>'[1]Refi '!O27</f>
        <v>9.6732653906595134E-2</v>
      </c>
      <c r="J26" s="78">
        <f>Refi10!O27</f>
        <v>0.11872943126198177</v>
      </c>
      <c r="K26" s="78">
        <f>Refi15!O27</f>
        <v>0.12172588944597806</v>
      </c>
      <c r="L26" s="78">
        <f>Refi20!O27</f>
        <v>0.1298858031389849</v>
      </c>
      <c r="N26" s="67"/>
    </row>
    <row r="27" spans="1:14" x14ac:dyDescent="0.2">
      <c r="F27" s="76" t="s">
        <v>109</v>
      </c>
      <c r="G27" s="76"/>
      <c r="H27" s="76"/>
      <c r="I27" s="90">
        <f>'[1]Refi '!O29</f>
        <v>2.0024577085345499</v>
      </c>
      <c r="J27" s="79">
        <f>Refi10!O29</f>
        <v>3.1112554295975787</v>
      </c>
      <c r="K27" s="79">
        <f>Refi15!O29</f>
        <v>4.0699175889804744</v>
      </c>
      <c r="L27" s="79">
        <f>Refi20!O29</f>
        <v>6.0403432094279479</v>
      </c>
    </row>
  </sheetData>
  <mergeCells count="3">
    <mergeCell ref="F3:G3"/>
    <mergeCell ref="A2:C2"/>
    <mergeCell ref="F2:H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F560-505B-4008-9328-9A219C723C6C}">
  <dimension ref="A3:T16"/>
  <sheetViews>
    <sheetView workbookViewId="0">
      <selection activeCell="Q15" sqref="Q15"/>
    </sheetView>
  </sheetViews>
  <sheetFormatPr baseColWidth="10" defaultColWidth="9.1640625" defaultRowHeight="15" x14ac:dyDescent="0.2"/>
  <cols>
    <col min="1" max="1" width="11" style="1" customWidth="1"/>
    <col min="2" max="2" width="13.33203125" style="1" customWidth="1"/>
    <col min="3" max="5" width="9.1640625" style="1"/>
    <col min="6" max="6" width="9.5" style="1" bestFit="1" customWidth="1"/>
    <col min="7" max="10" width="9.1640625" style="1"/>
    <col min="11" max="11" width="17.83203125" style="1" customWidth="1"/>
    <col min="12" max="16384" width="9.1640625" style="1"/>
  </cols>
  <sheetData>
    <row r="3" spans="1:20" x14ac:dyDescent="0.2">
      <c r="A3" s="4" t="s">
        <v>30</v>
      </c>
      <c r="B3" s="2" t="s">
        <v>34</v>
      </c>
      <c r="C3" s="5" t="s">
        <v>4</v>
      </c>
      <c r="D3" s="6" t="s">
        <v>3</v>
      </c>
      <c r="E3" s="7" t="s">
        <v>31</v>
      </c>
      <c r="F3" s="99">
        <v>1992</v>
      </c>
      <c r="G3" s="99"/>
      <c r="J3" s="4" t="s">
        <v>30</v>
      </c>
      <c r="K3" s="94" t="s">
        <v>111</v>
      </c>
      <c r="L3" s="100" t="s">
        <v>34</v>
      </c>
      <c r="M3" s="100"/>
      <c r="N3" s="101" t="s">
        <v>4</v>
      </c>
      <c r="O3" s="101"/>
      <c r="P3" s="102" t="s">
        <v>3</v>
      </c>
      <c r="Q3" s="102"/>
      <c r="R3" s="7" t="s">
        <v>31</v>
      </c>
      <c r="S3" s="99">
        <v>1992</v>
      </c>
      <c r="T3" s="99"/>
    </row>
    <row r="5" spans="1:20" x14ac:dyDescent="0.2">
      <c r="A5" s="1">
        <v>9</v>
      </c>
      <c r="D5" s="1">
        <v>5302</v>
      </c>
      <c r="E5" s="1">
        <f>D5</f>
        <v>5302</v>
      </c>
      <c r="F5" s="8">
        <v>10</v>
      </c>
      <c r="G5" s="1">
        <f>E5*F5</f>
        <v>53020</v>
      </c>
      <c r="J5" s="1">
        <v>9</v>
      </c>
      <c r="K5" s="1">
        <v>10</v>
      </c>
      <c r="P5" s="1">
        <v>5302</v>
      </c>
      <c r="Q5" s="1">
        <f>P5*K5</f>
        <v>53020</v>
      </c>
      <c r="R5" s="1">
        <f>P5</f>
        <v>5302</v>
      </c>
      <c r="S5" s="8">
        <v>10</v>
      </c>
      <c r="T5" s="1">
        <f>R5*S5</f>
        <v>53020</v>
      </c>
    </row>
    <row r="6" spans="1:20" x14ac:dyDescent="0.2">
      <c r="A6" s="1">
        <v>8</v>
      </c>
      <c r="D6" s="1">
        <v>5302</v>
      </c>
      <c r="E6" s="1">
        <f t="shared" ref="E6:E8" si="0">D6</f>
        <v>5302</v>
      </c>
      <c r="F6" s="8">
        <v>10</v>
      </c>
      <c r="G6" s="1">
        <f t="shared" ref="G6:G14" si="1">E6*F6</f>
        <v>53020</v>
      </c>
      <c r="J6" s="1">
        <v>8</v>
      </c>
      <c r="K6" s="1">
        <v>10</v>
      </c>
      <c r="P6" s="1">
        <v>5302</v>
      </c>
      <c r="Q6" s="1">
        <f t="shared" ref="Q6:Q14" si="2">P6*K6</f>
        <v>53020</v>
      </c>
      <c r="R6" s="1">
        <f t="shared" ref="R6:R8" si="3">P6</f>
        <v>5302</v>
      </c>
      <c r="S6" s="8">
        <v>10</v>
      </c>
      <c r="T6" s="1">
        <f t="shared" ref="T6:T12" si="4">R6*S6</f>
        <v>53020</v>
      </c>
    </row>
    <row r="7" spans="1:20" x14ac:dyDescent="0.2">
      <c r="A7" s="1">
        <v>7</v>
      </c>
      <c r="D7" s="1">
        <v>5302</v>
      </c>
      <c r="E7" s="1">
        <f t="shared" si="0"/>
        <v>5302</v>
      </c>
      <c r="F7" s="8">
        <v>10</v>
      </c>
      <c r="G7" s="1">
        <f t="shared" si="1"/>
        <v>53020</v>
      </c>
      <c r="J7" s="1">
        <v>7</v>
      </c>
      <c r="K7" s="1">
        <v>10</v>
      </c>
      <c r="P7" s="1">
        <v>5302</v>
      </c>
      <c r="Q7" s="1">
        <f t="shared" si="2"/>
        <v>53020</v>
      </c>
      <c r="R7" s="1">
        <f t="shared" si="3"/>
        <v>5302</v>
      </c>
      <c r="S7" s="8">
        <v>10</v>
      </c>
      <c r="T7" s="1">
        <f t="shared" si="4"/>
        <v>53020</v>
      </c>
    </row>
    <row r="8" spans="1:20" x14ac:dyDescent="0.2">
      <c r="A8" s="1">
        <v>6</v>
      </c>
      <c r="D8" s="1">
        <v>5302</v>
      </c>
      <c r="E8" s="1">
        <f t="shared" si="0"/>
        <v>5302</v>
      </c>
      <c r="F8" s="8">
        <v>10</v>
      </c>
      <c r="G8" s="1">
        <f t="shared" si="1"/>
        <v>53020</v>
      </c>
      <c r="J8" s="1">
        <v>6</v>
      </c>
      <c r="K8" s="1">
        <v>10</v>
      </c>
      <c r="P8" s="1">
        <v>5302</v>
      </c>
      <c r="Q8" s="1">
        <f t="shared" si="2"/>
        <v>53020</v>
      </c>
      <c r="R8" s="1">
        <f t="shared" si="3"/>
        <v>5302</v>
      </c>
      <c r="S8" s="8">
        <v>10</v>
      </c>
      <c r="T8" s="1">
        <f t="shared" si="4"/>
        <v>53020</v>
      </c>
    </row>
    <row r="9" spans="1:20" x14ac:dyDescent="0.2">
      <c r="A9" s="1">
        <v>5</v>
      </c>
      <c r="C9" s="1">
        <v>9553</v>
      </c>
      <c r="D9" s="1">
        <v>5302</v>
      </c>
      <c r="E9" s="1">
        <f>D9+C9</f>
        <v>14855</v>
      </c>
      <c r="F9" s="8">
        <v>30</v>
      </c>
      <c r="G9" s="1">
        <f t="shared" si="1"/>
        <v>445650</v>
      </c>
      <c r="J9" s="1">
        <v>5</v>
      </c>
      <c r="K9" s="1">
        <v>30</v>
      </c>
      <c r="N9" s="1">
        <v>9553</v>
      </c>
      <c r="O9" s="1">
        <f>N9*K9</f>
        <v>286590</v>
      </c>
      <c r="P9" s="1">
        <v>5302</v>
      </c>
      <c r="Q9" s="1">
        <f t="shared" si="2"/>
        <v>159060</v>
      </c>
      <c r="R9" s="1">
        <f>P9+N9</f>
        <v>14855</v>
      </c>
      <c r="S9" s="8">
        <v>30</v>
      </c>
      <c r="T9" s="1">
        <f t="shared" si="4"/>
        <v>445650</v>
      </c>
    </row>
    <row r="10" spans="1:20" x14ac:dyDescent="0.2">
      <c r="A10" s="1">
        <v>4</v>
      </c>
      <c r="C10" s="1">
        <v>9553</v>
      </c>
      <c r="D10" s="1">
        <v>5302</v>
      </c>
      <c r="E10" s="1">
        <f>D10+C10</f>
        <v>14855</v>
      </c>
      <c r="F10" s="8">
        <v>30</v>
      </c>
      <c r="G10" s="1">
        <f t="shared" si="1"/>
        <v>445650</v>
      </c>
      <c r="J10" s="1">
        <v>4</v>
      </c>
      <c r="K10" s="1">
        <v>30</v>
      </c>
      <c r="N10" s="1">
        <v>9553</v>
      </c>
      <c r="O10" s="1">
        <f t="shared" ref="O10:O14" si="5">N10*K10</f>
        <v>286590</v>
      </c>
      <c r="P10" s="1">
        <v>5302</v>
      </c>
      <c r="Q10" s="1">
        <f t="shared" si="2"/>
        <v>159060</v>
      </c>
      <c r="R10" s="1">
        <f>P10+N10</f>
        <v>14855</v>
      </c>
      <c r="S10" s="8">
        <v>30</v>
      </c>
      <c r="T10" s="1">
        <f t="shared" si="4"/>
        <v>445650</v>
      </c>
    </row>
    <row r="11" spans="1:20" x14ac:dyDescent="0.2">
      <c r="A11" s="1">
        <v>3</v>
      </c>
      <c r="B11" s="1">
        <v>5785</v>
      </c>
      <c r="C11" s="1">
        <v>9553</v>
      </c>
      <c r="D11" s="1">
        <v>5302</v>
      </c>
      <c r="E11" s="1">
        <f>D11+C11+B11</f>
        <v>20640</v>
      </c>
      <c r="F11" s="8">
        <v>30</v>
      </c>
      <c r="G11" s="1">
        <f t="shared" si="1"/>
        <v>619200</v>
      </c>
      <c r="J11" s="1">
        <v>3</v>
      </c>
      <c r="K11" s="1">
        <v>30</v>
      </c>
      <c r="L11" s="1">
        <v>5785</v>
      </c>
      <c r="M11" s="1">
        <f>L11*K11</f>
        <v>173550</v>
      </c>
      <c r="N11" s="1">
        <v>9553</v>
      </c>
      <c r="O11" s="1">
        <f t="shared" si="5"/>
        <v>286590</v>
      </c>
      <c r="P11" s="1">
        <v>5302</v>
      </c>
      <c r="Q11" s="1">
        <f t="shared" si="2"/>
        <v>159060</v>
      </c>
      <c r="R11" s="1">
        <f>P11+N11+L11</f>
        <v>20640</v>
      </c>
      <c r="S11" s="8">
        <v>30</v>
      </c>
      <c r="T11" s="1">
        <f t="shared" si="4"/>
        <v>619200</v>
      </c>
    </row>
    <row r="12" spans="1:20" x14ac:dyDescent="0.2">
      <c r="A12" s="1">
        <v>2</v>
      </c>
      <c r="B12" s="1">
        <v>5785</v>
      </c>
      <c r="C12" s="1">
        <v>9553</v>
      </c>
      <c r="D12" s="1">
        <v>5302</v>
      </c>
      <c r="E12" s="1">
        <f t="shared" ref="E12:E14" si="6">D12+C12+B12</f>
        <v>20640</v>
      </c>
      <c r="F12" s="8">
        <v>30</v>
      </c>
      <c r="G12" s="1">
        <f t="shared" si="1"/>
        <v>619200</v>
      </c>
      <c r="J12" s="1">
        <v>2</v>
      </c>
      <c r="K12" s="1">
        <v>30</v>
      </c>
      <c r="L12" s="1">
        <v>5785</v>
      </c>
      <c r="M12" s="1">
        <f>L12*K12</f>
        <v>173550</v>
      </c>
      <c r="N12" s="1">
        <v>9553</v>
      </c>
      <c r="O12" s="1">
        <f t="shared" si="5"/>
        <v>286590</v>
      </c>
      <c r="P12" s="1">
        <v>5302</v>
      </c>
      <c r="Q12" s="1">
        <f t="shared" si="2"/>
        <v>159060</v>
      </c>
      <c r="R12" s="1">
        <f t="shared" ref="R12:R14" si="7">P12+N12+L12</f>
        <v>20640</v>
      </c>
      <c r="S12" s="8">
        <v>30</v>
      </c>
      <c r="T12" s="1">
        <f t="shared" si="4"/>
        <v>619200</v>
      </c>
    </row>
    <row r="13" spans="1:20" x14ac:dyDescent="0.2">
      <c r="A13" s="1" t="s">
        <v>32</v>
      </c>
      <c r="B13" s="1">
        <v>5785</v>
      </c>
      <c r="C13" s="1">
        <v>9553</v>
      </c>
      <c r="D13" s="1">
        <v>5302</v>
      </c>
      <c r="E13" s="1">
        <f t="shared" si="6"/>
        <v>20640</v>
      </c>
      <c r="F13" s="8">
        <v>60</v>
      </c>
      <c r="G13" s="1">
        <f t="shared" si="1"/>
        <v>1238400</v>
      </c>
      <c r="J13" s="1" t="s">
        <v>32</v>
      </c>
      <c r="K13" s="1">
        <v>425</v>
      </c>
      <c r="L13" s="1">
        <v>5785</v>
      </c>
      <c r="M13" s="1">
        <f>L13*K13</f>
        <v>2458625</v>
      </c>
      <c r="N13" s="1">
        <v>9553</v>
      </c>
      <c r="O13" s="1">
        <f t="shared" si="5"/>
        <v>4060025</v>
      </c>
      <c r="P13" s="1">
        <v>5302</v>
      </c>
      <c r="Q13" s="1">
        <f t="shared" si="2"/>
        <v>2253350</v>
      </c>
      <c r="R13" s="1">
        <f>P13+N13+L13</f>
        <v>20640</v>
      </c>
      <c r="S13" s="8">
        <v>60</v>
      </c>
      <c r="T13" s="1">
        <f>R13*K13</f>
        <v>8772000</v>
      </c>
    </row>
    <row r="14" spans="1:20" x14ac:dyDescent="0.2">
      <c r="A14" s="1" t="s">
        <v>33</v>
      </c>
      <c r="B14" s="1">
        <v>5785</v>
      </c>
      <c r="C14" s="1">
        <v>9551</v>
      </c>
      <c r="D14" s="1">
        <v>5302</v>
      </c>
      <c r="E14" s="1">
        <f t="shared" si="6"/>
        <v>20638</v>
      </c>
      <c r="F14" s="8">
        <v>10</v>
      </c>
      <c r="G14" s="1">
        <f t="shared" si="1"/>
        <v>206380</v>
      </c>
      <c r="J14" s="1" t="s">
        <v>33</v>
      </c>
      <c r="K14" s="1">
        <v>10</v>
      </c>
      <c r="L14" s="1">
        <v>5785</v>
      </c>
      <c r="M14" s="1">
        <f>L14*K14</f>
        <v>57850</v>
      </c>
      <c r="N14" s="1">
        <v>9551</v>
      </c>
      <c r="O14" s="1">
        <f t="shared" si="5"/>
        <v>95510</v>
      </c>
      <c r="P14" s="1">
        <v>5302</v>
      </c>
      <c r="Q14" s="1">
        <f t="shared" si="2"/>
        <v>53020</v>
      </c>
      <c r="R14" s="1">
        <f t="shared" si="7"/>
        <v>20638</v>
      </c>
      <c r="S14" s="8">
        <v>10</v>
      </c>
      <c r="T14" s="1">
        <f>R14*S14</f>
        <v>206380</v>
      </c>
    </row>
    <row r="15" spans="1:20" x14ac:dyDescent="0.2">
      <c r="B15" s="2">
        <f>SUM(B11:B14)</f>
        <v>23140</v>
      </c>
      <c r="C15" s="5">
        <f>SUM(C9:C14)</f>
        <v>57316</v>
      </c>
      <c r="D15" s="6">
        <f>SUM(D5:D14)</f>
        <v>53020</v>
      </c>
      <c r="E15" s="7">
        <f>SUM(E5:E14)</f>
        <v>133476</v>
      </c>
      <c r="F15" s="9">
        <f>G15/E15</f>
        <v>28.368845335491024</v>
      </c>
      <c r="G15" s="3">
        <f>SUM(G5:G14)</f>
        <v>3786560</v>
      </c>
      <c r="L15" s="2">
        <f>SUM(L11:L14)</f>
        <v>23140</v>
      </c>
      <c r="M15" s="2">
        <f>SUM(M11:M14)</f>
        <v>2863575</v>
      </c>
      <c r="N15" s="5">
        <f>SUM(N9:N14)</f>
        <v>57316</v>
      </c>
      <c r="O15" s="5">
        <f>SUM(O9:O14)</f>
        <v>5301895</v>
      </c>
      <c r="P15" s="6">
        <f>SUM(P5:P14)</f>
        <v>53020</v>
      </c>
      <c r="Q15" s="6">
        <f>SUM(Q5:Q14)</f>
        <v>3154690</v>
      </c>
      <c r="R15" s="7">
        <f>SUM(R5:R14)</f>
        <v>133476</v>
      </c>
      <c r="S15" s="9">
        <f>T15/R15</f>
        <v>84.810452815487423</v>
      </c>
      <c r="T15" s="3">
        <f>SUM(T5:T14)</f>
        <v>11320160</v>
      </c>
    </row>
    <row r="16" spans="1:20" x14ac:dyDescent="0.2">
      <c r="L16" s="19">
        <f>L15/R15</f>
        <v>0.17336449998501605</v>
      </c>
      <c r="M16" s="1">
        <f>M15/L15</f>
        <v>123.75</v>
      </c>
      <c r="N16" s="19">
        <f>N15/R15</f>
        <v>0.42941053073211666</v>
      </c>
      <c r="O16" s="11">
        <f>O15/N15</f>
        <v>92.502878777304772</v>
      </c>
      <c r="P16" s="19">
        <f>P15/R15</f>
        <v>0.39722496928286732</v>
      </c>
      <c r="Q16" s="11">
        <f>Q15/P15</f>
        <v>59.5</v>
      </c>
    </row>
  </sheetData>
  <mergeCells count="5">
    <mergeCell ref="F3:G3"/>
    <mergeCell ref="S3:T3"/>
    <mergeCell ref="L3:M3"/>
    <mergeCell ref="N3:O3"/>
    <mergeCell ref="P3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3269-33C0-4382-895E-B08BD0FF5D1E}">
  <dimension ref="B5:T59"/>
  <sheetViews>
    <sheetView zoomScale="81" zoomScaleNormal="81" workbookViewId="0">
      <selection activeCell="E13" sqref="E13"/>
    </sheetView>
  </sheetViews>
  <sheetFormatPr baseColWidth="10" defaultColWidth="9.1640625" defaultRowHeight="15" x14ac:dyDescent="0.2"/>
  <cols>
    <col min="1" max="1" width="9.1640625" style="1"/>
    <col min="2" max="2" width="34.6640625" style="1" customWidth="1"/>
    <col min="3" max="3" width="13.6640625" style="1" bestFit="1" customWidth="1"/>
    <col min="4" max="4" width="13.5" style="1" bestFit="1" customWidth="1"/>
    <col min="5" max="5" width="13.83203125" style="1" bestFit="1" customWidth="1"/>
    <col min="6" max="6" width="10.5" style="1" bestFit="1" customWidth="1"/>
    <col min="7" max="7" width="18.83203125" style="1" customWidth="1"/>
    <col min="8" max="9" width="12.1640625" style="1" bestFit="1" customWidth="1"/>
    <col min="10" max="10" width="16.83203125" style="1" bestFit="1" customWidth="1"/>
    <col min="11" max="11" width="13.33203125" style="1" bestFit="1" customWidth="1"/>
    <col min="12" max="12" width="12.1640625" style="1" bestFit="1" customWidth="1"/>
    <col min="13" max="13" width="13.33203125" style="1" bestFit="1" customWidth="1"/>
    <col min="14" max="14" width="16.33203125" style="1" customWidth="1"/>
    <col min="15" max="15" width="20.6640625" style="1" customWidth="1"/>
    <col min="16" max="16" width="9.1640625" style="1"/>
    <col min="17" max="17" width="13.83203125" style="1" customWidth="1"/>
    <col min="18" max="18" width="15.83203125" style="1" bestFit="1" customWidth="1"/>
    <col min="19" max="19" width="15" style="1" bestFit="1" customWidth="1"/>
    <col min="20" max="16384" width="9.1640625" style="1"/>
  </cols>
  <sheetData>
    <row r="5" spans="2:19" x14ac:dyDescent="0.2">
      <c r="B5" s="100" t="s">
        <v>0</v>
      </c>
      <c r="C5" s="100"/>
      <c r="D5" s="100"/>
      <c r="E5" s="100"/>
      <c r="G5" s="100" t="s">
        <v>38</v>
      </c>
      <c r="H5" s="100"/>
      <c r="I5" s="100"/>
      <c r="O5" s="103" t="s">
        <v>44</v>
      </c>
      <c r="P5" s="103"/>
      <c r="Q5" s="103"/>
    </row>
    <row r="7" spans="2:19" x14ac:dyDescent="0.2">
      <c r="B7" s="1" t="s">
        <v>1</v>
      </c>
      <c r="D7" s="18">
        <v>47332</v>
      </c>
      <c r="G7" s="1" t="s">
        <v>2</v>
      </c>
      <c r="I7" s="18">
        <f>D8</f>
        <v>48573445</v>
      </c>
      <c r="J7" s="18">
        <f>J8/J9</f>
        <v>22589953.580901854</v>
      </c>
      <c r="K7" s="15">
        <f>K8/K9</f>
        <v>24194353.693181816</v>
      </c>
      <c r="O7" s="1" t="s">
        <v>2</v>
      </c>
      <c r="Q7" s="17">
        <f>D8</f>
        <v>48573445</v>
      </c>
    </row>
    <row r="8" spans="2:19" x14ac:dyDescent="0.2">
      <c r="B8" s="1" t="s">
        <v>2</v>
      </c>
      <c r="D8" s="18">
        <v>48573445</v>
      </c>
      <c r="G8" s="1" t="s">
        <v>54</v>
      </c>
      <c r="I8" s="18">
        <f>D44</f>
        <v>1703282.5</v>
      </c>
      <c r="J8" s="18">
        <f>I8</f>
        <v>1703282.5</v>
      </c>
      <c r="K8" s="18">
        <f>I8</f>
        <v>1703282.5</v>
      </c>
      <c r="O8" s="1" t="s">
        <v>45</v>
      </c>
      <c r="P8" s="21">
        <v>0.5</v>
      </c>
      <c r="Q8" s="10">
        <f>-(24286723)</f>
        <v>-24286723</v>
      </c>
    </row>
    <row r="9" spans="2:19" x14ac:dyDescent="0.2">
      <c r="C9" s="1" t="s">
        <v>6</v>
      </c>
      <c r="D9" s="1" t="s">
        <v>7</v>
      </c>
      <c r="G9" s="1" t="s">
        <v>39</v>
      </c>
      <c r="I9" s="20">
        <f>7.29%</f>
        <v>7.2900000000000006E-2</v>
      </c>
      <c r="J9" s="16">
        <f>I9+0.0025</f>
        <v>7.5400000000000009E-2</v>
      </c>
      <c r="K9" s="16">
        <f>I9-0.0025</f>
        <v>7.0400000000000004E-2</v>
      </c>
      <c r="O9" s="1" t="s">
        <v>46</v>
      </c>
      <c r="Q9" s="22">
        <f>-Q8</f>
        <v>24286723</v>
      </c>
    </row>
    <row r="10" spans="2:19" x14ac:dyDescent="0.2">
      <c r="B10" s="1" t="s">
        <v>114</v>
      </c>
      <c r="C10" s="18"/>
      <c r="D10" s="11">
        <v>23</v>
      </c>
      <c r="I10" s="24"/>
    </row>
    <row r="11" spans="2:19" x14ac:dyDescent="0.2">
      <c r="B11" s="1" t="s">
        <v>115</v>
      </c>
      <c r="C11" s="18">
        <v>57316</v>
      </c>
      <c r="D11" s="1">
        <v>31.67</v>
      </c>
      <c r="G11" s="1" t="s">
        <v>40</v>
      </c>
      <c r="I11" s="20">
        <f>I9+0.005</f>
        <v>7.7900000000000011E-2</v>
      </c>
      <c r="J11" s="16">
        <f>I11+0.0025</f>
        <v>8.0400000000000013E-2</v>
      </c>
      <c r="K11" s="16">
        <f>I11-0.0025</f>
        <v>7.5400000000000009E-2</v>
      </c>
      <c r="O11" s="1" t="s">
        <v>47</v>
      </c>
      <c r="P11" s="16">
        <v>7.2900000000000006E-2</v>
      </c>
      <c r="Q11" s="18">
        <f>D44</f>
        <v>1703282.5</v>
      </c>
    </row>
    <row r="12" spans="2:19" x14ac:dyDescent="0.2">
      <c r="C12" s="18"/>
      <c r="D12" s="11"/>
      <c r="G12" s="1" t="s">
        <v>41</v>
      </c>
      <c r="I12" s="18">
        <f>N44</f>
        <v>1981730.2188015122</v>
      </c>
      <c r="J12" s="18">
        <f>I12</f>
        <v>1981730.2188015122</v>
      </c>
      <c r="K12" s="18">
        <f>I12</f>
        <v>1981730.2188015122</v>
      </c>
      <c r="O12" s="1" t="s">
        <v>48</v>
      </c>
      <c r="P12" s="19">
        <v>7.4999999999999997E-2</v>
      </c>
      <c r="Q12" s="22">
        <f>D45</f>
        <v>-1821504.2249999999</v>
      </c>
      <c r="R12" s="22">
        <f>D45</f>
        <v>-1821504.2249999999</v>
      </c>
      <c r="S12" s="22">
        <f>D45</f>
        <v>-1821504.2249999999</v>
      </c>
    </row>
    <row r="13" spans="2:19" x14ac:dyDescent="0.2">
      <c r="B13" s="1" t="s">
        <v>9</v>
      </c>
      <c r="C13" s="50">
        <f>SUM(C10:C12)</f>
        <v>57316</v>
      </c>
      <c r="D13" s="51">
        <f>Calculation!F15</f>
        <v>28.368845335491024</v>
      </c>
      <c r="G13" s="1" t="s">
        <v>51</v>
      </c>
      <c r="I13" s="15">
        <f>I12/I11</f>
        <v>25439412.308106698</v>
      </c>
      <c r="J13" s="15">
        <f>J12/J11</f>
        <v>24648385.805988953</v>
      </c>
      <c r="K13" s="15">
        <f>K12/K11</f>
        <v>26282894.148561165</v>
      </c>
      <c r="O13" s="1" t="s">
        <v>43</v>
      </c>
      <c r="P13" s="16">
        <f>D47</f>
        <v>-4.8677511988751984E-3</v>
      </c>
      <c r="Q13" s="22">
        <f>D46</f>
        <v>-118221.72499999986</v>
      </c>
      <c r="R13" s="22">
        <f>D46</f>
        <v>-118221.72499999986</v>
      </c>
      <c r="S13" s="22">
        <f>D46</f>
        <v>-118221.72499999986</v>
      </c>
    </row>
    <row r="14" spans="2:19" x14ac:dyDescent="0.2">
      <c r="D14" s="11"/>
    </row>
    <row r="15" spans="2:19" x14ac:dyDescent="0.2">
      <c r="B15" s="1" t="s">
        <v>24</v>
      </c>
      <c r="C15" s="12">
        <v>7</v>
      </c>
      <c r="D15" s="18">
        <f>C15*C13</f>
        <v>401212</v>
      </c>
      <c r="O15" s="1" t="s">
        <v>53</v>
      </c>
      <c r="Q15" s="18">
        <f>I13</f>
        <v>25439412.308106698</v>
      </c>
      <c r="R15" s="18">
        <f>J13</f>
        <v>24648385.805988953</v>
      </c>
      <c r="S15" s="15">
        <f>K13</f>
        <v>26282894.148561165</v>
      </c>
    </row>
    <row r="16" spans="2:19" x14ac:dyDescent="0.2">
      <c r="B16" s="1" t="s">
        <v>23</v>
      </c>
      <c r="C16" s="12">
        <v>12</v>
      </c>
      <c r="D16" s="18">
        <f>C16*$C13</f>
        <v>687792</v>
      </c>
      <c r="O16" s="1" t="s">
        <v>56</v>
      </c>
      <c r="Q16" s="22">
        <f>Q8</f>
        <v>-24286723</v>
      </c>
      <c r="R16" s="22">
        <f>Q8</f>
        <v>-24286723</v>
      </c>
      <c r="S16" s="22">
        <f>Q8</f>
        <v>-24286723</v>
      </c>
    </row>
    <row r="17" spans="2:19" x14ac:dyDescent="0.2">
      <c r="B17" s="1" t="s">
        <v>25</v>
      </c>
      <c r="C17" s="12">
        <v>1</v>
      </c>
      <c r="D17" s="18">
        <f>C17*$C13</f>
        <v>57316</v>
      </c>
      <c r="O17" s="1" t="s">
        <v>57</v>
      </c>
      <c r="Q17" s="18">
        <f>Q15+Q16</f>
        <v>1152689.3081066981</v>
      </c>
      <c r="R17" s="18">
        <f>R15+R16</f>
        <v>361662.80598895252</v>
      </c>
      <c r="S17" s="18">
        <f>S15+S16</f>
        <v>1996171.1485611647</v>
      </c>
    </row>
    <row r="18" spans="2:19" x14ac:dyDescent="0.2">
      <c r="B18" s="1" t="s">
        <v>36</v>
      </c>
      <c r="C18" s="12">
        <v>1</v>
      </c>
      <c r="D18" s="18">
        <f>(D33+D34+D35)*0.03</f>
        <v>54451.5</v>
      </c>
    </row>
    <row r="20" spans="2:19" ht="16" x14ac:dyDescent="0.2">
      <c r="B20" s="104" t="s">
        <v>8</v>
      </c>
      <c r="C20" s="104"/>
      <c r="D20" s="104"/>
    </row>
    <row r="21" spans="2:19" x14ac:dyDescent="0.2">
      <c r="F21" s="11"/>
      <c r="H21" s="18"/>
      <c r="O21" s="1" t="s">
        <v>55</v>
      </c>
      <c r="Q21" s="16">
        <f>J11</f>
        <v>8.0400000000000013E-2</v>
      </c>
      <c r="R21" s="16">
        <f>Q21+0.0025</f>
        <v>8.2900000000000015E-2</v>
      </c>
      <c r="S21" s="16">
        <f>I11</f>
        <v>7.7900000000000011E-2</v>
      </c>
    </row>
    <row r="22" spans="2:19" x14ac:dyDescent="0.2">
      <c r="B22" s="1" t="s">
        <v>10</v>
      </c>
      <c r="D22" s="13">
        <v>0.1</v>
      </c>
      <c r="O22" s="1" t="s">
        <v>52</v>
      </c>
      <c r="P22" s="16">
        <f>D53</f>
        <v>-0.27415436399284987</v>
      </c>
      <c r="S22" s="16"/>
    </row>
    <row r="23" spans="2:19" x14ac:dyDescent="0.2">
      <c r="B23" s="1" t="s">
        <v>11</v>
      </c>
      <c r="D23" s="14">
        <v>0.03</v>
      </c>
    </row>
    <row r="24" spans="2:19" x14ac:dyDescent="0.2">
      <c r="B24" s="1" t="s">
        <v>12</v>
      </c>
      <c r="D24" s="14">
        <v>4.4999999999999998E-2</v>
      </c>
    </row>
    <row r="25" spans="2:19" x14ac:dyDescent="0.2">
      <c r="B25" s="1" t="s">
        <v>13</v>
      </c>
      <c r="D25" s="13">
        <v>0.03</v>
      </c>
      <c r="H25" s="15"/>
    </row>
    <row r="27" spans="2:19" x14ac:dyDescent="0.2">
      <c r="B27" s="1" t="s">
        <v>14</v>
      </c>
      <c r="D27" s="18">
        <v>3539487</v>
      </c>
    </row>
    <row r="28" spans="2:19" x14ac:dyDescent="0.2">
      <c r="B28" s="1" t="s">
        <v>15</v>
      </c>
      <c r="D28" s="16">
        <v>7.4800000000000005E-2</v>
      </c>
    </row>
    <row r="29" spans="2:19" x14ac:dyDescent="0.2">
      <c r="B29" s="1" t="s">
        <v>16</v>
      </c>
      <c r="D29" s="16">
        <v>7.2900000000000006E-2</v>
      </c>
    </row>
    <row r="31" spans="2:19" x14ac:dyDescent="0.2">
      <c r="B31" s="1" t="s">
        <v>17</v>
      </c>
      <c r="D31" s="1">
        <v>1.03</v>
      </c>
      <c r="E31" s="1">
        <v>1.03</v>
      </c>
      <c r="F31" s="1">
        <v>1.03</v>
      </c>
      <c r="G31" s="1">
        <v>1.03</v>
      </c>
      <c r="H31" s="1">
        <v>1.03</v>
      </c>
      <c r="I31" s="1">
        <v>1.03</v>
      </c>
      <c r="J31" s="1">
        <v>1.03</v>
      </c>
      <c r="K31" s="1">
        <v>1.03</v>
      </c>
      <c r="L31" s="1">
        <v>1.03</v>
      </c>
      <c r="M31" s="1">
        <v>1.03</v>
      </c>
      <c r="N31" s="1">
        <v>1.03</v>
      </c>
    </row>
    <row r="32" spans="2:19" x14ac:dyDescent="0.2">
      <c r="D32" s="1">
        <v>1</v>
      </c>
      <c r="E32" s="1">
        <v>2</v>
      </c>
      <c r="F32" s="1">
        <v>3</v>
      </c>
      <c r="G32" s="1">
        <v>4</v>
      </c>
      <c r="H32" s="1">
        <v>5</v>
      </c>
      <c r="I32" s="1">
        <v>6</v>
      </c>
      <c r="J32" s="1">
        <v>7</v>
      </c>
      <c r="K32" s="1">
        <v>8</v>
      </c>
      <c r="L32" s="1">
        <v>9</v>
      </c>
      <c r="M32" s="1">
        <v>10</v>
      </c>
      <c r="N32" s="1">
        <v>11</v>
      </c>
    </row>
    <row r="33" spans="2:14" x14ac:dyDescent="0.2">
      <c r="B33" s="1" t="s">
        <v>18</v>
      </c>
      <c r="D33" s="18">
        <f>$C10*$D10</f>
        <v>0</v>
      </c>
      <c r="E33" s="18">
        <f>$C10*$D10</f>
        <v>0</v>
      </c>
      <c r="F33" s="18">
        <f>$C10*$D10</f>
        <v>0</v>
      </c>
      <c r="G33" s="18">
        <f>$C10*$D10</f>
        <v>0</v>
      </c>
      <c r="H33" s="18">
        <f>$C10*$D10</f>
        <v>0</v>
      </c>
      <c r="I33" s="1">
        <f>$C10*$D10*1.1</f>
        <v>0</v>
      </c>
      <c r="J33" s="1">
        <f>$C10*$D10*1.1</f>
        <v>0</v>
      </c>
      <c r="K33" s="1">
        <f>$C10*$D10*1.1</f>
        <v>0</v>
      </c>
      <c r="L33" s="1">
        <f>$C10*$D10*1.1</f>
        <v>0</v>
      </c>
      <c r="M33" s="1">
        <f>$C10*$D10*1.1</f>
        <v>0</v>
      </c>
      <c r="N33" s="1">
        <f>M33*1.1</f>
        <v>0</v>
      </c>
    </row>
    <row r="34" spans="2:14" x14ac:dyDescent="0.2">
      <c r="B34" s="1" t="s">
        <v>19</v>
      </c>
      <c r="D34" s="15">
        <f>1815050</f>
        <v>1815050</v>
      </c>
      <c r="E34" s="15">
        <f>D34</f>
        <v>1815050</v>
      </c>
      <c r="F34" s="15">
        <f t="shared" ref="F34:M34" si="0">E34</f>
        <v>1815050</v>
      </c>
      <c r="G34" s="15">
        <f t="shared" si="0"/>
        <v>1815050</v>
      </c>
      <c r="H34" s="15">
        <f t="shared" si="0"/>
        <v>1815050</v>
      </c>
      <c r="I34" s="15">
        <f>H34*1.1</f>
        <v>1996555.0000000002</v>
      </c>
      <c r="J34" s="15">
        <f t="shared" si="0"/>
        <v>1996555.0000000002</v>
      </c>
      <c r="K34" s="15">
        <f t="shared" si="0"/>
        <v>1996555.0000000002</v>
      </c>
      <c r="L34" s="15">
        <f t="shared" si="0"/>
        <v>1996555.0000000002</v>
      </c>
      <c r="M34" s="15">
        <f t="shared" si="0"/>
        <v>1996555.0000000002</v>
      </c>
      <c r="N34" s="15">
        <f>M34*1.1</f>
        <v>2196210.5000000005</v>
      </c>
    </row>
    <row r="35" spans="2:14" x14ac:dyDescent="0.2">
      <c r="B35" s="1" t="s">
        <v>20</v>
      </c>
      <c r="D35" s="1">
        <f>$C12*$D12</f>
        <v>0</v>
      </c>
      <c r="E35" s="1">
        <f>$C12*$D12</f>
        <v>0</v>
      </c>
      <c r="F35" s="1">
        <f>$C12*$D12</f>
        <v>0</v>
      </c>
      <c r="G35" s="1">
        <f>$C12*$D12</f>
        <v>0</v>
      </c>
      <c r="H35" s="1">
        <f>$C12*$D12</f>
        <v>0</v>
      </c>
      <c r="I35" s="1">
        <f>$C12*$D12*1.1</f>
        <v>0</v>
      </c>
      <c r="J35" s="1">
        <f>$C12*$D12*1.1</f>
        <v>0</v>
      </c>
      <c r="K35" s="1">
        <f>$C12*$D12*1.1</f>
        <v>0</v>
      </c>
      <c r="L35" s="1">
        <f>$C12*$D12*1.1</f>
        <v>0</v>
      </c>
      <c r="M35" s="1">
        <f>$C12*$D12*1.1</f>
        <v>0</v>
      </c>
      <c r="N35" s="15">
        <f>M35*1.1</f>
        <v>0</v>
      </c>
    </row>
    <row r="36" spans="2:14" x14ac:dyDescent="0.2">
      <c r="B36" s="1" t="s">
        <v>21</v>
      </c>
      <c r="D36" s="1">
        <f>C13*7</f>
        <v>401212</v>
      </c>
      <c r="E36" s="15">
        <f t="shared" ref="E36:N36" si="1">D36*1.03</f>
        <v>413248.36</v>
      </c>
      <c r="F36" s="15">
        <f t="shared" si="1"/>
        <v>425645.81079999998</v>
      </c>
      <c r="G36" s="15">
        <f t="shared" si="1"/>
        <v>438415.18512400001</v>
      </c>
      <c r="H36" s="15">
        <f t="shared" si="1"/>
        <v>451567.64067772002</v>
      </c>
      <c r="I36" s="15">
        <f t="shared" si="1"/>
        <v>465114.66989805165</v>
      </c>
      <c r="J36" s="15">
        <f t="shared" si="1"/>
        <v>479068.1099949932</v>
      </c>
      <c r="K36" s="15">
        <f t="shared" si="1"/>
        <v>493440.15329484298</v>
      </c>
      <c r="L36" s="15">
        <f t="shared" si="1"/>
        <v>508243.35789368825</v>
      </c>
      <c r="M36" s="15">
        <f t="shared" si="1"/>
        <v>523490.65863049892</v>
      </c>
      <c r="N36" s="15">
        <f t="shared" si="1"/>
        <v>539195.37838941393</v>
      </c>
    </row>
    <row r="37" spans="2:14" x14ac:dyDescent="0.2">
      <c r="B37" s="1" t="s">
        <v>22</v>
      </c>
      <c r="D37" s="15">
        <f>$D16</f>
        <v>687792</v>
      </c>
      <c r="E37" s="15">
        <f>$D16*1.045</f>
        <v>718742.6399999999</v>
      </c>
      <c r="F37" s="15">
        <f t="shared" ref="F37:N37" si="2">E37*1.045</f>
        <v>751086.05879999988</v>
      </c>
      <c r="G37" s="15">
        <f t="shared" si="2"/>
        <v>784884.93144599977</v>
      </c>
      <c r="H37" s="15">
        <f t="shared" si="2"/>
        <v>820204.75336106971</v>
      </c>
      <c r="I37" s="15">
        <f t="shared" si="2"/>
        <v>857113.96726231778</v>
      </c>
      <c r="J37" s="15">
        <f t="shared" si="2"/>
        <v>895684.09578912205</v>
      </c>
      <c r="K37" s="15">
        <f t="shared" si="2"/>
        <v>935989.88009963243</v>
      </c>
      <c r="L37" s="15">
        <f t="shared" si="2"/>
        <v>978109.42470411584</v>
      </c>
      <c r="M37" s="15">
        <f t="shared" si="2"/>
        <v>1022124.348815801</v>
      </c>
      <c r="N37" s="15">
        <f t="shared" si="2"/>
        <v>1068119.9445125118</v>
      </c>
    </row>
    <row r="38" spans="2:14" x14ac:dyDescent="0.2">
      <c r="B38" s="1" t="s">
        <v>26</v>
      </c>
      <c r="D38" s="1">
        <f>SUM(D33:D37)</f>
        <v>2904054</v>
      </c>
      <c r="E38" s="15">
        <f t="shared" ref="E38:N38" si="3">SUM(E33:E37)</f>
        <v>2947041</v>
      </c>
      <c r="F38" s="15">
        <f t="shared" si="3"/>
        <v>2991781.8695999999</v>
      </c>
      <c r="G38" s="15">
        <f t="shared" si="3"/>
        <v>3038350.1165699996</v>
      </c>
      <c r="H38" s="15">
        <f t="shared" si="3"/>
        <v>3086822.3940387894</v>
      </c>
      <c r="I38" s="15">
        <f t="shared" si="3"/>
        <v>3318783.6371603697</v>
      </c>
      <c r="J38" s="15">
        <f t="shared" si="3"/>
        <v>3371307.2057841155</v>
      </c>
      <c r="K38" s="15">
        <f t="shared" si="3"/>
        <v>3425985.0333944755</v>
      </c>
      <c r="L38" s="15">
        <f t="shared" si="3"/>
        <v>3482907.7825978044</v>
      </c>
      <c r="M38" s="15">
        <f t="shared" si="3"/>
        <v>3542170.0074463002</v>
      </c>
      <c r="N38" s="15">
        <f t="shared" si="3"/>
        <v>3803525.822901926</v>
      </c>
    </row>
    <row r="40" spans="2:14" x14ac:dyDescent="0.2">
      <c r="B40" s="1" t="s">
        <v>27</v>
      </c>
      <c r="D40" s="10">
        <f t="shared" ref="D40:N40" si="4">-(D36)</f>
        <v>-401212</v>
      </c>
      <c r="E40" s="10">
        <f t="shared" si="4"/>
        <v>-413248.36</v>
      </c>
      <c r="F40" s="10">
        <f t="shared" si="4"/>
        <v>-425645.81079999998</v>
      </c>
      <c r="G40" s="10">
        <f t="shared" si="4"/>
        <v>-438415.18512400001</v>
      </c>
      <c r="H40" s="10">
        <f t="shared" si="4"/>
        <v>-451567.64067772002</v>
      </c>
      <c r="I40" s="10">
        <f t="shared" si="4"/>
        <v>-465114.66989805165</v>
      </c>
      <c r="J40" s="10">
        <f t="shared" si="4"/>
        <v>-479068.1099949932</v>
      </c>
      <c r="K40" s="10">
        <f t="shared" si="4"/>
        <v>-493440.15329484298</v>
      </c>
      <c r="L40" s="10">
        <f t="shared" si="4"/>
        <v>-508243.35789368825</v>
      </c>
      <c r="M40" s="10">
        <f t="shared" si="4"/>
        <v>-523490.65863049892</v>
      </c>
      <c r="N40" s="10">
        <f t="shared" si="4"/>
        <v>-539195.37838941393</v>
      </c>
    </row>
    <row r="41" spans="2:14" x14ac:dyDescent="0.2">
      <c r="B41" s="1" t="s">
        <v>28</v>
      </c>
      <c r="D41" s="10">
        <f>-(D37)</f>
        <v>-687792</v>
      </c>
      <c r="E41" s="10">
        <f>-(E37)</f>
        <v>-718742.6399999999</v>
      </c>
      <c r="F41" s="10">
        <f>-(F37)</f>
        <v>-751086.05879999988</v>
      </c>
      <c r="G41" s="10">
        <f t="shared" ref="G41:N41" si="5">-G37</f>
        <v>-784884.93144599977</v>
      </c>
      <c r="H41" s="10">
        <f t="shared" si="5"/>
        <v>-820204.75336106971</v>
      </c>
      <c r="I41" s="10">
        <f t="shared" si="5"/>
        <v>-857113.96726231778</v>
      </c>
      <c r="J41" s="10">
        <f t="shared" si="5"/>
        <v>-895684.09578912205</v>
      </c>
      <c r="K41" s="10">
        <f t="shared" si="5"/>
        <v>-935989.88009963243</v>
      </c>
      <c r="L41" s="10">
        <f t="shared" si="5"/>
        <v>-978109.42470411584</v>
      </c>
      <c r="M41" s="10">
        <f t="shared" si="5"/>
        <v>-1022124.348815801</v>
      </c>
      <c r="N41" s="10">
        <f t="shared" si="5"/>
        <v>-1068119.9445125118</v>
      </c>
    </row>
    <row r="42" spans="2:14" x14ac:dyDescent="0.2">
      <c r="B42" s="1" t="s">
        <v>36</v>
      </c>
      <c r="D42" s="10">
        <f>-(D18)</f>
        <v>-54451.5</v>
      </c>
      <c r="E42" s="10">
        <f t="shared" ref="E42:H42" si="6">-(113597)</f>
        <v>-113597</v>
      </c>
      <c r="F42" s="10">
        <f t="shared" si="6"/>
        <v>-113597</v>
      </c>
      <c r="G42" s="10">
        <f t="shared" si="6"/>
        <v>-113597</v>
      </c>
      <c r="H42" s="10">
        <f t="shared" si="6"/>
        <v>-113597</v>
      </c>
      <c r="I42" s="10">
        <f>H42*1.1</f>
        <v>-124956.70000000001</v>
      </c>
      <c r="J42" s="10">
        <f>I42</f>
        <v>-124956.70000000001</v>
      </c>
      <c r="K42" s="10">
        <f>J42</f>
        <v>-124956.70000000001</v>
      </c>
      <c r="L42" s="10">
        <f>K42</f>
        <v>-124956.70000000001</v>
      </c>
      <c r="M42" s="10">
        <f>L42</f>
        <v>-124956.70000000001</v>
      </c>
      <c r="N42" s="10">
        <f>M42*1.1</f>
        <v>-137452.37000000002</v>
      </c>
    </row>
    <row r="43" spans="2:14" x14ac:dyDescent="0.2">
      <c r="B43" s="1" t="s">
        <v>29</v>
      </c>
      <c r="D43" s="10">
        <f>-(D17)</f>
        <v>-57316</v>
      </c>
      <c r="E43" s="10">
        <f>D43*1.03</f>
        <v>-59035.48</v>
      </c>
      <c r="F43" s="10">
        <f t="shared" ref="F43:N43" si="7">E43*1.03</f>
        <v>-60806.544400000006</v>
      </c>
      <c r="G43" s="10">
        <f t="shared" si="7"/>
        <v>-62630.740732000006</v>
      </c>
      <c r="H43" s="10">
        <f t="shared" si="7"/>
        <v>-64509.662953960011</v>
      </c>
      <c r="I43" s="10">
        <f t="shared" si="7"/>
        <v>-66444.952842578816</v>
      </c>
      <c r="J43" s="10">
        <f t="shared" si="7"/>
        <v>-68438.301427856175</v>
      </c>
      <c r="K43" s="10">
        <f t="shared" si="7"/>
        <v>-70491.450470691867</v>
      </c>
      <c r="L43" s="10">
        <f t="shared" si="7"/>
        <v>-72606.19398481262</v>
      </c>
      <c r="M43" s="10">
        <f t="shared" si="7"/>
        <v>-74784.379804356999</v>
      </c>
      <c r="N43" s="10">
        <f t="shared" si="7"/>
        <v>-77027.911198487709</v>
      </c>
    </row>
    <row r="44" spans="2:14" x14ac:dyDescent="0.2">
      <c r="B44" s="1" t="s">
        <v>35</v>
      </c>
      <c r="D44" s="18">
        <f>SUM(D38:D43)</f>
        <v>1703282.5</v>
      </c>
      <c r="E44" s="18">
        <f>SUM(E38:E43)</f>
        <v>1642417.5200000003</v>
      </c>
      <c r="F44" s="18">
        <f>SUM(F38:F43)</f>
        <v>1640646.4556</v>
      </c>
      <c r="G44" s="18">
        <f t="shared" ref="G44:N44" si="8">SUM(G38:G43)</f>
        <v>1638822.2592679998</v>
      </c>
      <c r="H44" s="18">
        <f t="shared" si="8"/>
        <v>1636943.33704604</v>
      </c>
      <c r="I44" s="18">
        <f t="shared" si="8"/>
        <v>1805153.3471574213</v>
      </c>
      <c r="J44" s="18">
        <f t="shared" si="8"/>
        <v>1803159.9985721444</v>
      </c>
      <c r="K44" s="18">
        <f t="shared" si="8"/>
        <v>1801106.8495293083</v>
      </c>
      <c r="L44" s="18">
        <f t="shared" si="8"/>
        <v>1798992.1060151879</v>
      </c>
      <c r="M44" s="18">
        <f t="shared" si="8"/>
        <v>1796813.9201956436</v>
      </c>
      <c r="N44" s="18">
        <f t="shared" si="8"/>
        <v>1981730.2188015122</v>
      </c>
    </row>
    <row r="45" spans="2:14" x14ac:dyDescent="0.2">
      <c r="B45" s="1" t="s">
        <v>42</v>
      </c>
      <c r="D45" s="10">
        <f t="shared" ref="D45:N45" si="9">$P12*$Q8</f>
        <v>-1821504.2249999999</v>
      </c>
      <c r="E45" s="10">
        <f t="shared" si="9"/>
        <v>-1821504.2249999999</v>
      </c>
      <c r="F45" s="10">
        <f t="shared" si="9"/>
        <v>-1821504.2249999999</v>
      </c>
      <c r="G45" s="10">
        <f t="shared" si="9"/>
        <v>-1821504.2249999999</v>
      </c>
      <c r="H45" s="10">
        <f t="shared" si="9"/>
        <v>-1821504.2249999999</v>
      </c>
      <c r="I45" s="10">
        <f t="shared" si="9"/>
        <v>-1821504.2249999999</v>
      </c>
      <c r="J45" s="10">
        <f t="shared" si="9"/>
        <v>-1821504.2249999999</v>
      </c>
      <c r="K45" s="10">
        <f t="shared" si="9"/>
        <v>-1821504.2249999999</v>
      </c>
      <c r="L45" s="10">
        <f t="shared" si="9"/>
        <v>-1821504.2249999999</v>
      </c>
      <c r="M45" s="10">
        <f t="shared" si="9"/>
        <v>-1821504.2249999999</v>
      </c>
      <c r="N45" s="10">
        <f t="shared" si="9"/>
        <v>-1821504.2249999999</v>
      </c>
    </row>
    <row r="46" spans="2:14" x14ac:dyDescent="0.2">
      <c r="B46" s="1" t="s">
        <v>43</v>
      </c>
      <c r="D46" s="10">
        <f>SUM(D44:D45)</f>
        <v>-118221.72499999986</v>
      </c>
      <c r="E46" s="10">
        <f>SUM(E44:E45)</f>
        <v>-179086.70499999961</v>
      </c>
      <c r="F46" s="10">
        <f>SUM(F44:F45)</f>
        <v>-180857.76939999987</v>
      </c>
      <c r="G46" s="10">
        <f t="shared" ref="G46:L46" si="10">SUM(G44:G45)</f>
        <v>-182681.96573200007</v>
      </c>
      <c r="H46" s="15">
        <f>SUM(H44:H45)</f>
        <v>-184560.88795395987</v>
      </c>
      <c r="I46" s="10">
        <f t="shared" si="10"/>
        <v>-16350.877842578571</v>
      </c>
      <c r="J46" s="10">
        <f t="shared" si="10"/>
        <v>-18344.226427855436</v>
      </c>
      <c r="K46" s="10">
        <f t="shared" si="10"/>
        <v>-20397.375470691593</v>
      </c>
      <c r="L46" s="10">
        <f t="shared" si="10"/>
        <v>-22512.118984811939</v>
      </c>
      <c r="M46" s="10">
        <f>SUM(M44:M45)</f>
        <v>-24690.304804356303</v>
      </c>
      <c r="N46" s="85">
        <f>SUM(N44:N45)</f>
        <v>160225.99380151229</v>
      </c>
    </row>
    <row r="47" spans="2:14" x14ac:dyDescent="0.2">
      <c r="B47" s="1" t="s">
        <v>49</v>
      </c>
      <c r="D47" s="81">
        <f t="shared" ref="D47:M47" si="11">D46/$Q9</f>
        <v>-4.8677511988751984E-3</v>
      </c>
      <c r="E47" s="86">
        <f t="shared" si="11"/>
        <v>-7.3738521660579575E-3</v>
      </c>
      <c r="F47" s="86">
        <f t="shared" si="11"/>
        <v>-7.4467753183498605E-3</v>
      </c>
      <c r="G47" s="86">
        <f t="shared" si="11"/>
        <v>-7.5218861652105173E-3</v>
      </c>
      <c r="H47" s="86">
        <f t="shared" si="11"/>
        <v>-7.5992503374769779E-3</v>
      </c>
      <c r="I47" s="86">
        <f t="shared" si="11"/>
        <v>-6.7324347721092596E-4</v>
      </c>
      <c r="J47" s="86">
        <f t="shared" si="11"/>
        <v>-7.5531912756840165E-4</v>
      </c>
      <c r="K47" s="86">
        <f t="shared" si="11"/>
        <v>-8.3985704743664235E-4</v>
      </c>
      <c r="L47" s="86">
        <f t="shared" si="11"/>
        <v>-9.269311049008934E-4</v>
      </c>
      <c r="M47" s="86">
        <f t="shared" si="11"/>
        <v>-1.0166173840890887E-3</v>
      </c>
      <c r="N47" s="86"/>
    </row>
    <row r="48" spans="2:14" x14ac:dyDescent="0.2">
      <c r="D48" s="25">
        <f>AVERAGE(D47:M47)</f>
        <v>-3.9021483327176471E-3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</row>
    <row r="49" spans="2:20" x14ac:dyDescent="0.2">
      <c r="B49" s="1" t="s">
        <v>37</v>
      </c>
      <c r="D49" s="15">
        <f>D44/$I9</f>
        <v>23364643.347050752</v>
      </c>
      <c r="E49" s="15">
        <f t="shared" ref="E49:N49" si="12">E44/$I9</f>
        <v>22529732.78463649</v>
      </c>
      <c r="F49" s="15">
        <f t="shared" si="12"/>
        <v>22505438.348422494</v>
      </c>
      <c r="G49" s="15">
        <f t="shared" si="12"/>
        <v>22480415.079122081</v>
      </c>
      <c r="H49" s="15">
        <f t="shared" si="12"/>
        <v>22454641.11174266</v>
      </c>
      <c r="I49" s="15">
        <f t="shared" si="12"/>
        <v>24762048.657852143</v>
      </c>
      <c r="J49" s="15">
        <f t="shared" si="12"/>
        <v>24734705.055859316</v>
      </c>
      <c r="K49" s="15">
        <f t="shared" si="12"/>
        <v>24706541.145806696</v>
      </c>
      <c r="L49" s="15">
        <f t="shared" si="12"/>
        <v>24677532.318452507</v>
      </c>
      <c r="M49" s="15">
        <f t="shared" si="12"/>
        <v>24647653.226277687</v>
      </c>
      <c r="N49" s="15">
        <f t="shared" si="12"/>
        <v>27184227.967098929</v>
      </c>
    </row>
    <row r="50" spans="2:20" x14ac:dyDescent="0.2">
      <c r="D50" s="20">
        <f t="shared" ref="D50:N50" si="13">D44/$I7</f>
        <v>3.5066125122482049E-2</v>
      </c>
      <c r="E50" s="20">
        <f t="shared" si="13"/>
        <v>3.3813074613093644E-2</v>
      </c>
      <c r="F50" s="20">
        <f t="shared" si="13"/>
        <v>3.3776613036197042E-2</v>
      </c>
      <c r="G50" s="20">
        <f t="shared" si="13"/>
        <v>3.3739057611993542E-2</v>
      </c>
      <c r="H50" s="20">
        <f t="shared" si="13"/>
        <v>3.3700375525063955E-2</v>
      </c>
      <c r="I50" s="20">
        <f t="shared" si="13"/>
        <v>3.7163379026491146E-2</v>
      </c>
      <c r="J50" s="20">
        <f t="shared" si="13"/>
        <v>3.7122341200467548E-2</v>
      </c>
      <c r="K50" s="20">
        <f t="shared" si="13"/>
        <v>3.7080072239663218E-2</v>
      </c>
      <c r="L50" s="20">
        <f t="shared" si="13"/>
        <v>3.7036535210034784E-2</v>
      </c>
      <c r="M50" s="20">
        <f t="shared" si="13"/>
        <v>3.6991692069517482E-2</v>
      </c>
      <c r="N50" s="20">
        <f t="shared" si="13"/>
        <v>4.0798634290845792E-2</v>
      </c>
    </row>
    <row r="51" spans="2:20" x14ac:dyDescent="0.2">
      <c r="D51" s="82">
        <f>(SUM(D50:M50)/10)*100</f>
        <v>3.5548926565500438</v>
      </c>
    </row>
    <row r="52" spans="2:20" x14ac:dyDescent="0.2">
      <c r="B52" s="1" t="s">
        <v>50</v>
      </c>
      <c r="C52" s="22">
        <f>Q8</f>
        <v>-24286723</v>
      </c>
      <c r="D52" s="22">
        <f>D46</f>
        <v>-118221.72499999986</v>
      </c>
      <c r="E52" s="22">
        <f t="shared" ref="E52:L52" si="14">E46</f>
        <v>-179086.70499999961</v>
      </c>
      <c r="F52" s="22">
        <f t="shared" si="14"/>
        <v>-180857.76939999987</v>
      </c>
      <c r="G52" s="22">
        <f t="shared" si="14"/>
        <v>-182681.96573200007</v>
      </c>
      <c r="H52" s="22">
        <f t="shared" si="14"/>
        <v>-184560.88795395987</v>
      </c>
      <c r="I52" s="22">
        <f t="shared" si="14"/>
        <v>-16350.877842578571</v>
      </c>
      <c r="J52" s="22">
        <f t="shared" si="14"/>
        <v>-18344.226427855436</v>
      </c>
      <c r="K52" s="22">
        <f t="shared" si="14"/>
        <v>-20397.375470691593</v>
      </c>
      <c r="L52" s="22">
        <f t="shared" si="14"/>
        <v>-22512.118984811939</v>
      </c>
      <c r="M52" s="22">
        <f>M46+Q17</f>
        <v>1127999.0033023418</v>
      </c>
    </row>
    <row r="53" spans="2:20" x14ac:dyDescent="0.2">
      <c r="D53" s="83">
        <f>IRR(C52:M52)</f>
        <v>-0.27415436399284987</v>
      </c>
    </row>
    <row r="54" spans="2:20" x14ac:dyDescent="0.2">
      <c r="B54" s="1" t="s">
        <v>81</v>
      </c>
      <c r="C54" s="22">
        <f>Q8</f>
        <v>-24286723</v>
      </c>
      <c r="D54" s="22">
        <f>D46</f>
        <v>-118221.72499999986</v>
      </c>
      <c r="E54" s="22">
        <f t="shared" ref="E54:L54" si="15">E46</f>
        <v>-179086.70499999961</v>
      </c>
      <c r="F54" s="22">
        <f t="shared" si="15"/>
        <v>-180857.76939999987</v>
      </c>
      <c r="G54" s="22">
        <f t="shared" si="15"/>
        <v>-182681.96573200007</v>
      </c>
      <c r="H54" s="22">
        <f t="shared" si="15"/>
        <v>-184560.88795395987</v>
      </c>
      <c r="I54" s="22">
        <f t="shared" si="15"/>
        <v>-16350.877842578571</v>
      </c>
      <c r="J54" s="22">
        <f t="shared" si="15"/>
        <v>-18344.226427855436</v>
      </c>
      <c r="K54" s="22">
        <f t="shared" si="15"/>
        <v>-20397.375470691593</v>
      </c>
      <c r="L54" s="22">
        <f t="shared" si="15"/>
        <v>-22512.118984811939</v>
      </c>
      <c r="M54" s="22">
        <f>32646075</f>
        <v>32646075</v>
      </c>
      <c r="N54" s="87">
        <f>IRR(C54:M54)</f>
        <v>2.6515334559417125E-2</v>
      </c>
      <c r="O54" s="22"/>
      <c r="P54" s="22"/>
      <c r="Q54" s="22"/>
      <c r="R54" s="22"/>
      <c r="S54" s="22"/>
      <c r="T54" s="22"/>
    </row>
    <row r="55" spans="2:20" x14ac:dyDescent="0.2">
      <c r="B55" s="1" t="s">
        <v>82</v>
      </c>
      <c r="C55" s="22">
        <f>Q8</f>
        <v>-24286723</v>
      </c>
      <c r="D55" s="22">
        <f>D46</f>
        <v>-118221.72499999986</v>
      </c>
      <c r="E55" s="22">
        <f t="shared" ref="E55:L55" si="16">E46</f>
        <v>-179086.70499999961</v>
      </c>
      <c r="F55" s="22">
        <f t="shared" si="16"/>
        <v>-180857.76939999987</v>
      </c>
      <c r="G55" s="22">
        <f t="shared" si="16"/>
        <v>-182681.96573200007</v>
      </c>
      <c r="H55" s="22">
        <f t="shared" si="16"/>
        <v>-184560.88795395987</v>
      </c>
      <c r="I55" s="22">
        <f t="shared" si="16"/>
        <v>-16350.877842578571</v>
      </c>
      <c r="J55" s="22">
        <f t="shared" si="16"/>
        <v>-18344.226427855436</v>
      </c>
      <c r="K55" s="22">
        <f t="shared" si="16"/>
        <v>-20397.375470691593</v>
      </c>
      <c r="L55" s="22">
        <f t="shared" si="16"/>
        <v>-22512.118984811939</v>
      </c>
      <c r="M55" s="22">
        <f>36166544</f>
        <v>36166544</v>
      </c>
      <c r="N55" s="88">
        <f>IRR(C55:M55)</f>
        <v>3.7203483565193762E-2</v>
      </c>
    </row>
    <row r="58" spans="2:20" x14ac:dyDescent="0.2">
      <c r="B58" s="1" t="s">
        <v>58</v>
      </c>
      <c r="C58" s="22">
        <f>Q8</f>
        <v>-24286723</v>
      </c>
      <c r="D58" s="22">
        <f>D46</f>
        <v>-118221.72499999986</v>
      </c>
      <c r="E58" s="22">
        <f t="shared" ref="E58:L58" si="17">E46</f>
        <v>-179086.70499999961</v>
      </c>
      <c r="F58" s="22">
        <f t="shared" si="17"/>
        <v>-180857.76939999987</v>
      </c>
      <c r="G58" s="22">
        <f t="shared" si="17"/>
        <v>-182681.96573200007</v>
      </c>
      <c r="H58" s="22">
        <f t="shared" si="17"/>
        <v>-184560.88795395987</v>
      </c>
      <c r="I58" s="22">
        <f t="shared" si="17"/>
        <v>-16350.877842578571</v>
      </c>
      <c r="J58" s="22">
        <f t="shared" si="17"/>
        <v>-18344.226427855436</v>
      </c>
      <c r="K58" s="22">
        <f t="shared" si="17"/>
        <v>-20397.375470691593</v>
      </c>
      <c r="L58" s="22">
        <f t="shared" si="17"/>
        <v>-22512.118984811939</v>
      </c>
      <c r="M58" s="22">
        <f>M52</f>
        <v>1127999.0033023418</v>
      </c>
      <c r="N58" s="22">
        <f>I13</f>
        <v>25439412.308106698</v>
      </c>
    </row>
    <row r="59" spans="2:20" x14ac:dyDescent="0.2">
      <c r="D59" s="84">
        <f>(-(SUM(D58:M58)/C58))</f>
        <v>8.4402227295318922E-3</v>
      </c>
    </row>
  </sheetData>
  <mergeCells count="4">
    <mergeCell ref="B5:E5"/>
    <mergeCell ref="G5:I5"/>
    <mergeCell ref="O5:Q5"/>
    <mergeCell ref="B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CFAB4-0B43-4A06-8C5B-330AED9D89FB}">
  <dimension ref="B5:BZ55"/>
  <sheetViews>
    <sheetView zoomScale="89" zoomScaleNormal="89" workbookViewId="0">
      <selection activeCell="E18" sqref="E18"/>
    </sheetView>
  </sheetViews>
  <sheetFormatPr baseColWidth="10" defaultColWidth="9.1640625" defaultRowHeight="15" x14ac:dyDescent="0.2"/>
  <cols>
    <col min="1" max="1" width="9.1640625" style="26"/>
    <col min="2" max="2" width="34.6640625" style="26" customWidth="1"/>
    <col min="3" max="3" width="14" style="26" bestFit="1" customWidth="1"/>
    <col min="4" max="4" width="13.5" style="26" bestFit="1" customWidth="1"/>
    <col min="5" max="5" width="13.83203125" style="26" bestFit="1" customWidth="1"/>
    <col min="6" max="6" width="12.83203125" style="26" bestFit="1" customWidth="1"/>
    <col min="7" max="7" width="18.83203125" style="26" customWidth="1"/>
    <col min="8" max="8" width="12.1640625" style="26" bestFit="1" customWidth="1"/>
    <col min="9" max="9" width="13.83203125" style="26" bestFit="1" customWidth="1"/>
    <col min="10" max="10" width="16.83203125" style="26" bestFit="1" customWidth="1"/>
    <col min="11" max="11" width="13.33203125" style="26" bestFit="1" customWidth="1"/>
    <col min="12" max="12" width="12.1640625" style="26" bestFit="1" customWidth="1"/>
    <col min="13" max="13" width="13.33203125" style="26" bestFit="1" customWidth="1"/>
    <col min="14" max="14" width="12.1640625" style="26" bestFit="1" customWidth="1"/>
    <col min="15" max="15" width="14.1640625" style="26" bestFit="1" customWidth="1"/>
    <col min="16" max="16" width="11.6640625" style="26" bestFit="1" customWidth="1"/>
    <col min="17" max="17" width="11.83203125" style="26" bestFit="1" customWidth="1"/>
    <col min="18" max="18" width="16" style="26" bestFit="1" customWidth="1"/>
    <col min="19" max="19" width="12.6640625" style="26" bestFit="1" customWidth="1"/>
    <col min="20" max="16384" width="9.1640625" style="26"/>
  </cols>
  <sheetData>
    <row r="5" spans="2:17" x14ac:dyDescent="0.2">
      <c r="B5" s="105" t="s">
        <v>0</v>
      </c>
      <c r="C5" s="105"/>
      <c r="D5" s="105"/>
      <c r="E5" s="105"/>
      <c r="G5" s="105" t="s">
        <v>38</v>
      </c>
      <c r="H5" s="105"/>
      <c r="I5" s="105"/>
      <c r="M5" s="103" t="s">
        <v>59</v>
      </c>
      <c r="N5" s="103"/>
      <c r="O5" s="103"/>
    </row>
    <row r="7" spans="2:17" x14ac:dyDescent="0.2">
      <c r="B7" s="26" t="s">
        <v>1</v>
      </c>
      <c r="D7" s="27">
        <v>47332</v>
      </c>
      <c r="G7" s="26" t="s">
        <v>2</v>
      </c>
      <c r="I7" s="27">
        <f>D8</f>
        <v>121739130</v>
      </c>
      <c r="J7" s="27">
        <f>J8/J9</f>
        <v>1968110616.6666665</v>
      </c>
      <c r="K7" s="28">
        <f>K8/K9</f>
        <v>2147029763.6363637</v>
      </c>
      <c r="M7" s="26" t="s">
        <v>60</v>
      </c>
      <c r="O7" s="27">
        <f>I44</f>
        <v>133787717.11051847</v>
      </c>
    </row>
    <row r="8" spans="2:17" x14ac:dyDescent="0.2">
      <c r="B8" s="26" t="s">
        <v>2</v>
      </c>
      <c r="D8" s="27">
        <v>121739130</v>
      </c>
      <c r="G8" s="26" t="s">
        <v>54</v>
      </c>
      <c r="I8" s="27">
        <f>D44</f>
        <v>118086637</v>
      </c>
      <c r="J8" s="27">
        <f>I8</f>
        <v>118086637</v>
      </c>
      <c r="K8" s="27">
        <f>I8</f>
        <v>118086637</v>
      </c>
      <c r="M8" s="26" t="s">
        <v>72</v>
      </c>
      <c r="O8" s="27">
        <f>-(I42+I43)</f>
        <v>125292.88948154701</v>
      </c>
    </row>
    <row r="9" spans="2:17" x14ac:dyDescent="0.2">
      <c r="C9" s="26" t="s">
        <v>117</v>
      </c>
      <c r="D9" s="26" t="s">
        <v>116</v>
      </c>
      <c r="G9" s="26" t="s">
        <v>39</v>
      </c>
      <c r="I9" s="29">
        <f>5.75%</f>
        <v>5.7500000000000002E-2</v>
      </c>
      <c r="J9" s="30">
        <f>I9+0.0025</f>
        <v>6.0000000000000005E-2</v>
      </c>
      <c r="K9" s="30">
        <f>I9-0.0025</f>
        <v>5.5E-2</v>
      </c>
      <c r="M9" s="26" t="s">
        <v>61</v>
      </c>
      <c r="O9" s="27">
        <f>O7+O8</f>
        <v>133913010.00000001</v>
      </c>
      <c r="Q9" s="49"/>
    </row>
    <row r="10" spans="2:17" x14ac:dyDescent="0.2">
      <c r="B10" s="26" t="s">
        <v>118</v>
      </c>
      <c r="C10" s="27">
        <v>290</v>
      </c>
      <c r="D10" s="31">
        <v>419790</v>
      </c>
    </row>
    <row r="11" spans="2:17" x14ac:dyDescent="0.2">
      <c r="C11" s="27"/>
      <c r="G11" s="26" t="s">
        <v>40</v>
      </c>
      <c r="I11" s="29">
        <f>I9+0.005</f>
        <v>6.25E-2</v>
      </c>
      <c r="J11" s="30">
        <f>I11+0.0025</f>
        <v>6.5000000000000002E-2</v>
      </c>
      <c r="K11" s="30">
        <f>I11-0.0025</f>
        <v>0.06</v>
      </c>
      <c r="M11" s="26" t="s">
        <v>62</v>
      </c>
      <c r="O11" s="30">
        <v>7.2499999999999995E-2</v>
      </c>
    </row>
    <row r="12" spans="2:17" x14ac:dyDescent="0.2">
      <c r="C12" s="27"/>
      <c r="D12" s="31"/>
      <c r="G12" s="26" t="s">
        <v>41</v>
      </c>
      <c r="I12" s="27">
        <f>N44</f>
        <v>147166468.89425001</v>
      </c>
      <c r="J12" s="27">
        <f>I12</f>
        <v>147166468.89425001</v>
      </c>
      <c r="K12" s="27">
        <f>I12</f>
        <v>147166468.89425001</v>
      </c>
      <c r="M12" s="26" t="s">
        <v>63</v>
      </c>
      <c r="O12" s="28">
        <f>O9/O11</f>
        <v>1847076000.0000002</v>
      </c>
    </row>
    <row r="13" spans="2:17" x14ac:dyDescent="0.2">
      <c r="B13" s="26" t="s">
        <v>9</v>
      </c>
      <c r="C13" s="27">
        <f>SUM(C10:C12)</f>
        <v>290</v>
      </c>
      <c r="D13" s="31"/>
      <c r="G13" s="26" t="s">
        <v>51</v>
      </c>
      <c r="I13" s="28">
        <f>I12/I11</f>
        <v>2354663502.3080001</v>
      </c>
      <c r="J13" s="28">
        <f>J12/J11</f>
        <v>2264099521.4499998</v>
      </c>
      <c r="K13" s="28">
        <f>K12/K11</f>
        <v>2452774481.5708337</v>
      </c>
      <c r="M13" s="26" t="s">
        <v>64</v>
      </c>
      <c r="O13" s="33">
        <v>0.5</v>
      </c>
    </row>
    <row r="14" spans="2:17" x14ac:dyDescent="0.2">
      <c r="D14" s="31"/>
      <c r="P14" s="28"/>
    </row>
    <row r="15" spans="2:17" x14ac:dyDescent="0.2">
      <c r="B15" s="26" t="s">
        <v>24</v>
      </c>
      <c r="C15" s="32">
        <v>7</v>
      </c>
      <c r="D15" s="27">
        <f>C15*C13</f>
        <v>2030</v>
      </c>
      <c r="G15" s="26" t="s">
        <v>2</v>
      </c>
      <c r="I15" s="27">
        <f>D8</f>
        <v>121739130</v>
      </c>
      <c r="M15" s="26" t="s">
        <v>65</v>
      </c>
      <c r="O15" s="28">
        <f>O12*O13</f>
        <v>923538000.00000012</v>
      </c>
    </row>
    <row r="16" spans="2:17" x14ac:dyDescent="0.2">
      <c r="B16" s="26" t="s">
        <v>23</v>
      </c>
      <c r="C16" s="32">
        <v>12</v>
      </c>
      <c r="D16" s="27">
        <f>C16*$C13</f>
        <v>3480</v>
      </c>
      <c r="G16" s="26" t="s">
        <v>45</v>
      </c>
      <c r="H16" s="33">
        <v>0.5</v>
      </c>
      <c r="I16" s="34">
        <f>-I15*H16</f>
        <v>-60869565</v>
      </c>
      <c r="M16" s="26" t="s">
        <v>66</v>
      </c>
      <c r="O16" s="30">
        <v>6.9900000000000004E-2</v>
      </c>
    </row>
    <row r="17" spans="2:17" x14ac:dyDescent="0.2">
      <c r="B17" s="26" t="s">
        <v>25</v>
      </c>
      <c r="C17" s="32">
        <v>1</v>
      </c>
      <c r="D17" s="27">
        <f>C17*$C13</f>
        <v>290</v>
      </c>
      <c r="G17" s="26" t="s">
        <v>46</v>
      </c>
      <c r="I17" s="35">
        <f>-I16</f>
        <v>60869565</v>
      </c>
      <c r="M17" s="26" t="s">
        <v>67</v>
      </c>
      <c r="O17" s="35">
        <f>-(O16*O15)</f>
        <v>-64555306.20000001</v>
      </c>
    </row>
    <row r="18" spans="2:17" x14ac:dyDescent="0.2">
      <c r="B18" s="26" t="s">
        <v>36</v>
      </c>
      <c r="C18" s="32">
        <v>1</v>
      </c>
      <c r="D18" s="27">
        <f>(D33+D34+D35)*0.03</f>
        <v>3652173</v>
      </c>
      <c r="G18" s="26" t="s">
        <v>47</v>
      </c>
      <c r="H18" s="30">
        <v>7.2900000000000006E-2</v>
      </c>
      <c r="I18" s="27">
        <f>D44</f>
        <v>118086637</v>
      </c>
      <c r="M18" s="26" t="s">
        <v>78</v>
      </c>
      <c r="O18" s="31">
        <f>-O7/O17</f>
        <v>2.0724511273485131</v>
      </c>
    </row>
    <row r="19" spans="2:17" x14ac:dyDescent="0.2">
      <c r="G19" s="26" t="s">
        <v>48</v>
      </c>
      <c r="H19" s="36">
        <v>7.4999999999999997E-2</v>
      </c>
      <c r="I19" s="35">
        <f>D45</f>
        <v>-4565217.375</v>
      </c>
      <c r="J19" s="35">
        <f>D45</f>
        <v>-4565217.375</v>
      </c>
      <c r="K19" s="35">
        <f>D45</f>
        <v>-4565217.375</v>
      </c>
      <c r="M19" s="26" t="s">
        <v>68</v>
      </c>
      <c r="O19" s="35">
        <f>O15</f>
        <v>923538000.00000012</v>
      </c>
    </row>
    <row r="20" spans="2:17" ht="16" x14ac:dyDescent="0.2">
      <c r="B20" s="106" t="s">
        <v>8</v>
      </c>
      <c r="C20" s="106"/>
      <c r="D20" s="106"/>
      <c r="G20" s="26" t="s">
        <v>43</v>
      </c>
      <c r="H20" s="30">
        <f>D47</f>
        <v>1.8649947576428385</v>
      </c>
      <c r="I20" s="35">
        <f>D46</f>
        <v>113521419.625</v>
      </c>
      <c r="J20" s="35">
        <f>D46</f>
        <v>113521419.625</v>
      </c>
      <c r="K20" s="35">
        <f>D46</f>
        <v>113521419.625</v>
      </c>
      <c r="M20" s="26" t="s">
        <v>69</v>
      </c>
      <c r="O20" s="35">
        <f>I16</f>
        <v>-60869565</v>
      </c>
    </row>
    <row r="21" spans="2:17" x14ac:dyDescent="0.2">
      <c r="F21" s="31"/>
      <c r="M21" s="26" t="s">
        <v>70</v>
      </c>
      <c r="O21" s="35">
        <f>O19+O20</f>
        <v>862668435.00000012</v>
      </c>
    </row>
    <row r="22" spans="2:17" x14ac:dyDescent="0.2">
      <c r="B22" s="26" t="s">
        <v>10</v>
      </c>
      <c r="D22" s="37">
        <v>0.1</v>
      </c>
      <c r="G22" s="26" t="s">
        <v>53</v>
      </c>
      <c r="I22" s="27">
        <f>I13</f>
        <v>2354663502.3080001</v>
      </c>
      <c r="J22" s="27">
        <f>J13</f>
        <v>2264099521.4499998</v>
      </c>
      <c r="K22" s="28">
        <f>K13</f>
        <v>2452774481.5708337</v>
      </c>
      <c r="O22" s="31"/>
    </row>
    <row r="23" spans="2:17" x14ac:dyDescent="0.2">
      <c r="B23" s="26" t="s">
        <v>11</v>
      </c>
      <c r="D23" s="38">
        <v>0.03</v>
      </c>
      <c r="G23" s="26" t="s">
        <v>56</v>
      </c>
      <c r="I23" s="35">
        <f>I16</f>
        <v>-60869565</v>
      </c>
      <c r="J23" s="35">
        <f>I16</f>
        <v>-60869565</v>
      </c>
      <c r="K23" s="35">
        <f>I16</f>
        <v>-60869565</v>
      </c>
      <c r="Q23" s="56"/>
    </row>
    <row r="24" spans="2:17" x14ac:dyDescent="0.2">
      <c r="B24" s="26" t="s">
        <v>12</v>
      </c>
      <c r="D24" s="38">
        <v>4.4999999999999998E-2</v>
      </c>
      <c r="G24" s="26" t="s">
        <v>57</v>
      </c>
      <c r="I24" s="27">
        <f>I22+I23</f>
        <v>2293793937.3080001</v>
      </c>
      <c r="J24" s="27">
        <f>J22+J23</f>
        <v>2203229956.4499998</v>
      </c>
      <c r="K24" s="27">
        <f>K22+K23</f>
        <v>2391904916.5708337</v>
      </c>
      <c r="M24" s="26" t="s">
        <v>79</v>
      </c>
      <c r="O24" s="89">
        <f>N44/O26</f>
        <v>1898922179.2806451</v>
      </c>
    </row>
    <row r="25" spans="2:17" x14ac:dyDescent="0.2">
      <c r="B25" s="26" t="s">
        <v>13</v>
      </c>
      <c r="D25" s="37">
        <v>0.03</v>
      </c>
      <c r="G25" s="26" t="s">
        <v>55</v>
      </c>
      <c r="I25" s="30">
        <f>J11</f>
        <v>6.5000000000000002E-2</v>
      </c>
      <c r="J25" s="30">
        <f>I25+0.0025</f>
        <v>6.7500000000000004E-2</v>
      </c>
      <c r="K25" s="30">
        <f>I11</f>
        <v>6.25E-2</v>
      </c>
      <c r="M25" s="26" t="s">
        <v>73</v>
      </c>
    </row>
    <row r="26" spans="2:17" x14ac:dyDescent="0.2">
      <c r="G26" s="26" t="s">
        <v>52</v>
      </c>
      <c r="H26" s="30">
        <f>D53</f>
        <v>1.9985141385149738</v>
      </c>
      <c r="K26" s="30"/>
      <c r="M26" s="26" t="s">
        <v>74</v>
      </c>
      <c r="O26" s="30">
        <v>7.7499999999999999E-2</v>
      </c>
    </row>
    <row r="27" spans="2:17" x14ac:dyDescent="0.2">
      <c r="B27" s="26" t="s">
        <v>14</v>
      </c>
      <c r="D27" s="27">
        <v>3539487</v>
      </c>
      <c r="M27" s="26" t="s">
        <v>52</v>
      </c>
      <c r="O27" s="30">
        <f>H26</f>
        <v>1.9985141385149738</v>
      </c>
    </row>
    <row r="28" spans="2:17" x14ac:dyDescent="0.2">
      <c r="B28" s="26" t="s">
        <v>15</v>
      </c>
      <c r="D28" s="30">
        <v>7.4800000000000005E-2</v>
      </c>
      <c r="M28" s="26" t="s">
        <v>75</v>
      </c>
    </row>
    <row r="29" spans="2:17" x14ac:dyDescent="0.2">
      <c r="B29" s="26" t="s">
        <v>16</v>
      </c>
      <c r="D29" s="30">
        <v>7.2900000000000006E-2</v>
      </c>
      <c r="M29" s="26" t="s">
        <v>76</v>
      </c>
      <c r="O29" s="31">
        <f>D55</f>
        <v>45.441032433542851</v>
      </c>
    </row>
    <row r="31" spans="2:17" x14ac:dyDescent="0.2">
      <c r="B31" s="26" t="s">
        <v>17</v>
      </c>
      <c r="D31" s="26">
        <v>1.03</v>
      </c>
      <c r="E31" s="26">
        <v>1.03</v>
      </c>
      <c r="F31" s="26">
        <v>1.03</v>
      </c>
      <c r="G31" s="26">
        <v>1.03</v>
      </c>
      <c r="H31" s="26">
        <v>1.03</v>
      </c>
      <c r="I31" s="26">
        <v>1.03</v>
      </c>
      <c r="J31" s="26">
        <v>1.03</v>
      </c>
      <c r="K31" s="26">
        <v>1.03</v>
      </c>
      <c r="L31" s="26">
        <v>1.03</v>
      </c>
      <c r="M31" s="26">
        <v>1.03</v>
      </c>
      <c r="N31" s="26">
        <v>1.03</v>
      </c>
    </row>
    <row r="32" spans="2:17" x14ac:dyDescent="0.2">
      <c r="D32" s="26">
        <v>1</v>
      </c>
      <c r="E32" s="26">
        <v>2</v>
      </c>
      <c r="F32" s="26">
        <v>3</v>
      </c>
      <c r="G32" s="26">
        <v>4</v>
      </c>
      <c r="H32" s="26">
        <v>5</v>
      </c>
      <c r="I32" s="26">
        <v>6</v>
      </c>
      <c r="J32" s="26">
        <v>7</v>
      </c>
      <c r="K32" s="26">
        <v>8</v>
      </c>
      <c r="L32" s="26">
        <v>9</v>
      </c>
      <c r="M32" s="26">
        <v>10</v>
      </c>
      <c r="N32" s="26">
        <v>11</v>
      </c>
    </row>
    <row r="33" spans="2:78" x14ac:dyDescent="0.2">
      <c r="B33" s="26" t="s">
        <v>118</v>
      </c>
      <c r="D33" s="27">
        <f>$C10*$D10</f>
        <v>121739100</v>
      </c>
      <c r="E33" s="27">
        <f>$C10*$D10</f>
        <v>121739100</v>
      </c>
      <c r="F33" s="27">
        <f>$C10*$D10</f>
        <v>121739100</v>
      </c>
      <c r="G33" s="27">
        <f>$C10*$D10</f>
        <v>121739100</v>
      </c>
      <c r="H33" s="27">
        <f>$C10*$D10</f>
        <v>121739100</v>
      </c>
      <c r="I33" s="26">
        <f>$C10*$D10*1.1</f>
        <v>133913010.00000001</v>
      </c>
      <c r="J33" s="26">
        <f>$C10*$D10*1.1</f>
        <v>133913010.00000001</v>
      </c>
      <c r="K33" s="26">
        <f>$C10*$D10*1.1</f>
        <v>133913010.00000001</v>
      </c>
      <c r="L33" s="26">
        <f>$C10*$D10*1.1</f>
        <v>133913010.00000001</v>
      </c>
      <c r="M33" s="26">
        <f>$C10*$D10*1.1</f>
        <v>133913010.00000001</v>
      </c>
      <c r="N33" s="28">
        <f>M33*1.1</f>
        <v>147304311.00000003</v>
      </c>
      <c r="O33" s="28"/>
      <c r="P33" s="28"/>
      <c r="Q33" s="28"/>
      <c r="R33" s="28"/>
      <c r="S33" s="28"/>
    </row>
    <row r="34" spans="2:78" x14ac:dyDescent="0.2"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2:78" x14ac:dyDescent="0.2">
      <c r="N35" s="28"/>
      <c r="O35" s="28"/>
      <c r="P35" s="28"/>
      <c r="Q35" s="28"/>
      <c r="R35" s="28"/>
      <c r="S35" s="28"/>
    </row>
    <row r="36" spans="2:78" x14ac:dyDescent="0.2">
      <c r="B36" s="26" t="s">
        <v>21</v>
      </c>
      <c r="D36" s="26">
        <f>C13*7</f>
        <v>2030</v>
      </c>
      <c r="E36" s="28">
        <f t="shared" ref="E36:N36" si="0">D36*1.03</f>
        <v>2090.9</v>
      </c>
      <c r="F36" s="28">
        <f t="shared" si="0"/>
        <v>2153.627</v>
      </c>
      <c r="G36" s="28">
        <f t="shared" si="0"/>
        <v>2218.2358100000001</v>
      </c>
      <c r="H36" s="28">
        <f t="shared" si="0"/>
        <v>2284.7828843000002</v>
      </c>
      <c r="I36" s="28">
        <f t="shared" si="0"/>
        <v>2353.3263708290001</v>
      </c>
      <c r="J36" s="28">
        <f t="shared" si="0"/>
        <v>2423.9261619538702</v>
      </c>
      <c r="K36" s="28">
        <f t="shared" si="0"/>
        <v>2496.6439468124863</v>
      </c>
      <c r="L36" s="28">
        <f t="shared" si="0"/>
        <v>2571.5432652168611</v>
      </c>
      <c r="M36" s="28">
        <f t="shared" si="0"/>
        <v>2648.6895631733669</v>
      </c>
      <c r="N36" s="28">
        <f t="shared" si="0"/>
        <v>2728.1502500685679</v>
      </c>
      <c r="O36" s="28"/>
      <c r="Q36" s="28"/>
      <c r="R36" s="28"/>
      <c r="S36" s="28"/>
    </row>
    <row r="37" spans="2:78" x14ac:dyDescent="0.2">
      <c r="B37" s="26" t="s">
        <v>22</v>
      </c>
      <c r="D37" s="28">
        <f>$D16</f>
        <v>3480</v>
      </c>
      <c r="E37" s="28">
        <f>$D16*1.045</f>
        <v>3636.6</v>
      </c>
      <c r="F37" s="28">
        <f t="shared" ref="F37:N37" si="1">E37*1.045</f>
        <v>3800.2469999999998</v>
      </c>
      <c r="G37" s="28">
        <f t="shared" si="1"/>
        <v>3971.2581149999996</v>
      </c>
      <c r="H37" s="28">
        <f t="shared" si="1"/>
        <v>4149.9647301749992</v>
      </c>
      <c r="I37" s="28">
        <f t="shared" si="1"/>
        <v>4336.7131430328736</v>
      </c>
      <c r="J37" s="28">
        <f t="shared" si="1"/>
        <v>4531.8652344693528</v>
      </c>
      <c r="K37" s="28">
        <f t="shared" si="1"/>
        <v>4735.799170020473</v>
      </c>
      <c r="L37" s="28">
        <f t="shared" si="1"/>
        <v>4948.9101326713935</v>
      </c>
      <c r="M37" s="28">
        <f t="shared" si="1"/>
        <v>5171.6110886416054</v>
      </c>
      <c r="N37" s="28">
        <f t="shared" si="1"/>
        <v>5404.3335876304773</v>
      </c>
      <c r="O37" s="28"/>
      <c r="P37" s="28"/>
      <c r="Q37" s="28"/>
      <c r="R37" s="28"/>
      <c r="S37" s="28"/>
    </row>
    <row r="38" spans="2:78" x14ac:dyDescent="0.2">
      <c r="B38" s="26" t="s">
        <v>26</v>
      </c>
      <c r="D38" s="26">
        <f>SUM(D33:D37)</f>
        <v>121744610</v>
      </c>
      <c r="E38" s="28">
        <f t="shared" ref="E38:M38" si="2">SUM(E33:E37)</f>
        <v>121744827.5</v>
      </c>
      <c r="F38" s="28">
        <f t="shared" si="2"/>
        <v>121745053.874</v>
      </c>
      <c r="G38" s="28">
        <f t="shared" si="2"/>
        <v>121745289.49392499</v>
      </c>
      <c r="H38" s="28">
        <f t="shared" si="2"/>
        <v>121745534.74761447</v>
      </c>
      <c r="I38" s="28">
        <f t="shared" si="2"/>
        <v>133919700.03951389</v>
      </c>
      <c r="J38" s="28">
        <f t="shared" si="2"/>
        <v>133919965.79139644</v>
      </c>
      <c r="K38" s="28">
        <f t="shared" si="2"/>
        <v>133920242.44311684</v>
      </c>
      <c r="L38" s="28">
        <f t="shared" si="2"/>
        <v>133920530.45339791</v>
      </c>
      <c r="M38" s="28">
        <f t="shared" si="2"/>
        <v>133920830.30065183</v>
      </c>
      <c r="N38" s="28">
        <f>SUM(N33:N37)</f>
        <v>147312443.48383772</v>
      </c>
      <c r="O38" s="28"/>
      <c r="P38" s="28"/>
      <c r="Q38" s="28"/>
      <c r="R38" s="28"/>
      <c r="S38" s="28"/>
    </row>
    <row r="40" spans="2:78" x14ac:dyDescent="0.2">
      <c r="B40" s="26" t="s">
        <v>27</v>
      </c>
      <c r="D40" s="34">
        <f t="shared" ref="D40:N40" si="3">-(D36)</f>
        <v>-2030</v>
      </c>
      <c r="E40" s="34">
        <f t="shared" si="3"/>
        <v>-2090.9</v>
      </c>
      <c r="F40" s="34">
        <f t="shared" si="3"/>
        <v>-2153.627</v>
      </c>
      <c r="G40" s="34">
        <f t="shared" si="3"/>
        <v>-2218.2358100000001</v>
      </c>
      <c r="H40" s="34">
        <f t="shared" si="3"/>
        <v>-2284.7828843000002</v>
      </c>
      <c r="I40" s="34">
        <f t="shared" si="3"/>
        <v>-2353.3263708290001</v>
      </c>
      <c r="J40" s="34">
        <f t="shared" si="3"/>
        <v>-2423.9261619538702</v>
      </c>
      <c r="K40" s="34">
        <f t="shared" si="3"/>
        <v>-2496.6439468124863</v>
      </c>
      <c r="L40" s="34">
        <f t="shared" si="3"/>
        <v>-2571.5432652168611</v>
      </c>
      <c r="M40" s="34">
        <f t="shared" si="3"/>
        <v>-2648.6895631733669</v>
      </c>
      <c r="N40" s="34">
        <f t="shared" si="3"/>
        <v>-2728.1502500685679</v>
      </c>
      <c r="O40" s="34"/>
      <c r="P40" s="34"/>
      <c r="Q40" s="34"/>
      <c r="R40" s="34"/>
      <c r="S40" s="34"/>
    </row>
    <row r="41" spans="2:78" x14ac:dyDescent="0.2">
      <c r="B41" s="26" t="s">
        <v>28</v>
      </c>
      <c r="D41" s="34">
        <f>-(D37)</f>
        <v>-3480</v>
      </c>
      <c r="E41" s="34">
        <f>-(E37)</f>
        <v>-3636.6</v>
      </c>
      <c r="F41" s="34">
        <f>-(F37)</f>
        <v>-3800.2469999999998</v>
      </c>
      <c r="G41" s="34">
        <f t="shared" ref="G41:N41" si="4">-G37</f>
        <v>-3971.2581149999996</v>
      </c>
      <c r="H41" s="34">
        <f t="shared" si="4"/>
        <v>-4149.9647301749992</v>
      </c>
      <c r="I41" s="34">
        <f t="shared" si="4"/>
        <v>-4336.7131430328736</v>
      </c>
      <c r="J41" s="34">
        <f t="shared" si="4"/>
        <v>-4531.8652344693528</v>
      </c>
      <c r="K41" s="34">
        <f t="shared" si="4"/>
        <v>-4735.799170020473</v>
      </c>
      <c r="L41" s="34">
        <f t="shared" si="4"/>
        <v>-4948.9101326713935</v>
      </c>
      <c r="M41" s="34">
        <f t="shared" si="4"/>
        <v>-5171.6110886416054</v>
      </c>
      <c r="N41" s="34">
        <f t="shared" si="4"/>
        <v>-5404.3335876304773</v>
      </c>
      <c r="O41" s="34"/>
      <c r="P41" s="34"/>
      <c r="Q41" s="34"/>
      <c r="R41" s="34"/>
      <c r="S41" s="34"/>
    </row>
    <row r="42" spans="2:78" x14ac:dyDescent="0.2">
      <c r="B42" s="26" t="s">
        <v>36</v>
      </c>
      <c r="D42" s="34">
        <f>-(D18)</f>
        <v>-3652173</v>
      </c>
      <c r="E42" s="34">
        <f t="shared" ref="E42:H42" si="5">-(113597)</f>
        <v>-113597</v>
      </c>
      <c r="F42" s="34">
        <f t="shared" si="5"/>
        <v>-113597</v>
      </c>
      <c r="G42" s="34">
        <f t="shared" si="5"/>
        <v>-113597</v>
      </c>
      <c r="H42" s="34">
        <f t="shared" si="5"/>
        <v>-113597</v>
      </c>
      <c r="I42" s="34">
        <f>H42*1.1</f>
        <v>-124956.70000000001</v>
      </c>
      <c r="J42" s="34">
        <f>I42</f>
        <v>-124956.70000000001</v>
      </c>
      <c r="K42" s="34">
        <f>J42</f>
        <v>-124956.70000000001</v>
      </c>
      <c r="L42" s="34">
        <f>K42</f>
        <v>-124956.70000000001</v>
      </c>
      <c r="M42" s="34">
        <f>L42</f>
        <v>-124956.70000000001</v>
      </c>
      <c r="N42" s="34">
        <f>M42*1.1</f>
        <v>-137452.37000000002</v>
      </c>
      <c r="O42" s="34"/>
      <c r="P42" s="34"/>
      <c r="Q42" s="34"/>
      <c r="R42" s="34"/>
      <c r="S42" s="34"/>
    </row>
    <row r="43" spans="2:78" x14ac:dyDescent="0.2">
      <c r="B43" s="26" t="s">
        <v>29</v>
      </c>
      <c r="D43" s="34">
        <f>-(D17)</f>
        <v>-290</v>
      </c>
      <c r="E43" s="34">
        <f>D43*1.03</f>
        <v>-298.7</v>
      </c>
      <c r="F43" s="34">
        <f t="shared" ref="F43:M43" si="6">E43*1.03</f>
        <v>-307.661</v>
      </c>
      <c r="G43" s="34">
        <f t="shared" si="6"/>
        <v>-316.89082999999999</v>
      </c>
      <c r="H43" s="34">
        <f t="shared" si="6"/>
        <v>-326.39755489999999</v>
      </c>
      <c r="I43" s="34">
        <f t="shared" si="6"/>
        <v>-336.18948154700001</v>
      </c>
      <c r="J43" s="34">
        <f t="shared" si="6"/>
        <v>-346.27516599341004</v>
      </c>
      <c r="K43" s="34">
        <f t="shared" si="6"/>
        <v>-356.66342097321234</v>
      </c>
      <c r="L43" s="34">
        <f t="shared" si="6"/>
        <v>-367.36332360240874</v>
      </c>
      <c r="M43" s="34">
        <f t="shared" si="6"/>
        <v>-378.38422331048099</v>
      </c>
      <c r="N43" s="34">
        <f>M43*1.03</f>
        <v>-389.73575000979542</v>
      </c>
      <c r="O43" s="34"/>
      <c r="P43" s="34"/>
      <c r="Q43" s="34"/>
      <c r="R43" s="34"/>
      <c r="S43" s="34"/>
    </row>
    <row r="44" spans="2:78" s="39" customFormat="1" x14ac:dyDescent="0.2">
      <c r="B44" s="39" t="s">
        <v>35</v>
      </c>
      <c r="D44" s="40">
        <f>SUM(D38:D43)</f>
        <v>118086637</v>
      </c>
      <c r="E44" s="40">
        <f>SUM(E38:E43)</f>
        <v>121625204.3</v>
      </c>
      <c r="F44" s="40">
        <f>SUM(F38:F43)</f>
        <v>121625195.339</v>
      </c>
      <c r="G44" s="40">
        <f t="shared" ref="G44:N44" si="7">SUM(G38:G43)</f>
        <v>121625186.10917</v>
      </c>
      <c r="H44" s="40">
        <f t="shared" si="7"/>
        <v>121625176.6024451</v>
      </c>
      <c r="I44" s="40">
        <f t="shared" si="7"/>
        <v>133787717.11051847</v>
      </c>
      <c r="J44" s="40">
        <f t="shared" si="7"/>
        <v>133787707.02483402</v>
      </c>
      <c r="K44" s="40">
        <f t="shared" si="7"/>
        <v>133787696.63657904</v>
      </c>
      <c r="L44" s="40">
        <f t="shared" si="7"/>
        <v>133787685.93667641</v>
      </c>
      <c r="M44" s="40">
        <f t="shared" si="7"/>
        <v>133787674.9157767</v>
      </c>
      <c r="N44" s="40">
        <f t="shared" si="7"/>
        <v>147166468.89425001</v>
      </c>
      <c r="O44" s="27"/>
      <c r="P44" s="27"/>
      <c r="Q44" s="27"/>
      <c r="R44" s="27"/>
      <c r="S44" s="27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</row>
    <row r="45" spans="2:78" s="41" customFormat="1" x14ac:dyDescent="0.2">
      <c r="B45" s="41" t="s">
        <v>42</v>
      </c>
      <c r="D45" s="42">
        <f>$H19*$I16</f>
        <v>-4565217.375</v>
      </c>
      <c r="E45" s="42">
        <f>$H19*$I16</f>
        <v>-4565217.375</v>
      </c>
      <c r="F45" s="42">
        <f>$H19*$I16</f>
        <v>-4565217.375</v>
      </c>
      <c r="G45" s="42">
        <f>$H19*$I16</f>
        <v>-4565217.375</v>
      </c>
      <c r="H45" s="42">
        <f>$H19*$I16</f>
        <v>-4565217.375</v>
      </c>
      <c r="I45" s="42">
        <f>O17</f>
        <v>-64555306.20000001</v>
      </c>
      <c r="J45" s="42">
        <f t="shared" ref="J45:N45" si="8">$O17</f>
        <v>-64555306.20000001</v>
      </c>
      <c r="K45" s="42">
        <f t="shared" si="8"/>
        <v>-64555306.20000001</v>
      </c>
      <c r="L45" s="42">
        <f t="shared" si="8"/>
        <v>-64555306.20000001</v>
      </c>
      <c r="M45" s="42">
        <f t="shared" si="8"/>
        <v>-64555306.20000001</v>
      </c>
      <c r="N45" s="42">
        <f t="shared" si="8"/>
        <v>-64555306.20000001</v>
      </c>
      <c r="O45" s="34"/>
      <c r="P45" s="34"/>
      <c r="Q45" s="34"/>
      <c r="R45" s="34"/>
      <c r="S45" s="34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</row>
    <row r="46" spans="2:78" s="43" customFormat="1" x14ac:dyDescent="0.2">
      <c r="B46" s="43" t="s">
        <v>43</v>
      </c>
      <c r="D46" s="44">
        <f>SUM(D44:D45)</f>
        <v>113521419.625</v>
      </c>
      <c r="E46" s="44">
        <f>SUM(E44:E45)</f>
        <v>117059986.925</v>
      </c>
      <c r="F46" s="44">
        <f>SUM(F44:F45)</f>
        <v>117059977.964</v>
      </c>
      <c r="G46" s="44">
        <f>SUM(G44:G45)</f>
        <v>117059968.73417</v>
      </c>
      <c r="H46" s="45">
        <f>SUM(H44:H45)</f>
        <v>117059959.2274451</v>
      </c>
      <c r="I46" s="45">
        <f t="shared" ref="I46:N46" si="9">SUM(I44:I45)</f>
        <v>69232410.910518467</v>
      </c>
      <c r="J46" s="45">
        <f t="shared" si="9"/>
        <v>69232400.824834019</v>
      </c>
      <c r="K46" s="45">
        <f t="shared" si="9"/>
        <v>69232390.436579019</v>
      </c>
      <c r="L46" s="45">
        <f t="shared" si="9"/>
        <v>69232379.736676395</v>
      </c>
      <c r="M46" s="45">
        <f t="shared" si="9"/>
        <v>69232368.715776682</v>
      </c>
      <c r="N46" s="45">
        <f t="shared" si="9"/>
        <v>82611162.694249988</v>
      </c>
      <c r="O46" s="28"/>
      <c r="P46" s="28"/>
      <c r="Q46" s="28"/>
      <c r="R46" s="28"/>
      <c r="S46" s="28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</row>
    <row r="47" spans="2:78" s="46" customFormat="1" x14ac:dyDescent="0.2">
      <c r="B47" s="46" t="s">
        <v>49</v>
      </c>
      <c r="D47" s="47">
        <f t="shared" ref="D47:M47" si="10">D46/$I17</f>
        <v>1.8649947576428385</v>
      </c>
      <c r="E47" s="47">
        <f t="shared" si="10"/>
        <v>1.9231283634933156</v>
      </c>
      <c r="F47" s="47">
        <f t="shared" si="10"/>
        <v>1.9231282162768866</v>
      </c>
      <c r="G47" s="47">
        <f t="shared" si="10"/>
        <v>1.9231280646439646</v>
      </c>
      <c r="H47" s="47">
        <f t="shared" si="10"/>
        <v>1.9231279084620547</v>
      </c>
      <c r="I47" s="47">
        <f t="shared" si="10"/>
        <v>1.1373896118777662</v>
      </c>
      <c r="J47" s="47">
        <f t="shared" si="10"/>
        <v>1.1373894461843783</v>
      </c>
      <c r="K47" s="47">
        <f t="shared" si="10"/>
        <v>1.1373892755201884</v>
      </c>
      <c r="L47" s="47">
        <f t="shared" si="10"/>
        <v>1.1373890997360734</v>
      </c>
      <c r="M47" s="47">
        <f t="shared" si="10"/>
        <v>1.1373889186784345</v>
      </c>
      <c r="N47" s="47">
        <f t="shared" ref="N47" si="11">N46/$I17</f>
        <v>1.3571833919669047</v>
      </c>
      <c r="O47" s="52"/>
      <c r="P47" s="52"/>
      <c r="Q47" s="52"/>
      <c r="R47" s="52"/>
      <c r="S47" s="52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</row>
    <row r="48" spans="2:78" x14ac:dyDescent="0.2">
      <c r="D48" s="47">
        <f>AVERAGE(D47:M47)</f>
        <v>1.5244453662515904</v>
      </c>
      <c r="E48" s="48"/>
      <c r="F48" s="48"/>
      <c r="G48" s="48"/>
      <c r="H48" s="48"/>
      <c r="I48" s="48"/>
      <c r="J48" s="48"/>
      <c r="K48" s="48"/>
      <c r="L48" s="48"/>
      <c r="M48" s="48"/>
      <c r="N48" s="48"/>
    </row>
    <row r="49" spans="2:14" x14ac:dyDescent="0.2">
      <c r="B49" s="26" t="s">
        <v>37</v>
      </c>
      <c r="D49" s="28">
        <f>D44/$I9</f>
        <v>2053680643.4782608</v>
      </c>
      <c r="E49" s="28">
        <f t="shared" ref="E49:N49" si="12">E44/$I9</f>
        <v>2115220944.347826</v>
      </c>
      <c r="F49" s="28">
        <f t="shared" si="12"/>
        <v>2115220788.5043478</v>
      </c>
      <c r="G49" s="28">
        <f t="shared" si="12"/>
        <v>2115220627.9855652</v>
      </c>
      <c r="H49" s="28">
        <f t="shared" si="12"/>
        <v>2115220462.6512189</v>
      </c>
      <c r="I49" s="28">
        <f t="shared" si="12"/>
        <v>2326742906.2698865</v>
      </c>
      <c r="J49" s="28">
        <f t="shared" si="12"/>
        <v>2326742730.8666787</v>
      </c>
      <c r="K49" s="28">
        <f t="shared" si="12"/>
        <v>2326742550.2013745</v>
      </c>
      <c r="L49" s="28">
        <f t="shared" si="12"/>
        <v>2326742364.1161113</v>
      </c>
      <c r="M49" s="28">
        <f t="shared" si="12"/>
        <v>2326742172.4482903</v>
      </c>
      <c r="N49" s="28">
        <f t="shared" si="12"/>
        <v>2559416850.3347826</v>
      </c>
    </row>
    <row r="50" spans="2:14" x14ac:dyDescent="0.2">
      <c r="D50" s="29">
        <f t="shared" ref="D50:N50" si="13">D44/$I7</f>
        <v>0.96999737882141923</v>
      </c>
      <c r="E50" s="29">
        <f t="shared" si="13"/>
        <v>0.99906418174665779</v>
      </c>
      <c r="F50" s="29">
        <f t="shared" si="13"/>
        <v>0.99906410813844326</v>
      </c>
      <c r="G50" s="29">
        <f t="shared" si="13"/>
        <v>0.99906403232198226</v>
      </c>
      <c r="H50" s="29">
        <f t="shared" si="13"/>
        <v>0.99906395423102745</v>
      </c>
      <c r="I50" s="29">
        <f t="shared" si="13"/>
        <v>1.098970537332725</v>
      </c>
      <c r="J50" s="29">
        <f t="shared" si="13"/>
        <v>1.098970454486031</v>
      </c>
      <c r="K50" s="29">
        <f t="shared" si="13"/>
        <v>1.0989703691539363</v>
      </c>
      <c r="L50" s="29">
        <f t="shared" si="13"/>
        <v>1.0989702812618787</v>
      </c>
      <c r="M50" s="29">
        <f t="shared" si="13"/>
        <v>1.0989701907330593</v>
      </c>
      <c r="N50" s="29">
        <f t="shared" si="13"/>
        <v>1.2088674273772944</v>
      </c>
    </row>
    <row r="51" spans="2:14" x14ac:dyDescent="0.2">
      <c r="D51" s="57">
        <f>(SUM(D50:M50)/10)*100</f>
        <v>104.6110548822716</v>
      </c>
    </row>
    <row r="52" spans="2:14" x14ac:dyDescent="0.2">
      <c r="B52" s="26" t="s">
        <v>50</v>
      </c>
      <c r="C52" s="35">
        <f>I16</f>
        <v>-60869565</v>
      </c>
      <c r="D52" s="35">
        <f>D46</f>
        <v>113521419.625</v>
      </c>
      <c r="E52" s="35">
        <f t="shared" ref="E52:K52" si="14">E46</f>
        <v>117059986.925</v>
      </c>
      <c r="F52" s="35">
        <f t="shared" si="14"/>
        <v>117059977.964</v>
      </c>
      <c r="G52" s="35">
        <f t="shared" si="14"/>
        <v>117059968.73417</v>
      </c>
      <c r="H52" s="35">
        <f>H46+O21</f>
        <v>979728394.22744524</v>
      </c>
      <c r="I52" s="35">
        <f t="shared" si="14"/>
        <v>69232410.910518467</v>
      </c>
      <c r="J52" s="35">
        <f t="shared" si="14"/>
        <v>69232400.824834019</v>
      </c>
      <c r="K52" s="35">
        <f t="shared" si="14"/>
        <v>69232390.436579019</v>
      </c>
      <c r="L52" s="35">
        <f>L46</f>
        <v>69232379.736676395</v>
      </c>
      <c r="M52" s="35">
        <f>(N44/O26)+M46-O19</f>
        <v>1044616547.9964217</v>
      </c>
    </row>
    <row r="53" spans="2:14" x14ac:dyDescent="0.2">
      <c r="D53" s="58">
        <f>IRR(C52:M52)</f>
        <v>1.9985141385149738</v>
      </c>
    </row>
    <row r="54" spans="2:14" x14ac:dyDescent="0.2">
      <c r="B54" s="26" t="s">
        <v>58</v>
      </c>
      <c r="C54" s="53">
        <f>I16</f>
        <v>-60869565</v>
      </c>
      <c r="D54" s="35">
        <f>D46</f>
        <v>113521419.625</v>
      </c>
      <c r="E54" s="35">
        <f t="shared" ref="E54:L54" si="15">E46</f>
        <v>117059986.925</v>
      </c>
      <c r="F54" s="35">
        <f t="shared" si="15"/>
        <v>117059977.964</v>
      </c>
      <c r="G54" s="35">
        <f t="shared" si="15"/>
        <v>117059968.73417</v>
      </c>
      <c r="H54" s="35">
        <f>H52</f>
        <v>979728394.22744524</v>
      </c>
      <c r="I54" s="35">
        <f t="shared" si="15"/>
        <v>69232410.910518467</v>
      </c>
      <c r="J54" s="35">
        <f t="shared" si="15"/>
        <v>69232400.824834019</v>
      </c>
      <c r="K54" s="35">
        <f t="shared" si="15"/>
        <v>69232390.436579019</v>
      </c>
      <c r="L54" s="35">
        <f t="shared" si="15"/>
        <v>69232379.736676395</v>
      </c>
      <c r="M54" s="35">
        <f>M52</f>
        <v>1044616547.9964217</v>
      </c>
      <c r="N54" s="35">
        <f>I13</f>
        <v>2354663502.3080001</v>
      </c>
    </row>
    <row r="55" spans="2:14" x14ac:dyDescent="0.2">
      <c r="D55" s="59">
        <f>(-(SUM(D54:M54))/C54)</f>
        <v>45.441032433542851</v>
      </c>
    </row>
  </sheetData>
  <mergeCells count="4">
    <mergeCell ref="B5:E5"/>
    <mergeCell ref="G5:I5"/>
    <mergeCell ref="M5:O5"/>
    <mergeCell ref="B20:D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F675-75E3-4E6F-8CC0-50CDBCA5C0D8}">
  <dimension ref="B5:BZ52"/>
  <sheetViews>
    <sheetView topLeftCell="B25" zoomScale="76" zoomScaleNormal="76" workbookViewId="0">
      <selection activeCell="D52" sqref="D52"/>
    </sheetView>
  </sheetViews>
  <sheetFormatPr baseColWidth="10" defaultColWidth="9.1640625" defaultRowHeight="15" x14ac:dyDescent="0.2"/>
  <cols>
    <col min="1" max="1" width="9.1640625" style="26"/>
    <col min="2" max="2" width="34.6640625" style="26" customWidth="1"/>
    <col min="3" max="3" width="14" style="26" bestFit="1" customWidth="1"/>
    <col min="4" max="4" width="13.5" style="26" bestFit="1" customWidth="1"/>
    <col min="5" max="5" width="13.83203125" style="26" bestFit="1" customWidth="1"/>
    <col min="6" max="6" width="12.83203125" style="26" bestFit="1" customWidth="1"/>
    <col min="7" max="7" width="18.83203125" style="26" customWidth="1"/>
    <col min="8" max="8" width="12.1640625" style="26" bestFit="1" customWidth="1"/>
    <col min="9" max="9" width="13.83203125" style="26" bestFit="1" customWidth="1"/>
    <col min="10" max="10" width="16.83203125" style="26" bestFit="1" customWidth="1"/>
    <col min="11" max="11" width="13.33203125" style="26" bestFit="1" customWidth="1"/>
    <col min="12" max="12" width="12.1640625" style="26" bestFit="1" customWidth="1"/>
    <col min="13" max="13" width="13.33203125" style="26" bestFit="1" customWidth="1"/>
    <col min="14" max="14" width="12.1640625" style="26" bestFit="1" customWidth="1"/>
    <col min="15" max="15" width="14.1640625" style="26" bestFit="1" customWidth="1"/>
    <col min="16" max="16" width="11.6640625" style="26" bestFit="1" customWidth="1"/>
    <col min="17" max="17" width="11.83203125" style="26" bestFit="1" customWidth="1"/>
    <col min="18" max="18" width="16" style="26" bestFit="1" customWidth="1"/>
    <col min="19" max="19" width="12.6640625" style="26" bestFit="1" customWidth="1"/>
    <col min="20" max="16384" width="9.1640625" style="26"/>
  </cols>
  <sheetData>
    <row r="5" spans="2:17" x14ac:dyDescent="0.2">
      <c r="B5" s="105" t="s">
        <v>0</v>
      </c>
      <c r="C5" s="105"/>
      <c r="D5" s="105"/>
      <c r="E5" s="105"/>
      <c r="G5" s="105" t="s">
        <v>38</v>
      </c>
      <c r="H5" s="105"/>
      <c r="I5" s="105"/>
      <c r="M5" s="107" t="s">
        <v>59</v>
      </c>
      <c r="N5" s="107"/>
      <c r="O5" s="107"/>
    </row>
    <row r="7" spans="2:17" x14ac:dyDescent="0.2">
      <c r="B7" s="26" t="s">
        <v>1</v>
      </c>
      <c r="D7" s="27">
        <v>47332</v>
      </c>
      <c r="G7" s="26" t="s">
        <v>2</v>
      </c>
      <c r="I7" s="27">
        <f>D8</f>
        <v>48573445</v>
      </c>
      <c r="J7" s="27">
        <f>J8/J9</f>
        <v>46942801.061007954</v>
      </c>
      <c r="K7" s="28">
        <f>K8/K9</f>
        <v>50276806.81818182</v>
      </c>
      <c r="M7" s="26" t="s">
        <v>41</v>
      </c>
      <c r="O7" s="27">
        <f>N44</f>
        <v>4264904.6473506652</v>
      </c>
    </row>
    <row r="8" spans="2:17" x14ac:dyDescent="0.2">
      <c r="B8" s="26" t="s">
        <v>2</v>
      </c>
      <c r="D8" s="27">
        <v>48573445</v>
      </c>
      <c r="G8" s="26" t="s">
        <v>54</v>
      </c>
      <c r="I8" s="27">
        <f>D44</f>
        <v>3539487.2</v>
      </c>
      <c r="J8" s="27">
        <f>I8</f>
        <v>3539487.2</v>
      </c>
      <c r="K8" s="27">
        <f>I8</f>
        <v>3539487.2</v>
      </c>
      <c r="M8" s="26" t="s">
        <v>72</v>
      </c>
      <c r="O8" s="27">
        <f>-(N42+N43)</f>
        <v>316832.95264933608</v>
      </c>
    </row>
    <row r="9" spans="2:17" x14ac:dyDescent="0.2">
      <c r="C9" s="26" t="s">
        <v>6</v>
      </c>
      <c r="D9" s="26" t="s">
        <v>7</v>
      </c>
      <c r="G9" s="26" t="s">
        <v>39</v>
      </c>
      <c r="I9" s="29">
        <f>7.29%</f>
        <v>7.2900000000000006E-2</v>
      </c>
      <c r="J9" s="30">
        <f>I9+0.0025</f>
        <v>7.5400000000000009E-2</v>
      </c>
      <c r="K9" s="30">
        <f>I9-0.0025</f>
        <v>7.0400000000000004E-2</v>
      </c>
      <c r="M9" s="26" t="s">
        <v>61</v>
      </c>
      <c r="O9" s="27">
        <f>O7+O8</f>
        <v>4581737.6000000015</v>
      </c>
      <c r="Q9" s="49"/>
    </row>
    <row r="10" spans="2:17" x14ac:dyDescent="0.2">
      <c r="B10" s="26" t="s">
        <v>3</v>
      </c>
      <c r="C10" s="27">
        <v>53020</v>
      </c>
      <c r="D10" s="31">
        <v>23</v>
      </c>
    </row>
    <row r="11" spans="2:17" x14ac:dyDescent="0.2">
      <c r="B11" s="26" t="s">
        <v>4</v>
      </c>
      <c r="C11" s="27">
        <v>57316</v>
      </c>
      <c r="D11" s="26">
        <v>31.67</v>
      </c>
      <c r="G11" s="26" t="s">
        <v>40</v>
      </c>
      <c r="I11" s="29">
        <f>I9+0.005</f>
        <v>7.7900000000000011E-2</v>
      </c>
      <c r="J11" s="30">
        <f>I11+0.0025</f>
        <v>8.0400000000000013E-2</v>
      </c>
      <c r="K11" s="30">
        <f>I11-0.0025</f>
        <v>7.5400000000000009E-2</v>
      </c>
      <c r="M11" s="26" t="s">
        <v>62</v>
      </c>
      <c r="O11" s="30">
        <v>0.06</v>
      </c>
    </row>
    <row r="12" spans="2:17" x14ac:dyDescent="0.2">
      <c r="B12" s="26" t="s">
        <v>5</v>
      </c>
      <c r="C12" s="27">
        <v>23140</v>
      </c>
      <c r="D12" s="31">
        <v>32.5</v>
      </c>
      <c r="G12" s="26" t="s">
        <v>41</v>
      </c>
      <c r="I12" s="27">
        <f>N44</f>
        <v>4264904.6473506652</v>
      </c>
      <c r="J12" s="27">
        <f>I12</f>
        <v>4264904.6473506652</v>
      </c>
      <c r="K12" s="27">
        <f>I12</f>
        <v>4264904.6473506652</v>
      </c>
      <c r="M12" s="26" t="s">
        <v>63</v>
      </c>
      <c r="O12" s="28">
        <f>O9/O11</f>
        <v>76362293.333333358</v>
      </c>
    </row>
    <row r="13" spans="2:17" x14ac:dyDescent="0.2">
      <c r="B13" s="26" t="s">
        <v>9</v>
      </c>
      <c r="C13" s="27">
        <f>SUM(C10:C12)</f>
        <v>133476</v>
      </c>
      <c r="D13" s="31">
        <f>Calculation!F15</f>
        <v>28.368845335491024</v>
      </c>
      <c r="G13" s="26" t="s">
        <v>51</v>
      </c>
      <c r="I13" s="28">
        <f>I12/I11</f>
        <v>54748455.036593899</v>
      </c>
      <c r="J13" s="28">
        <f>J12/J11</f>
        <v>53046077.703366473</v>
      </c>
      <c r="K13" s="28">
        <f>K12/K11</f>
        <v>56563722.113404043</v>
      </c>
      <c r="M13" s="26" t="s">
        <v>64</v>
      </c>
      <c r="O13" s="33">
        <v>0.5</v>
      </c>
    </row>
    <row r="14" spans="2:17" x14ac:dyDescent="0.2">
      <c r="D14" s="31"/>
    </row>
    <row r="15" spans="2:17" x14ac:dyDescent="0.2">
      <c r="B15" s="26" t="s">
        <v>24</v>
      </c>
      <c r="C15" s="32">
        <v>7</v>
      </c>
      <c r="D15" s="27">
        <f>C15*C13</f>
        <v>934332</v>
      </c>
      <c r="G15" s="26" t="s">
        <v>2</v>
      </c>
      <c r="I15" s="27">
        <f>D8</f>
        <v>48573445</v>
      </c>
      <c r="M15" s="26" t="s">
        <v>65</v>
      </c>
      <c r="O15" s="28">
        <f>O12*O13</f>
        <v>38181146.666666679</v>
      </c>
    </row>
    <row r="16" spans="2:17" x14ac:dyDescent="0.2">
      <c r="B16" s="26" t="s">
        <v>23</v>
      </c>
      <c r="C16" s="32">
        <v>12</v>
      </c>
      <c r="D16" s="27">
        <f>C16*$C13</f>
        <v>1601712</v>
      </c>
      <c r="G16" s="26" t="s">
        <v>45</v>
      </c>
      <c r="H16" s="33">
        <v>0.5</v>
      </c>
      <c r="I16" s="34">
        <f>-(24286723)</f>
        <v>-24286723</v>
      </c>
      <c r="M16" s="26" t="s">
        <v>66</v>
      </c>
      <c r="O16" s="30">
        <v>5.9299999999999999E-2</v>
      </c>
    </row>
    <row r="17" spans="2:19" x14ac:dyDescent="0.2">
      <c r="B17" s="26" t="s">
        <v>25</v>
      </c>
      <c r="C17" s="32">
        <v>1</v>
      </c>
      <c r="D17" s="27">
        <f>C17*$C13</f>
        <v>133476</v>
      </c>
      <c r="G17" s="26" t="s">
        <v>46</v>
      </c>
      <c r="I17" s="35">
        <f>-I16</f>
        <v>24286723</v>
      </c>
      <c r="M17" s="26" t="s">
        <v>67</v>
      </c>
      <c r="O17" s="35">
        <f>-(O16*O15)</f>
        <v>-2264141.9973333338</v>
      </c>
    </row>
    <row r="18" spans="2:19" x14ac:dyDescent="0.2">
      <c r="B18" s="26" t="s">
        <v>36</v>
      </c>
      <c r="C18" s="32">
        <v>1</v>
      </c>
      <c r="D18" s="27">
        <f>(D33+D34+D35)*0.03</f>
        <v>113596.8</v>
      </c>
      <c r="G18" s="26" t="s">
        <v>47</v>
      </c>
      <c r="H18" s="30">
        <v>7.2900000000000006E-2</v>
      </c>
      <c r="I18" s="27">
        <f>D44</f>
        <v>3539487.2</v>
      </c>
      <c r="M18" s="26" t="s">
        <v>78</v>
      </c>
      <c r="O18" s="31">
        <f>-O7/O17</f>
        <v>1.8836736619760572</v>
      </c>
    </row>
    <row r="19" spans="2:19" x14ac:dyDescent="0.2">
      <c r="G19" s="26" t="s">
        <v>48</v>
      </c>
      <c r="H19" s="36">
        <v>7.4999999999999997E-2</v>
      </c>
      <c r="I19" s="35">
        <f>D45</f>
        <v>-1821504.2249999999</v>
      </c>
      <c r="J19" s="35">
        <f>D45</f>
        <v>-1821504.2249999999</v>
      </c>
      <c r="K19" s="35">
        <f>D45</f>
        <v>-1821504.2249999999</v>
      </c>
      <c r="M19" s="26" t="s">
        <v>68</v>
      </c>
      <c r="O19" s="28">
        <f>O15</f>
        <v>38181146.666666679</v>
      </c>
      <c r="P19" s="28"/>
    </row>
    <row r="20" spans="2:19" ht="16" x14ac:dyDescent="0.2">
      <c r="B20" s="106" t="s">
        <v>8</v>
      </c>
      <c r="C20" s="106"/>
      <c r="D20" s="106"/>
      <c r="G20" s="26" t="s">
        <v>43</v>
      </c>
      <c r="H20" s="30">
        <f>D47</f>
        <v>7.0737537336758041E-2</v>
      </c>
      <c r="I20" s="35">
        <f>D46</f>
        <v>1717982.9750000003</v>
      </c>
      <c r="J20" s="35">
        <f>D46</f>
        <v>1717982.9750000003</v>
      </c>
      <c r="K20" s="35">
        <f>D46</f>
        <v>1717982.9750000003</v>
      </c>
      <c r="M20" s="26" t="s">
        <v>69</v>
      </c>
      <c r="O20" s="34">
        <f>-28725628</f>
        <v>-28725628</v>
      </c>
    </row>
    <row r="21" spans="2:19" x14ac:dyDescent="0.2">
      <c r="F21" s="31"/>
      <c r="M21" s="26" t="s">
        <v>70</v>
      </c>
      <c r="O21" s="35">
        <f>O19+O20</f>
        <v>9455518.6666666791</v>
      </c>
    </row>
    <row r="22" spans="2:19" x14ac:dyDescent="0.2">
      <c r="B22" s="26" t="s">
        <v>10</v>
      </c>
      <c r="D22" s="37">
        <v>0.1</v>
      </c>
      <c r="G22" s="26" t="s">
        <v>53</v>
      </c>
      <c r="I22" s="27">
        <f>I13</f>
        <v>54748455.036593899</v>
      </c>
      <c r="J22" s="27">
        <f>J13</f>
        <v>53046077.703366473</v>
      </c>
      <c r="K22" s="28">
        <f>K13</f>
        <v>56563722.113404043</v>
      </c>
    </row>
    <row r="23" spans="2:19" x14ac:dyDescent="0.2">
      <c r="B23" s="26" t="s">
        <v>11</v>
      </c>
      <c r="D23" s="38">
        <v>0.03</v>
      </c>
      <c r="G23" s="26" t="s">
        <v>56</v>
      </c>
      <c r="I23" s="35">
        <f>I16</f>
        <v>-24286723</v>
      </c>
      <c r="J23" s="35">
        <f>I16</f>
        <v>-24286723</v>
      </c>
      <c r="K23" s="35">
        <f>I16</f>
        <v>-24286723</v>
      </c>
      <c r="M23" s="26" t="s">
        <v>51</v>
      </c>
      <c r="O23" s="28">
        <f>S44/O26</f>
        <v>72011730.678489193</v>
      </c>
    </row>
    <row r="24" spans="2:19" x14ac:dyDescent="0.2">
      <c r="B24" s="26" t="s">
        <v>12</v>
      </c>
      <c r="D24" s="38">
        <v>4.4999999999999998E-2</v>
      </c>
      <c r="G24" s="26" t="s">
        <v>57</v>
      </c>
      <c r="I24" s="27">
        <f>I22+I23</f>
        <v>30461732.036593899</v>
      </c>
      <c r="J24" s="27">
        <f>J22+J23</f>
        <v>28759354.703366473</v>
      </c>
      <c r="K24" s="27">
        <f>K22+K23</f>
        <v>32276999.113404043</v>
      </c>
    </row>
    <row r="25" spans="2:19" x14ac:dyDescent="0.2">
      <c r="B25" s="26" t="s">
        <v>13</v>
      </c>
      <c r="D25" s="37">
        <v>0.03</v>
      </c>
      <c r="G25" s="26" t="s">
        <v>55</v>
      </c>
      <c r="I25" s="30">
        <f>J11</f>
        <v>8.0400000000000013E-2</v>
      </c>
      <c r="J25" s="30">
        <f>I25+0.0025</f>
        <v>8.2900000000000015E-2</v>
      </c>
      <c r="K25" s="30">
        <f>I11</f>
        <v>7.7900000000000011E-2</v>
      </c>
      <c r="M25" s="26" t="s">
        <v>73</v>
      </c>
    </row>
    <row r="26" spans="2:19" x14ac:dyDescent="0.2">
      <c r="G26" s="26" t="s">
        <v>52</v>
      </c>
      <c r="H26" s="30">
        <f>D50</f>
        <v>0.11872943126198177</v>
      </c>
      <c r="K26" s="30"/>
      <c r="M26" s="26" t="s">
        <v>74</v>
      </c>
      <c r="O26" s="29">
        <v>6.5000000000000002E-2</v>
      </c>
    </row>
    <row r="27" spans="2:19" x14ac:dyDescent="0.2">
      <c r="B27" s="26" t="s">
        <v>14</v>
      </c>
      <c r="D27" s="27">
        <v>3539487</v>
      </c>
      <c r="M27" s="26" t="s">
        <v>52</v>
      </c>
      <c r="O27" s="30">
        <f>D50</f>
        <v>0.11872943126198177</v>
      </c>
    </row>
    <row r="28" spans="2:19" x14ac:dyDescent="0.2">
      <c r="B28" s="26" t="s">
        <v>15</v>
      </c>
      <c r="D28" s="30">
        <v>7.4800000000000005E-2</v>
      </c>
      <c r="M28" s="26" t="s">
        <v>75</v>
      </c>
    </row>
    <row r="29" spans="2:19" x14ac:dyDescent="0.2">
      <c r="B29" s="26" t="s">
        <v>16</v>
      </c>
      <c r="D29" s="30">
        <v>7.2900000000000006E-2</v>
      </c>
      <c r="M29" s="26" t="s">
        <v>76</v>
      </c>
      <c r="O29" s="31">
        <f>D52</f>
        <v>3.1112554295975787</v>
      </c>
    </row>
    <row r="31" spans="2:19" x14ac:dyDescent="0.2">
      <c r="B31" s="26" t="s">
        <v>17</v>
      </c>
      <c r="D31" s="26">
        <v>1.03</v>
      </c>
      <c r="E31" s="26">
        <v>1.03</v>
      </c>
      <c r="F31" s="26">
        <v>1.03</v>
      </c>
      <c r="G31" s="26">
        <v>1.03</v>
      </c>
      <c r="H31" s="26">
        <v>1.03</v>
      </c>
      <c r="I31" s="26">
        <v>1.03</v>
      </c>
      <c r="J31" s="26">
        <v>1.03</v>
      </c>
      <c r="K31" s="26">
        <v>1.03</v>
      </c>
      <c r="L31" s="26">
        <v>1.03</v>
      </c>
      <c r="M31" s="26">
        <v>1.03</v>
      </c>
      <c r="N31" s="26">
        <v>1.03</v>
      </c>
    </row>
    <row r="32" spans="2:19" x14ac:dyDescent="0.2">
      <c r="D32" s="26">
        <v>1</v>
      </c>
      <c r="E32" s="26">
        <v>2</v>
      </c>
      <c r="F32" s="26">
        <v>3</v>
      </c>
      <c r="G32" s="26">
        <v>4</v>
      </c>
      <c r="H32" s="26">
        <v>5</v>
      </c>
      <c r="I32" s="26">
        <v>6</v>
      </c>
      <c r="J32" s="26">
        <v>7</v>
      </c>
      <c r="K32" s="26">
        <v>8</v>
      </c>
      <c r="L32" s="26">
        <v>9</v>
      </c>
      <c r="M32" s="26">
        <v>10</v>
      </c>
      <c r="N32" s="26">
        <v>11</v>
      </c>
      <c r="O32" s="26">
        <v>12</v>
      </c>
      <c r="P32" s="26">
        <v>13</v>
      </c>
      <c r="Q32" s="26">
        <v>14</v>
      </c>
      <c r="R32" s="26">
        <v>15</v>
      </c>
      <c r="S32" s="26">
        <v>16</v>
      </c>
    </row>
    <row r="33" spans="2:78" x14ac:dyDescent="0.2">
      <c r="B33" s="26" t="s">
        <v>18</v>
      </c>
      <c r="D33" s="27">
        <f>$C10*$D10</f>
        <v>1219460</v>
      </c>
      <c r="E33" s="27">
        <f>$C10*$D10</f>
        <v>1219460</v>
      </c>
      <c r="F33" s="27">
        <f>$C10*$D10</f>
        <v>1219460</v>
      </c>
      <c r="G33" s="27">
        <f>$C10*$D10</f>
        <v>1219460</v>
      </c>
      <c r="H33" s="27">
        <f>$C10*$D10</f>
        <v>1219460</v>
      </c>
      <c r="I33" s="26">
        <f>$C10*$D10*1.1</f>
        <v>1341406</v>
      </c>
      <c r="J33" s="26">
        <f>$C10*$D10*1.1</f>
        <v>1341406</v>
      </c>
      <c r="K33" s="26">
        <f>$C10*$D10*1.1</f>
        <v>1341406</v>
      </c>
      <c r="L33" s="26">
        <f>$C10*$D10*1.1</f>
        <v>1341406</v>
      </c>
      <c r="M33" s="26">
        <f>$C10*$D10*1.1</f>
        <v>1341406</v>
      </c>
      <c r="N33" s="28">
        <f>M33*1.1</f>
        <v>1475546.6</v>
      </c>
      <c r="O33" s="28">
        <f t="shared" ref="O33:R35" si="0">N33</f>
        <v>1475546.6</v>
      </c>
      <c r="P33" s="28">
        <f t="shared" si="0"/>
        <v>1475546.6</v>
      </c>
      <c r="Q33" s="28">
        <f t="shared" si="0"/>
        <v>1475546.6</v>
      </c>
      <c r="R33" s="28">
        <f t="shared" si="0"/>
        <v>1475546.6</v>
      </c>
      <c r="S33" s="28">
        <f>R33*1.1</f>
        <v>1623101.2600000002</v>
      </c>
    </row>
    <row r="34" spans="2:78" x14ac:dyDescent="0.2">
      <c r="B34" s="26" t="s">
        <v>19</v>
      </c>
      <c r="D34" s="28">
        <f>1815050</f>
        <v>1815050</v>
      </c>
      <c r="E34" s="28">
        <f>D34</f>
        <v>1815050</v>
      </c>
      <c r="F34" s="28">
        <f t="shared" ref="F34:L34" si="1">E34</f>
        <v>1815050</v>
      </c>
      <c r="G34" s="28">
        <f t="shared" si="1"/>
        <v>1815050</v>
      </c>
      <c r="H34" s="28">
        <f t="shared" si="1"/>
        <v>1815050</v>
      </c>
      <c r="I34" s="28">
        <f>H34*1.1</f>
        <v>1996555.0000000002</v>
      </c>
      <c r="J34" s="28">
        <f t="shared" si="1"/>
        <v>1996555.0000000002</v>
      </c>
      <c r="K34" s="28">
        <f t="shared" si="1"/>
        <v>1996555.0000000002</v>
      </c>
      <c r="L34" s="28">
        <f t="shared" si="1"/>
        <v>1996555.0000000002</v>
      </c>
      <c r="M34" s="28">
        <f>L34</f>
        <v>1996555.0000000002</v>
      </c>
      <c r="N34" s="28">
        <f>M34*1.1</f>
        <v>2196210.5000000005</v>
      </c>
      <c r="O34" s="28">
        <f t="shared" si="0"/>
        <v>2196210.5000000005</v>
      </c>
      <c r="P34" s="28">
        <f t="shared" si="0"/>
        <v>2196210.5000000005</v>
      </c>
      <c r="Q34" s="28">
        <f t="shared" si="0"/>
        <v>2196210.5000000005</v>
      </c>
      <c r="R34" s="28">
        <f t="shared" si="0"/>
        <v>2196210.5000000005</v>
      </c>
      <c r="S34" s="28">
        <f>R34*1.1</f>
        <v>2415831.5500000007</v>
      </c>
    </row>
    <row r="35" spans="2:78" x14ac:dyDescent="0.2">
      <c r="B35" s="26" t="s">
        <v>20</v>
      </c>
      <c r="D35" s="26">
        <f>$C12*$D12</f>
        <v>752050</v>
      </c>
      <c r="E35" s="26">
        <f>$C12*$D12</f>
        <v>752050</v>
      </c>
      <c r="F35" s="26">
        <f>$C12*$D12</f>
        <v>752050</v>
      </c>
      <c r="G35" s="26">
        <f>$C12*$D12</f>
        <v>752050</v>
      </c>
      <c r="H35" s="26">
        <f>$C12*$D12</f>
        <v>752050</v>
      </c>
      <c r="I35" s="26">
        <f>$C12*$D12*1.1</f>
        <v>827255.00000000012</v>
      </c>
      <c r="J35" s="26">
        <f>$C12*$D12*1.1</f>
        <v>827255.00000000012</v>
      </c>
      <c r="K35" s="26">
        <f>$C12*$D12*1.1</f>
        <v>827255.00000000012</v>
      </c>
      <c r="L35" s="26">
        <f>$C12*$D12*1.1</f>
        <v>827255.00000000012</v>
      </c>
      <c r="M35" s="26">
        <f>$C12*$D12*1.1</f>
        <v>827255.00000000012</v>
      </c>
      <c r="N35" s="28">
        <f>M35*1.1</f>
        <v>909980.50000000023</v>
      </c>
      <c r="O35" s="28">
        <f t="shared" si="0"/>
        <v>909980.50000000023</v>
      </c>
      <c r="P35" s="28">
        <f t="shared" si="0"/>
        <v>909980.50000000023</v>
      </c>
      <c r="Q35" s="28">
        <f t="shared" si="0"/>
        <v>909980.50000000023</v>
      </c>
      <c r="R35" s="28">
        <f t="shared" si="0"/>
        <v>909980.50000000023</v>
      </c>
      <c r="S35" s="28">
        <f t="shared" ref="S35" si="2">R35*1.1</f>
        <v>1000978.5500000003</v>
      </c>
    </row>
    <row r="36" spans="2:78" x14ac:dyDescent="0.2">
      <c r="B36" s="26" t="s">
        <v>21</v>
      </c>
      <c r="D36" s="26">
        <f>C13*7</f>
        <v>934332</v>
      </c>
      <c r="E36" s="28">
        <f t="shared" ref="E36:S36" si="3">D36*1.03</f>
        <v>962361.96000000008</v>
      </c>
      <c r="F36" s="28">
        <f t="shared" si="3"/>
        <v>991232.81880000012</v>
      </c>
      <c r="G36" s="28">
        <f t="shared" si="3"/>
        <v>1020969.8033640002</v>
      </c>
      <c r="H36" s="28">
        <f t="shared" si="3"/>
        <v>1051598.8974649203</v>
      </c>
      <c r="I36" s="28">
        <f t="shared" si="3"/>
        <v>1083146.864388868</v>
      </c>
      <c r="J36" s="28">
        <f t="shared" si="3"/>
        <v>1115641.270320534</v>
      </c>
      <c r="K36" s="28">
        <f t="shared" si="3"/>
        <v>1149110.5084301501</v>
      </c>
      <c r="L36" s="28">
        <f t="shared" si="3"/>
        <v>1183583.8236830547</v>
      </c>
      <c r="M36" s="28">
        <f t="shared" si="3"/>
        <v>1219091.3383935464</v>
      </c>
      <c r="N36" s="28">
        <f t="shared" si="3"/>
        <v>1255664.0785453529</v>
      </c>
      <c r="O36" s="28">
        <f t="shared" si="3"/>
        <v>1293334.0009017135</v>
      </c>
      <c r="P36" s="28">
        <f t="shared" si="3"/>
        <v>1332134.0209287649</v>
      </c>
      <c r="Q36" s="28">
        <f t="shared" si="3"/>
        <v>1372098.041556628</v>
      </c>
      <c r="R36" s="28">
        <f t="shared" si="3"/>
        <v>1413260.9828033268</v>
      </c>
      <c r="S36" s="28">
        <f t="shared" si="3"/>
        <v>1455658.8122874266</v>
      </c>
    </row>
    <row r="37" spans="2:78" x14ac:dyDescent="0.2">
      <c r="B37" s="26" t="s">
        <v>22</v>
      </c>
      <c r="D37" s="28">
        <f>$D16</f>
        <v>1601712</v>
      </c>
      <c r="E37" s="28">
        <f>$D16*1.045</f>
        <v>1673789.0399999998</v>
      </c>
      <c r="F37" s="28">
        <f t="shared" ref="F37:S37" si="4">E37*1.045</f>
        <v>1749109.5467999997</v>
      </c>
      <c r="G37" s="28">
        <f t="shared" si="4"/>
        <v>1827819.4764059996</v>
      </c>
      <c r="H37" s="28">
        <f t="shared" si="4"/>
        <v>1910071.3528442695</v>
      </c>
      <c r="I37" s="28">
        <f t="shared" si="4"/>
        <v>1996024.5637222615</v>
      </c>
      <c r="J37" s="28">
        <f t="shared" si="4"/>
        <v>2085845.6690897632</v>
      </c>
      <c r="K37" s="28">
        <f t="shared" si="4"/>
        <v>2179708.7241988024</v>
      </c>
      <c r="L37" s="28">
        <f t="shared" si="4"/>
        <v>2277795.6167877484</v>
      </c>
      <c r="M37" s="28">
        <f t="shared" si="4"/>
        <v>2380296.4195431969</v>
      </c>
      <c r="N37" s="28">
        <f t="shared" si="4"/>
        <v>2487409.7584226406</v>
      </c>
      <c r="O37" s="28">
        <f t="shared" si="4"/>
        <v>2599343.1975516593</v>
      </c>
      <c r="P37" s="28">
        <f t="shared" si="4"/>
        <v>2716313.641441484</v>
      </c>
      <c r="Q37" s="28">
        <f t="shared" si="4"/>
        <v>2838547.7553063505</v>
      </c>
      <c r="R37" s="28">
        <f t="shared" si="4"/>
        <v>2966282.4042951362</v>
      </c>
      <c r="S37" s="28">
        <f t="shared" si="4"/>
        <v>3099765.112488417</v>
      </c>
    </row>
    <row r="38" spans="2:78" x14ac:dyDescent="0.2">
      <c r="B38" s="26" t="s">
        <v>26</v>
      </c>
      <c r="D38" s="26">
        <f>SUM(D33:D37)</f>
        <v>6322604</v>
      </c>
      <c r="E38" s="28">
        <f t="shared" ref="E38:M38" si="5">SUM(E33:E37)</f>
        <v>6422711</v>
      </c>
      <c r="F38" s="28">
        <f t="shared" si="5"/>
        <v>6526902.3656000001</v>
      </c>
      <c r="G38" s="28">
        <f t="shared" si="5"/>
        <v>6635349.2797699999</v>
      </c>
      <c r="H38" s="28">
        <f t="shared" si="5"/>
        <v>6748230.2503091898</v>
      </c>
      <c r="I38" s="28">
        <f t="shared" si="5"/>
        <v>7244387.4281111294</v>
      </c>
      <c r="J38" s="28">
        <f t="shared" si="5"/>
        <v>7366702.9394102972</v>
      </c>
      <c r="K38" s="28">
        <f t="shared" si="5"/>
        <v>7494035.2326289527</v>
      </c>
      <c r="L38" s="28">
        <f t="shared" si="5"/>
        <v>7626595.4404708035</v>
      </c>
      <c r="M38" s="28">
        <f t="shared" si="5"/>
        <v>7764603.757936744</v>
      </c>
      <c r="N38" s="28">
        <f>SUM(N33:N37)</f>
        <v>8324811.436967995</v>
      </c>
      <c r="O38" s="28">
        <f t="shared" ref="O38:S38" si="6">SUM(O33:O37)</f>
        <v>8474414.798453372</v>
      </c>
      <c r="P38" s="28">
        <f t="shared" si="6"/>
        <v>8630185.2623702493</v>
      </c>
      <c r="Q38" s="28">
        <f t="shared" si="6"/>
        <v>8792383.3968629781</v>
      </c>
      <c r="R38" s="28">
        <f t="shared" si="6"/>
        <v>8961280.9870984629</v>
      </c>
      <c r="S38" s="28">
        <f t="shared" si="6"/>
        <v>9595335.2847758457</v>
      </c>
    </row>
    <row r="40" spans="2:78" x14ac:dyDescent="0.2">
      <c r="B40" s="26" t="s">
        <v>27</v>
      </c>
      <c r="D40" s="34">
        <f t="shared" ref="D40:S40" si="7">-(D36)</f>
        <v>-934332</v>
      </c>
      <c r="E40" s="34">
        <f t="shared" si="7"/>
        <v>-962361.96000000008</v>
      </c>
      <c r="F40" s="34">
        <f t="shared" si="7"/>
        <v>-991232.81880000012</v>
      </c>
      <c r="G40" s="34">
        <f t="shared" si="7"/>
        <v>-1020969.8033640002</v>
      </c>
      <c r="H40" s="34">
        <f t="shared" si="7"/>
        <v>-1051598.8974649203</v>
      </c>
      <c r="I40" s="34">
        <f t="shared" si="7"/>
        <v>-1083146.864388868</v>
      </c>
      <c r="J40" s="34">
        <f t="shared" si="7"/>
        <v>-1115641.270320534</v>
      </c>
      <c r="K40" s="34">
        <f t="shared" si="7"/>
        <v>-1149110.5084301501</v>
      </c>
      <c r="L40" s="34">
        <f t="shared" si="7"/>
        <v>-1183583.8236830547</v>
      </c>
      <c r="M40" s="34">
        <f t="shared" si="7"/>
        <v>-1219091.3383935464</v>
      </c>
      <c r="N40" s="34">
        <f t="shared" si="7"/>
        <v>-1255664.0785453529</v>
      </c>
      <c r="O40" s="34">
        <f t="shared" si="7"/>
        <v>-1293334.0009017135</v>
      </c>
      <c r="P40" s="34">
        <f t="shared" si="7"/>
        <v>-1332134.0209287649</v>
      </c>
      <c r="Q40" s="34">
        <f t="shared" si="7"/>
        <v>-1372098.041556628</v>
      </c>
      <c r="R40" s="34">
        <f t="shared" si="7"/>
        <v>-1413260.9828033268</v>
      </c>
      <c r="S40" s="34">
        <f t="shared" si="7"/>
        <v>-1455658.8122874266</v>
      </c>
    </row>
    <row r="41" spans="2:78" x14ac:dyDescent="0.2">
      <c r="B41" s="26" t="s">
        <v>28</v>
      </c>
      <c r="D41" s="34">
        <f>-(D37)</f>
        <v>-1601712</v>
      </c>
      <c r="E41" s="34">
        <f>-(E37)</f>
        <v>-1673789.0399999998</v>
      </c>
      <c r="F41" s="34">
        <f>-(F37)</f>
        <v>-1749109.5467999997</v>
      </c>
      <c r="G41" s="34">
        <f t="shared" ref="G41:S41" si="8">-G37</f>
        <v>-1827819.4764059996</v>
      </c>
      <c r="H41" s="34">
        <f t="shared" si="8"/>
        <v>-1910071.3528442695</v>
      </c>
      <c r="I41" s="34">
        <f t="shared" si="8"/>
        <v>-1996024.5637222615</v>
      </c>
      <c r="J41" s="34">
        <f t="shared" si="8"/>
        <v>-2085845.6690897632</v>
      </c>
      <c r="K41" s="34">
        <f t="shared" si="8"/>
        <v>-2179708.7241988024</v>
      </c>
      <c r="L41" s="34">
        <f t="shared" si="8"/>
        <v>-2277795.6167877484</v>
      </c>
      <c r="M41" s="34">
        <f t="shared" si="8"/>
        <v>-2380296.4195431969</v>
      </c>
      <c r="N41" s="34">
        <f t="shared" si="8"/>
        <v>-2487409.7584226406</v>
      </c>
      <c r="O41" s="34">
        <f t="shared" si="8"/>
        <v>-2599343.1975516593</v>
      </c>
      <c r="P41" s="34">
        <f t="shared" si="8"/>
        <v>-2716313.641441484</v>
      </c>
      <c r="Q41" s="34">
        <f t="shared" si="8"/>
        <v>-2838547.7553063505</v>
      </c>
      <c r="R41" s="34">
        <f t="shared" si="8"/>
        <v>-2966282.4042951362</v>
      </c>
      <c r="S41" s="34">
        <f t="shared" si="8"/>
        <v>-3099765.112488417</v>
      </c>
    </row>
    <row r="42" spans="2:78" x14ac:dyDescent="0.2">
      <c r="B42" s="26" t="s">
        <v>36</v>
      </c>
      <c r="D42" s="34">
        <f>-(D18)</f>
        <v>-113596.8</v>
      </c>
      <c r="E42" s="34">
        <f t="shared" ref="E42:H42" si="9">-(113597)</f>
        <v>-113597</v>
      </c>
      <c r="F42" s="34">
        <f t="shared" si="9"/>
        <v>-113597</v>
      </c>
      <c r="G42" s="34">
        <f t="shared" si="9"/>
        <v>-113597</v>
      </c>
      <c r="H42" s="34">
        <f t="shared" si="9"/>
        <v>-113597</v>
      </c>
      <c r="I42" s="34">
        <f>H42*1.1</f>
        <v>-124956.70000000001</v>
      </c>
      <c r="J42" s="34">
        <f>I42</f>
        <v>-124956.70000000001</v>
      </c>
      <c r="K42" s="34">
        <f>J42</f>
        <v>-124956.70000000001</v>
      </c>
      <c r="L42" s="34">
        <f>K42</f>
        <v>-124956.70000000001</v>
      </c>
      <c r="M42" s="34">
        <f>L42</f>
        <v>-124956.70000000001</v>
      </c>
      <c r="N42" s="34">
        <f>M42*1.1</f>
        <v>-137452.37000000002</v>
      </c>
      <c r="O42" s="34">
        <f>N42</f>
        <v>-137452.37000000002</v>
      </c>
      <c r="P42" s="34">
        <f>O42</f>
        <v>-137452.37000000002</v>
      </c>
      <c r="Q42" s="34">
        <f>P42</f>
        <v>-137452.37000000002</v>
      </c>
      <c r="R42" s="34">
        <f>Q42</f>
        <v>-137452.37000000002</v>
      </c>
      <c r="S42" s="34">
        <f>R42*1.1</f>
        <v>-151197.60700000005</v>
      </c>
    </row>
    <row r="43" spans="2:78" x14ac:dyDescent="0.2">
      <c r="B43" s="26" t="s">
        <v>29</v>
      </c>
      <c r="D43" s="34">
        <f>-(D17)</f>
        <v>-133476</v>
      </c>
      <c r="E43" s="34">
        <f>D43*1.03</f>
        <v>-137480.28</v>
      </c>
      <c r="F43" s="34">
        <f t="shared" ref="F43:M43" si="10">E43*1.03</f>
        <v>-141604.68840000001</v>
      </c>
      <c r="G43" s="34">
        <f t="shared" si="10"/>
        <v>-145852.82905200002</v>
      </c>
      <c r="H43" s="34">
        <f t="shared" si="10"/>
        <v>-150228.41392356003</v>
      </c>
      <c r="I43" s="34">
        <f t="shared" si="10"/>
        <v>-154735.26634126683</v>
      </c>
      <c r="J43" s="34">
        <f t="shared" si="10"/>
        <v>-159377.32433150485</v>
      </c>
      <c r="K43" s="34">
        <f t="shared" si="10"/>
        <v>-164158.64406145</v>
      </c>
      <c r="L43" s="34">
        <f t="shared" si="10"/>
        <v>-169083.40338329351</v>
      </c>
      <c r="M43" s="34">
        <f t="shared" si="10"/>
        <v>-174155.90548479231</v>
      </c>
      <c r="N43" s="34">
        <f>M43*1.03</f>
        <v>-179380.58264933608</v>
      </c>
      <c r="O43" s="34">
        <f t="shared" ref="O43:S43" si="11">N43*1.03</f>
        <v>-184762.00012881617</v>
      </c>
      <c r="P43" s="34">
        <f t="shared" si="11"/>
        <v>-190304.86013268065</v>
      </c>
      <c r="Q43" s="34">
        <f t="shared" si="11"/>
        <v>-196014.00593666107</v>
      </c>
      <c r="R43" s="34">
        <f t="shared" si="11"/>
        <v>-201894.42611476089</v>
      </c>
      <c r="S43" s="34">
        <f t="shared" si="11"/>
        <v>-207951.25889820373</v>
      </c>
    </row>
    <row r="44" spans="2:78" s="39" customFormat="1" x14ac:dyDescent="0.2">
      <c r="B44" s="39" t="s">
        <v>35</v>
      </c>
      <c r="D44" s="40">
        <f>SUM(D38:D43)</f>
        <v>3539487.2</v>
      </c>
      <c r="E44" s="40">
        <f>SUM(E38:E43)</f>
        <v>3535482.72</v>
      </c>
      <c r="F44" s="40">
        <f>SUM(F38:F43)</f>
        <v>3531358.3116000001</v>
      </c>
      <c r="G44" s="40">
        <f t="shared" ref="G44:M44" si="12">SUM(G38:G43)</f>
        <v>3527110.1709480002</v>
      </c>
      <c r="H44" s="40">
        <f t="shared" si="12"/>
        <v>3522734.5860764403</v>
      </c>
      <c r="I44" s="40">
        <f t="shared" si="12"/>
        <v>3885524.0336587331</v>
      </c>
      <c r="J44" s="40">
        <f t="shared" si="12"/>
        <v>3880881.9756684951</v>
      </c>
      <c r="K44" s="40">
        <f t="shared" si="12"/>
        <v>3876100.6559385499</v>
      </c>
      <c r="L44" s="40">
        <f t="shared" si="12"/>
        <v>3871175.8966167062</v>
      </c>
      <c r="M44" s="40">
        <f t="shared" si="12"/>
        <v>3866103.394515208</v>
      </c>
      <c r="N44" s="40">
        <f>SUM(N38:N43)</f>
        <v>4264904.6473506652</v>
      </c>
      <c r="O44" s="40">
        <f t="shared" ref="O44:S44" si="13">SUM(O38:O43)</f>
        <v>4259523.2298711827</v>
      </c>
      <c r="P44" s="40">
        <f t="shared" si="13"/>
        <v>4253980.3698673202</v>
      </c>
      <c r="Q44" s="40">
        <f t="shared" si="13"/>
        <v>4248271.2240633387</v>
      </c>
      <c r="R44" s="40">
        <f t="shared" si="13"/>
        <v>4242390.8038852382</v>
      </c>
      <c r="S44" s="40">
        <f t="shared" si="13"/>
        <v>4680762.4941017982</v>
      </c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</row>
    <row r="45" spans="2:78" s="41" customFormat="1" x14ac:dyDescent="0.2">
      <c r="B45" s="41" t="s">
        <v>42</v>
      </c>
      <c r="D45" s="42">
        <f>$H19*$I16</f>
        <v>-1821504.2249999999</v>
      </c>
      <c r="E45" s="42">
        <f>$H19*$I16</f>
        <v>-1821504.2249999999</v>
      </c>
      <c r="F45" s="42">
        <f>$H19*$I16</f>
        <v>-1821504.2249999999</v>
      </c>
      <c r="G45" s="42">
        <f>$H19*$I16</f>
        <v>-1821504.2249999999</v>
      </c>
      <c r="H45" s="42">
        <f>$H19*$I16</f>
        <v>-1821504.2249999999</v>
      </c>
      <c r="I45" s="42">
        <f>'[1]Refi '!I45</f>
        <v>-2007921.3972</v>
      </c>
      <c r="J45" s="42">
        <f>'[1]Refi '!J45</f>
        <v>-2007921.3972</v>
      </c>
      <c r="K45" s="42">
        <f>'[1]Refi '!K45</f>
        <v>-2007921.3972</v>
      </c>
      <c r="L45" s="42">
        <f>'[1]Refi '!L45</f>
        <v>-2007921.3972</v>
      </c>
      <c r="M45" s="42">
        <f>'[1]Refi '!M45</f>
        <v>-2007921.3972</v>
      </c>
      <c r="N45" s="42">
        <f>O17</f>
        <v>-2264141.9973333338</v>
      </c>
      <c r="O45" s="42">
        <f>N45</f>
        <v>-2264141.9973333338</v>
      </c>
      <c r="P45" s="42">
        <f>O45</f>
        <v>-2264141.9973333338</v>
      </c>
      <c r="Q45" s="42">
        <f>P45</f>
        <v>-2264141.9973333338</v>
      </c>
      <c r="R45" s="42">
        <f>Q45</f>
        <v>-2264141.9973333338</v>
      </c>
      <c r="S45" s="42">
        <f>R45</f>
        <v>-2264141.9973333338</v>
      </c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</row>
    <row r="46" spans="2:78" s="43" customFormat="1" x14ac:dyDescent="0.2">
      <c r="B46" s="43" t="s">
        <v>43</v>
      </c>
      <c r="D46" s="44">
        <f>SUM(D44:D45)</f>
        <v>1717982.9750000003</v>
      </c>
      <c r="E46" s="44">
        <f>SUM(E44:E45)</f>
        <v>1713978.4950000003</v>
      </c>
      <c r="F46" s="44">
        <f>SUM(F44:F45)</f>
        <v>1709854.0866000003</v>
      </c>
      <c r="G46" s="44">
        <f>SUM(G44:G45)</f>
        <v>1705605.9459480003</v>
      </c>
      <c r="H46" s="45">
        <f>SUM(H44:H45)</f>
        <v>1701230.3610764404</v>
      </c>
      <c r="I46" s="45">
        <f t="shared" ref="I46:S46" si="14">SUM(I44:I45)</f>
        <v>1877602.6364587331</v>
      </c>
      <c r="J46" s="45">
        <f t="shared" si="14"/>
        <v>1872960.578468495</v>
      </c>
      <c r="K46" s="45">
        <f t="shared" si="14"/>
        <v>1868179.2587385499</v>
      </c>
      <c r="L46" s="45">
        <f t="shared" si="14"/>
        <v>1863254.4994167062</v>
      </c>
      <c r="M46" s="45">
        <f t="shared" si="14"/>
        <v>1858181.997315208</v>
      </c>
      <c r="N46" s="45">
        <f t="shared" si="14"/>
        <v>2000762.6500173314</v>
      </c>
      <c r="O46" s="45">
        <f t="shared" si="14"/>
        <v>1995381.2325378489</v>
      </c>
      <c r="P46" s="45">
        <f t="shared" si="14"/>
        <v>1989838.3725339863</v>
      </c>
      <c r="Q46" s="45">
        <f t="shared" si="14"/>
        <v>1984129.2267300049</v>
      </c>
      <c r="R46" s="45">
        <f t="shared" si="14"/>
        <v>1978248.8065519044</v>
      </c>
      <c r="S46" s="45">
        <f t="shared" si="14"/>
        <v>2416620.4967684643</v>
      </c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</row>
    <row r="47" spans="2:78" s="46" customFormat="1" x14ac:dyDescent="0.2">
      <c r="B47" s="46" t="s">
        <v>49</v>
      </c>
      <c r="D47" s="47">
        <f t="shared" ref="D47:S47" si="15">D46/$I17</f>
        <v>7.0737537336758041E-2</v>
      </c>
      <c r="E47" s="47">
        <f t="shared" si="15"/>
        <v>7.0572653832301727E-2</v>
      </c>
      <c r="F47" s="47">
        <f t="shared" si="15"/>
        <v>7.0402832304712337E-2</v>
      </c>
      <c r="G47" s="47">
        <f t="shared" si="15"/>
        <v>7.0227916131295282E-2</v>
      </c>
      <c r="H47" s="47">
        <f t="shared" si="15"/>
        <v>7.0047752472675723E-2</v>
      </c>
      <c r="I47" s="47">
        <f t="shared" si="15"/>
        <v>7.7309838649649562E-2</v>
      </c>
      <c r="J47" s="47">
        <f t="shared" si="15"/>
        <v>7.7118703024220067E-2</v>
      </c>
      <c r="K47" s="47">
        <f t="shared" si="15"/>
        <v>7.6921833330027681E-2</v>
      </c>
      <c r="L47" s="47">
        <f t="shared" si="15"/>
        <v>7.6719057545009517E-2</v>
      </c>
      <c r="M47" s="47">
        <f t="shared" si="15"/>
        <v>7.6510198486440847E-2</v>
      </c>
      <c r="N47" s="47">
        <f t="shared" si="15"/>
        <v>8.2380922696624462E-2</v>
      </c>
      <c r="O47" s="47">
        <f t="shared" si="15"/>
        <v>8.2159344121388825E-2</v>
      </c>
      <c r="P47" s="47">
        <f t="shared" si="15"/>
        <v>8.1931118188896312E-2</v>
      </c>
      <c r="Q47" s="47">
        <f t="shared" si="15"/>
        <v>8.1696045478428889E-2</v>
      </c>
      <c r="R47" s="47">
        <f t="shared" si="15"/>
        <v>8.1453920586647466E-2</v>
      </c>
      <c r="S47" s="47">
        <f t="shared" si="15"/>
        <v>9.9503769889765045E-2</v>
      </c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</row>
    <row r="48" spans="2:78" x14ac:dyDescent="0.2">
      <c r="D48" s="47">
        <f>AVERAGE(D47:R47)</f>
        <v>7.6412644945671779E-2</v>
      </c>
      <c r="E48" s="48"/>
      <c r="F48" s="48"/>
      <c r="G48" s="48"/>
      <c r="H48" s="48"/>
      <c r="I48" s="48"/>
      <c r="J48" s="48"/>
      <c r="K48" s="48"/>
      <c r="L48" s="48"/>
      <c r="M48" s="48"/>
      <c r="N48" s="48"/>
    </row>
    <row r="49" spans="2:19" x14ac:dyDescent="0.2">
      <c r="B49" s="26" t="s">
        <v>50</v>
      </c>
      <c r="C49" s="35">
        <f>I16</f>
        <v>-24286723</v>
      </c>
      <c r="D49" s="35">
        <f>D46</f>
        <v>1717982.9750000003</v>
      </c>
      <c r="E49" s="35">
        <f t="shared" ref="E49:K49" si="16">E46</f>
        <v>1713978.4950000003</v>
      </c>
      <c r="F49" s="35">
        <f t="shared" si="16"/>
        <v>1709854.0866000003</v>
      </c>
      <c r="G49" s="35">
        <f t="shared" si="16"/>
        <v>1705605.9459480003</v>
      </c>
      <c r="H49" s="35">
        <f>'[1]Refi '!H52</f>
        <v>6140135.3610764407</v>
      </c>
      <c r="I49" s="35">
        <f t="shared" si="16"/>
        <v>1877602.6364587331</v>
      </c>
      <c r="J49" s="35">
        <f t="shared" si="16"/>
        <v>1872960.578468495</v>
      </c>
      <c r="K49" s="35">
        <f t="shared" si="16"/>
        <v>1868179.2587385499</v>
      </c>
      <c r="L49" s="35">
        <f>L46</f>
        <v>1863254.4994167062</v>
      </c>
      <c r="M49" s="35">
        <f>M46+O21</f>
        <v>11313700.663981887</v>
      </c>
      <c r="N49" s="35">
        <f>N46</f>
        <v>2000762.6500173314</v>
      </c>
      <c r="O49" s="35">
        <f>O46</f>
        <v>1995381.2325378489</v>
      </c>
      <c r="P49" s="35">
        <f>P46</f>
        <v>1989838.3725339863</v>
      </c>
      <c r="Q49" s="35">
        <f>Q46</f>
        <v>1984129.2267300049</v>
      </c>
      <c r="R49" s="35">
        <f>(S44/O26)+R46-O19</f>
        <v>35808832.818374418</v>
      </c>
      <c r="S49" s="35"/>
    </row>
    <row r="50" spans="2:19" x14ac:dyDescent="0.2">
      <c r="D50" s="54">
        <f>IRR(C49:R49)</f>
        <v>0.11872943126198177</v>
      </c>
    </row>
    <row r="51" spans="2:19" x14ac:dyDescent="0.2">
      <c r="B51" s="26" t="s">
        <v>58</v>
      </c>
      <c r="C51" s="53">
        <f>I16</f>
        <v>-24286723</v>
      </c>
      <c r="D51" s="35">
        <f>D46</f>
        <v>1717982.9750000003</v>
      </c>
      <c r="E51" s="35">
        <f t="shared" ref="E51:L51" si="17">E46</f>
        <v>1713978.4950000003</v>
      </c>
      <c r="F51" s="35">
        <f t="shared" si="17"/>
        <v>1709854.0866000003</v>
      </c>
      <c r="G51" s="35">
        <f t="shared" si="17"/>
        <v>1705605.9459480003</v>
      </c>
      <c r="H51" s="35">
        <f>H49</f>
        <v>6140135.3610764407</v>
      </c>
      <c r="I51" s="35">
        <f t="shared" si="17"/>
        <v>1877602.6364587331</v>
      </c>
      <c r="J51" s="35">
        <f t="shared" si="17"/>
        <v>1872960.578468495</v>
      </c>
      <c r="K51" s="35">
        <f t="shared" si="17"/>
        <v>1868179.2587385499</v>
      </c>
      <c r="L51" s="35">
        <f t="shared" si="17"/>
        <v>1863254.4994167062</v>
      </c>
      <c r="M51" s="35">
        <f>M49</f>
        <v>11313700.663981887</v>
      </c>
      <c r="N51" s="35">
        <f>N46</f>
        <v>2000762.6500173314</v>
      </c>
      <c r="O51" s="35">
        <f>O46</f>
        <v>1995381.2325378489</v>
      </c>
      <c r="P51" s="35">
        <f>P46</f>
        <v>1989838.3725339863</v>
      </c>
      <c r="Q51" s="35">
        <f>Q46</f>
        <v>1984129.2267300049</v>
      </c>
      <c r="R51" s="35">
        <f>R49</f>
        <v>35808832.818374418</v>
      </c>
      <c r="S51" s="28">
        <f>I13</f>
        <v>54748455.036593899</v>
      </c>
    </row>
    <row r="52" spans="2:19" x14ac:dyDescent="0.2">
      <c r="D52" s="55">
        <f>(-(SUM(D51:R51))/C51)</f>
        <v>3.1112554295975787</v>
      </c>
    </row>
  </sheetData>
  <mergeCells count="4">
    <mergeCell ref="B5:E5"/>
    <mergeCell ref="G5:I5"/>
    <mergeCell ref="M5:O5"/>
    <mergeCell ref="B20:D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C78A-9CF4-43E0-957E-B51652CD74D1}">
  <dimension ref="B5:BZ52"/>
  <sheetViews>
    <sheetView zoomScale="64" zoomScaleNormal="64" workbookViewId="0">
      <selection activeCell="D46" sqref="D46"/>
    </sheetView>
  </sheetViews>
  <sheetFormatPr baseColWidth="10" defaultColWidth="9.1640625" defaultRowHeight="15" x14ac:dyDescent="0.2"/>
  <cols>
    <col min="1" max="1" width="9.1640625" style="26"/>
    <col min="2" max="2" width="34.6640625" style="26" customWidth="1"/>
    <col min="3" max="3" width="14" style="26" bestFit="1" customWidth="1"/>
    <col min="4" max="4" width="13.5" style="26" bestFit="1" customWidth="1"/>
    <col min="5" max="5" width="13.83203125" style="26" bestFit="1" customWidth="1"/>
    <col min="6" max="6" width="12.83203125" style="26" bestFit="1" customWidth="1"/>
    <col min="7" max="7" width="18.83203125" style="26" customWidth="1"/>
    <col min="8" max="8" width="12.1640625" style="26" bestFit="1" customWidth="1"/>
    <col min="9" max="9" width="13.83203125" style="26" bestFit="1" customWidth="1"/>
    <col min="10" max="10" width="16.83203125" style="26" bestFit="1" customWidth="1"/>
    <col min="11" max="11" width="13.33203125" style="26" bestFit="1" customWidth="1"/>
    <col min="12" max="12" width="12.1640625" style="26" bestFit="1" customWidth="1"/>
    <col min="13" max="13" width="13.33203125" style="26" bestFit="1" customWidth="1"/>
    <col min="14" max="14" width="12.1640625" style="26" bestFit="1" customWidth="1"/>
    <col min="15" max="15" width="14.1640625" style="26" bestFit="1" customWidth="1"/>
    <col min="16" max="16" width="11.6640625" style="26" bestFit="1" customWidth="1"/>
    <col min="17" max="17" width="11.83203125" style="26" bestFit="1" customWidth="1"/>
    <col min="18" max="18" width="16" style="26" bestFit="1" customWidth="1"/>
    <col min="19" max="19" width="12.6640625" style="26" bestFit="1" customWidth="1"/>
    <col min="20" max="22" width="12.33203125" style="26" bestFit="1" customWidth="1"/>
    <col min="23" max="23" width="14.33203125" style="26" bestFit="1" customWidth="1"/>
    <col min="24" max="24" width="12.33203125" style="26" bestFit="1" customWidth="1"/>
    <col min="25" max="16384" width="9.1640625" style="26"/>
  </cols>
  <sheetData>
    <row r="5" spans="2:17" x14ac:dyDescent="0.2">
      <c r="B5" s="105" t="s">
        <v>0</v>
      </c>
      <c r="C5" s="105"/>
      <c r="D5" s="105"/>
      <c r="E5" s="105"/>
      <c r="G5" s="105" t="s">
        <v>38</v>
      </c>
      <c r="H5" s="105"/>
      <c r="I5" s="105"/>
      <c r="M5" s="108" t="s">
        <v>59</v>
      </c>
      <c r="N5" s="108"/>
      <c r="O5" s="108"/>
    </row>
    <row r="7" spans="2:17" x14ac:dyDescent="0.2">
      <c r="B7" s="26" t="s">
        <v>1</v>
      </c>
      <c r="D7" s="27">
        <v>47332</v>
      </c>
      <c r="G7" s="26" t="s">
        <v>2</v>
      </c>
      <c r="I7" s="27">
        <f>D8</f>
        <v>48573445</v>
      </c>
      <c r="J7" s="27">
        <f>J8/J9</f>
        <v>46942801.061007954</v>
      </c>
      <c r="K7" s="28">
        <f>K8/K9</f>
        <v>50276806.81818182</v>
      </c>
      <c r="M7" s="26" t="s">
        <v>77</v>
      </c>
      <c r="O7" s="27">
        <f>S44</f>
        <v>4680762.4941017982</v>
      </c>
    </row>
    <row r="8" spans="2:17" x14ac:dyDescent="0.2">
      <c r="B8" s="26" t="s">
        <v>2</v>
      </c>
      <c r="D8" s="27">
        <v>48573445</v>
      </c>
      <c r="G8" s="26" t="s">
        <v>54</v>
      </c>
      <c r="I8" s="27">
        <f>D44</f>
        <v>3539487.2</v>
      </c>
      <c r="J8" s="27">
        <f>I8</f>
        <v>3539487.2</v>
      </c>
      <c r="K8" s="27">
        <f>I8</f>
        <v>3539487.2</v>
      </c>
      <c r="M8" s="26" t="s">
        <v>72</v>
      </c>
      <c r="O8" s="27">
        <f>-(S42+S43)</f>
        <v>359148.8658982038</v>
      </c>
    </row>
    <row r="9" spans="2:17" x14ac:dyDescent="0.2">
      <c r="C9" s="26" t="s">
        <v>6</v>
      </c>
      <c r="D9" s="26" t="s">
        <v>7</v>
      </c>
      <c r="G9" s="26" t="s">
        <v>39</v>
      </c>
      <c r="I9" s="29">
        <f>7.29%</f>
        <v>7.2900000000000006E-2</v>
      </c>
      <c r="J9" s="30">
        <f>I9+0.0025</f>
        <v>7.5400000000000009E-2</v>
      </c>
      <c r="K9" s="30">
        <f>I9-0.0025</f>
        <v>7.0400000000000004E-2</v>
      </c>
      <c r="M9" s="26" t="s">
        <v>61</v>
      </c>
      <c r="O9" s="27">
        <f>O7+O8</f>
        <v>5039911.3600000022</v>
      </c>
      <c r="Q9" s="49"/>
    </row>
    <row r="10" spans="2:17" x14ac:dyDescent="0.2">
      <c r="B10" s="26" t="s">
        <v>3</v>
      </c>
      <c r="C10" s="27">
        <v>53020</v>
      </c>
      <c r="D10" s="31">
        <v>23</v>
      </c>
    </row>
    <row r="11" spans="2:17" x14ac:dyDescent="0.2">
      <c r="B11" s="26" t="s">
        <v>4</v>
      </c>
      <c r="C11" s="27">
        <v>57316</v>
      </c>
      <c r="D11" s="26">
        <v>31.67</v>
      </c>
      <c r="G11" s="26" t="s">
        <v>40</v>
      </c>
      <c r="I11" s="29">
        <f>I9+0.005</f>
        <v>7.7900000000000011E-2</v>
      </c>
      <c r="J11" s="30">
        <f>I11+0.0025</f>
        <v>8.0400000000000013E-2</v>
      </c>
      <c r="K11" s="30">
        <f>I11-0.0025</f>
        <v>7.5400000000000009E-2</v>
      </c>
      <c r="M11" s="26" t="s">
        <v>62</v>
      </c>
      <c r="O11" s="30">
        <v>5.5E-2</v>
      </c>
    </row>
    <row r="12" spans="2:17" x14ac:dyDescent="0.2">
      <c r="B12" s="26" t="s">
        <v>5</v>
      </c>
      <c r="C12" s="27">
        <v>23140</v>
      </c>
      <c r="D12" s="31">
        <v>32.5</v>
      </c>
      <c r="G12" s="26" t="s">
        <v>41</v>
      </c>
      <c r="I12" s="27">
        <f>N44</f>
        <v>4264904.6473506652</v>
      </c>
      <c r="J12" s="27">
        <f>I12</f>
        <v>4264904.6473506652</v>
      </c>
      <c r="K12" s="27">
        <f>I12</f>
        <v>4264904.6473506652</v>
      </c>
      <c r="M12" s="26" t="s">
        <v>63</v>
      </c>
      <c r="O12" s="28">
        <f>O9/O11</f>
        <v>91634752.000000045</v>
      </c>
    </row>
    <row r="13" spans="2:17" x14ac:dyDescent="0.2">
      <c r="B13" s="26" t="s">
        <v>9</v>
      </c>
      <c r="C13" s="27">
        <f>SUM(C10:C12)</f>
        <v>133476</v>
      </c>
      <c r="D13" s="31">
        <f>Calculation!F15</f>
        <v>28.368845335491024</v>
      </c>
      <c r="G13" s="26" t="s">
        <v>51</v>
      </c>
      <c r="I13" s="28">
        <f>I12/I11</f>
        <v>54748455.036593899</v>
      </c>
      <c r="J13" s="28">
        <f>J12/J11</f>
        <v>53046077.703366473</v>
      </c>
      <c r="K13" s="28">
        <f>K12/K11</f>
        <v>56563722.113404043</v>
      </c>
      <c r="M13" s="26" t="s">
        <v>64</v>
      </c>
      <c r="O13" s="33">
        <v>0.5</v>
      </c>
    </row>
    <row r="14" spans="2:17" x14ac:dyDescent="0.2">
      <c r="D14" s="31"/>
    </row>
    <row r="15" spans="2:17" x14ac:dyDescent="0.2">
      <c r="B15" s="26" t="s">
        <v>24</v>
      </c>
      <c r="C15" s="32">
        <v>7</v>
      </c>
      <c r="D15" s="27">
        <f>C15*C13</f>
        <v>934332</v>
      </c>
      <c r="G15" s="26" t="s">
        <v>2</v>
      </c>
      <c r="I15" s="27">
        <f>D8</f>
        <v>48573445</v>
      </c>
      <c r="M15" s="26" t="s">
        <v>65</v>
      </c>
      <c r="O15" s="28">
        <f>O12*O13</f>
        <v>45817376.000000022</v>
      </c>
    </row>
    <row r="16" spans="2:17" x14ac:dyDescent="0.2">
      <c r="B16" s="26" t="s">
        <v>23</v>
      </c>
      <c r="C16" s="32">
        <v>12</v>
      </c>
      <c r="D16" s="27">
        <f>C16*$C13</f>
        <v>1601712</v>
      </c>
      <c r="G16" s="26" t="s">
        <v>45</v>
      </c>
      <c r="H16" s="33">
        <v>0.5</v>
      </c>
      <c r="I16" s="34">
        <f>-(24286723)</f>
        <v>-24286723</v>
      </c>
      <c r="M16" s="26" t="s">
        <v>66</v>
      </c>
      <c r="O16" s="30">
        <v>5.96E-2</v>
      </c>
    </row>
    <row r="17" spans="2:24" x14ac:dyDescent="0.2">
      <c r="B17" s="26" t="s">
        <v>25</v>
      </c>
      <c r="C17" s="32">
        <v>1</v>
      </c>
      <c r="D17" s="27">
        <f>C17*$C13</f>
        <v>133476</v>
      </c>
      <c r="G17" s="26" t="s">
        <v>46</v>
      </c>
      <c r="I17" s="35">
        <f>-I16</f>
        <v>24286723</v>
      </c>
      <c r="M17" s="26" t="s">
        <v>67</v>
      </c>
      <c r="O17" s="35">
        <f>-(O16*O15)</f>
        <v>-2730715.6096000015</v>
      </c>
    </row>
    <row r="18" spans="2:24" x14ac:dyDescent="0.2">
      <c r="B18" s="26" t="s">
        <v>36</v>
      </c>
      <c r="C18" s="32">
        <v>1</v>
      </c>
      <c r="D18" s="27">
        <f>(D33+D34+D35)*0.03</f>
        <v>113596.8</v>
      </c>
      <c r="G18" s="26" t="s">
        <v>47</v>
      </c>
      <c r="H18" s="30">
        <v>7.2900000000000006E-2</v>
      </c>
      <c r="I18" s="27">
        <f>D44</f>
        <v>3539487.2</v>
      </c>
      <c r="M18" s="26" t="s">
        <v>78</v>
      </c>
      <c r="O18" s="31">
        <f>-O7/O17</f>
        <v>1.71411569833427</v>
      </c>
    </row>
    <row r="19" spans="2:24" x14ac:dyDescent="0.2">
      <c r="G19" s="26" t="s">
        <v>48</v>
      </c>
      <c r="H19" s="36">
        <v>7.4999999999999997E-2</v>
      </c>
      <c r="I19" s="35">
        <f>D45</f>
        <v>-1821504.2249999999</v>
      </c>
      <c r="J19" s="35">
        <f>D45</f>
        <v>-1821504.2249999999</v>
      </c>
      <c r="K19" s="35">
        <f>D45</f>
        <v>-1821504.2249999999</v>
      </c>
      <c r="M19" s="26" t="s">
        <v>68</v>
      </c>
      <c r="O19" s="28">
        <f>O15</f>
        <v>45817376.000000022</v>
      </c>
    </row>
    <row r="20" spans="2:24" ht="16" x14ac:dyDescent="0.2">
      <c r="B20" s="106" t="s">
        <v>8</v>
      </c>
      <c r="C20" s="106"/>
      <c r="D20" s="106"/>
      <c r="G20" s="26" t="s">
        <v>43</v>
      </c>
      <c r="H20" s="30">
        <f>D47</f>
        <v>7.0737537336758041E-2</v>
      </c>
      <c r="I20" s="35">
        <f>D46</f>
        <v>1717982.9750000003</v>
      </c>
      <c r="J20" s="35">
        <f>D46</f>
        <v>1717982.9750000003</v>
      </c>
      <c r="K20" s="35">
        <f>D46</f>
        <v>1717982.9750000003</v>
      </c>
      <c r="M20" s="26" t="s">
        <v>69</v>
      </c>
      <c r="O20" s="34">
        <f>-(Refi10!O19)</f>
        <v>-38181146.666666679</v>
      </c>
    </row>
    <row r="21" spans="2:24" x14ac:dyDescent="0.2">
      <c r="F21" s="31"/>
      <c r="M21" s="26" t="s">
        <v>70</v>
      </c>
      <c r="O21" s="35">
        <f>O19+O20</f>
        <v>7636229.3333333433</v>
      </c>
    </row>
    <row r="22" spans="2:24" x14ac:dyDescent="0.2">
      <c r="B22" s="26" t="s">
        <v>10</v>
      </c>
      <c r="D22" s="37">
        <v>0.1</v>
      </c>
      <c r="G22" s="26" t="s">
        <v>53</v>
      </c>
      <c r="I22" s="27">
        <f>I13</f>
        <v>54748455.036593899</v>
      </c>
      <c r="J22" s="27">
        <f>J13</f>
        <v>53046077.703366473</v>
      </c>
      <c r="K22" s="28">
        <f>K13</f>
        <v>56563722.113404043</v>
      </c>
    </row>
    <row r="23" spans="2:24" x14ac:dyDescent="0.2">
      <c r="B23" s="26" t="s">
        <v>11</v>
      </c>
      <c r="D23" s="38">
        <v>0.03</v>
      </c>
      <c r="G23" s="26" t="s">
        <v>56</v>
      </c>
      <c r="I23" s="35">
        <f>I16</f>
        <v>-24286723</v>
      </c>
      <c r="J23" s="35">
        <f>I16</f>
        <v>-24286723</v>
      </c>
      <c r="K23" s="35">
        <f>I16</f>
        <v>-24286723</v>
      </c>
      <c r="M23" s="26" t="s">
        <v>71</v>
      </c>
      <c r="O23" s="89">
        <f>X44/O26</f>
        <v>85608543.752354458</v>
      </c>
    </row>
    <row r="24" spans="2:24" x14ac:dyDescent="0.2">
      <c r="B24" s="26" t="s">
        <v>12</v>
      </c>
      <c r="D24" s="38">
        <v>4.4999999999999998E-2</v>
      </c>
      <c r="G24" s="26" t="s">
        <v>57</v>
      </c>
      <c r="I24" s="27">
        <f>I22+I23</f>
        <v>30461732.036593899</v>
      </c>
      <c r="J24" s="27">
        <f>J22+J23</f>
        <v>28759354.703366473</v>
      </c>
      <c r="K24" s="27">
        <f>K22+K23</f>
        <v>32276999.113404043</v>
      </c>
    </row>
    <row r="25" spans="2:24" x14ac:dyDescent="0.2">
      <c r="B25" s="26" t="s">
        <v>13</v>
      </c>
      <c r="D25" s="37">
        <v>0.03</v>
      </c>
      <c r="G25" s="26" t="s">
        <v>55</v>
      </c>
      <c r="I25" s="30">
        <f>J11</f>
        <v>8.0400000000000013E-2</v>
      </c>
      <c r="J25" s="30">
        <f>I25+0.0025</f>
        <v>8.2900000000000015E-2</v>
      </c>
      <c r="K25" s="30">
        <f>I11</f>
        <v>7.7900000000000011E-2</v>
      </c>
    </row>
    <row r="26" spans="2:24" x14ac:dyDescent="0.2">
      <c r="G26" s="26" t="s">
        <v>52</v>
      </c>
      <c r="H26" s="30">
        <f>D50</f>
        <v>0.12172588944597806</v>
      </c>
      <c r="K26" s="30"/>
      <c r="M26" s="26" t="s">
        <v>74</v>
      </c>
      <c r="O26" s="29">
        <v>0.06</v>
      </c>
    </row>
    <row r="27" spans="2:24" x14ac:dyDescent="0.2">
      <c r="B27" s="26" t="s">
        <v>14</v>
      </c>
      <c r="D27" s="27">
        <v>3539487</v>
      </c>
      <c r="M27" s="26" t="s">
        <v>52</v>
      </c>
      <c r="O27" s="30">
        <f>D50</f>
        <v>0.12172588944597806</v>
      </c>
    </row>
    <row r="28" spans="2:24" x14ac:dyDescent="0.2">
      <c r="B28" s="26" t="s">
        <v>15</v>
      </c>
      <c r="D28" s="30">
        <v>7.4800000000000005E-2</v>
      </c>
    </row>
    <row r="29" spans="2:24" x14ac:dyDescent="0.2">
      <c r="B29" s="26" t="s">
        <v>16</v>
      </c>
      <c r="D29" s="30">
        <v>7.2900000000000006E-2</v>
      </c>
      <c r="M29" s="26" t="s">
        <v>76</v>
      </c>
      <c r="O29" s="57">
        <f>D52</f>
        <v>4.0699175889804744</v>
      </c>
    </row>
    <row r="31" spans="2:24" x14ac:dyDescent="0.2">
      <c r="B31" s="26" t="s">
        <v>17</v>
      </c>
      <c r="D31" s="26">
        <v>1.03</v>
      </c>
      <c r="E31" s="26">
        <v>1.03</v>
      </c>
      <c r="F31" s="26">
        <v>1.03</v>
      </c>
      <c r="G31" s="26">
        <v>1.03</v>
      </c>
      <c r="H31" s="26">
        <v>1.03</v>
      </c>
      <c r="I31" s="26">
        <v>1.03</v>
      </c>
      <c r="J31" s="26">
        <v>1.03</v>
      </c>
      <c r="K31" s="26">
        <v>1.03</v>
      </c>
      <c r="L31" s="26">
        <v>1.03</v>
      </c>
      <c r="M31" s="26">
        <v>1.03</v>
      </c>
      <c r="N31" s="26">
        <v>1.03</v>
      </c>
    </row>
    <row r="32" spans="2:24" x14ac:dyDescent="0.2">
      <c r="D32" s="26">
        <v>1</v>
      </c>
      <c r="E32" s="26">
        <v>2</v>
      </c>
      <c r="F32" s="26">
        <v>3</v>
      </c>
      <c r="G32" s="26">
        <v>4</v>
      </c>
      <c r="H32" s="26">
        <v>5</v>
      </c>
      <c r="I32" s="26">
        <v>6</v>
      </c>
      <c r="J32" s="26">
        <v>7</v>
      </c>
      <c r="K32" s="26">
        <v>8</v>
      </c>
      <c r="L32" s="26">
        <v>9</v>
      </c>
      <c r="M32" s="26">
        <v>10</v>
      </c>
      <c r="N32" s="26">
        <v>11</v>
      </c>
      <c r="O32" s="26">
        <v>12</v>
      </c>
      <c r="P32" s="26">
        <v>13</v>
      </c>
      <c r="Q32" s="26">
        <v>14</v>
      </c>
      <c r="R32" s="26">
        <v>15</v>
      </c>
      <c r="S32" s="26">
        <v>16</v>
      </c>
      <c r="T32" s="26">
        <v>17</v>
      </c>
      <c r="U32" s="26">
        <v>18</v>
      </c>
      <c r="V32" s="26">
        <v>19</v>
      </c>
      <c r="W32" s="26">
        <v>20</v>
      </c>
      <c r="X32" s="26">
        <v>21</v>
      </c>
    </row>
    <row r="33" spans="2:78" x14ac:dyDescent="0.2">
      <c r="B33" s="26" t="s">
        <v>18</v>
      </c>
      <c r="D33" s="27">
        <f>$C10*$D10</f>
        <v>1219460</v>
      </c>
      <c r="E33" s="27">
        <f>$C10*$D10</f>
        <v>1219460</v>
      </c>
      <c r="F33" s="27">
        <f>$C10*$D10</f>
        <v>1219460</v>
      </c>
      <c r="G33" s="27">
        <f>$C10*$D10</f>
        <v>1219460</v>
      </c>
      <c r="H33" s="27">
        <f>$C10*$D10</f>
        <v>1219460</v>
      </c>
      <c r="I33" s="26">
        <f>$C10*$D10*1.1</f>
        <v>1341406</v>
      </c>
      <c r="J33" s="26">
        <f>$C10*$D10*1.1</f>
        <v>1341406</v>
      </c>
      <c r="K33" s="26">
        <f>$C10*$D10*1.1</f>
        <v>1341406</v>
      </c>
      <c r="L33" s="26">
        <f>$C10*$D10*1.1</f>
        <v>1341406</v>
      </c>
      <c r="M33" s="26">
        <f>$C10*$D10*1.1</f>
        <v>1341406</v>
      </c>
      <c r="N33" s="28">
        <f>M33*1.1</f>
        <v>1475546.6</v>
      </c>
      <c r="O33" s="28">
        <f t="shared" ref="O33:R35" si="0">N33</f>
        <v>1475546.6</v>
      </c>
      <c r="P33" s="28">
        <f t="shared" si="0"/>
        <v>1475546.6</v>
      </c>
      <c r="Q33" s="28">
        <f t="shared" si="0"/>
        <v>1475546.6</v>
      </c>
      <c r="R33" s="28">
        <f t="shared" si="0"/>
        <v>1475546.6</v>
      </c>
      <c r="S33" s="28">
        <f>R33*1.1</f>
        <v>1623101.2600000002</v>
      </c>
      <c r="T33" s="28">
        <f t="shared" ref="T33:W35" si="1">S33</f>
        <v>1623101.2600000002</v>
      </c>
      <c r="U33" s="28">
        <f t="shared" si="1"/>
        <v>1623101.2600000002</v>
      </c>
      <c r="V33" s="28">
        <f t="shared" si="1"/>
        <v>1623101.2600000002</v>
      </c>
      <c r="W33" s="28">
        <f t="shared" si="1"/>
        <v>1623101.2600000002</v>
      </c>
      <c r="X33" s="28">
        <f>W33*1.1</f>
        <v>1785411.3860000004</v>
      </c>
    </row>
    <row r="34" spans="2:78" x14ac:dyDescent="0.2">
      <c r="B34" s="26" t="s">
        <v>19</v>
      </c>
      <c r="D34" s="28">
        <f>1815050</f>
        <v>1815050</v>
      </c>
      <c r="E34" s="28">
        <f>D34</f>
        <v>1815050</v>
      </c>
      <c r="F34" s="28">
        <f t="shared" ref="F34:L34" si="2">E34</f>
        <v>1815050</v>
      </c>
      <c r="G34" s="28">
        <f t="shared" si="2"/>
        <v>1815050</v>
      </c>
      <c r="H34" s="28">
        <f t="shared" si="2"/>
        <v>1815050</v>
      </c>
      <c r="I34" s="28">
        <f>H34*1.1</f>
        <v>1996555.0000000002</v>
      </c>
      <c r="J34" s="28">
        <f t="shared" si="2"/>
        <v>1996555.0000000002</v>
      </c>
      <c r="K34" s="28">
        <f t="shared" si="2"/>
        <v>1996555.0000000002</v>
      </c>
      <c r="L34" s="28">
        <f t="shared" si="2"/>
        <v>1996555.0000000002</v>
      </c>
      <c r="M34" s="28">
        <f>L34</f>
        <v>1996555.0000000002</v>
      </c>
      <c r="N34" s="28">
        <f>M34*1.1</f>
        <v>2196210.5000000005</v>
      </c>
      <c r="O34" s="28">
        <f t="shared" si="0"/>
        <v>2196210.5000000005</v>
      </c>
      <c r="P34" s="28">
        <f t="shared" si="0"/>
        <v>2196210.5000000005</v>
      </c>
      <c r="Q34" s="28">
        <f t="shared" si="0"/>
        <v>2196210.5000000005</v>
      </c>
      <c r="R34" s="28">
        <f t="shared" si="0"/>
        <v>2196210.5000000005</v>
      </c>
      <c r="S34" s="28">
        <f>R34*1.1</f>
        <v>2415831.5500000007</v>
      </c>
      <c r="T34" s="28">
        <f t="shared" si="1"/>
        <v>2415831.5500000007</v>
      </c>
      <c r="U34" s="28">
        <f t="shared" si="1"/>
        <v>2415831.5500000007</v>
      </c>
      <c r="V34" s="28">
        <f t="shared" si="1"/>
        <v>2415831.5500000007</v>
      </c>
      <c r="W34" s="28">
        <f t="shared" si="1"/>
        <v>2415831.5500000007</v>
      </c>
      <c r="X34" s="28">
        <f>W34*1.1</f>
        <v>2657414.705000001</v>
      </c>
    </row>
    <row r="35" spans="2:78" x14ac:dyDescent="0.2">
      <c r="B35" s="26" t="s">
        <v>20</v>
      </c>
      <c r="D35" s="26">
        <f>$C12*$D12</f>
        <v>752050</v>
      </c>
      <c r="E35" s="26">
        <f>$C12*$D12</f>
        <v>752050</v>
      </c>
      <c r="F35" s="26">
        <f>$C12*$D12</f>
        <v>752050</v>
      </c>
      <c r="G35" s="26">
        <f>$C12*$D12</f>
        <v>752050</v>
      </c>
      <c r="H35" s="26">
        <f>$C12*$D12</f>
        <v>752050</v>
      </c>
      <c r="I35" s="26">
        <f>$C12*$D12*1.1</f>
        <v>827255.00000000012</v>
      </c>
      <c r="J35" s="26">
        <f>$C12*$D12*1.1</f>
        <v>827255.00000000012</v>
      </c>
      <c r="K35" s="26">
        <f>$C12*$D12*1.1</f>
        <v>827255.00000000012</v>
      </c>
      <c r="L35" s="26">
        <f>$C12*$D12*1.1</f>
        <v>827255.00000000012</v>
      </c>
      <c r="M35" s="26">
        <f>$C12*$D12*1.1</f>
        <v>827255.00000000012</v>
      </c>
      <c r="N35" s="28">
        <f>M35*1.1</f>
        <v>909980.50000000023</v>
      </c>
      <c r="O35" s="28">
        <f t="shared" si="0"/>
        <v>909980.50000000023</v>
      </c>
      <c r="P35" s="28">
        <f t="shared" si="0"/>
        <v>909980.50000000023</v>
      </c>
      <c r="Q35" s="28">
        <f t="shared" si="0"/>
        <v>909980.50000000023</v>
      </c>
      <c r="R35" s="28">
        <f t="shared" si="0"/>
        <v>909980.50000000023</v>
      </c>
      <c r="S35" s="28">
        <f t="shared" ref="S35" si="3">R35*1.1</f>
        <v>1000978.5500000003</v>
      </c>
      <c r="T35" s="28">
        <f t="shared" si="1"/>
        <v>1000978.5500000003</v>
      </c>
      <c r="U35" s="28">
        <f t="shared" si="1"/>
        <v>1000978.5500000003</v>
      </c>
      <c r="V35" s="28">
        <f t="shared" si="1"/>
        <v>1000978.5500000003</v>
      </c>
      <c r="W35" s="28">
        <f t="shared" si="1"/>
        <v>1000978.5500000003</v>
      </c>
      <c r="X35" s="28">
        <f>W35*1.1</f>
        <v>1101076.4050000005</v>
      </c>
    </row>
    <row r="36" spans="2:78" x14ac:dyDescent="0.2">
      <c r="B36" s="26" t="s">
        <v>21</v>
      </c>
      <c r="D36" s="26">
        <f>C13*7</f>
        <v>934332</v>
      </c>
      <c r="E36" s="28">
        <f t="shared" ref="E36:X36" si="4">D36*1.03</f>
        <v>962361.96000000008</v>
      </c>
      <c r="F36" s="28">
        <f t="shared" si="4"/>
        <v>991232.81880000012</v>
      </c>
      <c r="G36" s="28">
        <f t="shared" si="4"/>
        <v>1020969.8033640002</v>
      </c>
      <c r="H36" s="28">
        <f t="shared" si="4"/>
        <v>1051598.8974649203</v>
      </c>
      <c r="I36" s="28">
        <f t="shared" si="4"/>
        <v>1083146.864388868</v>
      </c>
      <c r="J36" s="28">
        <f t="shared" si="4"/>
        <v>1115641.270320534</v>
      </c>
      <c r="K36" s="28">
        <f t="shared" si="4"/>
        <v>1149110.5084301501</v>
      </c>
      <c r="L36" s="28">
        <f t="shared" si="4"/>
        <v>1183583.8236830547</v>
      </c>
      <c r="M36" s="28">
        <f t="shared" si="4"/>
        <v>1219091.3383935464</v>
      </c>
      <c r="N36" s="28">
        <f t="shared" si="4"/>
        <v>1255664.0785453529</v>
      </c>
      <c r="O36" s="28">
        <f t="shared" si="4"/>
        <v>1293334.0009017135</v>
      </c>
      <c r="P36" s="28">
        <f t="shared" si="4"/>
        <v>1332134.0209287649</v>
      </c>
      <c r="Q36" s="28">
        <f t="shared" si="4"/>
        <v>1372098.041556628</v>
      </c>
      <c r="R36" s="28">
        <f t="shared" si="4"/>
        <v>1413260.9828033268</v>
      </c>
      <c r="S36" s="28">
        <f t="shared" si="4"/>
        <v>1455658.8122874266</v>
      </c>
      <c r="T36" s="28">
        <f t="shared" si="4"/>
        <v>1499328.5766560494</v>
      </c>
      <c r="U36" s="28">
        <f t="shared" si="4"/>
        <v>1544308.4339557309</v>
      </c>
      <c r="V36" s="28">
        <f t="shared" si="4"/>
        <v>1590637.6869744027</v>
      </c>
      <c r="W36" s="28">
        <f t="shared" si="4"/>
        <v>1638356.817583635</v>
      </c>
      <c r="X36" s="28">
        <f t="shared" si="4"/>
        <v>1687507.5221111441</v>
      </c>
    </row>
    <row r="37" spans="2:78" x14ac:dyDescent="0.2">
      <c r="B37" s="26" t="s">
        <v>22</v>
      </c>
      <c r="D37" s="28">
        <f>$D16</f>
        <v>1601712</v>
      </c>
      <c r="E37" s="28">
        <f>$D16*1.045</f>
        <v>1673789.0399999998</v>
      </c>
      <c r="F37" s="28">
        <f t="shared" ref="F37:X37" si="5">E37*1.045</f>
        <v>1749109.5467999997</v>
      </c>
      <c r="G37" s="28">
        <f t="shared" si="5"/>
        <v>1827819.4764059996</v>
      </c>
      <c r="H37" s="28">
        <f t="shared" si="5"/>
        <v>1910071.3528442695</v>
      </c>
      <c r="I37" s="28">
        <f t="shared" si="5"/>
        <v>1996024.5637222615</v>
      </c>
      <c r="J37" s="28">
        <f t="shared" si="5"/>
        <v>2085845.6690897632</v>
      </c>
      <c r="K37" s="28">
        <f t="shared" si="5"/>
        <v>2179708.7241988024</v>
      </c>
      <c r="L37" s="28">
        <f t="shared" si="5"/>
        <v>2277795.6167877484</v>
      </c>
      <c r="M37" s="28">
        <f t="shared" si="5"/>
        <v>2380296.4195431969</v>
      </c>
      <c r="N37" s="28">
        <f t="shared" si="5"/>
        <v>2487409.7584226406</v>
      </c>
      <c r="O37" s="28">
        <f t="shared" si="5"/>
        <v>2599343.1975516593</v>
      </c>
      <c r="P37" s="28">
        <f t="shared" si="5"/>
        <v>2716313.641441484</v>
      </c>
      <c r="Q37" s="28">
        <f t="shared" si="5"/>
        <v>2838547.7553063505</v>
      </c>
      <c r="R37" s="28">
        <f t="shared" si="5"/>
        <v>2966282.4042951362</v>
      </c>
      <c r="S37" s="28">
        <f t="shared" si="5"/>
        <v>3099765.112488417</v>
      </c>
      <c r="T37" s="28">
        <f t="shared" si="5"/>
        <v>3239254.5425503957</v>
      </c>
      <c r="U37" s="28">
        <f t="shared" si="5"/>
        <v>3385020.9969651634</v>
      </c>
      <c r="V37" s="28">
        <f t="shared" si="5"/>
        <v>3537346.9418285955</v>
      </c>
      <c r="W37" s="28">
        <f t="shared" si="5"/>
        <v>3696527.5542108822</v>
      </c>
      <c r="X37" s="28">
        <f t="shared" si="5"/>
        <v>3862871.2941503716</v>
      </c>
    </row>
    <row r="38" spans="2:78" x14ac:dyDescent="0.2">
      <c r="B38" s="26" t="s">
        <v>26</v>
      </c>
      <c r="D38" s="26">
        <f>SUM(D33:D37)</f>
        <v>6322604</v>
      </c>
      <c r="E38" s="28">
        <f t="shared" ref="E38:M38" si="6">SUM(E33:E37)</f>
        <v>6422711</v>
      </c>
      <c r="F38" s="28">
        <f t="shared" si="6"/>
        <v>6526902.3656000001</v>
      </c>
      <c r="G38" s="28">
        <f t="shared" si="6"/>
        <v>6635349.2797699999</v>
      </c>
      <c r="H38" s="28">
        <f t="shared" si="6"/>
        <v>6748230.2503091898</v>
      </c>
      <c r="I38" s="28">
        <f t="shared" si="6"/>
        <v>7244387.4281111294</v>
      </c>
      <c r="J38" s="28">
        <f t="shared" si="6"/>
        <v>7366702.9394102972</v>
      </c>
      <c r="K38" s="28">
        <f t="shared" si="6"/>
        <v>7494035.2326289527</v>
      </c>
      <c r="L38" s="28">
        <f t="shared" si="6"/>
        <v>7626595.4404708035</v>
      </c>
      <c r="M38" s="28">
        <f t="shared" si="6"/>
        <v>7764603.757936744</v>
      </c>
      <c r="N38" s="28">
        <f>SUM(N33:N37)</f>
        <v>8324811.436967995</v>
      </c>
      <c r="O38" s="28">
        <f t="shared" ref="O38:X38" si="7">SUM(O33:O37)</f>
        <v>8474414.798453372</v>
      </c>
      <c r="P38" s="28">
        <f t="shared" si="7"/>
        <v>8630185.2623702493</v>
      </c>
      <c r="Q38" s="28">
        <f t="shared" si="7"/>
        <v>8792383.3968629781</v>
      </c>
      <c r="R38" s="28">
        <f t="shared" si="7"/>
        <v>8961280.9870984629</v>
      </c>
      <c r="S38" s="28">
        <f t="shared" si="7"/>
        <v>9595335.2847758457</v>
      </c>
      <c r="T38" s="28">
        <f t="shared" si="7"/>
        <v>9778494.4792064466</v>
      </c>
      <c r="U38" s="28">
        <f t="shared" si="7"/>
        <v>9969240.7909208946</v>
      </c>
      <c r="V38" s="28">
        <f t="shared" si="7"/>
        <v>10167895.988802999</v>
      </c>
      <c r="W38" s="28">
        <f t="shared" si="7"/>
        <v>10374795.731794519</v>
      </c>
      <c r="X38" s="28">
        <f t="shared" si="7"/>
        <v>11094281.312261518</v>
      </c>
    </row>
    <row r="40" spans="2:78" x14ac:dyDescent="0.2">
      <c r="B40" s="26" t="s">
        <v>27</v>
      </c>
      <c r="D40" s="34">
        <f t="shared" ref="D40:X40" si="8">-(D36)</f>
        <v>-934332</v>
      </c>
      <c r="E40" s="34">
        <f t="shared" si="8"/>
        <v>-962361.96000000008</v>
      </c>
      <c r="F40" s="34">
        <f t="shared" si="8"/>
        <v>-991232.81880000012</v>
      </c>
      <c r="G40" s="34">
        <f t="shared" si="8"/>
        <v>-1020969.8033640002</v>
      </c>
      <c r="H40" s="34">
        <f t="shared" si="8"/>
        <v>-1051598.8974649203</v>
      </c>
      <c r="I40" s="34">
        <f t="shared" si="8"/>
        <v>-1083146.864388868</v>
      </c>
      <c r="J40" s="34">
        <f t="shared" si="8"/>
        <v>-1115641.270320534</v>
      </c>
      <c r="K40" s="34">
        <f t="shared" si="8"/>
        <v>-1149110.5084301501</v>
      </c>
      <c r="L40" s="34">
        <f t="shared" si="8"/>
        <v>-1183583.8236830547</v>
      </c>
      <c r="M40" s="34">
        <f t="shared" si="8"/>
        <v>-1219091.3383935464</v>
      </c>
      <c r="N40" s="34">
        <f t="shared" si="8"/>
        <v>-1255664.0785453529</v>
      </c>
      <c r="O40" s="34">
        <f t="shared" si="8"/>
        <v>-1293334.0009017135</v>
      </c>
      <c r="P40" s="34">
        <f t="shared" si="8"/>
        <v>-1332134.0209287649</v>
      </c>
      <c r="Q40" s="34">
        <f t="shared" si="8"/>
        <v>-1372098.041556628</v>
      </c>
      <c r="R40" s="34">
        <f t="shared" si="8"/>
        <v>-1413260.9828033268</v>
      </c>
      <c r="S40" s="34">
        <f t="shared" si="8"/>
        <v>-1455658.8122874266</v>
      </c>
      <c r="T40" s="34">
        <f t="shared" si="8"/>
        <v>-1499328.5766560494</v>
      </c>
      <c r="U40" s="34">
        <f t="shared" si="8"/>
        <v>-1544308.4339557309</v>
      </c>
      <c r="V40" s="34">
        <f t="shared" si="8"/>
        <v>-1590637.6869744027</v>
      </c>
      <c r="W40" s="34">
        <f t="shared" si="8"/>
        <v>-1638356.817583635</v>
      </c>
      <c r="X40" s="34">
        <f t="shared" si="8"/>
        <v>-1687507.5221111441</v>
      </c>
    </row>
    <row r="41" spans="2:78" x14ac:dyDescent="0.2">
      <c r="B41" s="26" t="s">
        <v>28</v>
      </c>
      <c r="D41" s="34">
        <f>-(D37)</f>
        <v>-1601712</v>
      </c>
      <c r="E41" s="34">
        <f>-(E37)</f>
        <v>-1673789.0399999998</v>
      </c>
      <c r="F41" s="34">
        <f>-(F37)</f>
        <v>-1749109.5467999997</v>
      </c>
      <c r="G41" s="34">
        <f t="shared" ref="G41:X41" si="9">-G37</f>
        <v>-1827819.4764059996</v>
      </c>
      <c r="H41" s="34">
        <f t="shared" si="9"/>
        <v>-1910071.3528442695</v>
      </c>
      <c r="I41" s="34">
        <f t="shared" si="9"/>
        <v>-1996024.5637222615</v>
      </c>
      <c r="J41" s="34">
        <f t="shared" si="9"/>
        <v>-2085845.6690897632</v>
      </c>
      <c r="K41" s="34">
        <f t="shared" si="9"/>
        <v>-2179708.7241988024</v>
      </c>
      <c r="L41" s="34">
        <f t="shared" si="9"/>
        <v>-2277795.6167877484</v>
      </c>
      <c r="M41" s="34">
        <f t="shared" si="9"/>
        <v>-2380296.4195431969</v>
      </c>
      <c r="N41" s="34">
        <f t="shared" si="9"/>
        <v>-2487409.7584226406</v>
      </c>
      <c r="O41" s="34">
        <f t="shared" si="9"/>
        <v>-2599343.1975516593</v>
      </c>
      <c r="P41" s="34">
        <f t="shared" si="9"/>
        <v>-2716313.641441484</v>
      </c>
      <c r="Q41" s="34">
        <f t="shared" si="9"/>
        <v>-2838547.7553063505</v>
      </c>
      <c r="R41" s="34">
        <f t="shared" si="9"/>
        <v>-2966282.4042951362</v>
      </c>
      <c r="S41" s="34">
        <f t="shared" si="9"/>
        <v>-3099765.112488417</v>
      </c>
      <c r="T41" s="34">
        <f t="shared" si="9"/>
        <v>-3239254.5425503957</v>
      </c>
      <c r="U41" s="34">
        <f t="shared" si="9"/>
        <v>-3385020.9969651634</v>
      </c>
      <c r="V41" s="34">
        <f t="shared" si="9"/>
        <v>-3537346.9418285955</v>
      </c>
      <c r="W41" s="34">
        <f t="shared" si="9"/>
        <v>-3696527.5542108822</v>
      </c>
      <c r="X41" s="34">
        <f t="shared" si="9"/>
        <v>-3862871.2941503716</v>
      </c>
    </row>
    <row r="42" spans="2:78" x14ac:dyDescent="0.2">
      <c r="B42" s="26" t="s">
        <v>36</v>
      </c>
      <c r="D42" s="34">
        <f>-(D18)</f>
        <v>-113596.8</v>
      </c>
      <c r="E42" s="34">
        <f t="shared" ref="E42:H42" si="10">-(113597)</f>
        <v>-113597</v>
      </c>
      <c r="F42" s="34">
        <f t="shared" si="10"/>
        <v>-113597</v>
      </c>
      <c r="G42" s="34">
        <f t="shared" si="10"/>
        <v>-113597</v>
      </c>
      <c r="H42" s="34">
        <f t="shared" si="10"/>
        <v>-113597</v>
      </c>
      <c r="I42" s="34">
        <f>H42*1.1</f>
        <v>-124956.70000000001</v>
      </c>
      <c r="J42" s="34">
        <f>I42</f>
        <v>-124956.70000000001</v>
      </c>
      <c r="K42" s="34">
        <f>J42</f>
        <v>-124956.70000000001</v>
      </c>
      <c r="L42" s="34">
        <f>K42</f>
        <v>-124956.70000000001</v>
      </c>
      <c r="M42" s="34">
        <f>L42</f>
        <v>-124956.70000000001</v>
      </c>
      <c r="N42" s="34">
        <f>M42*1.1</f>
        <v>-137452.37000000002</v>
      </c>
      <c r="O42" s="34">
        <f>N42</f>
        <v>-137452.37000000002</v>
      </c>
      <c r="P42" s="34">
        <f>O42</f>
        <v>-137452.37000000002</v>
      </c>
      <c r="Q42" s="34">
        <f>P42</f>
        <v>-137452.37000000002</v>
      </c>
      <c r="R42" s="34">
        <f>Q42</f>
        <v>-137452.37000000002</v>
      </c>
      <c r="S42" s="34">
        <f>R42*1.1</f>
        <v>-151197.60700000005</v>
      </c>
      <c r="T42" s="34">
        <f>S42</f>
        <v>-151197.60700000005</v>
      </c>
      <c r="U42" s="34">
        <f>T42</f>
        <v>-151197.60700000005</v>
      </c>
      <c r="V42" s="34">
        <f>U42</f>
        <v>-151197.60700000005</v>
      </c>
      <c r="W42" s="34">
        <f>V42</f>
        <v>-151197.60700000005</v>
      </c>
      <c r="X42" s="34">
        <f t="shared" ref="X42" si="11">W42*1.1</f>
        <v>-166317.36770000006</v>
      </c>
    </row>
    <row r="43" spans="2:78" x14ac:dyDescent="0.2">
      <c r="B43" s="26" t="s">
        <v>29</v>
      </c>
      <c r="D43" s="34">
        <f>-(D17)</f>
        <v>-133476</v>
      </c>
      <c r="E43" s="34">
        <f>D43*1.03</f>
        <v>-137480.28</v>
      </c>
      <c r="F43" s="34">
        <f t="shared" ref="F43:M43" si="12">E43*1.03</f>
        <v>-141604.68840000001</v>
      </c>
      <c r="G43" s="34">
        <f t="shared" si="12"/>
        <v>-145852.82905200002</v>
      </c>
      <c r="H43" s="34">
        <f t="shared" si="12"/>
        <v>-150228.41392356003</v>
      </c>
      <c r="I43" s="34">
        <f t="shared" si="12"/>
        <v>-154735.26634126683</v>
      </c>
      <c r="J43" s="34">
        <f t="shared" si="12"/>
        <v>-159377.32433150485</v>
      </c>
      <c r="K43" s="34">
        <f t="shared" si="12"/>
        <v>-164158.64406145</v>
      </c>
      <c r="L43" s="34">
        <f t="shared" si="12"/>
        <v>-169083.40338329351</v>
      </c>
      <c r="M43" s="34">
        <f t="shared" si="12"/>
        <v>-174155.90548479231</v>
      </c>
      <c r="N43" s="34">
        <f>M43*1.03</f>
        <v>-179380.58264933608</v>
      </c>
      <c r="O43" s="34">
        <f t="shared" ref="O43:X43" si="13">N43*1.03</f>
        <v>-184762.00012881617</v>
      </c>
      <c r="P43" s="34">
        <f t="shared" si="13"/>
        <v>-190304.86013268065</v>
      </c>
      <c r="Q43" s="34">
        <f t="shared" si="13"/>
        <v>-196014.00593666107</v>
      </c>
      <c r="R43" s="34">
        <f t="shared" si="13"/>
        <v>-201894.42611476089</v>
      </c>
      <c r="S43" s="34">
        <f t="shared" si="13"/>
        <v>-207951.25889820373</v>
      </c>
      <c r="T43" s="34">
        <f t="shared" si="13"/>
        <v>-214189.79666514986</v>
      </c>
      <c r="U43" s="34">
        <f t="shared" si="13"/>
        <v>-220615.49056510435</v>
      </c>
      <c r="V43" s="34">
        <f t="shared" si="13"/>
        <v>-227233.95528205749</v>
      </c>
      <c r="W43" s="34">
        <f t="shared" si="13"/>
        <v>-234050.97394051921</v>
      </c>
      <c r="X43" s="34">
        <f t="shared" si="13"/>
        <v>-241072.50315873479</v>
      </c>
    </row>
    <row r="44" spans="2:78" s="39" customFormat="1" x14ac:dyDescent="0.2">
      <c r="B44" s="39" t="s">
        <v>35</v>
      </c>
      <c r="D44" s="40">
        <f>SUM(D38:D43)</f>
        <v>3539487.2</v>
      </c>
      <c r="E44" s="40">
        <f>SUM(E38:E43)</f>
        <v>3535482.72</v>
      </c>
      <c r="F44" s="40">
        <f>SUM(F38:F43)</f>
        <v>3531358.3116000001</v>
      </c>
      <c r="G44" s="40">
        <f t="shared" ref="G44:M44" si="14">SUM(G38:G43)</f>
        <v>3527110.1709480002</v>
      </c>
      <c r="H44" s="40">
        <f t="shared" si="14"/>
        <v>3522734.5860764403</v>
      </c>
      <c r="I44" s="40">
        <f t="shared" si="14"/>
        <v>3885524.0336587331</v>
      </c>
      <c r="J44" s="40">
        <f t="shared" si="14"/>
        <v>3880881.9756684951</v>
      </c>
      <c r="K44" s="40">
        <f t="shared" si="14"/>
        <v>3876100.6559385499</v>
      </c>
      <c r="L44" s="40">
        <f t="shared" si="14"/>
        <v>3871175.8966167062</v>
      </c>
      <c r="M44" s="40">
        <f t="shared" si="14"/>
        <v>3866103.394515208</v>
      </c>
      <c r="N44" s="40">
        <f>SUM(N38:N43)</f>
        <v>4264904.6473506652</v>
      </c>
      <c r="O44" s="40">
        <f t="shared" ref="O44:X44" si="15">SUM(O38:O43)</f>
        <v>4259523.2298711827</v>
      </c>
      <c r="P44" s="40">
        <f t="shared" si="15"/>
        <v>4253980.3698673202</v>
      </c>
      <c r="Q44" s="40">
        <f t="shared" si="15"/>
        <v>4248271.2240633387</v>
      </c>
      <c r="R44" s="40">
        <f t="shared" si="15"/>
        <v>4242390.8038852382</v>
      </c>
      <c r="S44" s="40">
        <f t="shared" si="15"/>
        <v>4680762.4941017982</v>
      </c>
      <c r="T44" s="40">
        <f t="shared" si="15"/>
        <v>4674523.9563348517</v>
      </c>
      <c r="U44" s="40">
        <f t="shared" si="15"/>
        <v>4668098.2624348961</v>
      </c>
      <c r="V44" s="40">
        <f t="shared" si="15"/>
        <v>4661479.7977179438</v>
      </c>
      <c r="W44" s="40">
        <f t="shared" si="15"/>
        <v>4654662.7790594818</v>
      </c>
      <c r="X44" s="40">
        <f t="shared" si="15"/>
        <v>5136512.6251412677</v>
      </c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</row>
    <row r="45" spans="2:78" s="41" customFormat="1" x14ac:dyDescent="0.2">
      <c r="B45" s="41" t="s">
        <v>42</v>
      </c>
      <c r="D45" s="42">
        <f>$H19*$I16</f>
        <v>-1821504.2249999999</v>
      </c>
      <c r="E45" s="42">
        <f>$H19*$I16</f>
        <v>-1821504.2249999999</v>
      </c>
      <c r="F45" s="42">
        <f>$H19*$I16</f>
        <v>-1821504.2249999999</v>
      </c>
      <c r="G45" s="42">
        <f>$H19*$I16</f>
        <v>-1821504.2249999999</v>
      </c>
      <c r="H45" s="42">
        <f>$H19*$I16</f>
        <v>-1821504.2249999999</v>
      </c>
      <c r="I45" s="42">
        <f>'[1]Refi '!I45</f>
        <v>-2007921.3972</v>
      </c>
      <c r="J45" s="42">
        <f>'[1]Refi '!J45</f>
        <v>-2007921.3972</v>
      </c>
      <c r="K45" s="42">
        <f>'[1]Refi '!K45</f>
        <v>-2007921.3972</v>
      </c>
      <c r="L45" s="42">
        <f>'[1]Refi '!L45</f>
        <v>-2007921.3972</v>
      </c>
      <c r="M45" s="42">
        <f>'[1]Refi '!M45</f>
        <v>-2007921.3972</v>
      </c>
      <c r="N45" s="42">
        <f>Refi10!O17</f>
        <v>-2264141.9973333338</v>
      </c>
      <c r="O45" s="42">
        <f>N45</f>
        <v>-2264141.9973333338</v>
      </c>
      <c r="P45" s="42">
        <f>O45</f>
        <v>-2264141.9973333338</v>
      </c>
      <c r="Q45" s="42">
        <f>P45</f>
        <v>-2264141.9973333338</v>
      </c>
      <c r="R45" s="42">
        <f>Q45</f>
        <v>-2264141.9973333338</v>
      </c>
      <c r="S45" s="42">
        <f>O17</f>
        <v>-2730715.6096000015</v>
      </c>
      <c r="T45" s="42">
        <f t="shared" ref="T45:X45" si="16">S45</f>
        <v>-2730715.6096000015</v>
      </c>
      <c r="U45" s="42">
        <f t="shared" si="16"/>
        <v>-2730715.6096000015</v>
      </c>
      <c r="V45" s="42">
        <f t="shared" si="16"/>
        <v>-2730715.6096000015</v>
      </c>
      <c r="W45" s="42">
        <f t="shared" si="16"/>
        <v>-2730715.6096000015</v>
      </c>
      <c r="X45" s="42">
        <f t="shared" si="16"/>
        <v>-2730715.6096000015</v>
      </c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</row>
    <row r="46" spans="2:78" s="43" customFormat="1" x14ac:dyDescent="0.2">
      <c r="B46" s="43" t="s">
        <v>43</v>
      </c>
      <c r="D46" s="44">
        <f>SUM(D44:D45)</f>
        <v>1717982.9750000003</v>
      </c>
      <c r="E46" s="44">
        <f>SUM(E44:E45)</f>
        <v>1713978.4950000003</v>
      </c>
      <c r="F46" s="44">
        <f>SUM(F44:F45)</f>
        <v>1709854.0866000003</v>
      </c>
      <c r="G46" s="44">
        <f>SUM(G44:G45)</f>
        <v>1705605.9459480003</v>
      </c>
      <c r="H46" s="45">
        <f>SUM(H44:H45)</f>
        <v>1701230.3610764404</v>
      </c>
      <c r="I46" s="45">
        <f t="shared" ref="I46:R46" si="17">SUM(I44:I45)</f>
        <v>1877602.6364587331</v>
      </c>
      <c r="J46" s="45">
        <f t="shared" si="17"/>
        <v>1872960.578468495</v>
      </c>
      <c r="K46" s="45">
        <f t="shared" si="17"/>
        <v>1868179.2587385499</v>
      </c>
      <c r="L46" s="45">
        <f t="shared" si="17"/>
        <v>1863254.4994167062</v>
      </c>
      <c r="M46" s="45">
        <f t="shared" si="17"/>
        <v>1858181.997315208</v>
      </c>
      <c r="N46" s="45">
        <f t="shared" si="17"/>
        <v>2000762.6500173314</v>
      </c>
      <c r="O46" s="45">
        <f t="shared" si="17"/>
        <v>1995381.2325378489</v>
      </c>
      <c r="P46" s="45">
        <f t="shared" si="17"/>
        <v>1989838.3725339863</v>
      </c>
      <c r="Q46" s="45">
        <f t="shared" si="17"/>
        <v>1984129.2267300049</v>
      </c>
      <c r="R46" s="45">
        <f t="shared" si="17"/>
        <v>1978248.8065519044</v>
      </c>
      <c r="S46" s="45">
        <f>SUM(S44:S45)</f>
        <v>1950046.8845017967</v>
      </c>
      <c r="T46" s="45">
        <f t="shared" ref="T46:X46" si="18">SUM(T44:T45)</f>
        <v>1943808.3467348502</v>
      </c>
      <c r="U46" s="45">
        <f t="shared" si="18"/>
        <v>1937382.6528348946</v>
      </c>
      <c r="V46" s="45">
        <f t="shared" si="18"/>
        <v>1930764.1881179423</v>
      </c>
      <c r="W46" s="45">
        <f t="shared" si="18"/>
        <v>1923947.1694594803</v>
      </c>
      <c r="X46" s="45">
        <f t="shared" si="18"/>
        <v>2405797.0155412662</v>
      </c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</row>
    <row r="47" spans="2:78" s="46" customFormat="1" x14ac:dyDescent="0.2">
      <c r="B47" s="46" t="s">
        <v>49</v>
      </c>
      <c r="D47" s="47">
        <f t="shared" ref="D47:X47" si="19">D46/$I17</f>
        <v>7.0737537336758041E-2</v>
      </c>
      <c r="E47" s="47">
        <f t="shared" si="19"/>
        <v>7.0572653832301727E-2</v>
      </c>
      <c r="F47" s="47">
        <f t="shared" si="19"/>
        <v>7.0402832304712337E-2</v>
      </c>
      <c r="G47" s="47">
        <f t="shared" si="19"/>
        <v>7.0227916131295282E-2</v>
      </c>
      <c r="H47" s="47">
        <f t="shared" si="19"/>
        <v>7.0047752472675723E-2</v>
      </c>
      <c r="I47" s="47">
        <f t="shared" si="19"/>
        <v>7.7309838649649562E-2</v>
      </c>
      <c r="J47" s="47">
        <f t="shared" si="19"/>
        <v>7.7118703024220067E-2</v>
      </c>
      <c r="K47" s="47">
        <f t="shared" si="19"/>
        <v>7.6921833330027681E-2</v>
      </c>
      <c r="L47" s="47">
        <f t="shared" si="19"/>
        <v>7.6719057545009517E-2</v>
      </c>
      <c r="M47" s="47">
        <f t="shared" si="19"/>
        <v>7.6510198486440847E-2</v>
      </c>
      <c r="N47" s="47">
        <f t="shared" si="19"/>
        <v>8.2380922696624462E-2</v>
      </c>
      <c r="O47" s="47">
        <f t="shared" si="19"/>
        <v>8.2159344121388825E-2</v>
      </c>
      <c r="P47" s="47">
        <f t="shared" si="19"/>
        <v>8.1931118188896312E-2</v>
      </c>
      <c r="Q47" s="47">
        <f t="shared" si="19"/>
        <v>8.1696045478428889E-2</v>
      </c>
      <c r="R47" s="47">
        <f t="shared" si="19"/>
        <v>8.1453920586647466E-2</v>
      </c>
      <c r="S47" s="47">
        <f t="shared" si="19"/>
        <v>8.0292713203909669E-2</v>
      </c>
      <c r="T47" s="47">
        <f t="shared" si="19"/>
        <v>8.0035842906218763E-2</v>
      </c>
      <c r="U47" s="47">
        <f t="shared" si="19"/>
        <v>7.9771266499597107E-2</v>
      </c>
      <c r="V47" s="47">
        <f t="shared" si="19"/>
        <v>7.9498752800776881E-2</v>
      </c>
      <c r="W47" s="47">
        <f t="shared" si="19"/>
        <v>7.9218063690992005E-2</v>
      </c>
      <c r="X47" s="47">
        <f t="shared" si="19"/>
        <v>9.9058115643731195E-2</v>
      </c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</row>
    <row r="48" spans="2:78" x14ac:dyDescent="0.2">
      <c r="D48" s="47">
        <f>AVERAGE(D47:W47)</f>
        <v>7.7250315664328564E-2</v>
      </c>
      <c r="E48" s="48"/>
      <c r="F48" s="48"/>
      <c r="G48" s="48"/>
      <c r="H48" s="48"/>
      <c r="I48" s="48"/>
      <c r="J48" s="48"/>
      <c r="K48" s="48"/>
      <c r="L48" s="48"/>
      <c r="M48" s="48"/>
      <c r="N48" s="48"/>
    </row>
    <row r="49" spans="2:23" x14ac:dyDescent="0.2">
      <c r="B49" s="26" t="s">
        <v>50</v>
      </c>
      <c r="C49" s="35">
        <f>I16</f>
        <v>-24286723</v>
      </c>
      <c r="D49" s="35">
        <f>D46</f>
        <v>1717982.9750000003</v>
      </c>
      <c r="E49" s="35">
        <f t="shared" ref="E49:K49" si="20">E46</f>
        <v>1713978.4950000003</v>
      </c>
      <c r="F49" s="35">
        <f t="shared" si="20"/>
        <v>1709854.0866000003</v>
      </c>
      <c r="G49" s="35">
        <f t="shared" si="20"/>
        <v>1705605.9459480003</v>
      </c>
      <c r="H49" s="35">
        <f>'[1]Refi '!H52</f>
        <v>6140135.3610764407</v>
      </c>
      <c r="I49" s="35">
        <f t="shared" si="20"/>
        <v>1877602.6364587331</v>
      </c>
      <c r="J49" s="35">
        <f t="shared" si="20"/>
        <v>1872960.578468495</v>
      </c>
      <c r="K49" s="35">
        <f t="shared" si="20"/>
        <v>1868179.2587385499</v>
      </c>
      <c r="L49" s="35">
        <f>L46</f>
        <v>1863254.4994167062</v>
      </c>
      <c r="M49" s="35">
        <f>Refi10!M49</f>
        <v>11313700.663981887</v>
      </c>
      <c r="N49" s="35">
        <f>N46</f>
        <v>2000762.6500173314</v>
      </c>
      <c r="O49" s="35">
        <f>O46</f>
        <v>1995381.2325378489</v>
      </c>
      <c r="P49" s="35">
        <f>P46</f>
        <v>1989838.3725339863</v>
      </c>
      <c r="Q49" s="35">
        <f>Q46</f>
        <v>1984129.2267300049</v>
      </c>
      <c r="R49" s="35">
        <f>R46+O21</f>
        <v>9614478.1398852468</v>
      </c>
      <c r="S49" s="35">
        <f>S46</f>
        <v>1950046.8845017967</v>
      </c>
      <c r="T49" s="28">
        <f>T46</f>
        <v>1943808.3467348502</v>
      </c>
      <c r="U49" s="28">
        <f t="shared" ref="U49:V49" si="21">U46</f>
        <v>1937382.6528348946</v>
      </c>
      <c r="V49" s="28">
        <f t="shared" si="21"/>
        <v>1930764.1881179423</v>
      </c>
      <c r="W49" s="28">
        <f>(X44/O26)+W46-O19</f>
        <v>41715114.921813913</v>
      </c>
    </row>
    <row r="50" spans="2:23" x14ac:dyDescent="0.2">
      <c r="D50" s="58">
        <f>IRR(C49:W49)</f>
        <v>0.12172588944597806</v>
      </c>
    </row>
    <row r="51" spans="2:23" x14ac:dyDescent="0.2">
      <c r="B51" s="26" t="s">
        <v>58</v>
      </c>
      <c r="C51" s="53">
        <f>I16</f>
        <v>-24286723</v>
      </c>
      <c r="D51" s="35">
        <f>D46</f>
        <v>1717982.9750000003</v>
      </c>
      <c r="E51" s="35">
        <f t="shared" ref="E51:L51" si="22">E46</f>
        <v>1713978.4950000003</v>
      </c>
      <c r="F51" s="35">
        <f t="shared" si="22"/>
        <v>1709854.0866000003</v>
      </c>
      <c r="G51" s="35">
        <f t="shared" si="22"/>
        <v>1705605.9459480003</v>
      </c>
      <c r="H51" s="35">
        <f>H49</f>
        <v>6140135.3610764407</v>
      </c>
      <c r="I51" s="35">
        <f t="shared" si="22"/>
        <v>1877602.6364587331</v>
      </c>
      <c r="J51" s="35">
        <f t="shared" si="22"/>
        <v>1872960.578468495</v>
      </c>
      <c r="K51" s="35">
        <f t="shared" si="22"/>
        <v>1868179.2587385499</v>
      </c>
      <c r="L51" s="35">
        <f t="shared" si="22"/>
        <v>1863254.4994167062</v>
      </c>
      <c r="M51" s="35">
        <f>M49</f>
        <v>11313700.663981887</v>
      </c>
      <c r="N51" s="35">
        <f>N46</f>
        <v>2000762.6500173314</v>
      </c>
      <c r="O51" s="35">
        <f>O46</f>
        <v>1995381.2325378489</v>
      </c>
      <c r="P51" s="35">
        <f>P46</f>
        <v>1989838.3725339863</v>
      </c>
      <c r="Q51" s="35">
        <f>Q46</f>
        <v>1984129.2267300049</v>
      </c>
      <c r="R51" s="35">
        <f>R49</f>
        <v>9614478.1398852468</v>
      </c>
      <c r="S51" s="28">
        <f>S49</f>
        <v>1950046.8845017967</v>
      </c>
      <c r="T51" s="28">
        <f t="shared" ref="T51:V51" si="23">T49</f>
        <v>1943808.3467348502</v>
      </c>
      <c r="U51" s="28">
        <f t="shared" si="23"/>
        <v>1937382.6528348946</v>
      </c>
      <c r="V51" s="28">
        <f t="shared" si="23"/>
        <v>1930764.1881179423</v>
      </c>
      <c r="W51" s="28">
        <f>W49</f>
        <v>41715114.921813913</v>
      </c>
    </row>
    <row r="52" spans="2:23" x14ac:dyDescent="0.2">
      <c r="D52" s="91">
        <f>(-(SUM(D51:W51))/C51)</f>
        <v>4.0699175889804744</v>
      </c>
    </row>
  </sheetData>
  <mergeCells count="4">
    <mergeCell ref="B5:E5"/>
    <mergeCell ref="G5:I5"/>
    <mergeCell ref="M5:O5"/>
    <mergeCell ref="B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ADF2E-F76F-494D-A3B4-D6BDD82F77E3}">
  <dimension ref="B5:BZ52"/>
  <sheetViews>
    <sheetView topLeftCell="I12" zoomScale="96" zoomScaleNormal="96" workbookViewId="0">
      <selection activeCell="AB49" sqref="AB49"/>
    </sheetView>
  </sheetViews>
  <sheetFormatPr baseColWidth="10" defaultColWidth="9.1640625" defaultRowHeight="15" x14ac:dyDescent="0.2"/>
  <cols>
    <col min="1" max="1" width="9.1640625" style="26"/>
    <col min="2" max="2" width="34.6640625" style="26" customWidth="1"/>
    <col min="3" max="3" width="14" style="26" bestFit="1" customWidth="1"/>
    <col min="4" max="4" width="13.5" style="26" bestFit="1" customWidth="1"/>
    <col min="5" max="5" width="13.83203125" style="26" bestFit="1" customWidth="1"/>
    <col min="6" max="6" width="12.83203125" style="26" bestFit="1" customWidth="1"/>
    <col min="7" max="7" width="18.83203125" style="26" customWidth="1"/>
    <col min="8" max="8" width="12.1640625" style="26" bestFit="1" customWidth="1"/>
    <col min="9" max="9" width="13.83203125" style="26" bestFit="1" customWidth="1"/>
    <col min="10" max="10" width="16.83203125" style="26" bestFit="1" customWidth="1"/>
    <col min="11" max="11" width="13.33203125" style="26" bestFit="1" customWidth="1"/>
    <col min="12" max="12" width="12.1640625" style="26" bestFit="1" customWidth="1"/>
    <col min="13" max="13" width="13.33203125" style="26" bestFit="1" customWidth="1"/>
    <col min="14" max="14" width="12.1640625" style="26" bestFit="1" customWidth="1"/>
    <col min="15" max="15" width="14.1640625" style="26" bestFit="1" customWidth="1"/>
    <col min="16" max="16" width="11.6640625" style="26" bestFit="1" customWidth="1"/>
    <col min="17" max="17" width="11.83203125" style="26" bestFit="1" customWidth="1"/>
    <col min="18" max="18" width="16" style="26" bestFit="1" customWidth="1"/>
    <col min="19" max="19" width="12.6640625" style="26" bestFit="1" customWidth="1"/>
    <col min="20" max="22" width="12.33203125" style="26" bestFit="1" customWidth="1"/>
    <col min="23" max="23" width="14.33203125" style="26" bestFit="1" customWidth="1"/>
    <col min="24" max="28" width="13.5" style="26" bestFit="1" customWidth="1"/>
    <col min="29" max="29" width="14.83203125" style="26" bestFit="1" customWidth="1"/>
    <col min="30" max="16384" width="9.1640625" style="26"/>
  </cols>
  <sheetData>
    <row r="5" spans="2:17" x14ac:dyDescent="0.2">
      <c r="B5" s="105" t="s">
        <v>0</v>
      </c>
      <c r="C5" s="105"/>
      <c r="D5" s="105"/>
      <c r="E5" s="105"/>
      <c r="G5" s="105" t="s">
        <v>38</v>
      </c>
      <c r="H5" s="105"/>
      <c r="I5" s="105"/>
      <c r="M5" s="108" t="s">
        <v>59</v>
      </c>
      <c r="N5" s="108"/>
      <c r="O5" s="108"/>
    </row>
    <row r="7" spans="2:17" x14ac:dyDescent="0.2">
      <c r="B7" s="26" t="s">
        <v>1</v>
      </c>
      <c r="D7" s="27">
        <v>47332</v>
      </c>
      <c r="G7" s="26" t="s">
        <v>2</v>
      </c>
      <c r="I7" s="27">
        <f>D8</f>
        <v>48573445</v>
      </c>
      <c r="J7" s="27">
        <f>J8/J9</f>
        <v>46942801.061007954</v>
      </c>
      <c r="K7" s="28">
        <f>K8/K9</f>
        <v>50276806.81818182</v>
      </c>
      <c r="M7" s="26" t="s">
        <v>80</v>
      </c>
      <c r="O7" s="27">
        <f>X44</f>
        <v>5136512.6251412677</v>
      </c>
    </row>
    <row r="8" spans="2:17" x14ac:dyDescent="0.2">
      <c r="B8" s="26" t="s">
        <v>2</v>
      </c>
      <c r="D8" s="27">
        <v>48573445</v>
      </c>
      <c r="G8" s="26" t="s">
        <v>54</v>
      </c>
      <c r="I8" s="27">
        <f>D44</f>
        <v>3539487.2</v>
      </c>
      <c r="J8" s="27">
        <f>I8</f>
        <v>3539487.2</v>
      </c>
      <c r="K8" s="27">
        <f>I8</f>
        <v>3539487.2</v>
      </c>
      <c r="M8" s="26" t="s">
        <v>72</v>
      </c>
      <c r="O8" s="27">
        <f>-(X42+X43)</f>
        <v>407389.87085873482</v>
      </c>
    </row>
    <row r="9" spans="2:17" x14ac:dyDescent="0.2">
      <c r="C9" s="26" t="s">
        <v>6</v>
      </c>
      <c r="D9" s="26" t="s">
        <v>7</v>
      </c>
      <c r="G9" s="26" t="s">
        <v>39</v>
      </c>
      <c r="I9" s="29">
        <f>7.29%</f>
        <v>7.2900000000000006E-2</v>
      </c>
      <c r="J9" s="30">
        <f>I9+0.0025</f>
        <v>7.5400000000000009E-2</v>
      </c>
      <c r="K9" s="30">
        <f>I9-0.0025</f>
        <v>7.0400000000000004E-2</v>
      </c>
      <c r="M9" s="26" t="s">
        <v>61</v>
      </c>
      <c r="O9" s="27">
        <f>O7+O8</f>
        <v>5543902.4960000021</v>
      </c>
      <c r="Q9" s="49"/>
    </row>
    <row r="10" spans="2:17" x14ac:dyDescent="0.2">
      <c r="B10" s="26" t="s">
        <v>3</v>
      </c>
      <c r="C10" s="27">
        <v>53020</v>
      </c>
      <c r="D10" s="31">
        <v>23</v>
      </c>
    </row>
    <row r="11" spans="2:17" x14ac:dyDescent="0.2">
      <c r="B11" s="26" t="s">
        <v>4</v>
      </c>
      <c r="C11" s="27">
        <v>57316</v>
      </c>
      <c r="D11" s="26">
        <v>31.67</v>
      </c>
      <c r="G11" s="26" t="s">
        <v>40</v>
      </c>
      <c r="I11" s="29">
        <f>I9+0.005</f>
        <v>7.7900000000000011E-2</v>
      </c>
      <c r="J11" s="30">
        <f>I11+0.0025</f>
        <v>8.0400000000000013E-2</v>
      </c>
      <c r="K11" s="30">
        <f>I11-0.0025</f>
        <v>7.5400000000000009E-2</v>
      </c>
      <c r="M11" s="26" t="s">
        <v>62</v>
      </c>
      <c r="O11" s="30">
        <v>4.2500000000000003E-2</v>
      </c>
    </row>
    <row r="12" spans="2:17" x14ac:dyDescent="0.2">
      <c r="B12" s="26" t="s">
        <v>5</v>
      </c>
      <c r="C12" s="27">
        <v>23140</v>
      </c>
      <c r="D12" s="31">
        <v>32.5</v>
      </c>
      <c r="G12" s="26" t="s">
        <v>41</v>
      </c>
      <c r="I12" s="27">
        <f>N44</f>
        <v>4264904.6473506652</v>
      </c>
      <c r="J12" s="27">
        <f>I12</f>
        <v>4264904.6473506652</v>
      </c>
      <c r="K12" s="27">
        <f>I12</f>
        <v>4264904.6473506652</v>
      </c>
      <c r="M12" s="26" t="s">
        <v>63</v>
      </c>
      <c r="O12" s="28">
        <f>O9/O11</f>
        <v>130444764.61176474</v>
      </c>
    </row>
    <row r="13" spans="2:17" x14ac:dyDescent="0.2">
      <c r="B13" s="26" t="s">
        <v>9</v>
      </c>
      <c r="C13" s="27">
        <f>SUM(C10:C12)</f>
        <v>133476</v>
      </c>
      <c r="D13" s="31">
        <f>Calculation!F15</f>
        <v>28.368845335491024</v>
      </c>
      <c r="G13" s="26" t="s">
        <v>51</v>
      </c>
      <c r="I13" s="28">
        <f>I12/I11</f>
        <v>54748455.036593899</v>
      </c>
      <c r="J13" s="28">
        <f>J12/J11</f>
        <v>53046077.703366473</v>
      </c>
      <c r="K13" s="28">
        <f>K12/K11</f>
        <v>56563722.113404043</v>
      </c>
      <c r="M13" s="26" t="s">
        <v>64</v>
      </c>
      <c r="O13" s="33">
        <v>0.5</v>
      </c>
    </row>
    <row r="14" spans="2:17" x14ac:dyDescent="0.2">
      <c r="D14" s="31"/>
    </row>
    <row r="15" spans="2:17" x14ac:dyDescent="0.2">
      <c r="B15" s="26" t="s">
        <v>24</v>
      </c>
      <c r="C15" s="32">
        <v>7</v>
      </c>
      <c r="D15" s="27">
        <f>C15*C13</f>
        <v>934332</v>
      </c>
      <c r="G15" s="26" t="s">
        <v>2</v>
      </c>
      <c r="I15" s="27">
        <f>D8</f>
        <v>48573445</v>
      </c>
      <c r="M15" s="26" t="s">
        <v>65</v>
      </c>
      <c r="O15" s="28">
        <f>O12*O13</f>
        <v>65222382.305882372</v>
      </c>
    </row>
    <row r="16" spans="2:17" x14ac:dyDescent="0.2">
      <c r="B16" s="26" t="s">
        <v>23</v>
      </c>
      <c r="C16" s="32">
        <v>12</v>
      </c>
      <c r="D16" s="27">
        <f>C16*$C13</f>
        <v>1601712</v>
      </c>
      <c r="G16" s="26" t="s">
        <v>45</v>
      </c>
      <c r="H16" s="33">
        <v>0.5</v>
      </c>
      <c r="I16" s="34">
        <f>-(24286723)</f>
        <v>-24286723</v>
      </c>
      <c r="M16" s="26" t="s">
        <v>66</v>
      </c>
      <c r="O16" s="30">
        <v>3.3099999999999997E-2</v>
      </c>
    </row>
    <row r="17" spans="2:29" x14ac:dyDescent="0.2">
      <c r="B17" s="26" t="s">
        <v>25</v>
      </c>
      <c r="C17" s="32">
        <v>1</v>
      </c>
      <c r="D17" s="27">
        <f>C17*$C13</f>
        <v>133476</v>
      </c>
      <c r="G17" s="26" t="s">
        <v>46</v>
      </c>
      <c r="I17" s="35">
        <f>-I16</f>
        <v>24286723</v>
      </c>
      <c r="M17" s="26" t="s">
        <v>67</v>
      </c>
      <c r="O17" s="35">
        <f>-(O16*O15)</f>
        <v>-2158860.8543247064</v>
      </c>
    </row>
    <row r="18" spans="2:29" x14ac:dyDescent="0.2">
      <c r="B18" s="26" t="s">
        <v>36</v>
      </c>
      <c r="C18" s="32">
        <v>1</v>
      </c>
      <c r="D18" s="27">
        <f>(D33+D34+D35)*0.03</f>
        <v>113596.8</v>
      </c>
      <c r="G18" s="26" t="s">
        <v>47</v>
      </c>
      <c r="H18" s="30">
        <v>7.2900000000000006E-2</v>
      </c>
      <c r="I18" s="27">
        <f>D44</f>
        <v>3539487.2</v>
      </c>
      <c r="M18" s="26" t="s">
        <v>78</v>
      </c>
      <c r="O18" s="31">
        <f>-O7/O17</f>
        <v>2.3792698889563098</v>
      </c>
    </row>
    <row r="19" spans="2:29" x14ac:dyDescent="0.2">
      <c r="G19" s="26" t="s">
        <v>48</v>
      </c>
      <c r="H19" s="36">
        <v>7.4999999999999997E-2</v>
      </c>
      <c r="I19" s="35">
        <f>D45</f>
        <v>-1821504.2249999999</v>
      </c>
      <c r="J19" s="35">
        <f>D45</f>
        <v>-1821504.2249999999</v>
      </c>
      <c r="K19" s="35">
        <f>D45</f>
        <v>-1821504.2249999999</v>
      </c>
      <c r="M19" s="26" t="s">
        <v>68</v>
      </c>
      <c r="O19" s="28">
        <f>O15</f>
        <v>65222382.305882372</v>
      </c>
    </row>
    <row r="20" spans="2:29" ht="16" x14ac:dyDescent="0.2">
      <c r="B20" s="106" t="s">
        <v>8</v>
      </c>
      <c r="C20" s="106"/>
      <c r="D20" s="106"/>
      <c r="G20" s="26" t="s">
        <v>43</v>
      </c>
      <c r="H20" s="30">
        <f>D47</f>
        <v>7.0737537336758041E-2</v>
      </c>
      <c r="I20" s="35">
        <f>D46</f>
        <v>1717982.9750000003</v>
      </c>
      <c r="J20" s="35">
        <f>D46</f>
        <v>1717982.9750000003</v>
      </c>
      <c r="K20" s="35">
        <f>D46</f>
        <v>1717982.9750000003</v>
      </c>
      <c r="M20" s="26" t="s">
        <v>69</v>
      </c>
      <c r="O20" s="34">
        <f>-(Refi15!O19)</f>
        <v>-45817376.000000022</v>
      </c>
    </row>
    <row r="21" spans="2:29" x14ac:dyDescent="0.2">
      <c r="F21" s="31"/>
      <c r="M21" s="26" t="s">
        <v>70</v>
      </c>
      <c r="O21" s="35">
        <f>O19+O20</f>
        <v>19405006.30588235</v>
      </c>
    </row>
    <row r="22" spans="2:29" x14ac:dyDescent="0.2">
      <c r="B22" s="26" t="s">
        <v>10</v>
      </c>
      <c r="D22" s="37">
        <v>0.1</v>
      </c>
      <c r="G22" s="26" t="s">
        <v>53</v>
      </c>
      <c r="I22" s="27">
        <f>I13</f>
        <v>54748455.036593899</v>
      </c>
      <c r="J22" s="27">
        <f>J13</f>
        <v>53046077.703366473</v>
      </c>
      <c r="K22" s="28">
        <f>K13</f>
        <v>56563722.113404043</v>
      </c>
    </row>
    <row r="23" spans="2:29" x14ac:dyDescent="0.2">
      <c r="B23" s="26" t="s">
        <v>11</v>
      </c>
      <c r="D23" s="38">
        <v>0.03</v>
      </c>
      <c r="G23" s="26" t="s">
        <v>56</v>
      </c>
      <c r="I23" s="35">
        <f>I16</f>
        <v>-24286723</v>
      </c>
      <c r="J23" s="35">
        <f>I16</f>
        <v>-24286723</v>
      </c>
      <c r="K23" s="35">
        <f>I16</f>
        <v>-24286723</v>
      </c>
      <c r="M23" s="26" t="s">
        <v>71</v>
      </c>
      <c r="O23" s="89">
        <f>AC44/O26</f>
        <v>118649990.27771528</v>
      </c>
    </row>
    <row r="24" spans="2:29" x14ac:dyDescent="0.2">
      <c r="B24" s="26" t="s">
        <v>12</v>
      </c>
      <c r="D24" s="38">
        <v>4.4999999999999998E-2</v>
      </c>
      <c r="G24" s="26" t="s">
        <v>57</v>
      </c>
      <c r="I24" s="27">
        <f>I22+I23</f>
        <v>30461732.036593899</v>
      </c>
      <c r="J24" s="27">
        <f>J22+J23</f>
        <v>28759354.703366473</v>
      </c>
      <c r="K24" s="27">
        <f>K22+K23</f>
        <v>32276999.113404043</v>
      </c>
    </row>
    <row r="25" spans="2:29" x14ac:dyDescent="0.2">
      <c r="B25" s="26" t="s">
        <v>13</v>
      </c>
      <c r="D25" s="37">
        <v>0.03</v>
      </c>
      <c r="G25" s="26" t="s">
        <v>55</v>
      </c>
      <c r="I25" s="30">
        <f>J11</f>
        <v>8.0400000000000013E-2</v>
      </c>
      <c r="J25" s="30">
        <f>I25+0.0025</f>
        <v>8.2900000000000015E-2</v>
      </c>
      <c r="K25" s="30">
        <f>I11</f>
        <v>7.7900000000000011E-2</v>
      </c>
      <c r="M25" s="26" t="s">
        <v>73</v>
      </c>
      <c r="O25" s="30">
        <f>D48</f>
        <v>8.6198331614507684E-2</v>
      </c>
    </row>
    <row r="26" spans="2:29" x14ac:dyDescent="0.2">
      <c r="G26" s="26" t="s">
        <v>52</v>
      </c>
      <c r="H26" s="30">
        <f>D50</f>
        <v>0.1298858031389849</v>
      </c>
      <c r="K26" s="30"/>
      <c r="M26" s="26" t="s">
        <v>74</v>
      </c>
      <c r="O26" s="29">
        <v>4.7500000000000001E-2</v>
      </c>
    </row>
    <row r="27" spans="2:29" x14ac:dyDescent="0.2">
      <c r="B27" s="26" t="s">
        <v>14</v>
      </c>
      <c r="D27" s="27">
        <v>3539487</v>
      </c>
      <c r="M27" s="26" t="s">
        <v>52</v>
      </c>
      <c r="O27" s="30">
        <f>D50</f>
        <v>0.1298858031389849</v>
      </c>
    </row>
    <row r="28" spans="2:29" x14ac:dyDescent="0.2">
      <c r="B28" s="26" t="s">
        <v>15</v>
      </c>
      <c r="D28" s="30">
        <v>7.4800000000000005E-2</v>
      </c>
      <c r="M28" s="26" t="s">
        <v>75</v>
      </c>
    </row>
    <row r="29" spans="2:29" x14ac:dyDescent="0.2">
      <c r="B29" s="26" t="s">
        <v>16</v>
      </c>
      <c r="D29" s="30">
        <v>7.2900000000000006E-2</v>
      </c>
      <c r="M29" s="26" t="s">
        <v>76</v>
      </c>
      <c r="O29" s="57">
        <f>D52</f>
        <v>6.0403432094279479</v>
      </c>
    </row>
    <row r="31" spans="2:29" x14ac:dyDescent="0.2">
      <c r="B31" s="26" t="s">
        <v>17</v>
      </c>
      <c r="D31" s="26">
        <v>1.03</v>
      </c>
      <c r="E31" s="26">
        <v>1.03</v>
      </c>
      <c r="F31" s="26">
        <v>1.03</v>
      </c>
      <c r="G31" s="26">
        <v>1.03</v>
      </c>
      <c r="H31" s="26">
        <v>1.03</v>
      </c>
      <c r="I31" s="26">
        <v>1.03</v>
      </c>
      <c r="J31" s="26">
        <v>1.03</v>
      </c>
      <c r="K31" s="26">
        <v>1.03</v>
      </c>
      <c r="L31" s="26">
        <v>1.03</v>
      </c>
      <c r="M31" s="26">
        <v>1.03</v>
      </c>
      <c r="N31" s="26">
        <v>1.03</v>
      </c>
    </row>
    <row r="32" spans="2:29" x14ac:dyDescent="0.2">
      <c r="D32" s="26">
        <v>1</v>
      </c>
      <c r="E32" s="26">
        <v>2</v>
      </c>
      <c r="F32" s="26">
        <v>3</v>
      </c>
      <c r="G32" s="26">
        <v>4</v>
      </c>
      <c r="H32" s="26">
        <v>5</v>
      </c>
      <c r="I32" s="26">
        <v>6</v>
      </c>
      <c r="J32" s="26">
        <v>7</v>
      </c>
      <c r="K32" s="26">
        <v>8</v>
      </c>
      <c r="L32" s="26">
        <v>9</v>
      </c>
      <c r="M32" s="26">
        <v>10</v>
      </c>
      <c r="N32" s="26">
        <v>11</v>
      </c>
      <c r="O32" s="26">
        <v>12</v>
      </c>
      <c r="P32" s="26">
        <v>13</v>
      </c>
      <c r="Q32" s="26">
        <v>14</v>
      </c>
      <c r="R32" s="26">
        <v>15</v>
      </c>
      <c r="S32" s="26">
        <v>16</v>
      </c>
      <c r="T32" s="26">
        <v>17</v>
      </c>
      <c r="U32" s="26">
        <v>18</v>
      </c>
      <c r="V32" s="26">
        <v>19</v>
      </c>
      <c r="W32" s="26">
        <v>20</v>
      </c>
      <c r="X32" s="26">
        <v>21</v>
      </c>
      <c r="Y32" s="26">
        <v>22</v>
      </c>
      <c r="Z32" s="26">
        <v>23</v>
      </c>
      <c r="AA32" s="26">
        <v>24</v>
      </c>
      <c r="AB32" s="26">
        <v>25</v>
      </c>
      <c r="AC32" s="26">
        <v>26</v>
      </c>
    </row>
    <row r="33" spans="2:78" x14ac:dyDescent="0.2">
      <c r="B33" s="26" t="s">
        <v>18</v>
      </c>
      <c r="D33" s="27">
        <f>$C10*$D10</f>
        <v>1219460</v>
      </c>
      <c r="E33" s="27">
        <f>$C10*$D10</f>
        <v>1219460</v>
      </c>
      <c r="F33" s="27">
        <f>$C10*$D10</f>
        <v>1219460</v>
      </c>
      <c r="G33" s="27">
        <f>$C10*$D10</f>
        <v>1219460</v>
      </c>
      <c r="H33" s="27">
        <f>$C10*$D10</f>
        <v>1219460</v>
      </c>
      <c r="I33" s="26">
        <f>$C10*$D10*1.1</f>
        <v>1341406</v>
      </c>
      <c r="J33" s="26">
        <f>$C10*$D10*1.1</f>
        <v>1341406</v>
      </c>
      <c r="K33" s="26">
        <f>$C10*$D10*1.1</f>
        <v>1341406</v>
      </c>
      <c r="L33" s="26">
        <f>$C10*$D10*1.1</f>
        <v>1341406</v>
      </c>
      <c r="M33" s="26">
        <f>$C10*$D10*1.1</f>
        <v>1341406</v>
      </c>
      <c r="N33" s="28">
        <f>M33*1.1</f>
        <v>1475546.6</v>
      </c>
      <c r="O33" s="28">
        <f t="shared" ref="O33:R35" si="0">N33</f>
        <v>1475546.6</v>
      </c>
      <c r="P33" s="28">
        <f t="shared" si="0"/>
        <v>1475546.6</v>
      </c>
      <c r="Q33" s="28">
        <f t="shared" si="0"/>
        <v>1475546.6</v>
      </c>
      <c r="R33" s="28">
        <f t="shared" si="0"/>
        <v>1475546.6</v>
      </c>
      <c r="S33" s="28">
        <f>R33*1.1</f>
        <v>1623101.2600000002</v>
      </c>
      <c r="T33" s="28">
        <f t="shared" ref="T33:W35" si="1">S33</f>
        <v>1623101.2600000002</v>
      </c>
      <c r="U33" s="28">
        <f t="shared" si="1"/>
        <v>1623101.2600000002</v>
      </c>
      <c r="V33" s="28">
        <f t="shared" si="1"/>
        <v>1623101.2600000002</v>
      </c>
      <c r="W33" s="28">
        <f t="shared" si="1"/>
        <v>1623101.2600000002</v>
      </c>
      <c r="X33" s="28">
        <f>W33*1.1</f>
        <v>1785411.3860000004</v>
      </c>
      <c r="Y33" s="28">
        <f t="shared" ref="Y33:AB35" si="2">X33</f>
        <v>1785411.3860000004</v>
      </c>
      <c r="Z33" s="28">
        <f t="shared" si="2"/>
        <v>1785411.3860000004</v>
      </c>
      <c r="AA33" s="28">
        <f t="shared" si="2"/>
        <v>1785411.3860000004</v>
      </c>
      <c r="AB33" s="28">
        <f t="shared" si="2"/>
        <v>1785411.3860000004</v>
      </c>
      <c r="AC33" s="26">
        <f>AB33*1.1</f>
        <v>1963952.5246000006</v>
      </c>
    </row>
    <row r="34" spans="2:78" x14ac:dyDescent="0.2">
      <c r="B34" s="26" t="s">
        <v>19</v>
      </c>
      <c r="D34" s="28">
        <f>1815050</f>
        <v>1815050</v>
      </c>
      <c r="E34" s="28">
        <f>D34</f>
        <v>1815050</v>
      </c>
      <c r="F34" s="28">
        <f t="shared" ref="F34:L34" si="3">E34</f>
        <v>1815050</v>
      </c>
      <c r="G34" s="28">
        <f t="shared" si="3"/>
        <v>1815050</v>
      </c>
      <c r="H34" s="28">
        <f t="shared" si="3"/>
        <v>1815050</v>
      </c>
      <c r="I34" s="28">
        <f>H34*1.1</f>
        <v>1996555.0000000002</v>
      </c>
      <c r="J34" s="28">
        <f t="shared" si="3"/>
        <v>1996555.0000000002</v>
      </c>
      <c r="K34" s="28">
        <f t="shared" si="3"/>
        <v>1996555.0000000002</v>
      </c>
      <c r="L34" s="28">
        <f t="shared" si="3"/>
        <v>1996555.0000000002</v>
      </c>
      <c r="M34" s="28">
        <f>L34</f>
        <v>1996555.0000000002</v>
      </c>
      <c r="N34" s="28">
        <f>M34*1.1</f>
        <v>2196210.5000000005</v>
      </c>
      <c r="O34" s="28">
        <f t="shared" si="0"/>
        <v>2196210.5000000005</v>
      </c>
      <c r="P34" s="28">
        <f t="shared" si="0"/>
        <v>2196210.5000000005</v>
      </c>
      <c r="Q34" s="28">
        <f t="shared" si="0"/>
        <v>2196210.5000000005</v>
      </c>
      <c r="R34" s="28">
        <f t="shared" si="0"/>
        <v>2196210.5000000005</v>
      </c>
      <c r="S34" s="28">
        <f>R34*1.1</f>
        <v>2415831.5500000007</v>
      </c>
      <c r="T34" s="28">
        <f t="shared" si="1"/>
        <v>2415831.5500000007</v>
      </c>
      <c r="U34" s="28">
        <f t="shared" si="1"/>
        <v>2415831.5500000007</v>
      </c>
      <c r="V34" s="28">
        <f t="shared" si="1"/>
        <v>2415831.5500000007</v>
      </c>
      <c r="W34" s="28">
        <f t="shared" si="1"/>
        <v>2415831.5500000007</v>
      </c>
      <c r="X34" s="28">
        <f>W34*1.1</f>
        <v>2657414.705000001</v>
      </c>
      <c r="Y34" s="28">
        <f t="shared" si="2"/>
        <v>2657414.705000001</v>
      </c>
      <c r="Z34" s="28">
        <f t="shared" si="2"/>
        <v>2657414.705000001</v>
      </c>
      <c r="AA34" s="28">
        <f t="shared" si="2"/>
        <v>2657414.705000001</v>
      </c>
      <c r="AB34" s="28">
        <f t="shared" si="2"/>
        <v>2657414.705000001</v>
      </c>
      <c r="AC34" s="26">
        <f>AB34*1.1</f>
        <v>2923156.1755000013</v>
      </c>
    </row>
    <row r="35" spans="2:78" x14ac:dyDescent="0.2">
      <c r="B35" s="26" t="s">
        <v>20</v>
      </c>
      <c r="D35" s="26">
        <f>$C12*$D12</f>
        <v>752050</v>
      </c>
      <c r="E35" s="26">
        <f>$C12*$D12</f>
        <v>752050</v>
      </c>
      <c r="F35" s="26">
        <f>$C12*$D12</f>
        <v>752050</v>
      </c>
      <c r="G35" s="26">
        <f>$C12*$D12</f>
        <v>752050</v>
      </c>
      <c r="H35" s="26">
        <f>$C12*$D12</f>
        <v>752050</v>
      </c>
      <c r="I35" s="26">
        <f>$C12*$D12*1.1</f>
        <v>827255.00000000012</v>
      </c>
      <c r="J35" s="26">
        <f>$C12*$D12*1.1</f>
        <v>827255.00000000012</v>
      </c>
      <c r="K35" s="26">
        <f>$C12*$D12*1.1</f>
        <v>827255.00000000012</v>
      </c>
      <c r="L35" s="26">
        <f>$C12*$D12*1.1</f>
        <v>827255.00000000012</v>
      </c>
      <c r="M35" s="26">
        <f>$C12*$D12*1.1</f>
        <v>827255.00000000012</v>
      </c>
      <c r="N35" s="28">
        <f>M35*1.1</f>
        <v>909980.50000000023</v>
      </c>
      <c r="O35" s="28">
        <f t="shared" si="0"/>
        <v>909980.50000000023</v>
      </c>
      <c r="P35" s="28">
        <f t="shared" si="0"/>
        <v>909980.50000000023</v>
      </c>
      <c r="Q35" s="28">
        <f t="shared" si="0"/>
        <v>909980.50000000023</v>
      </c>
      <c r="R35" s="28">
        <f t="shared" si="0"/>
        <v>909980.50000000023</v>
      </c>
      <c r="S35" s="28">
        <f t="shared" ref="S35" si="4">R35*1.1</f>
        <v>1000978.5500000003</v>
      </c>
      <c r="T35" s="28">
        <f t="shared" si="1"/>
        <v>1000978.5500000003</v>
      </c>
      <c r="U35" s="28">
        <f t="shared" si="1"/>
        <v>1000978.5500000003</v>
      </c>
      <c r="V35" s="28">
        <f t="shared" si="1"/>
        <v>1000978.5500000003</v>
      </c>
      <c r="W35" s="28">
        <f t="shared" si="1"/>
        <v>1000978.5500000003</v>
      </c>
      <c r="X35" s="28">
        <f>W35*1.1</f>
        <v>1101076.4050000005</v>
      </c>
      <c r="Y35" s="28">
        <f t="shared" si="2"/>
        <v>1101076.4050000005</v>
      </c>
      <c r="Z35" s="28">
        <f t="shared" si="2"/>
        <v>1101076.4050000005</v>
      </c>
      <c r="AA35" s="28">
        <f t="shared" si="2"/>
        <v>1101076.4050000005</v>
      </c>
      <c r="AB35" s="28">
        <f t="shared" si="2"/>
        <v>1101076.4050000005</v>
      </c>
      <c r="AC35" s="26">
        <f>AB35*1.1</f>
        <v>1211184.0455000007</v>
      </c>
    </row>
    <row r="36" spans="2:78" x14ac:dyDescent="0.2">
      <c r="B36" s="26" t="s">
        <v>21</v>
      </c>
      <c r="D36" s="26">
        <f>C13*7</f>
        <v>934332</v>
      </c>
      <c r="E36" s="28">
        <f t="shared" ref="E36:N36" si="5">D36*1.03</f>
        <v>962361.96000000008</v>
      </c>
      <c r="F36" s="28">
        <f t="shared" si="5"/>
        <v>991232.81880000012</v>
      </c>
      <c r="G36" s="28">
        <f t="shared" si="5"/>
        <v>1020969.8033640002</v>
      </c>
      <c r="H36" s="28">
        <f t="shared" si="5"/>
        <v>1051598.8974649203</v>
      </c>
      <c r="I36" s="28">
        <f t="shared" si="5"/>
        <v>1083146.864388868</v>
      </c>
      <c r="J36" s="28">
        <f t="shared" si="5"/>
        <v>1115641.270320534</v>
      </c>
      <c r="K36" s="28">
        <f t="shared" si="5"/>
        <v>1149110.5084301501</v>
      </c>
      <c r="L36" s="28">
        <f t="shared" si="5"/>
        <v>1183583.8236830547</v>
      </c>
      <c r="M36" s="28">
        <f t="shared" si="5"/>
        <v>1219091.3383935464</v>
      </c>
      <c r="N36" s="28">
        <f t="shared" si="5"/>
        <v>1255664.0785453529</v>
      </c>
      <c r="O36" s="28">
        <f t="shared" ref="O36:S36" si="6">N36*1.03</f>
        <v>1293334.0009017135</v>
      </c>
      <c r="P36" s="28">
        <f t="shared" si="6"/>
        <v>1332134.0209287649</v>
      </c>
      <c r="Q36" s="28">
        <f t="shared" si="6"/>
        <v>1372098.041556628</v>
      </c>
      <c r="R36" s="28">
        <f t="shared" si="6"/>
        <v>1413260.9828033268</v>
      </c>
      <c r="S36" s="28">
        <f t="shared" si="6"/>
        <v>1455658.8122874266</v>
      </c>
      <c r="T36" s="28">
        <f t="shared" ref="T36" si="7">S36*1.03</f>
        <v>1499328.5766560494</v>
      </c>
      <c r="U36" s="28">
        <f t="shared" ref="U36" si="8">T36*1.03</f>
        <v>1544308.4339557309</v>
      </c>
      <c r="V36" s="28">
        <f t="shared" ref="V36" si="9">U36*1.03</f>
        <v>1590637.6869744027</v>
      </c>
      <c r="W36" s="28">
        <f t="shared" ref="W36" si="10">V36*1.03</f>
        <v>1638356.817583635</v>
      </c>
      <c r="X36" s="28">
        <f t="shared" ref="X36" si="11">W36*1.03</f>
        <v>1687507.5221111441</v>
      </c>
      <c r="Y36" s="28">
        <f t="shared" ref="Y36" si="12">X36*1.03</f>
        <v>1738132.7477744785</v>
      </c>
      <c r="Z36" s="28">
        <f t="shared" ref="Z36" si="13">Y36*1.03</f>
        <v>1790276.7302077129</v>
      </c>
      <c r="AA36" s="28">
        <f t="shared" ref="AA36" si="14">Z36*1.03</f>
        <v>1843985.0321139442</v>
      </c>
      <c r="AB36" s="28">
        <f t="shared" ref="AB36" si="15">AA36*1.03</f>
        <v>1899304.5830773625</v>
      </c>
      <c r="AC36" s="28">
        <f t="shared" ref="AC36" si="16">AB36*1.03</f>
        <v>1956283.7205696835</v>
      </c>
    </row>
    <row r="37" spans="2:78" x14ac:dyDescent="0.2">
      <c r="B37" s="26" t="s">
        <v>22</v>
      </c>
      <c r="D37" s="28">
        <f>$D16</f>
        <v>1601712</v>
      </c>
      <c r="E37" s="28">
        <f>$D16*1.045</f>
        <v>1673789.0399999998</v>
      </c>
      <c r="F37" s="28">
        <f t="shared" ref="F37:N37" si="17">E37*1.045</f>
        <v>1749109.5467999997</v>
      </c>
      <c r="G37" s="28">
        <f t="shared" si="17"/>
        <v>1827819.4764059996</v>
      </c>
      <c r="H37" s="28">
        <f t="shared" si="17"/>
        <v>1910071.3528442695</v>
      </c>
      <c r="I37" s="28">
        <f t="shared" si="17"/>
        <v>1996024.5637222615</v>
      </c>
      <c r="J37" s="28">
        <f t="shared" si="17"/>
        <v>2085845.6690897632</v>
      </c>
      <c r="K37" s="28">
        <f t="shared" si="17"/>
        <v>2179708.7241988024</v>
      </c>
      <c r="L37" s="28">
        <f t="shared" si="17"/>
        <v>2277795.6167877484</v>
      </c>
      <c r="M37" s="28">
        <f t="shared" si="17"/>
        <v>2380296.4195431969</v>
      </c>
      <c r="N37" s="28">
        <f t="shared" si="17"/>
        <v>2487409.7584226406</v>
      </c>
      <c r="O37" s="28">
        <f t="shared" ref="O37:S37" si="18">N37*1.045</f>
        <v>2599343.1975516593</v>
      </c>
      <c r="P37" s="28">
        <f t="shared" si="18"/>
        <v>2716313.641441484</v>
      </c>
      <c r="Q37" s="28">
        <f t="shared" si="18"/>
        <v>2838547.7553063505</v>
      </c>
      <c r="R37" s="28">
        <f t="shared" si="18"/>
        <v>2966282.4042951362</v>
      </c>
      <c r="S37" s="28">
        <f t="shared" si="18"/>
        <v>3099765.112488417</v>
      </c>
      <c r="T37" s="28">
        <f t="shared" ref="T37" si="19">S37*1.045</f>
        <v>3239254.5425503957</v>
      </c>
      <c r="U37" s="28">
        <f t="shared" ref="U37" si="20">T37*1.045</f>
        <v>3385020.9969651634</v>
      </c>
      <c r="V37" s="28">
        <f t="shared" ref="V37" si="21">U37*1.045</f>
        <v>3537346.9418285955</v>
      </c>
      <c r="W37" s="28">
        <f t="shared" ref="W37" si="22">V37*1.045</f>
        <v>3696527.5542108822</v>
      </c>
      <c r="X37" s="28">
        <f t="shared" ref="X37" si="23">W37*1.045</f>
        <v>3862871.2941503716</v>
      </c>
      <c r="Y37" s="28">
        <f t="shared" ref="Y37" si="24">X37*1.045</f>
        <v>4036700.5023871381</v>
      </c>
      <c r="Z37" s="28">
        <f t="shared" ref="Z37" si="25">Y37*1.045</f>
        <v>4218352.0249945587</v>
      </c>
      <c r="AA37" s="28">
        <f t="shared" ref="AA37" si="26">Z37*1.045</f>
        <v>4408177.8661193131</v>
      </c>
      <c r="AB37" s="28">
        <f t="shared" ref="AB37" si="27">AA37*1.045</f>
        <v>4606545.8700946821</v>
      </c>
      <c r="AC37" s="28">
        <f t="shared" ref="AC37" si="28">AB37*1.045</f>
        <v>4813840.4342489429</v>
      </c>
    </row>
    <row r="38" spans="2:78" x14ac:dyDescent="0.2">
      <c r="B38" s="26" t="s">
        <v>26</v>
      </c>
      <c r="D38" s="26">
        <f>SUM(D33:D37)</f>
        <v>6322604</v>
      </c>
      <c r="E38" s="28">
        <f t="shared" ref="E38:M38" si="29">SUM(E33:E37)</f>
        <v>6422711</v>
      </c>
      <c r="F38" s="28">
        <f t="shared" si="29"/>
        <v>6526902.3656000001</v>
      </c>
      <c r="G38" s="28">
        <f t="shared" si="29"/>
        <v>6635349.2797699999</v>
      </c>
      <c r="H38" s="28">
        <f t="shared" si="29"/>
        <v>6748230.2503091898</v>
      </c>
      <c r="I38" s="28">
        <f t="shared" si="29"/>
        <v>7244387.4281111294</v>
      </c>
      <c r="J38" s="28">
        <f t="shared" si="29"/>
        <v>7366702.9394102972</v>
      </c>
      <c r="K38" s="28">
        <f t="shared" si="29"/>
        <v>7494035.2326289527</v>
      </c>
      <c r="L38" s="28">
        <f t="shared" si="29"/>
        <v>7626595.4404708035</v>
      </c>
      <c r="M38" s="28">
        <f t="shared" si="29"/>
        <v>7764603.757936744</v>
      </c>
      <c r="N38" s="28">
        <f>SUM(N33:N37)</f>
        <v>8324811.436967995</v>
      </c>
      <c r="O38" s="28">
        <f t="shared" ref="O38:AC38" si="30">SUM(O33:O37)</f>
        <v>8474414.798453372</v>
      </c>
      <c r="P38" s="28">
        <f t="shared" si="30"/>
        <v>8630185.2623702493</v>
      </c>
      <c r="Q38" s="28">
        <f t="shared" si="30"/>
        <v>8792383.3968629781</v>
      </c>
      <c r="R38" s="28">
        <f t="shared" si="30"/>
        <v>8961280.9870984629</v>
      </c>
      <c r="S38" s="28">
        <f t="shared" si="30"/>
        <v>9595335.2847758457</v>
      </c>
      <c r="T38" s="28">
        <f t="shared" si="30"/>
        <v>9778494.4792064466</v>
      </c>
      <c r="U38" s="28">
        <f t="shared" si="30"/>
        <v>9969240.7909208946</v>
      </c>
      <c r="V38" s="28">
        <f t="shared" si="30"/>
        <v>10167895.988802999</v>
      </c>
      <c r="W38" s="28">
        <f t="shared" si="30"/>
        <v>10374795.731794519</v>
      </c>
      <c r="X38" s="28">
        <f t="shared" si="30"/>
        <v>11094281.312261518</v>
      </c>
      <c r="Y38" s="28">
        <f t="shared" si="30"/>
        <v>11318735.746161619</v>
      </c>
      <c r="Z38" s="28">
        <f t="shared" si="30"/>
        <v>11552531.251202274</v>
      </c>
      <c r="AA38" s="28">
        <f t="shared" si="30"/>
        <v>11796065.39423326</v>
      </c>
      <c r="AB38" s="28">
        <f t="shared" si="30"/>
        <v>12049752.949172046</v>
      </c>
      <c r="AC38" s="28">
        <f t="shared" si="30"/>
        <v>12868416.900418628</v>
      </c>
    </row>
    <row r="40" spans="2:78" x14ac:dyDescent="0.2">
      <c r="B40" s="26" t="s">
        <v>27</v>
      </c>
      <c r="D40" s="34">
        <f t="shared" ref="D40:N40" si="31">-(D36)</f>
        <v>-934332</v>
      </c>
      <c r="E40" s="34">
        <f t="shared" si="31"/>
        <v>-962361.96000000008</v>
      </c>
      <c r="F40" s="34">
        <f t="shared" si="31"/>
        <v>-991232.81880000012</v>
      </c>
      <c r="G40" s="34">
        <f t="shared" si="31"/>
        <v>-1020969.8033640002</v>
      </c>
      <c r="H40" s="34">
        <f t="shared" si="31"/>
        <v>-1051598.8974649203</v>
      </c>
      <c r="I40" s="34">
        <f t="shared" si="31"/>
        <v>-1083146.864388868</v>
      </c>
      <c r="J40" s="34">
        <f t="shared" si="31"/>
        <v>-1115641.270320534</v>
      </c>
      <c r="K40" s="34">
        <f t="shared" si="31"/>
        <v>-1149110.5084301501</v>
      </c>
      <c r="L40" s="34">
        <f t="shared" si="31"/>
        <v>-1183583.8236830547</v>
      </c>
      <c r="M40" s="34">
        <f t="shared" si="31"/>
        <v>-1219091.3383935464</v>
      </c>
      <c r="N40" s="34">
        <f t="shared" si="31"/>
        <v>-1255664.0785453529</v>
      </c>
      <c r="O40" s="34">
        <f t="shared" ref="O40:AC40" si="32">-(O36)</f>
        <v>-1293334.0009017135</v>
      </c>
      <c r="P40" s="34">
        <f t="shared" si="32"/>
        <v>-1332134.0209287649</v>
      </c>
      <c r="Q40" s="34">
        <f t="shared" si="32"/>
        <v>-1372098.041556628</v>
      </c>
      <c r="R40" s="34">
        <f t="shared" si="32"/>
        <v>-1413260.9828033268</v>
      </c>
      <c r="S40" s="34">
        <f t="shared" si="32"/>
        <v>-1455658.8122874266</v>
      </c>
      <c r="T40" s="34">
        <f t="shared" si="32"/>
        <v>-1499328.5766560494</v>
      </c>
      <c r="U40" s="34">
        <f t="shared" si="32"/>
        <v>-1544308.4339557309</v>
      </c>
      <c r="V40" s="34">
        <f t="shared" si="32"/>
        <v>-1590637.6869744027</v>
      </c>
      <c r="W40" s="34">
        <f t="shared" si="32"/>
        <v>-1638356.817583635</v>
      </c>
      <c r="X40" s="34">
        <f t="shared" si="32"/>
        <v>-1687507.5221111441</v>
      </c>
      <c r="Y40" s="34">
        <f t="shared" si="32"/>
        <v>-1738132.7477744785</v>
      </c>
      <c r="Z40" s="34">
        <f t="shared" si="32"/>
        <v>-1790276.7302077129</v>
      </c>
      <c r="AA40" s="34">
        <f t="shared" si="32"/>
        <v>-1843985.0321139442</v>
      </c>
      <c r="AB40" s="34">
        <f t="shared" si="32"/>
        <v>-1899304.5830773625</v>
      </c>
      <c r="AC40" s="34">
        <f t="shared" si="32"/>
        <v>-1956283.7205696835</v>
      </c>
    </row>
    <row r="41" spans="2:78" x14ac:dyDescent="0.2">
      <c r="B41" s="26" t="s">
        <v>28</v>
      </c>
      <c r="D41" s="34">
        <f>-(D37)</f>
        <v>-1601712</v>
      </c>
      <c r="E41" s="34">
        <f>-(E37)</f>
        <v>-1673789.0399999998</v>
      </c>
      <c r="F41" s="34">
        <f>-(F37)</f>
        <v>-1749109.5467999997</v>
      </c>
      <c r="G41" s="34">
        <f t="shared" ref="G41:N41" si="33">-G37</f>
        <v>-1827819.4764059996</v>
      </c>
      <c r="H41" s="34">
        <f t="shared" si="33"/>
        <v>-1910071.3528442695</v>
      </c>
      <c r="I41" s="34">
        <f t="shared" si="33"/>
        <v>-1996024.5637222615</v>
      </c>
      <c r="J41" s="34">
        <f t="shared" si="33"/>
        <v>-2085845.6690897632</v>
      </c>
      <c r="K41" s="34">
        <f t="shared" si="33"/>
        <v>-2179708.7241988024</v>
      </c>
      <c r="L41" s="34">
        <f t="shared" si="33"/>
        <v>-2277795.6167877484</v>
      </c>
      <c r="M41" s="34">
        <f t="shared" si="33"/>
        <v>-2380296.4195431969</v>
      </c>
      <c r="N41" s="34">
        <f t="shared" si="33"/>
        <v>-2487409.7584226406</v>
      </c>
      <c r="O41" s="34">
        <f t="shared" ref="O41:AC41" si="34">-O37</f>
        <v>-2599343.1975516593</v>
      </c>
      <c r="P41" s="34">
        <f t="shared" si="34"/>
        <v>-2716313.641441484</v>
      </c>
      <c r="Q41" s="34">
        <f t="shared" si="34"/>
        <v>-2838547.7553063505</v>
      </c>
      <c r="R41" s="34">
        <f t="shared" si="34"/>
        <v>-2966282.4042951362</v>
      </c>
      <c r="S41" s="34">
        <f t="shared" si="34"/>
        <v>-3099765.112488417</v>
      </c>
      <c r="T41" s="34">
        <f t="shared" si="34"/>
        <v>-3239254.5425503957</v>
      </c>
      <c r="U41" s="34">
        <f t="shared" si="34"/>
        <v>-3385020.9969651634</v>
      </c>
      <c r="V41" s="34">
        <f t="shared" si="34"/>
        <v>-3537346.9418285955</v>
      </c>
      <c r="W41" s="34">
        <f t="shared" si="34"/>
        <v>-3696527.5542108822</v>
      </c>
      <c r="X41" s="34">
        <f>-X37</f>
        <v>-3862871.2941503716</v>
      </c>
      <c r="Y41" s="34">
        <f t="shared" si="34"/>
        <v>-4036700.5023871381</v>
      </c>
      <c r="Z41" s="34">
        <f t="shared" si="34"/>
        <v>-4218352.0249945587</v>
      </c>
      <c r="AA41" s="34">
        <f t="shared" si="34"/>
        <v>-4408177.8661193131</v>
      </c>
      <c r="AB41" s="34">
        <f t="shared" si="34"/>
        <v>-4606545.8700946821</v>
      </c>
      <c r="AC41" s="34">
        <f t="shared" si="34"/>
        <v>-4813840.4342489429</v>
      </c>
    </row>
    <row r="42" spans="2:78" x14ac:dyDescent="0.2">
      <c r="B42" s="26" t="s">
        <v>36</v>
      </c>
      <c r="D42" s="34">
        <f>-(D18)</f>
        <v>-113596.8</v>
      </c>
      <c r="E42" s="34">
        <f t="shared" ref="E42:H42" si="35">-(113597)</f>
        <v>-113597</v>
      </c>
      <c r="F42" s="34">
        <f t="shared" si="35"/>
        <v>-113597</v>
      </c>
      <c r="G42" s="34">
        <f t="shared" si="35"/>
        <v>-113597</v>
      </c>
      <c r="H42" s="34">
        <f t="shared" si="35"/>
        <v>-113597</v>
      </c>
      <c r="I42" s="34">
        <f>H42*1.1</f>
        <v>-124956.70000000001</v>
      </c>
      <c r="J42" s="34">
        <f>I42</f>
        <v>-124956.70000000001</v>
      </c>
      <c r="K42" s="34">
        <f>J42</f>
        <v>-124956.70000000001</v>
      </c>
      <c r="L42" s="34">
        <f>K42</f>
        <v>-124956.70000000001</v>
      </c>
      <c r="M42" s="34">
        <f>L42</f>
        <v>-124956.70000000001</v>
      </c>
      <c r="N42" s="34">
        <f>M42*1.1</f>
        <v>-137452.37000000002</v>
      </c>
      <c r="O42" s="34">
        <f>N42</f>
        <v>-137452.37000000002</v>
      </c>
      <c r="P42" s="34">
        <f>O42</f>
        <v>-137452.37000000002</v>
      </c>
      <c r="Q42" s="34">
        <f>P42</f>
        <v>-137452.37000000002</v>
      </c>
      <c r="R42" s="34">
        <f>Q42</f>
        <v>-137452.37000000002</v>
      </c>
      <c r="S42" s="34">
        <f>R42*1.1</f>
        <v>-151197.60700000005</v>
      </c>
      <c r="T42" s="34">
        <f>S42</f>
        <v>-151197.60700000005</v>
      </c>
      <c r="U42" s="34">
        <f>T42</f>
        <v>-151197.60700000005</v>
      </c>
      <c r="V42" s="34">
        <f>U42</f>
        <v>-151197.60700000005</v>
      </c>
      <c r="W42" s="34">
        <f>V42</f>
        <v>-151197.60700000005</v>
      </c>
      <c r="X42" s="34">
        <f t="shared" ref="X42" si="36">W42*1.1</f>
        <v>-166317.36770000006</v>
      </c>
      <c r="Y42" s="35">
        <f>X42</f>
        <v>-166317.36770000006</v>
      </c>
      <c r="Z42" s="35">
        <f>Y42</f>
        <v>-166317.36770000006</v>
      </c>
      <c r="AA42" s="35">
        <f>Z42</f>
        <v>-166317.36770000006</v>
      </c>
      <c r="AB42" s="35">
        <f>AA42</f>
        <v>-166317.36770000006</v>
      </c>
      <c r="AC42" s="35">
        <f>AB42*1.1</f>
        <v>-182949.10447000008</v>
      </c>
    </row>
    <row r="43" spans="2:78" x14ac:dyDescent="0.2">
      <c r="B43" s="26" t="s">
        <v>29</v>
      </c>
      <c r="D43" s="34">
        <f>-(D17)</f>
        <v>-133476</v>
      </c>
      <c r="E43" s="34">
        <f>D43*1.03</f>
        <v>-137480.28</v>
      </c>
      <c r="F43" s="34">
        <f t="shared" ref="F43:M43" si="37">E43*1.03</f>
        <v>-141604.68840000001</v>
      </c>
      <c r="G43" s="34">
        <f t="shared" si="37"/>
        <v>-145852.82905200002</v>
      </c>
      <c r="H43" s="34">
        <f t="shared" si="37"/>
        <v>-150228.41392356003</v>
      </c>
      <c r="I43" s="34">
        <f t="shared" si="37"/>
        <v>-154735.26634126683</v>
      </c>
      <c r="J43" s="34">
        <f t="shared" si="37"/>
        <v>-159377.32433150485</v>
      </c>
      <c r="K43" s="34">
        <f t="shared" si="37"/>
        <v>-164158.64406145</v>
      </c>
      <c r="L43" s="34">
        <f t="shared" si="37"/>
        <v>-169083.40338329351</v>
      </c>
      <c r="M43" s="34">
        <f t="shared" si="37"/>
        <v>-174155.90548479231</v>
      </c>
      <c r="N43" s="34">
        <f>M43*1.03</f>
        <v>-179380.58264933608</v>
      </c>
      <c r="O43" s="34">
        <f t="shared" ref="O43:S43" si="38">N43*1.03</f>
        <v>-184762.00012881617</v>
      </c>
      <c r="P43" s="34">
        <f t="shared" si="38"/>
        <v>-190304.86013268065</v>
      </c>
      <c r="Q43" s="34">
        <f t="shared" si="38"/>
        <v>-196014.00593666107</v>
      </c>
      <c r="R43" s="34">
        <f t="shared" si="38"/>
        <v>-201894.42611476089</v>
      </c>
      <c r="S43" s="34">
        <f t="shared" si="38"/>
        <v>-207951.25889820373</v>
      </c>
      <c r="T43" s="34">
        <f t="shared" ref="T43" si="39">S43*1.03</f>
        <v>-214189.79666514986</v>
      </c>
      <c r="U43" s="34">
        <f t="shared" ref="U43" si="40">T43*1.03</f>
        <v>-220615.49056510435</v>
      </c>
      <c r="V43" s="34">
        <f t="shared" ref="V43" si="41">U43*1.03</f>
        <v>-227233.95528205749</v>
      </c>
      <c r="W43" s="34">
        <f t="shared" ref="W43" si="42">V43*1.03</f>
        <v>-234050.97394051921</v>
      </c>
      <c r="X43" s="34">
        <f t="shared" ref="X43" si="43">W43*1.03</f>
        <v>-241072.50315873479</v>
      </c>
      <c r="Y43" s="34">
        <f t="shared" ref="Y43" si="44">X43*1.03</f>
        <v>-248304.67825349685</v>
      </c>
      <c r="Z43" s="34">
        <f t="shared" ref="Z43" si="45">Y43*1.03</f>
        <v>-255753.81860110175</v>
      </c>
      <c r="AA43" s="34">
        <f t="shared" ref="AA43" si="46">Z43*1.03</f>
        <v>-263426.43315913482</v>
      </c>
      <c r="AB43" s="34">
        <f t="shared" ref="AB43" si="47">AA43*1.03</f>
        <v>-271329.22615390888</v>
      </c>
      <c r="AC43" s="34">
        <f t="shared" ref="AC43" si="48">AB43*1.03</f>
        <v>-279469.10293852614</v>
      </c>
    </row>
    <row r="44" spans="2:78" s="39" customFormat="1" x14ac:dyDescent="0.2">
      <c r="B44" s="39" t="s">
        <v>35</v>
      </c>
      <c r="D44" s="40">
        <f>SUM(D38:D43)</f>
        <v>3539487.2</v>
      </c>
      <c r="E44" s="40">
        <f>SUM(E38:E43)</f>
        <v>3535482.72</v>
      </c>
      <c r="F44" s="40">
        <f>SUM(F38:F43)</f>
        <v>3531358.3116000001</v>
      </c>
      <c r="G44" s="40">
        <f t="shared" ref="G44:M44" si="49">SUM(G38:G43)</f>
        <v>3527110.1709480002</v>
      </c>
      <c r="H44" s="40">
        <f t="shared" si="49"/>
        <v>3522734.5860764403</v>
      </c>
      <c r="I44" s="40">
        <f t="shared" si="49"/>
        <v>3885524.0336587331</v>
      </c>
      <c r="J44" s="40">
        <f t="shared" si="49"/>
        <v>3880881.9756684951</v>
      </c>
      <c r="K44" s="40">
        <f t="shared" si="49"/>
        <v>3876100.6559385499</v>
      </c>
      <c r="L44" s="40">
        <f t="shared" si="49"/>
        <v>3871175.8966167062</v>
      </c>
      <c r="M44" s="40">
        <f t="shared" si="49"/>
        <v>3866103.394515208</v>
      </c>
      <c r="N44" s="40">
        <f>SUM(N38:N43)</f>
        <v>4264904.6473506652</v>
      </c>
      <c r="O44" s="40">
        <f t="shared" ref="O44:AC44" si="50">SUM(O38:O43)</f>
        <v>4259523.2298711827</v>
      </c>
      <c r="P44" s="40">
        <f t="shared" si="50"/>
        <v>4253980.3698673202</v>
      </c>
      <c r="Q44" s="40">
        <f t="shared" si="50"/>
        <v>4248271.2240633387</v>
      </c>
      <c r="R44" s="40">
        <f t="shared" si="50"/>
        <v>4242390.8038852382</v>
      </c>
      <c r="S44" s="40">
        <f t="shared" si="50"/>
        <v>4680762.4941017982</v>
      </c>
      <c r="T44" s="40">
        <f t="shared" si="50"/>
        <v>4674523.9563348517</v>
      </c>
      <c r="U44" s="40">
        <f t="shared" si="50"/>
        <v>4668098.2624348961</v>
      </c>
      <c r="V44" s="40">
        <f t="shared" si="50"/>
        <v>4661479.7977179438</v>
      </c>
      <c r="W44" s="40">
        <f t="shared" si="50"/>
        <v>4654662.7790594818</v>
      </c>
      <c r="X44" s="40">
        <f t="shared" si="50"/>
        <v>5136512.6251412677</v>
      </c>
      <c r="Y44" s="40">
        <f t="shared" si="50"/>
        <v>5129280.4500465058</v>
      </c>
      <c r="Z44" s="40">
        <f t="shared" si="50"/>
        <v>5121831.3096989002</v>
      </c>
      <c r="AA44" s="40">
        <f t="shared" si="50"/>
        <v>5114158.6951408684</v>
      </c>
      <c r="AB44" s="40">
        <f t="shared" si="50"/>
        <v>5106255.9021460926</v>
      </c>
      <c r="AC44" s="40">
        <f t="shared" si="50"/>
        <v>5635874.5381914759</v>
      </c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</row>
    <row r="45" spans="2:78" s="41" customFormat="1" x14ac:dyDescent="0.2">
      <c r="B45" s="41" t="s">
        <v>42</v>
      </c>
      <c r="D45" s="42">
        <f>$H19*$I16</f>
        <v>-1821504.2249999999</v>
      </c>
      <c r="E45" s="42">
        <f>$H19*$I16</f>
        <v>-1821504.2249999999</v>
      </c>
      <c r="F45" s="42">
        <f>$H19*$I16</f>
        <v>-1821504.2249999999</v>
      </c>
      <c r="G45" s="42">
        <f>$H19*$I16</f>
        <v>-1821504.2249999999</v>
      </c>
      <c r="H45" s="42">
        <f>$H19*$I16</f>
        <v>-1821504.2249999999</v>
      </c>
      <c r="I45" s="42">
        <f>'[1]Refi '!I45</f>
        <v>-2007921.3972</v>
      </c>
      <c r="J45" s="42">
        <f>'[1]Refi '!J45</f>
        <v>-2007921.3972</v>
      </c>
      <c r="K45" s="42">
        <f>'[1]Refi '!K45</f>
        <v>-2007921.3972</v>
      </c>
      <c r="L45" s="42">
        <f>'[1]Refi '!L45</f>
        <v>-2007921.3972</v>
      </c>
      <c r="M45" s="42">
        <f>'[1]Refi '!M45</f>
        <v>-2007921.3972</v>
      </c>
      <c r="N45" s="42">
        <f>Refi10!O17</f>
        <v>-2264141.9973333338</v>
      </c>
      <c r="O45" s="42">
        <f>N45</f>
        <v>-2264141.9973333338</v>
      </c>
      <c r="P45" s="42">
        <f>O45</f>
        <v>-2264141.9973333338</v>
      </c>
      <c r="Q45" s="42">
        <f>P45</f>
        <v>-2264141.9973333338</v>
      </c>
      <c r="R45" s="42">
        <f>Q45</f>
        <v>-2264141.9973333338</v>
      </c>
      <c r="S45" s="42">
        <f>Refi15!O17</f>
        <v>-2730715.6096000015</v>
      </c>
      <c r="T45" s="42">
        <f t="shared" ref="T45:AC45" si="51">S45</f>
        <v>-2730715.6096000015</v>
      </c>
      <c r="U45" s="42">
        <f t="shared" si="51"/>
        <v>-2730715.6096000015</v>
      </c>
      <c r="V45" s="42">
        <f t="shared" si="51"/>
        <v>-2730715.6096000015</v>
      </c>
      <c r="W45" s="42">
        <f t="shared" si="51"/>
        <v>-2730715.6096000015</v>
      </c>
      <c r="X45" s="42">
        <f>O17</f>
        <v>-2158860.8543247064</v>
      </c>
      <c r="Y45" s="42">
        <f t="shared" si="51"/>
        <v>-2158860.8543247064</v>
      </c>
      <c r="Z45" s="42">
        <f t="shared" si="51"/>
        <v>-2158860.8543247064</v>
      </c>
      <c r="AA45" s="42">
        <f t="shared" si="51"/>
        <v>-2158860.8543247064</v>
      </c>
      <c r="AB45" s="42">
        <f t="shared" si="51"/>
        <v>-2158860.8543247064</v>
      </c>
      <c r="AC45" s="42">
        <f t="shared" si="51"/>
        <v>-2158860.8543247064</v>
      </c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</row>
    <row r="46" spans="2:78" s="43" customFormat="1" x14ac:dyDescent="0.2">
      <c r="B46" s="43" t="s">
        <v>43</v>
      </c>
      <c r="D46" s="44">
        <f>SUM(D44:D45)</f>
        <v>1717982.9750000003</v>
      </c>
      <c r="E46" s="44">
        <f>SUM(E44:E45)</f>
        <v>1713978.4950000003</v>
      </c>
      <c r="F46" s="44">
        <f>SUM(F44:F45)</f>
        <v>1709854.0866000003</v>
      </c>
      <c r="G46" s="44">
        <f>SUM(G44:G45)</f>
        <v>1705605.9459480003</v>
      </c>
      <c r="H46" s="45">
        <f>SUM(H44:H45)</f>
        <v>1701230.3610764404</v>
      </c>
      <c r="I46" s="45">
        <f t="shared" ref="I46:N46" si="52">SUM(I44:I45)</f>
        <v>1877602.6364587331</v>
      </c>
      <c r="J46" s="45">
        <f t="shared" si="52"/>
        <v>1872960.578468495</v>
      </c>
      <c r="K46" s="45">
        <f t="shared" si="52"/>
        <v>1868179.2587385499</v>
      </c>
      <c r="L46" s="45">
        <f t="shared" si="52"/>
        <v>1863254.4994167062</v>
      </c>
      <c r="M46" s="45">
        <f t="shared" si="52"/>
        <v>1858181.997315208</v>
      </c>
      <c r="N46" s="45">
        <f t="shared" si="52"/>
        <v>2000762.6500173314</v>
      </c>
      <c r="O46" s="45">
        <f t="shared" ref="O46" si="53">SUM(O44:O45)</f>
        <v>1995381.2325378489</v>
      </c>
      <c r="P46" s="45">
        <f t="shared" ref="P46" si="54">SUM(P44:P45)</f>
        <v>1989838.3725339863</v>
      </c>
      <c r="Q46" s="45">
        <f t="shared" ref="Q46" si="55">SUM(Q44:Q45)</f>
        <v>1984129.2267300049</v>
      </c>
      <c r="R46" s="45">
        <f t="shared" ref="R46" si="56">SUM(R44:R45)</f>
        <v>1978248.8065519044</v>
      </c>
      <c r="S46" s="45">
        <f>SUM(S44:S45)</f>
        <v>1950046.8845017967</v>
      </c>
      <c r="T46" s="45">
        <f t="shared" ref="T46:AC46" si="57">SUM(T44:T45)</f>
        <v>1943808.3467348502</v>
      </c>
      <c r="U46" s="45">
        <f t="shared" si="57"/>
        <v>1937382.6528348946</v>
      </c>
      <c r="V46" s="45">
        <f t="shared" si="57"/>
        <v>1930764.1881179423</v>
      </c>
      <c r="W46" s="45">
        <f t="shared" si="57"/>
        <v>1923947.1694594803</v>
      </c>
      <c r="X46" s="45">
        <f>SUM(X44:X45)</f>
        <v>2977651.7708165613</v>
      </c>
      <c r="Y46" s="45">
        <f t="shared" si="57"/>
        <v>2970419.5957217994</v>
      </c>
      <c r="Z46" s="45">
        <f t="shared" si="57"/>
        <v>2962970.4553741938</v>
      </c>
      <c r="AA46" s="45">
        <f t="shared" si="57"/>
        <v>2955297.8408161621</v>
      </c>
      <c r="AB46" s="45">
        <f t="shared" si="57"/>
        <v>2947395.0478213863</v>
      </c>
      <c r="AC46" s="45">
        <f t="shared" si="57"/>
        <v>3477013.6838667695</v>
      </c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</row>
    <row r="47" spans="2:78" s="46" customFormat="1" x14ac:dyDescent="0.2">
      <c r="B47" s="46" t="s">
        <v>49</v>
      </c>
      <c r="D47" s="47">
        <f t="shared" ref="D47:M47" si="58">D46/$I17</f>
        <v>7.0737537336758041E-2</v>
      </c>
      <c r="E47" s="47">
        <f t="shared" si="58"/>
        <v>7.0572653832301727E-2</v>
      </c>
      <c r="F47" s="47">
        <f t="shared" si="58"/>
        <v>7.0402832304712337E-2</v>
      </c>
      <c r="G47" s="47">
        <f t="shared" si="58"/>
        <v>7.0227916131295282E-2</v>
      </c>
      <c r="H47" s="47">
        <f t="shared" si="58"/>
        <v>7.0047752472675723E-2</v>
      </c>
      <c r="I47" s="47">
        <f t="shared" si="58"/>
        <v>7.7309838649649562E-2</v>
      </c>
      <c r="J47" s="47">
        <f t="shared" si="58"/>
        <v>7.7118703024220067E-2</v>
      </c>
      <c r="K47" s="47">
        <f t="shared" si="58"/>
        <v>7.6921833330027681E-2</v>
      </c>
      <c r="L47" s="47">
        <f t="shared" si="58"/>
        <v>7.6719057545009517E-2</v>
      </c>
      <c r="M47" s="47">
        <f t="shared" si="58"/>
        <v>7.6510198486440847E-2</v>
      </c>
      <c r="N47" s="47">
        <f t="shared" ref="N47" si="59">N46/$I17</f>
        <v>8.2380922696624462E-2</v>
      </c>
      <c r="O47" s="47">
        <f t="shared" ref="O47" si="60">O46/$I17</f>
        <v>8.2159344121388825E-2</v>
      </c>
      <c r="P47" s="47">
        <f t="shared" ref="P47" si="61">P46/$I17</f>
        <v>8.1931118188896312E-2</v>
      </c>
      <c r="Q47" s="47">
        <f t="shared" ref="Q47" si="62">Q46/$I17</f>
        <v>8.1696045478428889E-2</v>
      </c>
      <c r="R47" s="47">
        <f t="shared" ref="R47" si="63">R46/$I17</f>
        <v>8.1453920586647466E-2</v>
      </c>
      <c r="S47" s="47">
        <f t="shared" ref="S47:V47" si="64">S46/$I17</f>
        <v>8.0292713203909669E-2</v>
      </c>
      <c r="T47" s="47">
        <f t="shared" si="64"/>
        <v>8.0035842906218763E-2</v>
      </c>
      <c r="U47" s="47">
        <f t="shared" si="64"/>
        <v>7.9771266499597107E-2</v>
      </c>
      <c r="V47" s="47">
        <f t="shared" si="64"/>
        <v>7.9498752800776881E-2</v>
      </c>
      <c r="W47" s="47">
        <f>W46/$I17</f>
        <v>7.9218063690992005E-2</v>
      </c>
      <c r="X47" s="47">
        <f t="shared" ref="X47:AC47" si="65">X46/$I17</f>
        <v>0.12260409816575753</v>
      </c>
      <c r="Y47" s="47">
        <f t="shared" si="65"/>
        <v>0.12230631508918677</v>
      </c>
      <c r="Z47" s="47">
        <f t="shared" si="65"/>
        <v>0.12199959852031886</v>
      </c>
      <c r="AA47" s="47">
        <f t="shared" si="65"/>
        <v>0.12168368045438498</v>
      </c>
      <c r="AB47" s="47">
        <f t="shared" si="65"/>
        <v>0.12135828484647296</v>
      </c>
      <c r="AC47" s="47">
        <f t="shared" si="65"/>
        <v>0.14316520527972298</v>
      </c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</row>
    <row r="48" spans="2:78" x14ac:dyDescent="0.2">
      <c r="D48" s="47">
        <f>AVERAGE(D47:AB47)</f>
        <v>8.6198331614507684E-2</v>
      </c>
      <c r="E48" s="48"/>
      <c r="F48" s="48"/>
      <c r="G48" s="48"/>
      <c r="H48" s="48"/>
      <c r="I48" s="48"/>
      <c r="J48" s="48"/>
      <c r="K48" s="48"/>
      <c r="L48" s="48"/>
      <c r="M48" s="48"/>
      <c r="N48" s="48"/>
    </row>
    <row r="49" spans="2:28" x14ac:dyDescent="0.2">
      <c r="B49" s="26" t="s">
        <v>50</v>
      </c>
      <c r="C49" s="35">
        <f>I16</f>
        <v>-24286723</v>
      </c>
      <c r="D49" s="35">
        <f>D46</f>
        <v>1717982.9750000003</v>
      </c>
      <c r="E49" s="35">
        <f t="shared" ref="E49:K49" si="66">E46</f>
        <v>1713978.4950000003</v>
      </c>
      <c r="F49" s="35">
        <f t="shared" si="66"/>
        <v>1709854.0866000003</v>
      </c>
      <c r="G49" s="35">
        <f t="shared" si="66"/>
        <v>1705605.9459480003</v>
      </c>
      <c r="H49" s="35">
        <f>'[1]Refi '!H52</f>
        <v>6140135.3610764407</v>
      </c>
      <c r="I49" s="35">
        <f t="shared" si="66"/>
        <v>1877602.6364587331</v>
      </c>
      <c r="J49" s="35">
        <f t="shared" si="66"/>
        <v>1872960.578468495</v>
      </c>
      <c r="K49" s="35">
        <f t="shared" si="66"/>
        <v>1868179.2587385499</v>
      </c>
      <c r="L49" s="35">
        <f>L46</f>
        <v>1863254.4994167062</v>
      </c>
      <c r="M49" s="35">
        <f>Refi10!M49</f>
        <v>11313700.663981887</v>
      </c>
      <c r="N49" s="35">
        <f>N46</f>
        <v>2000762.6500173314</v>
      </c>
      <c r="O49" s="35">
        <f>O46</f>
        <v>1995381.2325378489</v>
      </c>
      <c r="P49" s="35">
        <f>P46</f>
        <v>1989838.3725339863</v>
      </c>
      <c r="Q49" s="35">
        <f>Q46</f>
        <v>1984129.2267300049</v>
      </c>
      <c r="R49" s="35">
        <f>Refi15!R49</f>
        <v>9614478.1398852468</v>
      </c>
      <c r="S49" s="35">
        <f>S46</f>
        <v>1950046.8845017967</v>
      </c>
      <c r="T49" s="28">
        <f>T46</f>
        <v>1943808.3467348502</v>
      </c>
      <c r="U49" s="28">
        <f t="shared" ref="U49:V49" si="67">U46</f>
        <v>1937382.6528348946</v>
      </c>
      <c r="V49" s="28">
        <f t="shared" si="67"/>
        <v>1930764.1881179423</v>
      </c>
      <c r="W49" s="28">
        <f>W46+O21</f>
        <v>21328953.47534183</v>
      </c>
      <c r="X49" s="28">
        <f>X46</f>
        <v>2977651.7708165613</v>
      </c>
      <c r="Y49" s="28">
        <f t="shared" ref="Y49:AA49" si="68">Y46</f>
        <v>2970419.5957217994</v>
      </c>
      <c r="Z49" s="28">
        <f t="shared" si="68"/>
        <v>2962970.4553741938</v>
      </c>
      <c r="AA49" s="28">
        <f t="shared" si="68"/>
        <v>2955297.8408161621</v>
      </c>
      <c r="AB49" s="28">
        <f>(AC44/O26)+AB46-O19</f>
        <v>56375003.019654296</v>
      </c>
    </row>
    <row r="50" spans="2:28" x14ac:dyDescent="0.2">
      <c r="D50" s="58">
        <f>IRR(C49:AB49)</f>
        <v>0.1298858031389849</v>
      </c>
    </row>
    <row r="51" spans="2:28" x14ac:dyDescent="0.2">
      <c r="B51" s="26" t="s">
        <v>58</v>
      </c>
      <c r="C51" s="53">
        <f>I16</f>
        <v>-24286723</v>
      </c>
      <c r="D51" s="35">
        <f>D46</f>
        <v>1717982.9750000003</v>
      </c>
      <c r="E51" s="35">
        <f t="shared" ref="E51:L51" si="69">E46</f>
        <v>1713978.4950000003</v>
      </c>
      <c r="F51" s="35">
        <f t="shared" si="69"/>
        <v>1709854.0866000003</v>
      </c>
      <c r="G51" s="35">
        <f t="shared" si="69"/>
        <v>1705605.9459480003</v>
      </c>
      <c r="H51" s="35">
        <f>H49</f>
        <v>6140135.3610764407</v>
      </c>
      <c r="I51" s="35">
        <f t="shared" si="69"/>
        <v>1877602.6364587331</v>
      </c>
      <c r="J51" s="35">
        <f t="shared" si="69"/>
        <v>1872960.578468495</v>
      </c>
      <c r="K51" s="35">
        <f t="shared" si="69"/>
        <v>1868179.2587385499</v>
      </c>
      <c r="L51" s="35">
        <f t="shared" si="69"/>
        <v>1863254.4994167062</v>
      </c>
      <c r="M51" s="35">
        <f>M49</f>
        <v>11313700.663981887</v>
      </c>
      <c r="N51" s="35">
        <f>N46</f>
        <v>2000762.6500173314</v>
      </c>
      <c r="O51" s="35">
        <f>O46</f>
        <v>1995381.2325378489</v>
      </c>
      <c r="P51" s="35">
        <f>P46</f>
        <v>1989838.3725339863</v>
      </c>
      <c r="Q51" s="35">
        <f>Q46</f>
        <v>1984129.2267300049</v>
      </c>
      <c r="R51" s="35">
        <f>R49</f>
        <v>9614478.1398852468</v>
      </c>
      <c r="S51" s="28">
        <f>S49</f>
        <v>1950046.8845017967</v>
      </c>
      <c r="T51" s="28">
        <f t="shared" ref="T51:V51" si="70">T49</f>
        <v>1943808.3467348502</v>
      </c>
      <c r="U51" s="28">
        <f t="shared" si="70"/>
        <v>1937382.6528348946</v>
      </c>
      <c r="V51" s="28">
        <f t="shared" si="70"/>
        <v>1930764.1881179423</v>
      </c>
      <c r="W51" s="28">
        <f>W49</f>
        <v>21328953.47534183</v>
      </c>
      <c r="X51" s="28">
        <f>X46</f>
        <v>2977651.7708165613</v>
      </c>
      <c r="Y51" s="28">
        <f t="shared" ref="Y51:AA51" si="71">Y46</f>
        <v>2970419.5957217994</v>
      </c>
      <c r="Z51" s="28">
        <f t="shared" si="71"/>
        <v>2962970.4553741938</v>
      </c>
      <c r="AA51" s="28">
        <f t="shared" si="71"/>
        <v>2955297.8408161621</v>
      </c>
      <c r="AB51" s="28">
        <f>AB49</f>
        <v>56375003.019654296</v>
      </c>
    </row>
    <row r="52" spans="2:28" x14ac:dyDescent="0.2">
      <c r="D52" s="59">
        <f>AA52-(SUM(D51:AB51))/C51</f>
        <v>6.0403432094279479</v>
      </c>
    </row>
  </sheetData>
  <mergeCells count="4">
    <mergeCell ref="B5:E5"/>
    <mergeCell ref="G5:I5"/>
    <mergeCell ref="M5:O5"/>
    <mergeCell ref="B20:D20"/>
  </mergeCells>
  <pageMargins left="0.7" right="0.7" top="0.75" bottom="0.75" header="0.3" footer="0.3"/>
  <ignoredErrors>
    <ignoredError sqref="D34:I34 S33:S3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AC48-0DCB-49C1-9943-586F2F888271}">
  <dimension ref="B5:BZ52"/>
  <sheetViews>
    <sheetView topLeftCell="B1" zoomScale="69" zoomScaleNormal="69" workbookViewId="0">
      <selection activeCell="Q23" sqref="Q23"/>
    </sheetView>
  </sheetViews>
  <sheetFormatPr baseColWidth="10" defaultColWidth="9.1640625" defaultRowHeight="15" x14ac:dyDescent="0.2"/>
  <cols>
    <col min="1" max="1" width="9.1640625" style="26"/>
    <col min="2" max="2" width="34.6640625" style="26" customWidth="1"/>
    <col min="3" max="3" width="14" style="26" bestFit="1" customWidth="1"/>
    <col min="4" max="4" width="13.5" style="26" bestFit="1" customWidth="1"/>
    <col min="5" max="5" width="13.83203125" style="26" bestFit="1" customWidth="1"/>
    <col min="6" max="6" width="12.83203125" style="26" bestFit="1" customWidth="1"/>
    <col min="7" max="7" width="18.83203125" style="26" customWidth="1"/>
    <col min="8" max="8" width="12.1640625" style="26" bestFit="1" customWidth="1"/>
    <col min="9" max="9" width="13.83203125" style="26" bestFit="1" customWidth="1"/>
    <col min="10" max="10" width="16.83203125" style="26" bestFit="1" customWidth="1"/>
    <col min="11" max="11" width="15.33203125" style="26" customWidth="1"/>
    <col min="12" max="12" width="12.1640625" style="26" bestFit="1" customWidth="1"/>
    <col min="13" max="13" width="21.5" style="26" customWidth="1"/>
    <col min="14" max="14" width="12.1640625" style="26" bestFit="1" customWidth="1"/>
    <col min="15" max="15" width="14.1640625" style="26" bestFit="1" customWidth="1"/>
    <col min="16" max="16" width="11.6640625" style="26" bestFit="1" customWidth="1"/>
    <col min="17" max="17" width="11.83203125" style="26" bestFit="1" customWidth="1"/>
    <col min="18" max="18" width="16" style="26" bestFit="1" customWidth="1"/>
    <col min="19" max="19" width="12.6640625" style="26" bestFit="1" customWidth="1"/>
    <col min="20" max="22" width="12.33203125" style="26" bestFit="1" customWidth="1"/>
    <col min="23" max="23" width="14.33203125" style="26" bestFit="1" customWidth="1"/>
    <col min="24" max="28" width="13.5" style="26" bestFit="1" customWidth="1"/>
    <col min="29" max="29" width="14.83203125" style="26" bestFit="1" customWidth="1"/>
    <col min="30" max="16384" width="9.1640625" style="26"/>
  </cols>
  <sheetData>
    <row r="5" spans="2:17" x14ac:dyDescent="0.2">
      <c r="B5" s="105" t="s">
        <v>0</v>
      </c>
      <c r="C5" s="105"/>
      <c r="D5" s="105"/>
      <c r="E5" s="105"/>
      <c r="G5" s="105" t="s">
        <v>38</v>
      </c>
      <c r="H5" s="105"/>
      <c r="I5" s="105"/>
      <c r="M5" s="108" t="s">
        <v>59</v>
      </c>
      <c r="N5" s="108"/>
      <c r="O5" s="108"/>
    </row>
    <row r="7" spans="2:17" x14ac:dyDescent="0.2">
      <c r="B7" s="26" t="s">
        <v>1</v>
      </c>
      <c r="D7" s="27">
        <v>47332</v>
      </c>
      <c r="G7" s="26" t="s">
        <v>2</v>
      </c>
      <c r="I7" s="27">
        <f>D8</f>
        <v>48573445</v>
      </c>
      <c r="J7" s="27">
        <f>J8/J9</f>
        <v>46942801.061007954</v>
      </c>
      <c r="K7" s="28">
        <f>K8/K9</f>
        <v>50276806.81818182</v>
      </c>
      <c r="M7" s="26" t="s">
        <v>80</v>
      </c>
      <c r="O7" s="27">
        <f>X44</f>
        <v>10739482.696841264</v>
      </c>
    </row>
    <row r="8" spans="2:17" x14ac:dyDescent="0.2">
      <c r="B8" s="26" t="s">
        <v>2</v>
      </c>
      <c r="D8" s="27">
        <v>48573445</v>
      </c>
      <c r="G8" s="26" t="s">
        <v>54</v>
      </c>
      <c r="I8" s="27">
        <f>D44</f>
        <v>3539487.2</v>
      </c>
      <c r="J8" s="27">
        <f>I8</f>
        <v>3539487.2</v>
      </c>
      <c r="K8" s="27">
        <f>I8</f>
        <v>3539487.2</v>
      </c>
      <c r="M8" s="26" t="s">
        <v>72</v>
      </c>
      <c r="O8" s="27">
        <f>-(X42+X43)</f>
        <v>580677.30315873481</v>
      </c>
    </row>
    <row r="9" spans="2:17" x14ac:dyDescent="0.2">
      <c r="C9" s="26" t="s">
        <v>6</v>
      </c>
      <c r="D9" s="26" t="s">
        <v>7</v>
      </c>
      <c r="G9" s="26" t="s">
        <v>39</v>
      </c>
      <c r="I9" s="29">
        <f>7.29%</f>
        <v>7.2900000000000006E-2</v>
      </c>
      <c r="J9" s="30">
        <f>I9+0.0025</f>
        <v>7.5400000000000009E-2</v>
      </c>
      <c r="K9" s="30">
        <f>I9-0.0025</f>
        <v>7.0400000000000004E-2</v>
      </c>
      <c r="M9" s="26" t="s">
        <v>61</v>
      </c>
      <c r="O9" s="27">
        <f>O7+O8</f>
        <v>11320159.999999998</v>
      </c>
      <c r="Q9" s="49"/>
    </row>
    <row r="10" spans="2:17" x14ac:dyDescent="0.2">
      <c r="B10" s="26" t="s">
        <v>3</v>
      </c>
      <c r="C10" s="27">
        <v>53020</v>
      </c>
      <c r="D10" s="31">
        <v>23</v>
      </c>
      <c r="M10" s="26" t="s">
        <v>112</v>
      </c>
      <c r="O10" s="89">
        <f>(X33+X34+X35)*0.03</f>
        <v>339604.8</v>
      </c>
    </row>
    <row r="11" spans="2:17" x14ac:dyDescent="0.2">
      <c r="B11" s="26" t="s">
        <v>4</v>
      </c>
      <c r="C11" s="27">
        <v>57316</v>
      </c>
      <c r="D11" s="26">
        <v>31.67</v>
      </c>
      <c r="G11" s="26" t="s">
        <v>40</v>
      </c>
      <c r="I11" s="29">
        <f>I9+0.005</f>
        <v>7.7900000000000011E-2</v>
      </c>
      <c r="J11" s="30">
        <f>I11+0.0025</f>
        <v>8.0400000000000013E-2</v>
      </c>
      <c r="K11" s="30">
        <f>I11-0.0025</f>
        <v>7.5400000000000009E-2</v>
      </c>
      <c r="M11" s="26" t="s">
        <v>62</v>
      </c>
      <c r="O11" s="30">
        <v>4.2500000000000003E-2</v>
      </c>
    </row>
    <row r="12" spans="2:17" x14ac:dyDescent="0.2">
      <c r="B12" s="26" t="s">
        <v>5</v>
      </c>
      <c r="C12" s="27">
        <v>23140</v>
      </c>
      <c r="D12" s="31">
        <v>32.5</v>
      </c>
      <c r="G12" s="26" t="s">
        <v>41</v>
      </c>
      <c r="I12" s="27">
        <f>N44</f>
        <v>4264904.6473506652</v>
      </c>
      <c r="J12" s="27">
        <f>I12</f>
        <v>4264904.6473506652</v>
      </c>
      <c r="K12" s="27">
        <f>I12</f>
        <v>4264904.6473506652</v>
      </c>
      <c r="M12" s="26" t="s">
        <v>63</v>
      </c>
      <c r="O12" s="27">
        <f>O9/O11</f>
        <v>266356705.88235289</v>
      </c>
    </row>
    <row r="13" spans="2:17" x14ac:dyDescent="0.2">
      <c r="B13" s="26" t="s">
        <v>9</v>
      </c>
      <c r="C13" s="27">
        <f>SUM(C10:C12)</f>
        <v>133476</v>
      </c>
      <c r="D13" s="31">
        <f>[2]Calculation!F15</f>
        <v>28.368845335491024</v>
      </c>
      <c r="G13" s="26" t="s">
        <v>51</v>
      </c>
      <c r="I13" s="28">
        <f>I12/I11</f>
        <v>54748455.036593899</v>
      </c>
      <c r="J13" s="28">
        <f>J12/J11</f>
        <v>53046077.703366473</v>
      </c>
      <c r="K13" s="28">
        <f>K12/K11</f>
        <v>56563722.113404043</v>
      </c>
      <c r="M13" s="26" t="s">
        <v>64</v>
      </c>
      <c r="O13" s="33">
        <v>0.5</v>
      </c>
    </row>
    <row r="14" spans="2:17" x14ac:dyDescent="0.2">
      <c r="D14" s="31"/>
    </row>
    <row r="15" spans="2:17" x14ac:dyDescent="0.2">
      <c r="B15" s="26" t="s">
        <v>24</v>
      </c>
      <c r="C15" s="32">
        <v>7</v>
      </c>
      <c r="D15" s="27">
        <f>C15*C13</f>
        <v>934332</v>
      </c>
      <c r="G15" s="26" t="s">
        <v>2</v>
      </c>
      <c r="I15" s="27">
        <f>D8</f>
        <v>48573445</v>
      </c>
      <c r="M15" s="26" t="s">
        <v>65</v>
      </c>
      <c r="O15" s="27">
        <f>O12*O13</f>
        <v>133178352.94117644</v>
      </c>
    </row>
    <row r="16" spans="2:17" x14ac:dyDescent="0.2">
      <c r="B16" s="26" t="s">
        <v>23</v>
      </c>
      <c r="C16" s="32">
        <v>12</v>
      </c>
      <c r="D16" s="27">
        <f>C16*$C13</f>
        <v>1601712</v>
      </c>
      <c r="G16" s="26" t="s">
        <v>45</v>
      </c>
      <c r="H16" s="33">
        <v>0.5</v>
      </c>
      <c r="I16" s="34">
        <f>-(24286723)</f>
        <v>-24286723</v>
      </c>
      <c r="M16" s="26" t="s">
        <v>66</v>
      </c>
      <c r="O16" s="30">
        <v>3.3099999999999997E-2</v>
      </c>
    </row>
    <row r="17" spans="2:29" x14ac:dyDescent="0.2">
      <c r="B17" s="26" t="s">
        <v>25</v>
      </c>
      <c r="C17" s="32">
        <v>1</v>
      </c>
      <c r="D17" s="27">
        <f>C17*$C13</f>
        <v>133476</v>
      </c>
      <c r="G17" s="26" t="s">
        <v>46</v>
      </c>
      <c r="I17" s="35">
        <f>-I16</f>
        <v>24286723</v>
      </c>
      <c r="M17" s="26" t="s">
        <v>67</v>
      </c>
      <c r="O17" s="35">
        <f>-(O16*O15)</f>
        <v>-4408203.4823529404</v>
      </c>
    </row>
    <row r="18" spans="2:29" x14ac:dyDescent="0.2">
      <c r="B18" s="26" t="s">
        <v>36</v>
      </c>
      <c r="C18" s="32">
        <v>1</v>
      </c>
      <c r="D18" s="27">
        <f>(D33+D34+D35)*0.03</f>
        <v>113596.8</v>
      </c>
      <c r="G18" s="26" t="s">
        <v>47</v>
      </c>
      <c r="H18" s="30">
        <v>7.2900000000000006E-2</v>
      </c>
      <c r="I18" s="27">
        <f>D44</f>
        <v>3539487.2</v>
      </c>
    </row>
    <row r="19" spans="2:29" x14ac:dyDescent="0.2">
      <c r="E19" s="28"/>
      <c r="G19" s="26" t="s">
        <v>48</v>
      </c>
      <c r="H19" s="36">
        <v>7.4999999999999997E-2</v>
      </c>
      <c r="I19" s="35">
        <f>D45</f>
        <v>-1821504.2249999999</v>
      </c>
      <c r="J19" s="35">
        <f>D45</f>
        <v>-1821504.2249999999</v>
      </c>
      <c r="K19" s="35">
        <f>D45</f>
        <v>-1821504.2249999999</v>
      </c>
      <c r="M19" s="26" t="s">
        <v>68</v>
      </c>
      <c r="O19" s="27">
        <f>O15</f>
        <v>133178352.94117644</v>
      </c>
    </row>
    <row r="20" spans="2:29" ht="16" x14ac:dyDescent="0.2">
      <c r="B20" s="106" t="s">
        <v>8</v>
      </c>
      <c r="C20" s="106"/>
      <c r="D20" s="106"/>
      <c r="G20" s="26" t="s">
        <v>43</v>
      </c>
      <c r="H20" s="30">
        <f>D47</f>
        <v>7.0737537336758041E-2</v>
      </c>
      <c r="I20" s="35">
        <f>D46</f>
        <v>1717982.9750000003</v>
      </c>
      <c r="J20" s="35">
        <f>D46</f>
        <v>1717982.9750000003</v>
      </c>
      <c r="K20" s="35">
        <f>D46</f>
        <v>1717982.9750000003</v>
      </c>
      <c r="M20" s="26" t="s">
        <v>69</v>
      </c>
      <c r="O20" s="34">
        <f>-([2]Refi15!O19)</f>
        <v>-45817376.000000022</v>
      </c>
    </row>
    <row r="21" spans="2:29" x14ac:dyDescent="0.2">
      <c r="F21" s="31"/>
      <c r="M21" s="26" t="s">
        <v>70</v>
      </c>
      <c r="O21" s="35">
        <f>O19+O20</f>
        <v>87360976.941176414</v>
      </c>
    </row>
    <row r="22" spans="2:29" x14ac:dyDescent="0.2">
      <c r="B22" s="26" t="s">
        <v>10</v>
      </c>
      <c r="D22" s="37">
        <v>0.1</v>
      </c>
      <c r="G22" s="26" t="s">
        <v>53</v>
      </c>
      <c r="I22" s="27">
        <f>I13</f>
        <v>54748455.036593899</v>
      </c>
      <c r="J22" s="27">
        <f>J13</f>
        <v>53046077.703366473</v>
      </c>
      <c r="K22" s="28">
        <f>K13</f>
        <v>56563722.113404043</v>
      </c>
      <c r="M22" s="26" t="s">
        <v>71</v>
      </c>
      <c r="O22" s="27">
        <f>AC44/O26</f>
        <v>248402981.41182053</v>
      </c>
    </row>
    <row r="23" spans="2:29" x14ac:dyDescent="0.2">
      <c r="B23" s="26" t="s">
        <v>11</v>
      </c>
      <c r="D23" s="38">
        <v>0.03</v>
      </c>
      <c r="G23" s="26" t="s">
        <v>56</v>
      </c>
      <c r="I23" s="35">
        <f>I16</f>
        <v>-24286723</v>
      </c>
      <c r="J23" s="35">
        <f>I16</f>
        <v>-24286723</v>
      </c>
      <c r="K23" s="34">
        <f>I16</f>
        <v>-24286723</v>
      </c>
      <c r="M23" s="26" t="s">
        <v>113</v>
      </c>
      <c r="O23" s="27">
        <f>O22+O20</f>
        <v>202585605.4118205</v>
      </c>
    </row>
    <row r="24" spans="2:29" x14ac:dyDescent="0.2">
      <c r="B24" s="26" t="s">
        <v>12</v>
      </c>
      <c r="D24" s="38">
        <v>4.4999999999999998E-2</v>
      </c>
      <c r="G24" s="26" t="s">
        <v>57</v>
      </c>
      <c r="I24" s="27">
        <f>I22+I23</f>
        <v>30461732.036593899</v>
      </c>
      <c r="J24" s="27">
        <f>J22+J23</f>
        <v>28759354.703366473</v>
      </c>
      <c r="K24" s="27">
        <f>K22+K23</f>
        <v>32276999.113404043</v>
      </c>
    </row>
    <row r="25" spans="2:29" x14ac:dyDescent="0.2">
      <c r="B25" s="26" t="s">
        <v>13</v>
      </c>
      <c r="D25" s="37">
        <v>0.03</v>
      </c>
      <c r="G25" s="26" t="s">
        <v>55</v>
      </c>
      <c r="I25" s="30">
        <f>J11</f>
        <v>8.0400000000000013E-2</v>
      </c>
      <c r="J25" s="30">
        <f>I25+0.0025</f>
        <v>8.2900000000000015E-2</v>
      </c>
      <c r="K25" s="30">
        <f>I11</f>
        <v>7.7900000000000011E-2</v>
      </c>
      <c r="M25" s="26" t="s">
        <v>73</v>
      </c>
      <c r="O25" s="58">
        <f>D48</f>
        <v>0.10774746796404278</v>
      </c>
    </row>
    <row r="26" spans="2:29" x14ac:dyDescent="0.2">
      <c r="G26" s="26" t="s">
        <v>52</v>
      </c>
      <c r="H26" s="30">
        <f>D50</f>
        <v>0.15939909764772531</v>
      </c>
      <c r="K26" s="30"/>
      <c r="M26" s="26" t="s">
        <v>74</v>
      </c>
      <c r="O26" s="95">
        <v>4.7500000000000001E-2</v>
      </c>
      <c r="T26" s="28"/>
    </row>
    <row r="27" spans="2:29" x14ac:dyDescent="0.2">
      <c r="B27" s="26" t="s">
        <v>14</v>
      </c>
      <c r="D27" s="27">
        <v>3539487</v>
      </c>
      <c r="M27" s="26" t="s">
        <v>52</v>
      </c>
      <c r="O27" s="58">
        <f>D50</f>
        <v>0.15939909764772531</v>
      </c>
    </row>
    <row r="28" spans="2:29" x14ac:dyDescent="0.2">
      <c r="B28" s="26" t="s">
        <v>15</v>
      </c>
      <c r="D28" s="30">
        <v>7.4800000000000005E-2</v>
      </c>
      <c r="M28" s="26" t="s">
        <v>75</v>
      </c>
    </row>
    <row r="29" spans="2:29" x14ac:dyDescent="0.2">
      <c r="B29" s="26" t="s">
        <v>16</v>
      </c>
      <c r="D29" s="30">
        <v>7.2900000000000006E-2</v>
      </c>
      <c r="M29" s="26" t="s">
        <v>76</v>
      </c>
      <c r="O29" s="57">
        <f>D52</f>
        <v>12.073315560307236</v>
      </c>
    </row>
    <row r="31" spans="2:29" x14ac:dyDescent="0.2">
      <c r="B31" s="26" t="s">
        <v>17</v>
      </c>
      <c r="D31" s="26">
        <v>1.03</v>
      </c>
      <c r="E31" s="26">
        <v>1.03</v>
      </c>
      <c r="F31" s="26">
        <v>1.03</v>
      </c>
      <c r="G31" s="26">
        <v>1.03</v>
      </c>
      <c r="H31" s="26">
        <v>1.03</v>
      </c>
      <c r="I31" s="26">
        <v>1.03</v>
      </c>
      <c r="J31" s="26">
        <v>1.03</v>
      </c>
      <c r="K31" s="26">
        <v>1.03</v>
      </c>
      <c r="L31" s="26">
        <v>1.03</v>
      </c>
      <c r="M31" s="26">
        <v>1.03</v>
      </c>
      <c r="N31" s="26">
        <v>1.03</v>
      </c>
    </row>
    <row r="32" spans="2:29" x14ac:dyDescent="0.2">
      <c r="D32" s="26">
        <v>1</v>
      </c>
      <c r="E32" s="26">
        <v>2</v>
      </c>
      <c r="F32" s="26">
        <v>3</v>
      </c>
      <c r="G32" s="26">
        <v>4</v>
      </c>
      <c r="H32" s="26">
        <v>5</v>
      </c>
      <c r="I32" s="26">
        <v>6</v>
      </c>
      <c r="J32" s="26">
        <v>7</v>
      </c>
      <c r="K32" s="26">
        <v>8</v>
      </c>
      <c r="L32" s="26">
        <v>9</v>
      </c>
      <c r="M32" s="26">
        <v>10</v>
      </c>
      <c r="N32" s="26">
        <v>11</v>
      </c>
      <c r="O32" s="26">
        <v>12</v>
      </c>
      <c r="P32" s="26">
        <v>13</v>
      </c>
      <c r="Q32" s="26">
        <v>14</v>
      </c>
      <c r="R32" s="26">
        <v>15</v>
      </c>
      <c r="S32" s="26">
        <v>16</v>
      </c>
      <c r="T32" s="26">
        <v>17</v>
      </c>
      <c r="U32" s="26">
        <v>18</v>
      </c>
      <c r="V32" s="26">
        <v>19</v>
      </c>
      <c r="W32" s="26">
        <v>20</v>
      </c>
      <c r="X32" s="26">
        <v>21</v>
      </c>
      <c r="Y32" s="26">
        <v>22</v>
      </c>
      <c r="Z32" s="26">
        <v>23</v>
      </c>
      <c r="AA32" s="26">
        <v>24</v>
      </c>
      <c r="AB32" s="26">
        <v>25</v>
      </c>
      <c r="AC32" s="26">
        <v>26</v>
      </c>
    </row>
    <row r="33" spans="2:78" x14ac:dyDescent="0.2">
      <c r="B33" s="26" t="s">
        <v>18</v>
      </c>
      <c r="D33" s="27">
        <f>$C10*$D10</f>
        <v>1219460</v>
      </c>
      <c r="E33" s="27">
        <f>$C10*$D10</f>
        <v>1219460</v>
      </c>
      <c r="F33" s="27">
        <f>$C10*$D10</f>
        <v>1219460</v>
      </c>
      <c r="G33" s="27">
        <f>$C10*$D10</f>
        <v>1219460</v>
      </c>
      <c r="H33" s="27">
        <f>$C10*$D10</f>
        <v>1219460</v>
      </c>
      <c r="I33" s="26">
        <f>$C10*$D10*1.1</f>
        <v>1341406</v>
      </c>
      <c r="J33" s="26">
        <f>$C10*$D10*1.1</f>
        <v>1341406</v>
      </c>
      <c r="K33" s="26">
        <f>$C10*$D10*1.1</f>
        <v>1341406</v>
      </c>
      <c r="L33" s="26">
        <f>$C10*$D10*1.1</f>
        <v>1341406</v>
      </c>
      <c r="M33" s="26">
        <f>$C10*$D10*1.1</f>
        <v>1341406</v>
      </c>
      <c r="N33" s="28">
        <f>M33*1.1</f>
        <v>1475546.6</v>
      </c>
      <c r="O33" s="28">
        <f t="shared" ref="O33:R35" si="0">N33</f>
        <v>1475546.6</v>
      </c>
      <c r="P33" s="28">
        <f t="shared" si="0"/>
        <v>1475546.6</v>
      </c>
      <c r="Q33" s="28">
        <f t="shared" si="0"/>
        <v>1475546.6</v>
      </c>
      <c r="R33" s="28">
        <f t="shared" si="0"/>
        <v>1475546.6</v>
      </c>
      <c r="S33" s="28">
        <f>R33*1.1</f>
        <v>1623101.2600000002</v>
      </c>
      <c r="T33" s="28">
        <f t="shared" ref="T33:W35" si="1">S33</f>
        <v>1623101.2600000002</v>
      </c>
      <c r="U33" s="28">
        <f t="shared" si="1"/>
        <v>1623101.2600000002</v>
      </c>
      <c r="V33" s="28">
        <f t="shared" si="1"/>
        <v>1623101.2600000002</v>
      </c>
      <c r="W33" s="28">
        <f>V33</f>
        <v>1623101.2600000002</v>
      </c>
      <c r="X33" s="28">
        <f>Calculation!M15</f>
        <v>2863575</v>
      </c>
      <c r="Y33" s="28">
        <f t="shared" ref="Y33:AB35" si="2">X33</f>
        <v>2863575</v>
      </c>
      <c r="Z33" s="28">
        <f t="shared" si="2"/>
        <v>2863575</v>
      </c>
      <c r="AA33" s="28">
        <f t="shared" si="2"/>
        <v>2863575</v>
      </c>
      <c r="AB33" s="28">
        <f t="shared" si="2"/>
        <v>2863575</v>
      </c>
      <c r="AC33" s="26">
        <f>AB33*1.1</f>
        <v>3149932.5000000005</v>
      </c>
    </row>
    <row r="34" spans="2:78" x14ac:dyDescent="0.2">
      <c r="B34" s="26" t="s">
        <v>19</v>
      </c>
      <c r="D34" s="28">
        <f>1815050</f>
        <v>1815050</v>
      </c>
      <c r="E34" s="28">
        <f>D34</f>
        <v>1815050</v>
      </c>
      <c r="F34" s="28">
        <f t="shared" ref="F34:L34" si="3">E34</f>
        <v>1815050</v>
      </c>
      <c r="G34" s="28">
        <f t="shared" si="3"/>
        <v>1815050</v>
      </c>
      <c r="H34" s="28">
        <f t="shared" si="3"/>
        <v>1815050</v>
      </c>
      <c r="I34" s="28">
        <f>H34*1.1</f>
        <v>1996555.0000000002</v>
      </c>
      <c r="J34" s="28">
        <f t="shared" si="3"/>
        <v>1996555.0000000002</v>
      </c>
      <c r="K34" s="28">
        <f t="shared" si="3"/>
        <v>1996555.0000000002</v>
      </c>
      <c r="L34" s="28">
        <f t="shared" si="3"/>
        <v>1996555.0000000002</v>
      </c>
      <c r="M34" s="28">
        <f>L34</f>
        <v>1996555.0000000002</v>
      </c>
      <c r="N34" s="28">
        <f>M34*1.1</f>
        <v>2196210.5000000005</v>
      </c>
      <c r="O34" s="28">
        <f t="shared" si="0"/>
        <v>2196210.5000000005</v>
      </c>
      <c r="P34" s="28">
        <f t="shared" si="0"/>
        <v>2196210.5000000005</v>
      </c>
      <c r="Q34" s="28">
        <f t="shared" si="0"/>
        <v>2196210.5000000005</v>
      </c>
      <c r="R34" s="28">
        <f t="shared" si="0"/>
        <v>2196210.5000000005</v>
      </c>
      <c r="S34" s="28">
        <f>R34*1.1</f>
        <v>2415831.5500000007</v>
      </c>
      <c r="T34" s="28">
        <f t="shared" si="1"/>
        <v>2415831.5500000007</v>
      </c>
      <c r="U34" s="28">
        <f t="shared" si="1"/>
        <v>2415831.5500000007</v>
      </c>
      <c r="V34" s="28">
        <f t="shared" si="1"/>
        <v>2415831.5500000007</v>
      </c>
      <c r="W34" s="28">
        <f t="shared" si="1"/>
        <v>2415831.5500000007</v>
      </c>
      <c r="X34" s="28">
        <f>Calculation!O15</f>
        <v>5301895</v>
      </c>
      <c r="Y34" s="28">
        <f t="shared" si="2"/>
        <v>5301895</v>
      </c>
      <c r="Z34" s="28">
        <f t="shared" si="2"/>
        <v>5301895</v>
      </c>
      <c r="AA34" s="28">
        <f t="shared" si="2"/>
        <v>5301895</v>
      </c>
      <c r="AB34" s="28">
        <f t="shared" si="2"/>
        <v>5301895</v>
      </c>
      <c r="AC34" s="26">
        <f>AB34*1.1</f>
        <v>5832084.5000000009</v>
      </c>
    </row>
    <row r="35" spans="2:78" x14ac:dyDescent="0.2">
      <c r="B35" s="26" t="s">
        <v>20</v>
      </c>
      <c r="D35" s="26">
        <f>$C12*$D12</f>
        <v>752050</v>
      </c>
      <c r="E35" s="26">
        <f>$C12*$D12</f>
        <v>752050</v>
      </c>
      <c r="F35" s="26">
        <f>$C12*$D12</f>
        <v>752050</v>
      </c>
      <c r="G35" s="26">
        <f>$C12*$D12</f>
        <v>752050</v>
      </c>
      <c r="H35" s="26">
        <f>$C12*$D12</f>
        <v>752050</v>
      </c>
      <c r="I35" s="26">
        <f>$C12*$D12*1.1</f>
        <v>827255.00000000012</v>
      </c>
      <c r="J35" s="26">
        <f>$C12*$D12*1.1</f>
        <v>827255.00000000012</v>
      </c>
      <c r="K35" s="26">
        <f>$C12*$D12*1.1</f>
        <v>827255.00000000012</v>
      </c>
      <c r="L35" s="26">
        <f>$C12*$D12*1.1</f>
        <v>827255.00000000012</v>
      </c>
      <c r="M35" s="26">
        <f>$C12*$D12*1.1</f>
        <v>827255.00000000012</v>
      </c>
      <c r="N35" s="28">
        <f>M35*1.1</f>
        <v>909980.50000000023</v>
      </c>
      <c r="O35" s="28">
        <f t="shared" si="0"/>
        <v>909980.50000000023</v>
      </c>
      <c r="P35" s="28">
        <f t="shared" si="0"/>
        <v>909980.50000000023</v>
      </c>
      <c r="Q35" s="28">
        <f t="shared" si="0"/>
        <v>909980.50000000023</v>
      </c>
      <c r="R35" s="28">
        <f t="shared" si="0"/>
        <v>909980.50000000023</v>
      </c>
      <c r="S35" s="28">
        <f t="shared" ref="S35" si="4">R35*1.1</f>
        <v>1000978.5500000003</v>
      </c>
      <c r="T35" s="28">
        <f t="shared" si="1"/>
        <v>1000978.5500000003</v>
      </c>
      <c r="U35" s="28">
        <f t="shared" si="1"/>
        <v>1000978.5500000003</v>
      </c>
      <c r="V35" s="28">
        <f t="shared" si="1"/>
        <v>1000978.5500000003</v>
      </c>
      <c r="W35" s="28">
        <f t="shared" si="1"/>
        <v>1000978.5500000003</v>
      </c>
      <c r="X35" s="28">
        <f>Calculation!Q15</f>
        <v>3154690</v>
      </c>
      <c r="Y35" s="28">
        <f t="shared" si="2"/>
        <v>3154690</v>
      </c>
      <c r="Z35" s="28">
        <f t="shared" si="2"/>
        <v>3154690</v>
      </c>
      <c r="AA35" s="28">
        <f t="shared" si="2"/>
        <v>3154690</v>
      </c>
      <c r="AB35" s="28">
        <f t="shared" si="2"/>
        <v>3154690</v>
      </c>
      <c r="AC35" s="26">
        <f>AB35*1.1</f>
        <v>3470159.0000000005</v>
      </c>
    </row>
    <row r="36" spans="2:78" x14ac:dyDescent="0.2">
      <c r="B36" s="26" t="s">
        <v>21</v>
      </c>
      <c r="D36" s="26">
        <f>C13*7</f>
        <v>934332</v>
      </c>
      <c r="E36" s="28">
        <f t="shared" ref="E36:AC36" si="5">D36*1.03</f>
        <v>962361.96000000008</v>
      </c>
      <c r="F36" s="28">
        <f t="shared" si="5"/>
        <v>991232.81880000012</v>
      </c>
      <c r="G36" s="28">
        <f t="shared" si="5"/>
        <v>1020969.8033640002</v>
      </c>
      <c r="H36" s="28">
        <f t="shared" si="5"/>
        <v>1051598.8974649203</v>
      </c>
      <c r="I36" s="28">
        <f t="shared" si="5"/>
        <v>1083146.864388868</v>
      </c>
      <c r="J36" s="28">
        <f>I36*1.03</f>
        <v>1115641.270320534</v>
      </c>
      <c r="K36" s="28">
        <f t="shared" si="5"/>
        <v>1149110.5084301501</v>
      </c>
      <c r="L36" s="28">
        <f t="shared" si="5"/>
        <v>1183583.8236830547</v>
      </c>
      <c r="M36" s="28">
        <f t="shared" si="5"/>
        <v>1219091.3383935464</v>
      </c>
      <c r="N36" s="28">
        <f t="shared" si="5"/>
        <v>1255664.0785453529</v>
      </c>
      <c r="O36" s="28">
        <f t="shared" si="5"/>
        <v>1293334.0009017135</v>
      </c>
      <c r="P36" s="28">
        <f t="shared" si="5"/>
        <v>1332134.0209287649</v>
      </c>
      <c r="Q36" s="28">
        <f t="shared" si="5"/>
        <v>1372098.041556628</v>
      </c>
      <c r="R36" s="28">
        <f t="shared" si="5"/>
        <v>1413260.9828033268</v>
      </c>
      <c r="S36" s="28">
        <f t="shared" si="5"/>
        <v>1455658.8122874266</v>
      </c>
      <c r="T36" s="28">
        <f t="shared" si="5"/>
        <v>1499328.5766560494</v>
      </c>
      <c r="U36" s="28">
        <f t="shared" si="5"/>
        <v>1544308.4339557309</v>
      </c>
      <c r="V36" s="28">
        <f t="shared" si="5"/>
        <v>1590637.6869744027</v>
      </c>
      <c r="W36" s="28">
        <f t="shared" si="5"/>
        <v>1638356.817583635</v>
      </c>
      <c r="X36" s="28">
        <f>W36*1.03</f>
        <v>1687507.5221111441</v>
      </c>
      <c r="Y36" s="28">
        <f t="shared" si="5"/>
        <v>1738132.7477744785</v>
      </c>
      <c r="Z36" s="28">
        <f t="shared" si="5"/>
        <v>1790276.7302077129</v>
      </c>
      <c r="AA36" s="28">
        <f t="shared" si="5"/>
        <v>1843985.0321139442</v>
      </c>
      <c r="AB36" s="28">
        <f t="shared" si="5"/>
        <v>1899304.5830773625</v>
      </c>
      <c r="AC36" s="28">
        <f t="shared" si="5"/>
        <v>1956283.7205696835</v>
      </c>
    </row>
    <row r="37" spans="2:78" x14ac:dyDescent="0.2">
      <c r="B37" s="26" t="s">
        <v>22</v>
      </c>
      <c r="D37" s="28">
        <f>$D16</f>
        <v>1601712</v>
      </c>
      <c r="E37" s="28">
        <f>$D16*1.045</f>
        <v>1673789.0399999998</v>
      </c>
      <c r="F37" s="28">
        <f t="shared" ref="F37:AC37" si="6">E37*1.045</f>
        <v>1749109.5467999997</v>
      </c>
      <c r="G37" s="28">
        <f t="shared" si="6"/>
        <v>1827819.4764059996</v>
      </c>
      <c r="H37" s="28">
        <f t="shared" si="6"/>
        <v>1910071.3528442695</v>
      </c>
      <c r="I37" s="28">
        <f t="shared" si="6"/>
        <v>1996024.5637222615</v>
      </c>
      <c r="J37" s="28">
        <f t="shared" si="6"/>
        <v>2085845.6690897632</v>
      </c>
      <c r="K37" s="28">
        <f t="shared" si="6"/>
        <v>2179708.7241988024</v>
      </c>
      <c r="L37" s="28">
        <f t="shared" si="6"/>
        <v>2277795.6167877484</v>
      </c>
      <c r="M37" s="28">
        <f t="shared" si="6"/>
        <v>2380296.4195431969</v>
      </c>
      <c r="N37" s="28">
        <f t="shared" si="6"/>
        <v>2487409.7584226406</v>
      </c>
      <c r="O37" s="28">
        <f t="shared" si="6"/>
        <v>2599343.1975516593</v>
      </c>
      <c r="P37" s="28">
        <f t="shared" si="6"/>
        <v>2716313.641441484</v>
      </c>
      <c r="Q37" s="28">
        <f t="shared" si="6"/>
        <v>2838547.7553063505</v>
      </c>
      <c r="R37" s="28">
        <f t="shared" si="6"/>
        <v>2966282.4042951362</v>
      </c>
      <c r="S37" s="28">
        <f t="shared" si="6"/>
        <v>3099765.112488417</v>
      </c>
      <c r="T37" s="28">
        <f t="shared" si="6"/>
        <v>3239254.5425503957</v>
      </c>
      <c r="U37" s="28">
        <f t="shared" si="6"/>
        <v>3385020.9969651634</v>
      </c>
      <c r="V37" s="28">
        <f t="shared" si="6"/>
        <v>3537346.9418285955</v>
      </c>
      <c r="W37" s="28">
        <f t="shared" si="6"/>
        <v>3696527.5542108822</v>
      </c>
      <c r="X37" s="28">
        <f t="shared" si="6"/>
        <v>3862871.2941503716</v>
      </c>
      <c r="Y37" s="28">
        <f t="shared" si="6"/>
        <v>4036700.5023871381</v>
      </c>
      <c r="Z37" s="28">
        <f t="shared" si="6"/>
        <v>4218352.0249945587</v>
      </c>
      <c r="AA37" s="28">
        <f t="shared" si="6"/>
        <v>4408177.8661193131</v>
      </c>
      <c r="AB37" s="28">
        <f t="shared" si="6"/>
        <v>4606545.8700946821</v>
      </c>
      <c r="AC37" s="28">
        <f t="shared" si="6"/>
        <v>4813840.4342489429</v>
      </c>
    </row>
    <row r="38" spans="2:78" x14ac:dyDescent="0.2">
      <c r="B38" s="26" t="s">
        <v>26</v>
      </c>
      <c r="D38" s="26">
        <f>SUM(D33:D37)</f>
        <v>6322604</v>
      </c>
      <c r="E38" s="28">
        <f t="shared" ref="E38:M38" si="7">SUM(E33:E37)</f>
        <v>6422711</v>
      </c>
      <c r="F38" s="28">
        <f t="shared" si="7"/>
        <v>6526902.3656000001</v>
      </c>
      <c r="G38" s="28">
        <f t="shared" si="7"/>
        <v>6635349.2797699999</v>
      </c>
      <c r="H38" s="28">
        <f t="shared" si="7"/>
        <v>6748230.2503091898</v>
      </c>
      <c r="I38" s="28">
        <f t="shared" si="7"/>
        <v>7244387.4281111294</v>
      </c>
      <c r="J38" s="28">
        <f t="shared" si="7"/>
        <v>7366702.9394102972</v>
      </c>
      <c r="K38" s="28">
        <f t="shared" si="7"/>
        <v>7494035.2326289527</v>
      </c>
      <c r="L38" s="28">
        <f t="shared" si="7"/>
        <v>7626595.4404708035</v>
      </c>
      <c r="M38" s="28">
        <f t="shared" si="7"/>
        <v>7764603.757936744</v>
      </c>
      <c r="N38" s="28">
        <f>SUM(N33:N37)</f>
        <v>8324811.436967995</v>
      </c>
      <c r="O38" s="28">
        <f t="shared" ref="O38:AC38" si="8">SUM(O33:O37)</f>
        <v>8474414.798453372</v>
      </c>
      <c r="P38" s="28">
        <f t="shared" si="8"/>
        <v>8630185.2623702493</v>
      </c>
      <c r="Q38" s="28">
        <f t="shared" si="8"/>
        <v>8792383.3968629781</v>
      </c>
      <c r="R38" s="28">
        <f t="shared" si="8"/>
        <v>8961280.9870984629</v>
      </c>
      <c r="S38" s="28">
        <f t="shared" si="8"/>
        <v>9595335.2847758457</v>
      </c>
      <c r="T38" s="28">
        <f t="shared" si="8"/>
        <v>9778494.4792064466</v>
      </c>
      <c r="U38" s="28">
        <f t="shared" si="8"/>
        <v>9969240.7909208946</v>
      </c>
      <c r="V38" s="28">
        <f t="shared" si="8"/>
        <v>10167895.988802999</v>
      </c>
      <c r="W38" s="28">
        <f t="shared" si="8"/>
        <v>10374795.731794519</v>
      </c>
      <c r="X38" s="28">
        <f t="shared" si="8"/>
        <v>16870538.816261515</v>
      </c>
      <c r="Y38" s="28">
        <f t="shared" si="8"/>
        <v>17094993.250161618</v>
      </c>
      <c r="Z38" s="28">
        <f t="shared" si="8"/>
        <v>17328788.755202271</v>
      </c>
      <c r="AA38" s="28">
        <f t="shared" si="8"/>
        <v>17572322.898233257</v>
      </c>
      <c r="AB38" s="28">
        <f t="shared" si="8"/>
        <v>17826010.453172043</v>
      </c>
      <c r="AC38" s="28">
        <f t="shared" si="8"/>
        <v>19222300.154818628</v>
      </c>
    </row>
    <row r="40" spans="2:78" x14ac:dyDescent="0.2">
      <c r="B40" s="26" t="s">
        <v>27</v>
      </c>
      <c r="D40" s="34">
        <f t="shared" ref="D40:AC40" si="9">-(D36)</f>
        <v>-934332</v>
      </c>
      <c r="E40" s="34">
        <f t="shared" si="9"/>
        <v>-962361.96000000008</v>
      </c>
      <c r="F40" s="34">
        <f t="shared" si="9"/>
        <v>-991232.81880000012</v>
      </c>
      <c r="G40" s="34">
        <f t="shared" si="9"/>
        <v>-1020969.8033640002</v>
      </c>
      <c r="H40" s="34">
        <f t="shared" si="9"/>
        <v>-1051598.8974649203</v>
      </c>
      <c r="I40" s="34">
        <f t="shared" si="9"/>
        <v>-1083146.864388868</v>
      </c>
      <c r="J40" s="34">
        <f t="shared" si="9"/>
        <v>-1115641.270320534</v>
      </c>
      <c r="K40" s="34">
        <f t="shared" si="9"/>
        <v>-1149110.5084301501</v>
      </c>
      <c r="L40" s="34">
        <f t="shared" si="9"/>
        <v>-1183583.8236830547</v>
      </c>
      <c r="M40" s="34">
        <f t="shared" si="9"/>
        <v>-1219091.3383935464</v>
      </c>
      <c r="N40" s="34">
        <f t="shared" si="9"/>
        <v>-1255664.0785453529</v>
      </c>
      <c r="O40" s="34">
        <f t="shared" si="9"/>
        <v>-1293334.0009017135</v>
      </c>
      <c r="P40" s="34">
        <f t="shared" si="9"/>
        <v>-1332134.0209287649</v>
      </c>
      <c r="Q40" s="34">
        <f t="shared" si="9"/>
        <v>-1372098.041556628</v>
      </c>
      <c r="R40" s="34">
        <f t="shared" si="9"/>
        <v>-1413260.9828033268</v>
      </c>
      <c r="S40" s="34">
        <f t="shared" si="9"/>
        <v>-1455658.8122874266</v>
      </c>
      <c r="T40" s="34">
        <f t="shared" si="9"/>
        <v>-1499328.5766560494</v>
      </c>
      <c r="U40" s="34">
        <f t="shared" si="9"/>
        <v>-1544308.4339557309</v>
      </c>
      <c r="V40" s="34">
        <f t="shared" si="9"/>
        <v>-1590637.6869744027</v>
      </c>
      <c r="W40" s="34">
        <f t="shared" si="9"/>
        <v>-1638356.817583635</v>
      </c>
      <c r="X40" s="34">
        <f t="shared" si="9"/>
        <v>-1687507.5221111441</v>
      </c>
      <c r="Y40" s="34">
        <f t="shared" si="9"/>
        <v>-1738132.7477744785</v>
      </c>
      <c r="Z40" s="34">
        <f t="shared" si="9"/>
        <v>-1790276.7302077129</v>
      </c>
      <c r="AA40" s="34">
        <f t="shared" si="9"/>
        <v>-1843985.0321139442</v>
      </c>
      <c r="AB40" s="34">
        <f t="shared" si="9"/>
        <v>-1899304.5830773625</v>
      </c>
      <c r="AC40" s="34">
        <f t="shared" si="9"/>
        <v>-1956283.7205696835</v>
      </c>
    </row>
    <row r="41" spans="2:78" x14ac:dyDescent="0.2">
      <c r="B41" s="26" t="s">
        <v>28</v>
      </c>
      <c r="D41" s="34">
        <f>-(D37)</f>
        <v>-1601712</v>
      </c>
      <c r="E41" s="34">
        <f>-(E37)</f>
        <v>-1673789.0399999998</v>
      </c>
      <c r="F41" s="34">
        <f>-(F37)</f>
        <v>-1749109.5467999997</v>
      </c>
      <c r="G41" s="34">
        <f t="shared" ref="G41:AC41" si="10">-G37</f>
        <v>-1827819.4764059996</v>
      </c>
      <c r="H41" s="34">
        <f t="shared" si="10"/>
        <v>-1910071.3528442695</v>
      </c>
      <c r="I41" s="34">
        <f t="shared" si="10"/>
        <v>-1996024.5637222615</v>
      </c>
      <c r="J41" s="34">
        <f t="shared" si="10"/>
        <v>-2085845.6690897632</v>
      </c>
      <c r="K41" s="34">
        <f t="shared" si="10"/>
        <v>-2179708.7241988024</v>
      </c>
      <c r="L41" s="34">
        <f t="shared" si="10"/>
        <v>-2277795.6167877484</v>
      </c>
      <c r="M41" s="34">
        <f t="shared" si="10"/>
        <v>-2380296.4195431969</v>
      </c>
      <c r="N41" s="34">
        <f t="shared" si="10"/>
        <v>-2487409.7584226406</v>
      </c>
      <c r="O41" s="34">
        <f t="shared" si="10"/>
        <v>-2599343.1975516593</v>
      </c>
      <c r="P41" s="34">
        <f t="shared" si="10"/>
        <v>-2716313.641441484</v>
      </c>
      <c r="Q41" s="34">
        <f t="shared" si="10"/>
        <v>-2838547.7553063505</v>
      </c>
      <c r="R41" s="34">
        <f t="shared" si="10"/>
        <v>-2966282.4042951362</v>
      </c>
      <c r="S41" s="34">
        <f t="shared" si="10"/>
        <v>-3099765.112488417</v>
      </c>
      <c r="T41" s="34">
        <f t="shared" si="10"/>
        <v>-3239254.5425503957</v>
      </c>
      <c r="U41" s="34">
        <f t="shared" si="10"/>
        <v>-3385020.9969651634</v>
      </c>
      <c r="V41" s="34">
        <f t="shared" si="10"/>
        <v>-3537346.9418285955</v>
      </c>
      <c r="W41" s="34">
        <f t="shared" si="10"/>
        <v>-3696527.5542108822</v>
      </c>
      <c r="X41" s="34">
        <f>-X37</f>
        <v>-3862871.2941503716</v>
      </c>
      <c r="Y41" s="34">
        <f t="shared" si="10"/>
        <v>-4036700.5023871381</v>
      </c>
      <c r="Z41" s="34">
        <f t="shared" si="10"/>
        <v>-4218352.0249945587</v>
      </c>
      <c r="AA41" s="34">
        <f t="shared" si="10"/>
        <v>-4408177.8661193131</v>
      </c>
      <c r="AB41" s="34">
        <f t="shared" si="10"/>
        <v>-4606545.8700946821</v>
      </c>
      <c r="AC41" s="34">
        <f t="shared" si="10"/>
        <v>-4813840.4342489429</v>
      </c>
    </row>
    <row r="42" spans="2:78" x14ac:dyDescent="0.2">
      <c r="B42" s="26" t="s">
        <v>36</v>
      </c>
      <c r="D42" s="34">
        <f>-(D18)</f>
        <v>-113596.8</v>
      </c>
      <c r="E42" s="34">
        <f t="shared" ref="E42:H42" si="11">-(113597)</f>
        <v>-113597</v>
      </c>
      <c r="F42" s="34">
        <f t="shared" si="11"/>
        <v>-113597</v>
      </c>
      <c r="G42" s="34">
        <f t="shared" si="11"/>
        <v>-113597</v>
      </c>
      <c r="H42" s="34">
        <f t="shared" si="11"/>
        <v>-113597</v>
      </c>
      <c r="I42" s="34">
        <f>H42*1.1</f>
        <v>-124956.70000000001</v>
      </c>
      <c r="J42" s="34">
        <f>I42</f>
        <v>-124956.70000000001</v>
      </c>
      <c r="K42" s="34">
        <f>J42</f>
        <v>-124956.70000000001</v>
      </c>
      <c r="L42" s="34">
        <f>K42</f>
        <v>-124956.70000000001</v>
      </c>
      <c r="M42" s="34">
        <f>L42</f>
        <v>-124956.70000000001</v>
      </c>
      <c r="N42" s="34">
        <f>M42*1.1</f>
        <v>-137452.37000000002</v>
      </c>
      <c r="O42" s="34">
        <f>N42</f>
        <v>-137452.37000000002</v>
      </c>
      <c r="P42" s="34">
        <f>O42</f>
        <v>-137452.37000000002</v>
      </c>
      <c r="Q42" s="34">
        <f>P42</f>
        <v>-137452.37000000002</v>
      </c>
      <c r="R42" s="34">
        <f>Q42</f>
        <v>-137452.37000000002</v>
      </c>
      <c r="S42" s="34">
        <f>R42*1.1</f>
        <v>-151197.60700000005</v>
      </c>
      <c r="T42" s="34">
        <f>S42</f>
        <v>-151197.60700000005</v>
      </c>
      <c r="U42" s="34">
        <f>T42</f>
        <v>-151197.60700000005</v>
      </c>
      <c r="V42" s="34">
        <f>U42</f>
        <v>-151197.60700000005</v>
      </c>
      <c r="W42" s="34">
        <f>V42</f>
        <v>-151197.60700000005</v>
      </c>
      <c r="X42" s="34">
        <f>-O10</f>
        <v>-339604.8</v>
      </c>
      <c r="Y42" s="35">
        <f>X42</f>
        <v>-339604.8</v>
      </c>
      <c r="Z42" s="35">
        <f>Y42</f>
        <v>-339604.8</v>
      </c>
      <c r="AA42" s="35">
        <f>Z42</f>
        <v>-339604.8</v>
      </c>
      <c r="AB42" s="35">
        <f>AA42</f>
        <v>-339604.8</v>
      </c>
      <c r="AC42" s="35">
        <f>AB42*1.1</f>
        <v>-373565.28</v>
      </c>
    </row>
    <row r="43" spans="2:78" x14ac:dyDescent="0.2">
      <c r="B43" s="26" t="s">
        <v>29</v>
      </c>
      <c r="D43" s="34">
        <f>-(D17)</f>
        <v>-133476</v>
      </c>
      <c r="E43" s="34">
        <f>D43*1.03</f>
        <v>-137480.28</v>
      </c>
      <c r="F43" s="34">
        <f t="shared" ref="F43:M43" si="12">E43*1.03</f>
        <v>-141604.68840000001</v>
      </c>
      <c r="G43" s="34">
        <f t="shared" si="12"/>
        <v>-145852.82905200002</v>
      </c>
      <c r="H43" s="34">
        <f t="shared" si="12"/>
        <v>-150228.41392356003</v>
      </c>
      <c r="I43" s="34">
        <f t="shared" si="12"/>
        <v>-154735.26634126683</v>
      </c>
      <c r="J43" s="34">
        <f t="shared" si="12"/>
        <v>-159377.32433150485</v>
      </c>
      <c r="K43" s="34">
        <f t="shared" si="12"/>
        <v>-164158.64406145</v>
      </c>
      <c r="L43" s="34">
        <f t="shared" si="12"/>
        <v>-169083.40338329351</v>
      </c>
      <c r="M43" s="34">
        <f t="shared" si="12"/>
        <v>-174155.90548479231</v>
      </c>
      <c r="N43" s="34">
        <f>M43*1.03</f>
        <v>-179380.58264933608</v>
      </c>
      <c r="O43" s="34">
        <f t="shared" ref="O43:AC43" si="13">N43*1.03</f>
        <v>-184762.00012881617</v>
      </c>
      <c r="P43" s="34">
        <f t="shared" si="13"/>
        <v>-190304.86013268065</v>
      </c>
      <c r="Q43" s="34">
        <f t="shared" si="13"/>
        <v>-196014.00593666107</v>
      </c>
      <c r="R43" s="34">
        <f t="shared" si="13"/>
        <v>-201894.42611476089</v>
      </c>
      <c r="S43" s="34">
        <f t="shared" si="13"/>
        <v>-207951.25889820373</v>
      </c>
      <c r="T43" s="34">
        <f t="shared" si="13"/>
        <v>-214189.79666514986</v>
      </c>
      <c r="U43" s="34">
        <f t="shared" si="13"/>
        <v>-220615.49056510435</v>
      </c>
      <c r="V43" s="34">
        <f t="shared" si="13"/>
        <v>-227233.95528205749</v>
      </c>
      <c r="W43" s="34">
        <f t="shared" si="13"/>
        <v>-234050.97394051921</v>
      </c>
      <c r="X43" s="34">
        <f t="shared" si="13"/>
        <v>-241072.50315873479</v>
      </c>
      <c r="Y43" s="34">
        <f t="shared" si="13"/>
        <v>-248304.67825349685</v>
      </c>
      <c r="Z43" s="34">
        <f t="shared" si="13"/>
        <v>-255753.81860110175</v>
      </c>
      <c r="AA43" s="34">
        <f t="shared" si="13"/>
        <v>-263426.43315913482</v>
      </c>
      <c r="AB43" s="34">
        <f t="shared" si="13"/>
        <v>-271329.22615390888</v>
      </c>
      <c r="AC43" s="34">
        <f t="shared" si="13"/>
        <v>-279469.10293852614</v>
      </c>
    </row>
    <row r="44" spans="2:78" s="39" customFormat="1" x14ac:dyDescent="0.2">
      <c r="B44" s="39" t="s">
        <v>35</v>
      </c>
      <c r="D44" s="40">
        <f>SUM(D38:D43)</f>
        <v>3539487.2</v>
      </c>
      <c r="E44" s="40">
        <f>SUM(E38:E43)</f>
        <v>3535482.72</v>
      </c>
      <c r="F44" s="40">
        <f>SUM(F38:F43)</f>
        <v>3531358.3116000001</v>
      </c>
      <c r="G44" s="40">
        <f t="shared" ref="G44:M44" si="14">SUM(G38:G43)</f>
        <v>3527110.1709480002</v>
      </c>
      <c r="H44" s="40">
        <f t="shared" si="14"/>
        <v>3522734.5860764403</v>
      </c>
      <c r="I44" s="40">
        <f t="shared" si="14"/>
        <v>3885524.0336587331</v>
      </c>
      <c r="J44" s="40">
        <f>SUM(J38:J43)</f>
        <v>3880881.9756684951</v>
      </c>
      <c r="K44" s="40">
        <f t="shared" si="14"/>
        <v>3876100.6559385499</v>
      </c>
      <c r="L44" s="40">
        <f t="shared" si="14"/>
        <v>3871175.8966167062</v>
      </c>
      <c r="M44" s="40">
        <f t="shared" si="14"/>
        <v>3866103.394515208</v>
      </c>
      <c r="N44" s="40">
        <f>SUM(N38:N43)</f>
        <v>4264904.6473506652</v>
      </c>
      <c r="O44" s="40">
        <f t="shared" ref="O44:AB44" si="15">SUM(O38:O43)</f>
        <v>4259523.2298711827</v>
      </c>
      <c r="P44" s="40">
        <f t="shared" si="15"/>
        <v>4253980.3698673202</v>
      </c>
      <c r="Q44" s="40">
        <f t="shared" si="15"/>
        <v>4248271.2240633387</v>
      </c>
      <c r="R44" s="40">
        <f t="shared" si="15"/>
        <v>4242390.8038852382</v>
      </c>
      <c r="S44" s="40">
        <f t="shared" si="15"/>
        <v>4680762.4941017982</v>
      </c>
      <c r="T44" s="40">
        <f t="shared" si="15"/>
        <v>4674523.9563348517</v>
      </c>
      <c r="U44" s="40">
        <f t="shared" si="15"/>
        <v>4668098.2624348961</v>
      </c>
      <c r="V44" s="40">
        <f t="shared" si="15"/>
        <v>4661479.7977179438</v>
      </c>
      <c r="W44" s="40">
        <f t="shared" si="15"/>
        <v>4654662.7790594818</v>
      </c>
      <c r="X44" s="40">
        <f t="shared" si="15"/>
        <v>10739482.696841264</v>
      </c>
      <c r="Y44" s="40">
        <f t="shared" si="15"/>
        <v>10732250.521746505</v>
      </c>
      <c r="Z44" s="40">
        <f t="shared" si="15"/>
        <v>10724801.381398898</v>
      </c>
      <c r="AA44" s="40">
        <f>SUM(AA38:AA43)</f>
        <v>10717128.766840864</v>
      </c>
      <c r="AB44" s="40">
        <f t="shared" si="15"/>
        <v>10709225.973846091</v>
      </c>
      <c r="AC44" s="40">
        <f>SUM(AC38:AC43)</f>
        <v>11799141.617061475</v>
      </c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</row>
    <row r="45" spans="2:78" s="41" customFormat="1" x14ac:dyDescent="0.2">
      <c r="B45" s="41" t="s">
        <v>42</v>
      </c>
      <c r="D45" s="42">
        <f>$H19*$I16</f>
        <v>-1821504.2249999999</v>
      </c>
      <c r="E45" s="42">
        <f>$H19*$I16</f>
        <v>-1821504.2249999999</v>
      </c>
      <c r="F45" s="42">
        <f>$H19*$I16</f>
        <v>-1821504.2249999999</v>
      </c>
      <c r="G45" s="42">
        <f>$H19*$I16</f>
        <v>-1821504.2249999999</v>
      </c>
      <c r="H45" s="42">
        <f>$H19*$I16</f>
        <v>-1821504.2249999999</v>
      </c>
      <c r="I45" s="42">
        <f>'[1]Refi '!I45</f>
        <v>-2007921.3972</v>
      </c>
      <c r="J45" s="42">
        <f>'[1]Refi '!J45</f>
        <v>-2007921.3972</v>
      </c>
      <c r="K45" s="42">
        <f>'[1]Refi '!K45</f>
        <v>-2007921.3972</v>
      </c>
      <c r="L45" s="42">
        <f>'[1]Refi '!L45</f>
        <v>-2007921.3972</v>
      </c>
      <c r="M45" s="42">
        <f>'[1]Refi '!M45</f>
        <v>-2007921.3972</v>
      </c>
      <c r="N45" s="42">
        <f>[2]Refi10!O17</f>
        <v>-2264141.9973333338</v>
      </c>
      <c r="O45" s="42">
        <f>N45</f>
        <v>-2264141.9973333338</v>
      </c>
      <c r="P45" s="42">
        <f>O45</f>
        <v>-2264141.9973333338</v>
      </c>
      <c r="Q45" s="42">
        <f>P45</f>
        <v>-2264141.9973333338</v>
      </c>
      <c r="R45" s="42">
        <f>Q45</f>
        <v>-2264141.9973333338</v>
      </c>
      <c r="S45" s="42">
        <f>[2]Refi15!O17</f>
        <v>-2730715.6096000015</v>
      </c>
      <c r="T45" s="42">
        <f t="shared" ref="T45:AC45" si="16">S45</f>
        <v>-2730715.6096000015</v>
      </c>
      <c r="U45" s="42">
        <f t="shared" si="16"/>
        <v>-2730715.6096000015</v>
      </c>
      <c r="V45" s="42">
        <f t="shared" si="16"/>
        <v>-2730715.6096000015</v>
      </c>
      <c r="W45" s="42">
        <f t="shared" si="16"/>
        <v>-2730715.6096000015</v>
      </c>
      <c r="X45" s="42">
        <f>O17</f>
        <v>-4408203.4823529404</v>
      </c>
      <c r="Y45" s="42">
        <f t="shared" si="16"/>
        <v>-4408203.4823529404</v>
      </c>
      <c r="Z45" s="42">
        <f t="shared" si="16"/>
        <v>-4408203.4823529404</v>
      </c>
      <c r="AA45" s="42">
        <f t="shared" si="16"/>
        <v>-4408203.4823529404</v>
      </c>
      <c r="AB45" s="42">
        <f t="shared" si="16"/>
        <v>-4408203.4823529404</v>
      </c>
      <c r="AC45" s="42">
        <f t="shared" si="16"/>
        <v>-4408203.4823529404</v>
      </c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</row>
    <row r="46" spans="2:78" s="43" customFormat="1" x14ac:dyDescent="0.2">
      <c r="B46" s="43" t="s">
        <v>43</v>
      </c>
      <c r="D46" s="44">
        <f>SUM(D44:D45)</f>
        <v>1717982.9750000003</v>
      </c>
      <c r="E46" s="44">
        <f>SUM(E44:E45)</f>
        <v>1713978.4950000003</v>
      </c>
      <c r="F46" s="44">
        <f>SUM(F44:F45)</f>
        <v>1709854.0866000003</v>
      </c>
      <c r="G46" s="44">
        <f>SUM(G44:G45)</f>
        <v>1705605.9459480003</v>
      </c>
      <c r="H46" s="45">
        <f>SUM(H44:H45)</f>
        <v>1701230.3610764404</v>
      </c>
      <c r="I46" s="45">
        <f t="shared" ref="I46:R46" si="17">SUM(I44:I45)</f>
        <v>1877602.6364587331</v>
      </c>
      <c r="J46" s="45">
        <f t="shared" si="17"/>
        <v>1872960.578468495</v>
      </c>
      <c r="K46" s="45">
        <f t="shared" si="17"/>
        <v>1868179.2587385499</v>
      </c>
      <c r="L46" s="45">
        <f t="shared" si="17"/>
        <v>1863254.4994167062</v>
      </c>
      <c r="M46" s="45">
        <f t="shared" si="17"/>
        <v>1858181.997315208</v>
      </c>
      <c r="N46" s="45">
        <f t="shared" si="17"/>
        <v>2000762.6500173314</v>
      </c>
      <c r="O46" s="45">
        <f t="shared" si="17"/>
        <v>1995381.2325378489</v>
      </c>
      <c r="P46" s="45">
        <f t="shared" si="17"/>
        <v>1989838.3725339863</v>
      </c>
      <c r="Q46" s="45">
        <f t="shared" si="17"/>
        <v>1984129.2267300049</v>
      </c>
      <c r="R46" s="45">
        <f t="shared" si="17"/>
        <v>1978248.8065519044</v>
      </c>
      <c r="S46" s="45">
        <f>SUM(S44:S45)</f>
        <v>1950046.8845017967</v>
      </c>
      <c r="T46" s="45">
        <f t="shared" ref="T46:AC46" si="18">SUM(T44:T45)</f>
        <v>1943808.3467348502</v>
      </c>
      <c r="U46" s="45">
        <f t="shared" si="18"/>
        <v>1937382.6528348946</v>
      </c>
      <c r="V46" s="45">
        <f t="shared" si="18"/>
        <v>1930764.1881179423</v>
      </c>
      <c r="W46" s="45">
        <f t="shared" si="18"/>
        <v>1923947.1694594803</v>
      </c>
      <c r="X46" s="45">
        <f>SUM(X44:X45)</f>
        <v>6331279.2144883238</v>
      </c>
      <c r="Y46" s="45">
        <f t="shared" si="18"/>
        <v>6324047.0393935647</v>
      </c>
      <c r="Z46" s="45">
        <f t="shared" si="18"/>
        <v>6316597.8990459573</v>
      </c>
      <c r="AA46" s="45">
        <f t="shared" si="18"/>
        <v>6308925.2844879236</v>
      </c>
      <c r="AB46" s="45">
        <f t="shared" si="18"/>
        <v>6301022.4914931506</v>
      </c>
      <c r="AC46" s="45">
        <f t="shared" si="18"/>
        <v>7390938.1347085349</v>
      </c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</row>
    <row r="47" spans="2:78" s="46" customFormat="1" x14ac:dyDescent="0.2">
      <c r="B47" s="46" t="s">
        <v>49</v>
      </c>
      <c r="D47" s="47">
        <f t="shared" ref="D47:V47" si="19">D46/$I17</f>
        <v>7.0737537336758041E-2</v>
      </c>
      <c r="E47" s="47">
        <f t="shared" si="19"/>
        <v>7.0572653832301727E-2</v>
      </c>
      <c r="F47" s="47">
        <f t="shared" si="19"/>
        <v>7.0402832304712337E-2</v>
      </c>
      <c r="G47" s="47">
        <f t="shared" si="19"/>
        <v>7.0227916131295282E-2</v>
      </c>
      <c r="H47" s="47">
        <f t="shared" si="19"/>
        <v>7.0047752472675723E-2</v>
      </c>
      <c r="I47" s="47">
        <f t="shared" si="19"/>
        <v>7.7309838649649562E-2</v>
      </c>
      <c r="J47" s="47">
        <f t="shared" si="19"/>
        <v>7.7118703024220067E-2</v>
      </c>
      <c r="K47" s="47">
        <f t="shared" si="19"/>
        <v>7.6921833330027681E-2</v>
      </c>
      <c r="L47" s="47">
        <f t="shared" si="19"/>
        <v>7.6719057545009517E-2</v>
      </c>
      <c r="M47" s="47">
        <f t="shared" si="19"/>
        <v>7.6510198486440847E-2</v>
      </c>
      <c r="N47" s="47">
        <f t="shared" si="19"/>
        <v>8.2380922696624462E-2</v>
      </c>
      <c r="O47" s="47">
        <f t="shared" si="19"/>
        <v>8.2159344121388825E-2</v>
      </c>
      <c r="P47" s="47">
        <f t="shared" si="19"/>
        <v>8.1931118188896312E-2</v>
      </c>
      <c r="Q47" s="47">
        <f t="shared" si="19"/>
        <v>8.1696045478428889E-2</v>
      </c>
      <c r="R47" s="47">
        <f t="shared" si="19"/>
        <v>8.1453920586647466E-2</v>
      </c>
      <c r="S47" s="47">
        <f t="shared" si="19"/>
        <v>8.0292713203909669E-2</v>
      </c>
      <c r="T47" s="47">
        <f t="shared" si="19"/>
        <v>8.0035842906218763E-2</v>
      </c>
      <c r="U47" s="47">
        <f t="shared" si="19"/>
        <v>7.9771266499597107E-2</v>
      </c>
      <c r="V47" s="47">
        <f t="shared" si="19"/>
        <v>7.9498752800776881E-2</v>
      </c>
      <c r="W47" s="47">
        <f>W46/$I17</f>
        <v>7.9218063690992005E-2</v>
      </c>
      <c r="X47" s="47">
        <f>X46/$I17</f>
        <v>0.26068890457095933</v>
      </c>
      <c r="Y47" s="47">
        <f t="shared" ref="Y47:AC47" si="20">Y46/$I17</f>
        <v>0.2603911214943887</v>
      </c>
      <c r="Z47" s="47">
        <f t="shared" si="20"/>
        <v>0.26008440492552071</v>
      </c>
      <c r="AA47" s="47">
        <f t="shared" si="20"/>
        <v>0.25976848685958676</v>
      </c>
      <c r="AB47" s="47">
        <f t="shared" si="20"/>
        <v>0.25944309125167486</v>
      </c>
      <c r="AC47" s="47">
        <f t="shared" si="20"/>
        <v>0.30432010669815501</v>
      </c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</row>
    <row r="48" spans="2:78" x14ac:dyDescent="0.2">
      <c r="D48" s="96">
        <f>AVERAGE(D47:AA47)</f>
        <v>0.10774746796404278</v>
      </c>
      <c r="E48" s="48"/>
      <c r="F48" s="48"/>
      <c r="G48" s="48"/>
      <c r="H48" s="48"/>
      <c r="I48" s="48"/>
      <c r="J48" s="48"/>
      <c r="K48" s="48"/>
      <c r="L48" s="48"/>
      <c r="M48" s="48"/>
      <c r="N48" s="48"/>
    </row>
    <row r="49" spans="2:28" x14ac:dyDescent="0.2">
      <c r="B49" s="26" t="s">
        <v>50</v>
      </c>
      <c r="C49" s="35">
        <f>I16</f>
        <v>-24286723</v>
      </c>
      <c r="D49" s="35">
        <f>D46</f>
        <v>1717982.9750000003</v>
      </c>
      <c r="E49" s="35">
        <f t="shared" ref="E49:K49" si="21">E46</f>
        <v>1713978.4950000003</v>
      </c>
      <c r="F49" s="35">
        <f t="shared" si="21"/>
        <v>1709854.0866000003</v>
      </c>
      <c r="G49" s="35">
        <f t="shared" si="21"/>
        <v>1705605.9459480003</v>
      </c>
      <c r="H49" s="35">
        <f>'[1]Refi '!H52</f>
        <v>6140135.3610764407</v>
      </c>
      <c r="I49" s="35">
        <f t="shared" si="21"/>
        <v>1877602.6364587331</v>
      </c>
      <c r="J49" s="35">
        <f t="shared" si="21"/>
        <v>1872960.578468495</v>
      </c>
      <c r="K49" s="35">
        <f t="shared" si="21"/>
        <v>1868179.2587385499</v>
      </c>
      <c r="L49" s="35">
        <f>L46</f>
        <v>1863254.4994167062</v>
      </c>
      <c r="M49" s="35">
        <f>[2]Refi10!M49</f>
        <v>11313700.663981887</v>
      </c>
      <c r="N49" s="35">
        <f>N46</f>
        <v>2000762.6500173314</v>
      </c>
      <c r="O49" s="35">
        <f>O46</f>
        <v>1995381.2325378489</v>
      </c>
      <c r="P49" s="35">
        <f>P46</f>
        <v>1989838.3725339863</v>
      </c>
      <c r="Q49" s="35">
        <f>Q46</f>
        <v>1984129.2267300049</v>
      </c>
      <c r="R49" s="35">
        <f>[2]Refi15!R49</f>
        <v>9614478.1398852468</v>
      </c>
      <c r="S49" s="35">
        <f>S46</f>
        <v>1950046.8845017967</v>
      </c>
      <c r="T49" s="28">
        <f>T46</f>
        <v>1943808.3467348502</v>
      </c>
      <c r="U49" s="28">
        <f t="shared" ref="U49:V49" si="22">U46</f>
        <v>1937382.6528348946</v>
      </c>
      <c r="V49" s="28">
        <f t="shared" si="22"/>
        <v>1930764.1881179423</v>
      </c>
      <c r="W49" s="28">
        <f>W46+O21</f>
        <v>89284924.110635892</v>
      </c>
      <c r="X49" s="28">
        <f>X46</f>
        <v>6331279.2144883238</v>
      </c>
      <c r="Y49" s="28">
        <f t="shared" ref="Y49:Z49" si="23">Y46</f>
        <v>6324047.0393935647</v>
      </c>
      <c r="Z49" s="28">
        <f t="shared" si="23"/>
        <v>6316597.8990459573</v>
      </c>
      <c r="AA49" s="28">
        <f>AA46</f>
        <v>6308925.2844879236</v>
      </c>
      <c r="AB49" s="89">
        <f>(AC44/O26)+AB46-O19</f>
        <v>121525650.96213725</v>
      </c>
    </row>
    <row r="50" spans="2:28" x14ac:dyDescent="0.2">
      <c r="D50" s="58">
        <f>IRR(C49:AB49)</f>
        <v>0.15939909764772531</v>
      </c>
      <c r="AB50" s="28"/>
    </row>
    <row r="51" spans="2:28" x14ac:dyDescent="0.2">
      <c r="B51" s="26" t="s">
        <v>58</v>
      </c>
      <c r="C51" s="35">
        <f>I16</f>
        <v>-24286723</v>
      </c>
      <c r="D51" s="35">
        <f>D46</f>
        <v>1717982.9750000003</v>
      </c>
      <c r="E51" s="35">
        <f t="shared" ref="E51:L51" si="24">E46</f>
        <v>1713978.4950000003</v>
      </c>
      <c r="F51" s="35">
        <f t="shared" si="24"/>
        <v>1709854.0866000003</v>
      </c>
      <c r="G51" s="35">
        <f t="shared" si="24"/>
        <v>1705605.9459480003</v>
      </c>
      <c r="H51" s="35">
        <f>H49</f>
        <v>6140135.3610764407</v>
      </c>
      <c r="I51" s="35">
        <f t="shared" si="24"/>
        <v>1877602.6364587331</v>
      </c>
      <c r="J51" s="35">
        <f t="shared" si="24"/>
        <v>1872960.578468495</v>
      </c>
      <c r="K51" s="35">
        <f t="shared" si="24"/>
        <v>1868179.2587385499</v>
      </c>
      <c r="L51" s="35">
        <f t="shared" si="24"/>
        <v>1863254.4994167062</v>
      </c>
      <c r="M51" s="35">
        <f>M49</f>
        <v>11313700.663981887</v>
      </c>
      <c r="N51" s="35">
        <f>N46</f>
        <v>2000762.6500173314</v>
      </c>
      <c r="O51" s="35">
        <f>O46</f>
        <v>1995381.2325378489</v>
      </c>
      <c r="P51" s="35">
        <f>P46</f>
        <v>1989838.3725339863</v>
      </c>
      <c r="Q51" s="35">
        <f>Q46</f>
        <v>1984129.2267300049</v>
      </c>
      <c r="R51" s="35">
        <f>R49</f>
        <v>9614478.1398852468</v>
      </c>
      <c r="S51" s="28">
        <f>S49</f>
        <v>1950046.8845017967</v>
      </c>
      <c r="T51" s="28">
        <f t="shared" ref="T51:V51" si="25">T49</f>
        <v>1943808.3467348502</v>
      </c>
      <c r="U51" s="28">
        <f t="shared" si="25"/>
        <v>1937382.6528348946</v>
      </c>
      <c r="V51" s="28">
        <f t="shared" si="25"/>
        <v>1930764.1881179423</v>
      </c>
      <c r="W51" s="28">
        <f>W49</f>
        <v>89284924.110635892</v>
      </c>
      <c r="X51" s="28">
        <f>X46</f>
        <v>6331279.2144883238</v>
      </c>
      <c r="Y51" s="28">
        <f t="shared" ref="Y51:AA51" si="26">Y46</f>
        <v>6324047.0393935647</v>
      </c>
      <c r="Z51" s="28">
        <f t="shared" si="26"/>
        <v>6316597.8990459573</v>
      </c>
      <c r="AA51" s="28">
        <f t="shared" si="26"/>
        <v>6308925.2844879236</v>
      </c>
      <c r="AB51" s="89">
        <f>AB49</f>
        <v>121525650.96213725</v>
      </c>
    </row>
    <row r="52" spans="2:28" x14ac:dyDescent="0.2">
      <c r="D52" s="59">
        <f>-(SUM(D51:AB51))/C51</f>
        <v>12.073315560307236</v>
      </c>
    </row>
  </sheetData>
  <mergeCells count="4">
    <mergeCell ref="B5:E5"/>
    <mergeCell ref="G5:I5"/>
    <mergeCell ref="M5:O5"/>
    <mergeCell ref="B20:D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9166-111A-4687-B123-09763B5DE9C9}">
  <dimension ref="B5:BZ52"/>
  <sheetViews>
    <sheetView topLeftCell="A19" zoomScale="69" zoomScaleNormal="69" workbookViewId="0">
      <selection activeCell="AE46" sqref="AE46"/>
    </sheetView>
  </sheetViews>
  <sheetFormatPr baseColWidth="10" defaultColWidth="9.1640625" defaultRowHeight="15" x14ac:dyDescent="0.2"/>
  <cols>
    <col min="1" max="1" width="9.1640625" style="26"/>
    <col min="2" max="2" width="34.6640625" style="26" customWidth="1"/>
    <col min="3" max="3" width="14" style="26" bestFit="1" customWidth="1"/>
    <col min="4" max="4" width="13.5" style="26" bestFit="1" customWidth="1"/>
    <col min="5" max="5" width="13.83203125" style="26" bestFit="1" customWidth="1"/>
    <col min="6" max="6" width="12.83203125" style="26" bestFit="1" customWidth="1"/>
    <col min="7" max="7" width="18.83203125" style="26" customWidth="1"/>
    <col min="8" max="8" width="12.1640625" style="26" bestFit="1" customWidth="1"/>
    <col min="9" max="9" width="13.83203125" style="26" bestFit="1" customWidth="1"/>
    <col min="10" max="10" width="16.83203125" style="26" bestFit="1" customWidth="1"/>
    <col min="11" max="11" width="13.33203125" style="26" bestFit="1" customWidth="1"/>
    <col min="12" max="12" width="12.1640625" style="26" bestFit="1" customWidth="1"/>
    <col min="13" max="13" width="21.5" style="26" customWidth="1"/>
    <col min="14" max="14" width="12.1640625" style="26" bestFit="1" customWidth="1"/>
    <col min="15" max="15" width="14.1640625" style="26" bestFit="1" customWidth="1"/>
    <col min="16" max="16" width="11.6640625" style="26" bestFit="1" customWidth="1"/>
    <col min="17" max="17" width="11.83203125" style="26" bestFit="1" customWidth="1"/>
    <col min="18" max="18" width="16" style="26" bestFit="1" customWidth="1"/>
    <col min="19" max="19" width="12.6640625" style="26" bestFit="1" customWidth="1"/>
    <col min="20" max="22" width="12.33203125" style="26" bestFit="1" customWidth="1"/>
    <col min="23" max="23" width="14.33203125" style="26" bestFit="1" customWidth="1"/>
    <col min="24" max="28" width="13.5" style="26" bestFit="1" customWidth="1"/>
    <col min="29" max="29" width="14.83203125" style="26" bestFit="1" customWidth="1"/>
    <col min="30" max="16384" width="9.1640625" style="26"/>
  </cols>
  <sheetData>
    <row r="5" spans="2:17" x14ac:dyDescent="0.2">
      <c r="B5" s="105" t="s">
        <v>0</v>
      </c>
      <c r="C5" s="105"/>
      <c r="D5" s="105"/>
      <c r="E5" s="105"/>
      <c r="G5" s="105" t="s">
        <v>38</v>
      </c>
      <c r="H5" s="105"/>
      <c r="I5" s="105"/>
      <c r="M5" s="108" t="s">
        <v>59</v>
      </c>
      <c r="N5" s="108"/>
      <c r="O5" s="108"/>
    </row>
    <row r="7" spans="2:17" x14ac:dyDescent="0.2">
      <c r="B7" s="26" t="s">
        <v>1</v>
      </c>
      <c r="D7" s="27">
        <v>47332</v>
      </c>
      <c r="G7" s="26" t="s">
        <v>2</v>
      </c>
      <c r="I7" s="27">
        <f>D8</f>
        <v>48573445</v>
      </c>
      <c r="J7" s="27">
        <f>J8/J9</f>
        <v>46942801.061007954</v>
      </c>
      <c r="K7" s="28">
        <f>K8/K9</f>
        <v>50276806.81818182</v>
      </c>
      <c r="M7" s="26" t="s">
        <v>80</v>
      </c>
      <c r="O7" s="27">
        <f>X44</f>
        <v>10739482.696841264</v>
      </c>
    </row>
    <row r="8" spans="2:17" x14ac:dyDescent="0.2">
      <c r="B8" s="26" t="s">
        <v>2</v>
      </c>
      <c r="D8" s="27">
        <v>48573445</v>
      </c>
      <c r="G8" s="26" t="s">
        <v>54</v>
      </c>
      <c r="I8" s="27">
        <f>D44</f>
        <v>3539487.2</v>
      </c>
      <c r="J8" s="27">
        <f>I8</f>
        <v>3539487.2</v>
      </c>
      <c r="K8" s="27">
        <f>I8</f>
        <v>3539487.2</v>
      </c>
      <c r="M8" s="26" t="s">
        <v>72</v>
      </c>
      <c r="O8" s="27">
        <f>-(X42+X43)</f>
        <v>580677.30315873481</v>
      </c>
    </row>
    <row r="9" spans="2:17" x14ac:dyDescent="0.2">
      <c r="C9" s="26" t="s">
        <v>6</v>
      </c>
      <c r="D9" s="26" t="s">
        <v>7</v>
      </c>
      <c r="G9" s="26" t="s">
        <v>39</v>
      </c>
      <c r="I9" s="29">
        <f>7.29%</f>
        <v>7.2900000000000006E-2</v>
      </c>
      <c r="J9" s="30">
        <f>I9+0.0025</f>
        <v>7.5400000000000009E-2</v>
      </c>
      <c r="K9" s="30">
        <f>I9-0.0025</f>
        <v>7.0400000000000004E-2</v>
      </c>
      <c r="M9" s="26" t="s">
        <v>61</v>
      </c>
      <c r="O9" s="27">
        <f>O7+O8</f>
        <v>11320159.999999998</v>
      </c>
      <c r="Q9" s="49"/>
    </row>
    <row r="10" spans="2:17" x14ac:dyDescent="0.2">
      <c r="B10" s="26" t="s">
        <v>3</v>
      </c>
      <c r="C10" s="27">
        <v>53020</v>
      </c>
      <c r="D10" s="31">
        <v>23</v>
      </c>
      <c r="M10" s="26" t="s">
        <v>112</v>
      </c>
      <c r="O10" s="89">
        <f>(X33+X34+X35)*0.03</f>
        <v>339604.8</v>
      </c>
    </row>
    <row r="11" spans="2:17" x14ac:dyDescent="0.2">
      <c r="B11" s="26" t="s">
        <v>4</v>
      </c>
      <c r="C11" s="27">
        <v>57316</v>
      </c>
      <c r="D11" s="26">
        <v>31.67</v>
      </c>
      <c r="G11" s="26" t="s">
        <v>40</v>
      </c>
      <c r="I11" s="29">
        <f>I9+0.005</f>
        <v>7.7900000000000011E-2</v>
      </c>
      <c r="J11" s="30">
        <f>I11+0.0025</f>
        <v>8.0400000000000013E-2</v>
      </c>
      <c r="K11" s="30">
        <f>I11-0.0025</f>
        <v>7.5400000000000009E-2</v>
      </c>
      <c r="M11" s="26" t="s">
        <v>62</v>
      </c>
      <c r="O11" s="30">
        <v>4.2500000000000003E-2</v>
      </c>
    </row>
    <row r="12" spans="2:17" x14ac:dyDescent="0.2">
      <c r="B12" s="26" t="s">
        <v>5</v>
      </c>
      <c r="C12" s="27">
        <v>23140</v>
      </c>
      <c r="D12" s="31">
        <v>32.5</v>
      </c>
      <c r="G12" s="26" t="s">
        <v>41</v>
      </c>
      <c r="I12" s="27">
        <f>N44</f>
        <v>4264904.6473506652</v>
      </c>
      <c r="J12" s="27">
        <f>I12</f>
        <v>4264904.6473506652</v>
      </c>
      <c r="K12" s="27">
        <f>I12</f>
        <v>4264904.6473506652</v>
      </c>
      <c r="M12" s="26" t="s">
        <v>63</v>
      </c>
      <c r="O12" s="27">
        <f>O9/O11</f>
        <v>266356705.88235289</v>
      </c>
    </row>
    <row r="13" spans="2:17" x14ac:dyDescent="0.2">
      <c r="B13" s="26" t="s">
        <v>9</v>
      </c>
      <c r="C13" s="27">
        <f>SUM(C10:C12)</f>
        <v>133476</v>
      </c>
      <c r="D13" s="31">
        <f>[2]Calculation!F15</f>
        <v>28.368845335491024</v>
      </c>
      <c r="G13" s="26" t="s">
        <v>51</v>
      </c>
      <c r="I13" s="28">
        <f>I12/I11</f>
        <v>54748455.036593899</v>
      </c>
      <c r="J13" s="28">
        <f>J12/J11</f>
        <v>53046077.703366473</v>
      </c>
      <c r="K13" s="28">
        <f>K12/K11</f>
        <v>56563722.113404043</v>
      </c>
      <c r="M13" s="26" t="s">
        <v>64</v>
      </c>
      <c r="O13" s="33">
        <v>0.5</v>
      </c>
    </row>
    <row r="14" spans="2:17" x14ac:dyDescent="0.2">
      <c r="D14" s="31"/>
    </row>
    <row r="15" spans="2:17" x14ac:dyDescent="0.2">
      <c r="B15" s="26" t="s">
        <v>24</v>
      </c>
      <c r="C15" s="32">
        <v>7</v>
      </c>
      <c r="D15" s="27">
        <f>C15*C13</f>
        <v>934332</v>
      </c>
      <c r="G15" s="26" t="s">
        <v>2</v>
      </c>
      <c r="I15" s="27">
        <f>D8</f>
        <v>48573445</v>
      </c>
      <c r="M15" s="26" t="s">
        <v>65</v>
      </c>
      <c r="O15" s="27">
        <f>O12*O13</f>
        <v>133178352.94117644</v>
      </c>
    </row>
    <row r="16" spans="2:17" x14ac:dyDescent="0.2">
      <c r="B16" s="26" t="s">
        <v>23</v>
      </c>
      <c r="C16" s="32">
        <v>12</v>
      </c>
      <c r="D16" s="27">
        <f>C16*$C13</f>
        <v>1601712</v>
      </c>
      <c r="G16" s="26" t="s">
        <v>45</v>
      </c>
      <c r="H16" s="33">
        <v>0.5</v>
      </c>
      <c r="I16" s="34">
        <f>-(24286723)</f>
        <v>-24286723</v>
      </c>
      <c r="M16" s="26" t="s">
        <v>66</v>
      </c>
      <c r="O16" s="30">
        <v>3.3099999999999997E-2</v>
      </c>
    </row>
    <row r="17" spans="2:29" x14ac:dyDescent="0.2">
      <c r="B17" s="26" t="s">
        <v>25</v>
      </c>
      <c r="C17" s="32">
        <v>1</v>
      </c>
      <c r="D17" s="27">
        <f>C17*$C13</f>
        <v>133476</v>
      </c>
      <c r="G17" s="26" t="s">
        <v>46</v>
      </c>
      <c r="I17" s="35">
        <f>-I16</f>
        <v>24286723</v>
      </c>
      <c r="M17" s="26" t="s">
        <v>67</v>
      </c>
      <c r="O17" s="35">
        <f>-(O16*O15)</f>
        <v>-4408203.4823529404</v>
      </c>
    </row>
    <row r="18" spans="2:29" x14ac:dyDescent="0.2">
      <c r="B18" s="26" t="s">
        <v>36</v>
      </c>
      <c r="C18" s="32">
        <v>1</v>
      </c>
      <c r="D18" s="27">
        <f>(D33+D34+D35)*0.03</f>
        <v>113596.8</v>
      </c>
      <c r="G18" s="26" t="s">
        <v>47</v>
      </c>
      <c r="H18" s="30">
        <v>7.2900000000000006E-2</v>
      </c>
      <c r="I18" s="27">
        <f>D44</f>
        <v>3539487.2</v>
      </c>
    </row>
    <row r="19" spans="2:29" x14ac:dyDescent="0.2">
      <c r="E19" s="28"/>
      <c r="G19" s="26" t="s">
        <v>48</v>
      </c>
      <c r="H19" s="36">
        <v>7.4999999999999997E-2</v>
      </c>
      <c r="I19" s="35">
        <f>D45</f>
        <v>-1821504.2249999999</v>
      </c>
      <c r="J19" s="35">
        <f>D45</f>
        <v>-1821504.2249999999</v>
      </c>
      <c r="K19" s="35">
        <f>D45</f>
        <v>-1821504.2249999999</v>
      </c>
      <c r="M19" s="26" t="s">
        <v>68</v>
      </c>
      <c r="O19" s="27">
        <f>O15</f>
        <v>133178352.94117644</v>
      </c>
    </row>
    <row r="20" spans="2:29" ht="16" x14ac:dyDescent="0.2">
      <c r="B20" s="106" t="s">
        <v>8</v>
      </c>
      <c r="C20" s="106"/>
      <c r="D20" s="106"/>
      <c r="G20" s="26" t="s">
        <v>43</v>
      </c>
      <c r="H20" s="30">
        <f>D47</f>
        <v>7.0737537336758041E-2</v>
      </c>
      <c r="I20" s="35">
        <f>D46</f>
        <v>1717982.9750000003</v>
      </c>
      <c r="J20" s="35">
        <f>D46</f>
        <v>1717982.9750000003</v>
      </c>
      <c r="K20" s="35">
        <f>D46</f>
        <v>1717982.9750000003</v>
      </c>
      <c r="M20" s="26" t="s">
        <v>69</v>
      </c>
      <c r="O20" s="34">
        <f>-([2]Refi15!O19)</f>
        <v>-45817376.000000022</v>
      </c>
    </row>
    <row r="21" spans="2:29" x14ac:dyDescent="0.2">
      <c r="F21" s="31"/>
      <c r="M21" s="26" t="s">
        <v>70</v>
      </c>
      <c r="O21" s="35">
        <f>O19+O20</f>
        <v>87360976.941176414</v>
      </c>
    </row>
    <row r="22" spans="2:29" x14ac:dyDescent="0.2">
      <c r="B22" s="26" t="s">
        <v>10</v>
      </c>
      <c r="D22" s="37">
        <v>0.1</v>
      </c>
      <c r="G22" s="26" t="s">
        <v>53</v>
      </c>
      <c r="I22" s="27">
        <f>I13</f>
        <v>54748455.036593899</v>
      </c>
      <c r="J22" s="27">
        <f>J13</f>
        <v>53046077.703366473</v>
      </c>
      <c r="K22" s="28">
        <f>K13</f>
        <v>56563722.113404043</v>
      </c>
      <c r="M22" s="26" t="s">
        <v>71</v>
      </c>
      <c r="O22" s="27">
        <f>AC44/O26</f>
        <v>307269312.94430929</v>
      </c>
    </row>
    <row r="23" spans="2:29" x14ac:dyDescent="0.2">
      <c r="B23" s="26" t="s">
        <v>11</v>
      </c>
      <c r="D23" s="38">
        <v>0.03</v>
      </c>
      <c r="G23" s="26" t="s">
        <v>56</v>
      </c>
      <c r="I23" s="35">
        <f>I16</f>
        <v>-24286723</v>
      </c>
      <c r="J23" s="35">
        <f>I16</f>
        <v>-24286723</v>
      </c>
      <c r="K23" s="35">
        <f>I16</f>
        <v>-24286723</v>
      </c>
      <c r="M23" s="26" t="s">
        <v>113</v>
      </c>
      <c r="O23" s="27">
        <f>O22+O20</f>
        <v>261451936.94430926</v>
      </c>
    </row>
    <row r="24" spans="2:29" x14ac:dyDescent="0.2">
      <c r="B24" s="26" t="s">
        <v>12</v>
      </c>
      <c r="D24" s="38">
        <v>4.4999999999999998E-2</v>
      </c>
      <c r="G24" s="26" t="s">
        <v>57</v>
      </c>
      <c r="I24" s="27">
        <f>I22+I23</f>
        <v>30461732.036593899</v>
      </c>
      <c r="J24" s="27">
        <f>J22+J23</f>
        <v>28759354.703366473</v>
      </c>
      <c r="K24" s="27">
        <f>K22+K23</f>
        <v>32276999.113404043</v>
      </c>
    </row>
    <row r="25" spans="2:29" x14ac:dyDescent="0.2">
      <c r="B25" s="26" t="s">
        <v>13</v>
      </c>
      <c r="D25" s="37">
        <v>0.03</v>
      </c>
      <c r="G25" s="26" t="s">
        <v>55</v>
      </c>
      <c r="I25" s="30">
        <f>J11</f>
        <v>8.0400000000000013E-2</v>
      </c>
      <c r="J25" s="30">
        <f>I25+0.0025</f>
        <v>8.2900000000000015E-2</v>
      </c>
      <c r="K25" s="30">
        <f>I11</f>
        <v>7.7900000000000011E-2</v>
      </c>
      <c r="M25" s="26" t="s">
        <v>73</v>
      </c>
      <c r="O25" s="58">
        <f>D48</f>
        <v>0.10774746796404278</v>
      </c>
      <c r="W25" s="28"/>
    </row>
    <row r="26" spans="2:29" x14ac:dyDescent="0.2">
      <c r="G26" s="26" t="s">
        <v>52</v>
      </c>
      <c r="H26" s="30">
        <f>D50</f>
        <v>0.16465060948759724</v>
      </c>
      <c r="K26" s="30"/>
      <c r="M26" s="26" t="s">
        <v>74</v>
      </c>
      <c r="O26" s="29">
        <v>3.8399999999999997E-2</v>
      </c>
      <c r="T26" s="28"/>
    </row>
    <row r="27" spans="2:29" x14ac:dyDescent="0.2">
      <c r="B27" s="26" t="s">
        <v>14</v>
      </c>
      <c r="D27" s="27">
        <v>3539487</v>
      </c>
      <c r="M27" s="26" t="s">
        <v>52</v>
      </c>
      <c r="O27" s="58">
        <f>D50</f>
        <v>0.16465060948759724</v>
      </c>
    </row>
    <row r="28" spans="2:29" x14ac:dyDescent="0.2">
      <c r="B28" s="26" t="s">
        <v>15</v>
      </c>
      <c r="D28" s="30">
        <v>7.4800000000000005E-2</v>
      </c>
      <c r="M28" s="26" t="s">
        <v>75</v>
      </c>
    </row>
    <row r="29" spans="2:29" x14ac:dyDescent="0.2">
      <c r="B29" s="26" t="s">
        <v>16</v>
      </c>
      <c r="D29" s="30">
        <v>7.2900000000000006E-2</v>
      </c>
      <c r="M29" s="26" t="s">
        <v>76</v>
      </c>
      <c r="O29" s="57">
        <f>D52</f>
        <v>14.497122655751474</v>
      </c>
    </row>
    <row r="31" spans="2:29" x14ac:dyDescent="0.2">
      <c r="B31" s="26" t="s">
        <v>17</v>
      </c>
      <c r="D31" s="26">
        <v>1.03</v>
      </c>
      <c r="E31" s="26">
        <v>1.03</v>
      </c>
      <c r="F31" s="26">
        <v>1.03</v>
      </c>
      <c r="G31" s="26">
        <v>1.03</v>
      </c>
      <c r="H31" s="26">
        <v>1.03</v>
      </c>
      <c r="I31" s="26">
        <v>1.03</v>
      </c>
      <c r="J31" s="26">
        <v>1.03</v>
      </c>
      <c r="K31" s="26">
        <v>1.03</v>
      </c>
      <c r="L31" s="26">
        <v>1.03</v>
      </c>
      <c r="M31" s="26">
        <v>1.03</v>
      </c>
      <c r="N31" s="26">
        <v>1.03</v>
      </c>
    </row>
    <row r="32" spans="2:29" x14ac:dyDescent="0.2">
      <c r="D32" s="26">
        <v>1</v>
      </c>
      <c r="E32" s="26">
        <v>2</v>
      </c>
      <c r="F32" s="26">
        <v>3</v>
      </c>
      <c r="G32" s="26">
        <v>4</v>
      </c>
      <c r="H32" s="26">
        <v>5</v>
      </c>
      <c r="I32" s="26">
        <v>6</v>
      </c>
      <c r="J32" s="26">
        <v>7</v>
      </c>
      <c r="K32" s="26">
        <v>8</v>
      </c>
      <c r="L32" s="26">
        <v>9</v>
      </c>
      <c r="M32" s="26">
        <v>10</v>
      </c>
      <c r="N32" s="26">
        <v>11</v>
      </c>
      <c r="O32" s="26">
        <v>12</v>
      </c>
      <c r="P32" s="26">
        <v>13</v>
      </c>
      <c r="Q32" s="26">
        <v>14</v>
      </c>
      <c r="R32" s="26">
        <v>15</v>
      </c>
      <c r="S32" s="26">
        <v>16</v>
      </c>
      <c r="T32" s="26">
        <v>17</v>
      </c>
      <c r="U32" s="26">
        <v>18</v>
      </c>
      <c r="V32" s="26">
        <v>19</v>
      </c>
      <c r="W32" s="26">
        <v>20</v>
      </c>
      <c r="X32" s="26">
        <v>21</v>
      </c>
      <c r="Y32" s="26">
        <v>22</v>
      </c>
      <c r="Z32" s="26">
        <v>23</v>
      </c>
      <c r="AA32" s="26">
        <v>24</v>
      </c>
      <c r="AB32" s="26">
        <v>25</v>
      </c>
      <c r="AC32" s="26">
        <v>26</v>
      </c>
    </row>
    <row r="33" spans="2:78" x14ac:dyDescent="0.2">
      <c r="B33" s="26" t="s">
        <v>18</v>
      </c>
      <c r="D33" s="27">
        <f>$C10*$D10</f>
        <v>1219460</v>
      </c>
      <c r="E33" s="27">
        <f>$C10*$D10</f>
        <v>1219460</v>
      </c>
      <c r="F33" s="27">
        <f>$C10*$D10</f>
        <v>1219460</v>
      </c>
      <c r="G33" s="27">
        <f>$C10*$D10</f>
        <v>1219460</v>
      </c>
      <c r="H33" s="27">
        <f>$C10*$D10</f>
        <v>1219460</v>
      </c>
      <c r="I33" s="26">
        <f>$C10*$D10*1.1</f>
        <v>1341406</v>
      </c>
      <c r="J33" s="26">
        <f>$C10*$D10*1.1</f>
        <v>1341406</v>
      </c>
      <c r="K33" s="26">
        <f>$C10*$D10*1.1</f>
        <v>1341406</v>
      </c>
      <c r="L33" s="26">
        <f>$C10*$D10*1.1</f>
        <v>1341406</v>
      </c>
      <c r="M33" s="26">
        <f>$C10*$D10*1.1</f>
        <v>1341406</v>
      </c>
      <c r="N33" s="28">
        <f>M33*1.1</f>
        <v>1475546.6</v>
      </c>
      <c r="O33" s="28">
        <f t="shared" ref="O33:R35" si="0">N33</f>
        <v>1475546.6</v>
      </c>
      <c r="P33" s="28">
        <f t="shared" si="0"/>
        <v>1475546.6</v>
      </c>
      <c r="Q33" s="28">
        <f t="shared" si="0"/>
        <v>1475546.6</v>
      </c>
      <c r="R33" s="28">
        <f t="shared" si="0"/>
        <v>1475546.6</v>
      </c>
      <c r="S33" s="28">
        <f>R33*1.1</f>
        <v>1623101.2600000002</v>
      </c>
      <c r="T33" s="28">
        <f t="shared" ref="T33:W35" si="1">S33</f>
        <v>1623101.2600000002</v>
      </c>
      <c r="U33" s="28">
        <f t="shared" si="1"/>
        <v>1623101.2600000002</v>
      </c>
      <c r="V33" s="28">
        <f t="shared" si="1"/>
        <v>1623101.2600000002</v>
      </c>
      <c r="W33" s="28">
        <f>V33</f>
        <v>1623101.2600000002</v>
      </c>
      <c r="X33" s="89">
        <f>Calculation!M15</f>
        <v>2863575</v>
      </c>
      <c r="Y33" s="28">
        <f t="shared" ref="Y33:AB35" si="2">X33</f>
        <v>2863575</v>
      </c>
      <c r="Z33" s="28">
        <f t="shared" si="2"/>
        <v>2863575</v>
      </c>
      <c r="AA33" s="28">
        <f t="shared" si="2"/>
        <v>2863575</v>
      </c>
      <c r="AB33" s="28">
        <f t="shared" si="2"/>
        <v>2863575</v>
      </c>
      <c r="AC33" s="28">
        <f>AB33*1.1</f>
        <v>3149932.5000000005</v>
      </c>
    </row>
    <row r="34" spans="2:78" x14ac:dyDescent="0.2">
      <c r="B34" s="26" t="s">
        <v>19</v>
      </c>
      <c r="D34" s="28">
        <f>1815050</f>
        <v>1815050</v>
      </c>
      <c r="E34" s="28">
        <f>D34</f>
        <v>1815050</v>
      </c>
      <c r="F34" s="28">
        <f t="shared" ref="F34:L34" si="3">E34</f>
        <v>1815050</v>
      </c>
      <c r="G34" s="28">
        <f t="shared" si="3"/>
        <v>1815050</v>
      </c>
      <c r="H34" s="28">
        <f t="shared" si="3"/>
        <v>1815050</v>
      </c>
      <c r="I34" s="28">
        <f>H34*1.1</f>
        <v>1996555.0000000002</v>
      </c>
      <c r="J34" s="28">
        <f t="shared" si="3"/>
        <v>1996555.0000000002</v>
      </c>
      <c r="K34" s="28">
        <f t="shared" si="3"/>
        <v>1996555.0000000002</v>
      </c>
      <c r="L34" s="28">
        <f t="shared" si="3"/>
        <v>1996555.0000000002</v>
      </c>
      <c r="M34" s="28">
        <f>L34</f>
        <v>1996555.0000000002</v>
      </c>
      <c r="N34" s="28">
        <f>M34*1.1</f>
        <v>2196210.5000000005</v>
      </c>
      <c r="O34" s="28">
        <f t="shared" si="0"/>
        <v>2196210.5000000005</v>
      </c>
      <c r="P34" s="28">
        <f t="shared" si="0"/>
        <v>2196210.5000000005</v>
      </c>
      <c r="Q34" s="28">
        <f t="shared" si="0"/>
        <v>2196210.5000000005</v>
      </c>
      <c r="R34" s="28">
        <f t="shared" si="0"/>
        <v>2196210.5000000005</v>
      </c>
      <c r="S34" s="28">
        <f>R34*1.1</f>
        <v>2415831.5500000007</v>
      </c>
      <c r="T34" s="28">
        <f t="shared" si="1"/>
        <v>2415831.5500000007</v>
      </c>
      <c r="U34" s="28">
        <f t="shared" si="1"/>
        <v>2415831.5500000007</v>
      </c>
      <c r="V34" s="28">
        <f t="shared" si="1"/>
        <v>2415831.5500000007</v>
      </c>
      <c r="W34" s="28">
        <f t="shared" si="1"/>
        <v>2415831.5500000007</v>
      </c>
      <c r="X34" s="89">
        <f>Calculation!O15</f>
        <v>5301895</v>
      </c>
      <c r="Y34" s="28">
        <f t="shared" si="2"/>
        <v>5301895</v>
      </c>
      <c r="Z34" s="28">
        <f t="shared" si="2"/>
        <v>5301895</v>
      </c>
      <c r="AA34" s="28">
        <f t="shared" si="2"/>
        <v>5301895</v>
      </c>
      <c r="AB34" s="28">
        <f t="shared" si="2"/>
        <v>5301895</v>
      </c>
      <c r="AC34" s="28">
        <f>AB34*1.1</f>
        <v>5832084.5000000009</v>
      </c>
    </row>
    <row r="35" spans="2:78" x14ac:dyDescent="0.2">
      <c r="B35" s="26" t="s">
        <v>20</v>
      </c>
      <c r="D35" s="26">
        <f>$C12*$D12</f>
        <v>752050</v>
      </c>
      <c r="E35" s="26">
        <f>$C12*$D12</f>
        <v>752050</v>
      </c>
      <c r="F35" s="26">
        <f>$C12*$D12</f>
        <v>752050</v>
      </c>
      <c r="G35" s="26">
        <f>$C12*$D12</f>
        <v>752050</v>
      </c>
      <c r="H35" s="26">
        <f>$C12*$D12</f>
        <v>752050</v>
      </c>
      <c r="I35" s="26">
        <f>$C12*$D12*1.1</f>
        <v>827255.00000000012</v>
      </c>
      <c r="J35" s="26">
        <f>$C12*$D12*1.1</f>
        <v>827255.00000000012</v>
      </c>
      <c r="K35" s="26">
        <f>$C12*$D12*1.1</f>
        <v>827255.00000000012</v>
      </c>
      <c r="L35" s="26">
        <f>$C12*$D12*1.1</f>
        <v>827255.00000000012</v>
      </c>
      <c r="M35" s="26">
        <f>$C12*$D12*1.1</f>
        <v>827255.00000000012</v>
      </c>
      <c r="N35" s="28">
        <f>M35*1.1</f>
        <v>909980.50000000023</v>
      </c>
      <c r="O35" s="28">
        <f t="shared" si="0"/>
        <v>909980.50000000023</v>
      </c>
      <c r="P35" s="28">
        <f t="shared" si="0"/>
        <v>909980.50000000023</v>
      </c>
      <c r="Q35" s="28">
        <f t="shared" si="0"/>
        <v>909980.50000000023</v>
      </c>
      <c r="R35" s="28">
        <f t="shared" si="0"/>
        <v>909980.50000000023</v>
      </c>
      <c r="S35" s="28">
        <f>R35*1.1</f>
        <v>1000978.5500000003</v>
      </c>
      <c r="T35" s="28">
        <f t="shared" si="1"/>
        <v>1000978.5500000003</v>
      </c>
      <c r="U35" s="28">
        <f t="shared" si="1"/>
        <v>1000978.5500000003</v>
      </c>
      <c r="V35" s="28">
        <f t="shared" si="1"/>
        <v>1000978.5500000003</v>
      </c>
      <c r="W35" s="28">
        <f t="shared" si="1"/>
        <v>1000978.5500000003</v>
      </c>
      <c r="X35" s="89">
        <f>Calculation!Q15</f>
        <v>3154690</v>
      </c>
      <c r="Y35" s="28">
        <f t="shared" si="2"/>
        <v>3154690</v>
      </c>
      <c r="Z35" s="28">
        <f t="shared" si="2"/>
        <v>3154690</v>
      </c>
      <c r="AA35" s="28">
        <f t="shared" si="2"/>
        <v>3154690</v>
      </c>
      <c r="AB35" s="28">
        <f t="shared" si="2"/>
        <v>3154690</v>
      </c>
      <c r="AC35" s="26">
        <f>AB35*1.1</f>
        <v>3470159.0000000005</v>
      </c>
    </row>
    <row r="36" spans="2:78" x14ac:dyDescent="0.2">
      <c r="B36" s="26" t="s">
        <v>21</v>
      </c>
      <c r="D36" s="26">
        <f>C13*7</f>
        <v>934332</v>
      </c>
      <c r="E36" s="28">
        <f t="shared" ref="E36:AC36" si="4">D36*1.03</f>
        <v>962361.96000000008</v>
      </c>
      <c r="F36" s="28">
        <f t="shared" si="4"/>
        <v>991232.81880000012</v>
      </c>
      <c r="G36" s="28">
        <f t="shared" si="4"/>
        <v>1020969.8033640002</v>
      </c>
      <c r="H36" s="28">
        <f t="shared" si="4"/>
        <v>1051598.8974649203</v>
      </c>
      <c r="I36" s="28">
        <f t="shared" si="4"/>
        <v>1083146.864388868</v>
      </c>
      <c r="J36" s="28">
        <f t="shared" si="4"/>
        <v>1115641.270320534</v>
      </c>
      <c r="K36" s="28">
        <f t="shared" si="4"/>
        <v>1149110.5084301501</v>
      </c>
      <c r="L36" s="28">
        <f t="shared" si="4"/>
        <v>1183583.8236830547</v>
      </c>
      <c r="M36" s="28">
        <f t="shared" si="4"/>
        <v>1219091.3383935464</v>
      </c>
      <c r="N36" s="28">
        <f t="shared" si="4"/>
        <v>1255664.0785453529</v>
      </c>
      <c r="O36" s="28">
        <f t="shared" si="4"/>
        <v>1293334.0009017135</v>
      </c>
      <c r="P36" s="28">
        <f t="shared" si="4"/>
        <v>1332134.0209287649</v>
      </c>
      <c r="Q36" s="28">
        <f t="shared" si="4"/>
        <v>1372098.041556628</v>
      </c>
      <c r="R36" s="28">
        <f t="shared" si="4"/>
        <v>1413260.9828033268</v>
      </c>
      <c r="S36" s="28">
        <f t="shared" si="4"/>
        <v>1455658.8122874266</v>
      </c>
      <c r="T36" s="28">
        <f t="shared" si="4"/>
        <v>1499328.5766560494</v>
      </c>
      <c r="U36" s="28">
        <f t="shared" si="4"/>
        <v>1544308.4339557309</v>
      </c>
      <c r="V36" s="28">
        <f t="shared" si="4"/>
        <v>1590637.6869744027</v>
      </c>
      <c r="W36" s="28">
        <f t="shared" si="4"/>
        <v>1638356.817583635</v>
      </c>
      <c r="X36" s="28">
        <f>W36*1.03</f>
        <v>1687507.5221111441</v>
      </c>
      <c r="Y36" s="28">
        <f t="shared" si="4"/>
        <v>1738132.7477744785</v>
      </c>
      <c r="Z36" s="28">
        <f t="shared" si="4"/>
        <v>1790276.7302077129</v>
      </c>
      <c r="AA36" s="28">
        <f t="shared" si="4"/>
        <v>1843985.0321139442</v>
      </c>
      <c r="AB36" s="28">
        <f t="shared" si="4"/>
        <v>1899304.5830773625</v>
      </c>
      <c r="AC36" s="28">
        <f t="shared" si="4"/>
        <v>1956283.7205696835</v>
      </c>
    </row>
    <row r="37" spans="2:78" x14ac:dyDescent="0.2">
      <c r="B37" s="26" t="s">
        <v>22</v>
      </c>
      <c r="D37" s="28">
        <f>$D16</f>
        <v>1601712</v>
      </c>
      <c r="E37" s="28">
        <f>$D16*1.045</f>
        <v>1673789.0399999998</v>
      </c>
      <c r="F37" s="28">
        <f t="shared" ref="F37:AC37" si="5">E37*1.045</f>
        <v>1749109.5467999997</v>
      </c>
      <c r="G37" s="28">
        <f t="shared" si="5"/>
        <v>1827819.4764059996</v>
      </c>
      <c r="H37" s="28">
        <f t="shared" si="5"/>
        <v>1910071.3528442695</v>
      </c>
      <c r="I37" s="28">
        <f t="shared" si="5"/>
        <v>1996024.5637222615</v>
      </c>
      <c r="J37" s="28">
        <f t="shared" si="5"/>
        <v>2085845.6690897632</v>
      </c>
      <c r="K37" s="28">
        <f t="shared" si="5"/>
        <v>2179708.7241988024</v>
      </c>
      <c r="L37" s="28">
        <f t="shared" si="5"/>
        <v>2277795.6167877484</v>
      </c>
      <c r="M37" s="28">
        <f t="shared" si="5"/>
        <v>2380296.4195431969</v>
      </c>
      <c r="N37" s="28">
        <f t="shared" si="5"/>
        <v>2487409.7584226406</v>
      </c>
      <c r="O37" s="28">
        <f t="shared" si="5"/>
        <v>2599343.1975516593</v>
      </c>
      <c r="P37" s="28">
        <f t="shared" si="5"/>
        <v>2716313.641441484</v>
      </c>
      <c r="Q37" s="28">
        <f t="shared" si="5"/>
        <v>2838547.7553063505</v>
      </c>
      <c r="R37" s="28">
        <f t="shared" si="5"/>
        <v>2966282.4042951362</v>
      </c>
      <c r="S37" s="28">
        <f t="shared" si="5"/>
        <v>3099765.112488417</v>
      </c>
      <c r="T37" s="28">
        <f t="shared" si="5"/>
        <v>3239254.5425503957</v>
      </c>
      <c r="U37" s="28">
        <f t="shared" si="5"/>
        <v>3385020.9969651634</v>
      </c>
      <c r="V37" s="28">
        <f t="shared" si="5"/>
        <v>3537346.9418285955</v>
      </c>
      <c r="W37" s="28">
        <f t="shared" si="5"/>
        <v>3696527.5542108822</v>
      </c>
      <c r="X37" s="28">
        <f t="shared" si="5"/>
        <v>3862871.2941503716</v>
      </c>
      <c r="Y37" s="28">
        <f t="shared" si="5"/>
        <v>4036700.5023871381</v>
      </c>
      <c r="Z37" s="28">
        <f t="shared" si="5"/>
        <v>4218352.0249945587</v>
      </c>
      <c r="AA37" s="28">
        <f t="shared" si="5"/>
        <v>4408177.8661193131</v>
      </c>
      <c r="AB37" s="28">
        <f t="shared" si="5"/>
        <v>4606545.8700946821</v>
      </c>
      <c r="AC37" s="28">
        <f t="shared" si="5"/>
        <v>4813840.4342489429</v>
      </c>
    </row>
    <row r="38" spans="2:78" x14ac:dyDescent="0.2">
      <c r="B38" s="26" t="s">
        <v>26</v>
      </c>
      <c r="D38" s="26">
        <f>SUM(D33:D37)</f>
        <v>6322604</v>
      </c>
      <c r="E38" s="28">
        <f t="shared" ref="E38:M38" si="6">SUM(E33:E37)</f>
        <v>6422711</v>
      </c>
      <c r="F38" s="28">
        <f t="shared" si="6"/>
        <v>6526902.3656000001</v>
      </c>
      <c r="G38" s="28">
        <f t="shared" si="6"/>
        <v>6635349.2797699999</v>
      </c>
      <c r="H38" s="28">
        <f t="shared" si="6"/>
        <v>6748230.2503091898</v>
      </c>
      <c r="I38" s="28">
        <f t="shared" si="6"/>
        <v>7244387.4281111294</v>
      </c>
      <c r="J38" s="28">
        <f t="shared" si="6"/>
        <v>7366702.9394102972</v>
      </c>
      <c r="K38" s="28">
        <f t="shared" si="6"/>
        <v>7494035.2326289527</v>
      </c>
      <c r="L38" s="28">
        <f t="shared" si="6"/>
        <v>7626595.4404708035</v>
      </c>
      <c r="M38" s="28">
        <f t="shared" si="6"/>
        <v>7764603.757936744</v>
      </c>
      <c r="N38" s="28">
        <f>SUM(N33:N37)</f>
        <v>8324811.436967995</v>
      </c>
      <c r="O38" s="28">
        <f t="shared" ref="O38:AC38" si="7">SUM(O33:O37)</f>
        <v>8474414.798453372</v>
      </c>
      <c r="P38" s="28">
        <f t="shared" si="7"/>
        <v>8630185.2623702493</v>
      </c>
      <c r="Q38" s="28">
        <f t="shared" si="7"/>
        <v>8792383.3968629781</v>
      </c>
      <c r="R38" s="28">
        <f t="shared" si="7"/>
        <v>8961280.9870984629</v>
      </c>
      <c r="S38" s="28">
        <f t="shared" si="7"/>
        <v>9595335.2847758457</v>
      </c>
      <c r="T38" s="28">
        <f t="shared" si="7"/>
        <v>9778494.4792064466</v>
      </c>
      <c r="U38" s="28">
        <f t="shared" si="7"/>
        <v>9969240.7909208946</v>
      </c>
      <c r="V38" s="28">
        <f t="shared" si="7"/>
        <v>10167895.988802999</v>
      </c>
      <c r="W38" s="28">
        <f t="shared" si="7"/>
        <v>10374795.731794519</v>
      </c>
      <c r="X38" s="28">
        <f t="shared" si="7"/>
        <v>16870538.816261515</v>
      </c>
      <c r="Y38" s="28">
        <f t="shared" si="7"/>
        <v>17094993.250161618</v>
      </c>
      <c r="Z38" s="28">
        <f t="shared" si="7"/>
        <v>17328788.755202271</v>
      </c>
      <c r="AA38" s="28">
        <f t="shared" si="7"/>
        <v>17572322.898233257</v>
      </c>
      <c r="AB38" s="28">
        <f t="shared" si="7"/>
        <v>17826010.453172043</v>
      </c>
      <c r="AC38" s="28">
        <f t="shared" si="7"/>
        <v>19222300.154818628</v>
      </c>
    </row>
    <row r="40" spans="2:78" x14ac:dyDescent="0.2">
      <c r="B40" s="26" t="s">
        <v>27</v>
      </c>
      <c r="D40" s="34">
        <f t="shared" ref="D40:AC40" si="8">-(D36)</f>
        <v>-934332</v>
      </c>
      <c r="E40" s="34">
        <f t="shared" si="8"/>
        <v>-962361.96000000008</v>
      </c>
      <c r="F40" s="34">
        <f t="shared" si="8"/>
        <v>-991232.81880000012</v>
      </c>
      <c r="G40" s="34">
        <f t="shared" si="8"/>
        <v>-1020969.8033640002</v>
      </c>
      <c r="H40" s="34">
        <f t="shared" si="8"/>
        <v>-1051598.8974649203</v>
      </c>
      <c r="I40" s="34">
        <f t="shared" si="8"/>
        <v>-1083146.864388868</v>
      </c>
      <c r="J40" s="34">
        <f t="shared" si="8"/>
        <v>-1115641.270320534</v>
      </c>
      <c r="K40" s="34">
        <f t="shared" si="8"/>
        <v>-1149110.5084301501</v>
      </c>
      <c r="L40" s="34">
        <f t="shared" si="8"/>
        <v>-1183583.8236830547</v>
      </c>
      <c r="M40" s="34">
        <f t="shared" si="8"/>
        <v>-1219091.3383935464</v>
      </c>
      <c r="N40" s="34">
        <f t="shared" si="8"/>
        <v>-1255664.0785453529</v>
      </c>
      <c r="O40" s="34">
        <f t="shared" si="8"/>
        <v>-1293334.0009017135</v>
      </c>
      <c r="P40" s="34">
        <f t="shared" si="8"/>
        <v>-1332134.0209287649</v>
      </c>
      <c r="Q40" s="34">
        <f t="shared" si="8"/>
        <v>-1372098.041556628</v>
      </c>
      <c r="R40" s="34">
        <f t="shared" si="8"/>
        <v>-1413260.9828033268</v>
      </c>
      <c r="S40" s="34">
        <f t="shared" si="8"/>
        <v>-1455658.8122874266</v>
      </c>
      <c r="T40" s="34">
        <f t="shared" si="8"/>
        <v>-1499328.5766560494</v>
      </c>
      <c r="U40" s="34">
        <f t="shared" si="8"/>
        <v>-1544308.4339557309</v>
      </c>
      <c r="V40" s="34">
        <f t="shared" si="8"/>
        <v>-1590637.6869744027</v>
      </c>
      <c r="W40" s="34">
        <f t="shared" si="8"/>
        <v>-1638356.817583635</v>
      </c>
      <c r="X40" s="34">
        <f t="shared" si="8"/>
        <v>-1687507.5221111441</v>
      </c>
      <c r="Y40" s="34">
        <f t="shared" si="8"/>
        <v>-1738132.7477744785</v>
      </c>
      <c r="Z40" s="34">
        <f t="shared" si="8"/>
        <v>-1790276.7302077129</v>
      </c>
      <c r="AA40" s="34">
        <f t="shared" si="8"/>
        <v>-1843985.0321139442</v>
      </c>
      <c r="AB40" s="34">
        <f t="shared" si="8"/>
        <v>-1899304.5830773625</v>
      </c>
      <c r="AC40" s="34">
        <f t="shared" si="8"/>
        <v>-1956283.7205696835</v>
      </c>
    </row>
    <row r="41" spans="2:78" x14ac:dyDescent="0.2">
      <c r="B41" s="26" t="s">
        <v>28</v>
      </c>
      <c r="D41" s="34">
        <f>-(D37)</f>
        <v>-1601712</v>
      </c>
      <c r="E41" s="34">
        <f>-(E37)</f>
        <v>-1673789.0399999998</v>
      </c>
      <c r="F41" s="34">
        <f>-(F37)</f>
        <v>-1749109.5467999997</v>
      </c>
      <c r="G41" s="34">
        <f t="shared" ref="G41:AC41" si="9">-G37</f>
        <v>-1827819.4764059996</v>
      </c>
      <c r="H41" s="34">
        <f t="shared" si="9"/>
        <v>-1910071.3528442695</v>
      </c>
      <c r="I41" s="34">
        <f t="shared" si="9"/>
        <v>-1996024.5637222615</v>
      </c>
      <c r="J41" s="34">
        <f t="shared" si="9"/>
        <v>-2085845.6690897632</v>
      </c>
      <c r="K41" s="34">
        <f t="shared" si="9"/>
        <v>-2179708.7241988024</v>
      </c>
      <c r="L41" s="34">
        <f t="shared" si="9"/>
        <v>-2277795.6167877484</v>
      </c>
      <c r="M41" s="34">
        <f t="shared" si="9"/>
        <v>-2380296.4195431969</v>
      </c>
      <c r="N41" s="34">
        <f t="shared" si="9"/>
        <v>-2487409.7584226406</v>
      </c>
      <c r="O41" s="34">
        <f t="shared" si="9"/>
        <v>-2599343.1975516593</v>
      </c>
      <c r="P41" s="34">
        <f t="shared" si="9"/>
        <v>-2716313.641441484</v>
      </c>
      <c r="Q41" s="34">
        <f t="shared" si="9"/>
        <v>-2838547.7553063505</v>
      </c>
      <c r="R41" s="34">
        <f t="shared" si="9"/>
        <v>-2966282.4042951362</v>
      </c>
      <c r="S41" s="34">
        <f t="shared" si="9"/>
        <v>-3099765.112488417</v>
      </c>
      <c r="T41" s="34">
        <f t="shared" si="9"/>
        <v>-3239254.5425503957</v>
      </c>
      <c r="U41" s="34">
        <f t="shared" si="9"/>
        <v>-3385020.9969651634</v>
      </c>
      <c r="V41" s="34">
        <f t="shared" si="9"/>
        <v>-3537346.9418285955</v>
      </c>
      <c r="W41" s="34">
        <f t="shared" si="9"/>
        <v>-3696527.5542108822</v>
      </c>
      <c r="X41" s="34">
        <f>-X37</f>
        <v>-3862871.2941503716</v>
      </c>
      <c r="Y41" s="34">
        <f t="shared" si="9"/>
        <v>-4036700.5023871381</v>
      </c>
      <c r="Z41" s="34">
        <f t="shared" si="9"/>
        <v>-4218352.0249945587</v>
      </c>
      <c r="AA41" s="34">
        <f t="shared" si="9"/>
        <v>-4408177.8661193131</v>
      </c>
      <c r="AB41" s="34">
        <f t="shared" si="9"/>
        <v>-4606545.8700946821</v>
      </c>
      <c r="AC41" s="34">
        <f t="shared" si="9"/>
        <v>-4813840.4342489429</v>
      </c>
    </row>
    <row r="42" spans="2:78" x14ac:dyDescent="0.2">
      <c r="B42" s="26" t="s">
        <v>36</v>
      </c>
      <c r="D42" s="34">
        <f>-(D18)</f>
        <v>-113596.8</v>
      </c>
      <c r="E42" s="34">
        <f t="shared" ref="E42:H42" si="10">-(113597)</f>
        <v>-113597</v>
      </c>
      <c r="F42" s="34">
        <f t="shared" si="10"/>
        <v>-113597</v>
      </c>
      <c r="G42" s="34">
        <f t="shared" si="10"/>
        <v>-113597</v>
      </c>
      <c r="H42" s="34">
        <f t="shared" si="10"/>
        <v>-113597</v>
      </c>
      <c r="I42" s="34">
        <f>H42*1.1</f>
        <v>-124956.70000000001</v>
      </c>
      <c r="J42" s="34">
        <f>I42</f>
        <v>-124956.70000000001</v>
      </c>
      <c r="K42" s="34">
        <f>J42</f>
        <v>-124956.70000000001</v>
      </c>
      <c r="L42" s="34">
        <f>K42</f>
        <v>-124956.70000000001</v>
      </c>
      <c r="M42" s="34">
        <f>L42</f>
        <v>-124956.70000000001</v>
      </c>
      <c r="N42" s="34">
        <f>M42*1.1</f>
        <v>-137452.37000000002</v>
      </c>
      <c r="O42" s="34">
        <f>N42</f>
        <v>-137452.37000000002</v>
      </c>
      <c r="P42" s="34">
        <f>O42</f>
        <v>-137452.37000000002</v>
      </c>
      <c r="Q42" s="34">
        <f>P42</f>
        <v>-137452.37000000002</v>
      </c>
      <c r="R42" s="34">
        <f>Q42</f>
        <v>-137452.37000000002</v>
      </c>
      <c r="S42" s="34">
        <f>R42*1.1</f>
        <v>-151197.60700000005</v>
      </c>
      <c r="T42" s="34">
        <f>S42</f>
        <v>-151197.60700000005</v>
      </c>
      <c r="U42" s="34">
        <f>T42</f>
        <v>-151197.60700000005</v>
      </c>
      <c r="V42" s="34">
        <f>U42</f>
        <v>-151197.60700000005</v>
      </c>
      <c r="W42" s="34">
        <f>V42</f>
        <v>-151197.60700000005</v>
      </c>
      <c r="X42" s="34">
        <f>-O10</f>
        <v>-339604.8</v>
      </c>
      <c r="Y42" s="35">
        <f>X42</f>
        <v>-339604.8</v>
      </c>
      <c r="Z42" s="35">
        <f>Y42</f>
        <v>-339604.8</v>
      </c>
      <c r="AA42" s="35">
        <f>Z42</f>
        <v>-339604.8</v>
      </c>
      <c r="AB42" s="35">
        <f>AA42</f>
        <v>-339604.8</v>
      </c>
      <c r="AC42" s="35">
        <f>AB42*1.1</f>
        <v>-373565.28</v>
      </c>
    </row>
    <row r="43" spans="2:78" x14ac:dyDescent="0.2">
      <c r="B43" s="26" t="s">
        <v>29</v>
      </c>
      <c r="D43" s="34">
        <f>-(D17)</f>
        <v>-133476</v>
      </c>
      <c r="E43" s="34">
        <f>D43*1.03</f>
        <v>-137480.28</v>
      </c>
      <c r="F43" s="34">
        <f t="shared" ref="F43:M43" si="11">E43*1.03</f>
        <v>-141604.68840000001</v>
      </c>
      <c r="G43" s="34">
        <f t="shared" si="11"/>
        <v>-145852.82905200002</v>
      </c>
      <c r="H43" s="34">
        <f t="shared" si="11"/>
        <v>-150228.41392356003</v>
      </c>
      <c r="I43" s="34">
        <f t="shared" si="11"/>
        <v>-154735.26634126683</v>
      </c>
      <c r="J43" s="34">
        <f t="shared" si="11"/>
        <v>-159377.32433150485</v>
      </c>
      <c r="K43" s="34">
        <f t="shared" si="11"/>
        <v>-164158.64406145</v>
      </c>
      <c r="L43" s="34">
        <f t="shared" si="11"/>
        <v>-169083.40338329351</v>
      </c>
      <c r="M43" s="34">
        <f t="shared" si="11"/>
        <v>-174155.90548479231</v>
      </c>
      <c r="N43" s="34">
        <f>M43*1.03</f>
        <v>-179380.58264933608</v>
      </c>
      <c r="O43" s="34">
        <f t="shared" ref="O43:AC43" si="12">N43*1.03</f>
        <v>-184762.00012881617</v>
      </c>
      <c r="P43" s="34">
        <f t="shared" si="12"/>
        <v>-190304.86013268065</v>
      </c>
      <c r="Q43" s="34">
        <f t="shared" si="12"/>
        <v>-196014.00593666107</v>
      </c>
      <c r="R43" s="34">
        <f t="shared" si="12"/>
        <v>-201894.42611476089</v>
      </c>
      <c r="S43" s="34">
        <f t="shared" si="12"/>
        <v>-207951.25889820373</v>
      </c>
      <c r="T43" s="34">
        <f t="shared" si="12"/>
        <v>-214189.79666514986</v>
      </c>
      <c r="U43" s="34">
        <f t="shared" si="12"/>
        <v>-220615.49056510435</v>
      </c>
      <c r="V43" s="34">
        <f t="shared" si="12"/>
        <v>-227233.95528205749</v>
      </c>
      <c r="W43" s="34">
        <f t="shared" si="12"/>
        <v>-234050.97394051921</v>
      </c>
      <c r="X43" s="34">
        <f t="shared" si="12"/>
        <v>-241072.50315873479</v>
      </c>
      <c r="Y43" s="34">
        <f t="shared" si="12"/>
        <v>-248304.67825349685</v>
      </c>
      <c r="Z43" s="34">
        <f t="shared" si="12"/>
        <v>-255753.81860110175</v>
      </c>
      <c r="AA43" s="34">
        <f t="shared" si="12"/>
        <v>-263426.43315913482</v>
      </c>
      <c r="AB43" s="34">
        <f t="shared" si="12"/>
        <v>-271329.22615390888</v>
      </c>
      <c r="AC43" s="34">
        <f t="shared" si="12"/>
        <v>-279469.10293852614</v>
      </c>
    </row>
    <row r="44" spans="2:78" s="39" customFormat="1" x14ac:dyDescent="0.2">
      <c r="B44" s="39" t="s">
        <v>35</v>
      </c>
      <c r="D44" s="40">
        <f>SUM(D38:D43)</f>
        <v>3539487.2</v>
      </c>
      <c r="E44" s="40">
        <f>SUM(E38:E43)</f>
        <v>3535482.72</v>
      </c>
      <c r="F44" s="40">
        <f>SUM(F38:F43)</f>
        <v>3531358.3116000001</v>
      </c>
      <c r="G44" s="40">
        <f t="shared" ref="G44:M44" si="13">SUM(G38:G43)</f>
        <v>3527110.1709480002</v>
      </c>
      <c r="H44" s="40">
        <f t="shared" si="13"/>
        <v>3522734.5860764403</v>
      </c>
      <c r="I44" s="40">
        <f t="shared" si="13"/>
        <v>3885524.0336587331</v>
      </c>
      <c r="J44" s="40">
        <f t="shared" si="13"/>
        <v>3880881.9756684951</v>
      </c>
      <c r="K44" s="40">
        <f t="shared" si="13"/>
        <v>3876100.6559385499</v>
      </c>
      <c r="L44" s="40">
        <f t="shared" si="13"/>
        <v>3871175.8966167062</v>
      </c>
      <c r="M44" s="40">
        <f t="shared" si="13"/>
        <v>3866103.394515208</v>
      </c>
      <c r="N44" s="40">
        <f>SUM(N38:N43)</f>
        <v>4264904.6473506652</v>
      </c>
      <c r="O44" s="40">
        <f t="shared" ref="O44:AB44" si="14">SUM(O38:O43)</f>
        <v>4259523.2298711827</v>
      </c>
      <c r="P44" s="40">
        <f t="shared" si="14"/>
        <v>4253980.3698673202</v>
      </c>
      <c r="Q44" s="40">
        <f t="shared" si="14"/>
        <v>4248271.2240633387</v>
      </c>
      <c r="R44" s="40">
        <f t="shared" si="14"/>
        <v>4242390.8038852382</v>
      </c>
      <c r="S44" s="40">
        <f t="shared" si="14"/>
        <v>4680762.4941017982</v>
      </c>
      <c r="T44" s="40">
        <f t="shared" si="14"/>
        <v>4674523.9563348517</v>
      </c>
      <c r="U44" s="40">
        <f t="shared" si="14"/>
        <v>4668098.2624348961</v>
      </c>
      <c r="V44" s="40">
        <f t="shared" si="14"/>
        <v>4661479.7977179438</v>
      </c>
      <c r="W44" s="40">
        <f t="shared" si="14"/>
        <v>4654662.7790594818</v>
      </c>
      <c r="X44" s="40">
        <f t="shared" si="14"/>
        <v>10739482.696841264</v>
      </c>
      <c r="Y44" s="40">
        <f t="shared" si="14"/>
        <v>10732250.521746505</v>
      </c>
      <c r="Z44" s="40">
        <f t="shared" si="14"/>
        <v>10724801.381398898</v>
      </c>
      <c r="AA44" s="40">
        <f>SUM(AA38:AA43)</f>
        <v>10717128.766840864</v>
      </c>
      <c r="AB44" s="40">
        <f t="shared" si="14"/>
        <v>10709225.973846091</v>
      </c>
      <c r="AC44" s="40">
        <f>SUM(AC38:AC43)</f>
        <v>11799141.617061475</v>
      </c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</row>
    <row r="45" spans="2:78" s="41" customFormat="1" x14ac:dyDescent="0.2">
      <c r="B45" s="41" t="s">
        <v>42</v>
      </c>
      <c r="D45" s="42">
        <f>$H19*$I16</f>
        <v>-1821504.2249999999</v>
      </c>
      <c r="E45" s="42">
        <f>$H19*$I16</f>
        <v>-1821504.2249999999</v>
      </c>
      <c r="F45" s="42">
        <f>$H19*$I16</f>
        <v>-1821504.2249999999</v>
      </c>
      <c r="G45" s="42">
        <f>$H19*$I16</f>
        <v>-1821504.2249999999</v>
      </c>
      <c r="H45" s="42">
        <f>$H19*$I16</f>
        <v>-1821504.2249999999</v>
      </c>
      <c r="I45" s="42">
        <f>'[1]Refi '!I45</f>
        <v>-2007921.3972</v>
      </c>
      <c r="J45" s="42">
        <f>'[1]Refi '!J45</f>
        <v>-2007921.3972</v>
      </c>
      <c r="K45" s="42">
        <f>'[1]Refi '!K45</f>
        <v>-2007921.3972</v>
      </c>
      <c r="L45" s="42">
        <f>'[1]Refi '!L45</f>
        <v>-2007921.3972</v>
      </c>
      <c r="M45" s="42">
        <f>'[1]Refi '!M45</f>
        <v>-2007921.3972</v>
      </c>
      <c r="N45" s="42">
        <f>[2]Refi10!O17</f>
        <v>-2264141.9973333338</v>
      </c>
      <c r="O45" s="42">
        <f>N45</f>
        <v>-2264141.9973333338</v>
      </c>
      <c r="P45" s="42">
        <f>O45</f>
        <v>-2264141.9973333338</v>
      </c>
      <c r="Q45" s="42">
        <f>P45</f>
        <v>-2264141.9973333338</v>
      </c>
      <c r="R45" s="42">
        <f>Q45</f>
        <v>-2264141.9973333338</v>
      </c>
      <c r="S45" s="42">
        <f>[2]Refi15!O17</f>
        <v>-2730715.6096000015</v>
      </c>
      <c r="T45" s="42">
        <f t="shared" ref="T45:AC45" si="15">S45</f>
        <v>-2730715.6096000015</v>
      </c>
      <c r="U45" s="42">
        <f t="shared" si="15"/>
        <v>-2730715.6096000015</v>
      </c>
      <c r="V45" s="42">
        <f t="shared" si="15"/>
        <v>-2730715.6096000015</v>
      </c>
      <c r="W45" s="42">
        <f t="shared" si="15"/>
        <v>-2730715.6096000015</v>
      </c>
      <c r="X45" s="42">
        <f>O17</f>
        <v>-4408203.4823529404</v>
      </c>
      <c r="Y45" s="42">
        <f t="shared" si="15"/>
        <v>-4408203.4823529404</v>
      </c>
      <c r="Z45" s="42">
        <f t="shared" si="15"/>
        <v>-4408203.4823529404</v>
      </c>
      <c r="AA45" s="42">
        <f t="shared" si="15"/>
        <v>-4408203.4823529404</v>
      </c>
      <c r="AB45" s="42">
        <f t="shared" si="15"/>
        <v>-4408203.4823529404</v>
      </c>
      <c r="AC45" s="42">
        <f t="shared" si="15"/>
        <v>-4408203.4823529404</v>
      </c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</row>
    <row r="46" spans="2:78" s="43" customFormat="1" x14ac:dyDescent="0.2">
      <c r="B46" s="43" t="s">
        <v>43</v>
      </c>
      <c r="D46" s="44">
        <f>SUM(D44:D45)</f>
        <v>1717982.9750000003</v>
      </c>
      <c r="E46" s="44">
        <f>SUM(E44:E45)</f>
        <v>1713978.4950000003</v>
      </c>
      <c r="F46" s="44">
        <f>SUM(F44:F45)</f>
        <v>1709854.0866000003</v>
      </c>
      <c r="G46" s="44">
        <f>SUM(G44:G45)</f>
        <v>1705605.9459480003</v>
      </c>
      <c r="H46" s="45">
        <f>SUM(H44:H45)</f>
        <v>1701230.3610764404</v>
      </c>
      <c r="I46" s="45">
        <f t="shared" ref="I46:R46" si="16">SUM(I44:I45)</f>
        <v>1877602.6364587331</v>
      </c>
      <c r="J46" s="45">
        <f t="shared" si="16"/>
        <v>1872960.578468495</v>
      </c>
      <c r="K46" s="45">
        <f t="shared" si="16"/>
        <v>1868179.2587385499</v>
      </c>
      <c r="L46" s="45">
        <f t="shared" si="16"/>
        <v>1863254.4994167062</v>
      </c>
      <c r="M46" s="45">
        <f t="shared" si="16"/>
        <v>1858181.997315208</v>
      </c>
      <c r="N46" s="45">
        <f t="shared" si="16"/>
        <v>2000762.6500173314</v>
      </c>
      <c r="O46" s="45">
        <f t="shared" si="16"/>
        <v>1995381.2325378489</v>
      </c>
      <c r="P46" s="45">
        <f t="shared" si="16"/>
        <v>1989838.3725339863</v>
      </c>
      <c r="Q46" s="45">
        <f t="shared" si="16"/>
        <v>1984129.2267300049</v>
      </c>
      <c r="R46" s="45">
        <f t="shared" si="16"/>
        <v>1978248.8065519044</v>
      </c>
      <c r="S46" s="45">
        <f>SUM(S44:S45)</f>
        <v>1950046.8845017967</v>
      </c>
      <c r="T46" s="45">
        <f t="shared" ref="T46:AC46" si="17">SUM(T44:T45)</f>
        <v>1943808.3467348502</v>
      </c>
      <c r="U46" s="45">
        <f t="shared" si="17"/>
        <v>1937382.6528348946</v>
      </c>
      <c r="V46" s="45">
        <f t="shared" si="17"/>
        <v>1930764.1881179423</v>
      </c>
      <c r="W46" s="45">
        <f t="shared" si="17"/>
        <v>1923947.1694594803</v>
      </c>
      <c r="X46" s="45">
        <f>SUM(X44:X45)</f>
        <v>6331279.2144883238</v>
      </c>
      <c r="Y46" s="45">
        <f t="shared" si="17"/>
        <v>6324047.0393935647</v>
      </c>
      <c r="Z46" s="45">
        <f t="shared" si="17"/>
        <v>6316597.8990459573</v>
      </c>
      <c r="AA46" s="45">
        <f t="shared" si="17"/>
        <v>6308925.2844879236</v>
      </c>
      <c r="AB46" s="45">
        <f t="shared" si="17"/>
        <v>6301022.4914931506</v>
      </c>
      <c r="AC46" s="45">
        <f t="shared" si="17"/>
        <v>7390938.1347085349</v>
      </c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</row>
    <row r="47" spans="2:78" s="46" customFormat="1" x14ac:dyDescent="0.2">
      <c r="B47" s="46" t="s">
        <v>49</v>
      </c>
      <c r="D47" s="47">
        <f t="shared" ref="D47:V47" si="18">D46/$I17</f>
        <v>7.0737537336758041E-2</v>
      </c>
      <c r="E47" s="47">
        <f t="shared" si="18"/>
        <v>7.0572653832301727E-2</v>
      </c>
      <c r="F47" s="47">
        <f t="shared" si="18"/>
        <v>7.0402832304712337E-2</v>
      </c>
      <c r="G47" s="47">
        <f t="shared" si="18"/>
        <v>7.0227916131295282E-2</v>
      </c>
      <c r="H47" s="47">
        <f t="shared" si="18"/>
        <v>7.0047752472675723E-2</v>
      </c>
      <c r="I47" s="47">
        <f t="shared" si="18"/>
        <v>7.7309838649649562E-2</v>
      </c>
      <c r="J47" s="47">
        <f t="shared" si="18"/>
        <v>7.7118703024220067E-2</v>
      </c>
      <c r="K47" s="47">
        <f t="shared" si="18"/>
        <v>7.6921833330027681E-2</v>
      </c>
      <c r="L47" s="47">
        <f t="shared" si="18"/>
        <v>7.6719057545009517E-2</v>
      </c>
      <c r="M47" s="47">
        <f t="shared" si="18"/>
        <v>7.6510198486440847E-2</v>
      </c>
      <c r="N47" s="47">
        <f t="shared" si="18"/>
        <v>8.2380922696624462E-2</v>
      </c>
      <c r="O47" s="47">
        <f t="shared" si="18"/>
        <v>8.2159344121388825E-2</v>
      </c>
      <c r="P47" s="47">
        <f t="shared" si="18"/>
        <v>8.1931118188896312E-2</v>
      </c>
      <c r="Q47" s="47">
        <f t="shared" si="18"/>
        <v>8.1696045478428889E-2</v>
      </c>
      <c r="R47" s="47">
        <f t="shared" si="18"/>
        <v>8.1453920586647466E-2</v>
      </c>
      <c r="S47" s="47">
        <f t="shared" si="18"/>
        <v>8.0292713203909669E-2</v>
      </c>
      <c r="T47" s="47">
        <f t="shared" si="18"/>
        <v>8.0035842906218763E-2</v>
      </c>
      <c r="U47" s="47">
        <f t="shared" si="18"/>
        <v>7.9771266499597107E-2</v>
      </c>
      <c r="V47" s="47">
        <f t="shared" si="18"/>
        <v>7.9498752800776881E-2</v>
      </c>
      <c r="W47" s="47">
        <f>W46/$I17</f>
        <v>7.9218063690992005E-2</v>
      </c>
      <c r="X47" s="47">
        <f>X46/$I17</f>
        <v>0.26068890457095933</v>
      </c>
      <c r="Y47" s="47">
        <f t="shared" ref="Y47:AC47" si="19">Y46/$I17</f>
        <v>0.2603911214943887</v>
      </c>
      <c r="Z47" s="47">
        <f t="shared" si="19"/>
        <v>0.26008440492552071</v>
      </c>
      <c r="AA47" s="47">
        <f t="shared" si="19"/>
        <v>0.25976848685958676</v>
      </c>
      <c r="AB47" s="47">
        <f t="shared" si="19"/>
        <v>0.25944309125167486</v>
      </c>
      <c r="AC47" s="47">
        <f t="shared" si="19"/>
        <v>0.30432010669815501</v>
      </c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</row>
    <row r="48" spans="2:78" x14ac:dyDescent="0.2">
      <c r="D48" s="47">
        <f>AVERAGE(D47:AA47)</f>
        <v>0.10774746796404278</v>
      </c>
      <c r="E48" s="48"/>
      <c r="F48" s="48"/>
      <c r="G48" s="48"/>
      <c r="H48" s="48"/>
      <c r="I48" s="48"/>
      <c r="J48" s="48"/>
      <c r="K48" s="48"/>
      <c r="L48" s="48"/>
      <c r="M48" s="48"/>
      <c r="N48" s="48"/>
    </row>
    <row r="49" spans="2:28" x14ac:dyDescent="0.2">
      <c r="B49" s="26" t="s">
        <v>50</v>
      </c>
      <c r="C49" s="35">
        <f>I16</f>
        <v>-24286723</v>
      </c>
      <c r="D49" s="35">
        <f>D46</f>
        <v>1717982.9750000003</v>
      </c>
      <c r="E49" s="35">
        <f t="shared" ref="E49:K49" si="20">E46</f>
        <v>1713978.4950000003</v>
      </c>
      <c r="F49" s="35">
        <f t="shared" si="20"/>
        <v>1709854.0866000003</v>
      </c>
      <c r="G49" s="35">
        <f t="shared" si="20"/>
        <v>1705605.9459480003</v>
      </c>
      <c r="H49" s="35">
        <f>'[1]Refi '!H52</f>
        <v>6140135.3610764407</v>
      </c>
      <c r="I49" s="35">
        <f t="shared" si="20"/>
        <v>1877602.6364587331</v>
      </c>
      <c r="J49" s="35">
        <f t="shared" si="20"/>
        <v>1872960.578468495</v>
      </c>
      <c r="K49" s="35">
        <f t="shared" si="20"/>
        <v>1868179.2587385499</v>
      </c>
      <c r="L49" s="35">
        <f>L46</f>
        <v>1863254.4994167062</v>
      </c>
      <c r="M49" s="35">
        <f>[2]Refi10!M49</f>
        <v>11313700.663981887</v>
      </c>
      <c r="N49" s="35">
        <f>N46</f>
        <v>2000762.6500173314</v>
      </c>
      <c r="O49" s="35">
        <f>O46</f>
        <v>1995381.2325378489</v>
      </c>
      <c r="P49" s="35">
        <f>P46</f>
        <v>1989838.3725339863</v>
      </c>
      <c r="Q49" s="35">
        <f>Q46</f>
        <v>1984129.2267300049</v>
      </c>
      <c r="R49" s="35">
        <f>[2]Refi15!R49</f>
        <v>9614478.1398852468</v>
      </c>
      <c r="S49" s="35">
        <f>S46</f>
        <v>1950046.8845017967</v>
      </c>
      <c r="T49" s="28">
        <f>T46</f>
        <v>1943808.3467348502</v>
      </c>
      <c r="U49" s="28">
        <f t="shared" ref="U49:V49" si="21">U46</f>
        <v>1937382.6528348946</v>
      </c>
      <c r="V49" s="28">
        <f t="shared" si="21"/>
        <v>1930764.1881179423</v>
      </c>
      <c r="W49" s="28">
        <f>W46+O21</f>
        <v>89284924.110635892</v>
      </c>
      <c r="X49" s="28">
        <f>X46</f>
        <v>6331279.2144883238</v>
      </c>
      <c r="Y49" s="28">
        <f t="shared" ref="Y49:Z49" si="22">Y46</f>
        <v>6324047.0393935647</v>
      </c>
      <c r="Z49" s="28">
        <f t="shared" si="22"/>
        <v>6316597.8990459573</v>
      </c>
      <c r="AA49" s="28">
        <f>AA46</f>
        <v>6308925.2844879236</v>
      </c>
      <c r="AB49" s="28">
        <f>(AC44/O26)+AB46-O19</f>
        <v>180391982.49462602</v>
      </c>
    </row>
    <row r="50" spans="2:28" x14ac:dyDescent="0.2">
      <c r="D50" s="58">
        <f>IRR(C49:AB49)</f>
        <v>0.16465060948759724</v>
      </c>
      <c r="AB50" s="28"/>
    </row>
    <row r="51" spans="2:28" x14ac:dyDescent="0.2">
      <c r="B51" s="26" t="s">
        <v>58</v>
      </c>
      <c r="C51" s="35">
        <f>I16</f>
        <v>-24286723</v>
      </c>
      <c r="D51" s="35">
        <f>D46</f>
        <v>1717982.9750000003</v>
      </c>
      <c r="E51" s="35">
        <f t="shared" ref="E51:L51" si="23">E46</f>
        <v>1713978.4950000003</v>
      </c>
      <c r="F51" s="35">
        <f t="shared" si="23"/>
        <v>1709854.0866000003</v>
      </c>
      <c r="G51" s="35">
        <f t="shared" si="23"/>
        <v>1705605.9459480003</v>
      </c>
      <c r="H51" s="35">
        <f>H49</f>
        <v>6140135.3610764407</v>
      </c>
      <c r="I51" s="35">
        <f t="shared" si="23"/>
        <v>1877602.6364587331</v>
      </c>
      <c r="J51" s="35">
        <f t="shared" si="23"/>
        <v>1872960.578468495</v>
      </c>
      <c r="K51" s="35">
        <f t="shared" si="23"/>
        <v>1868179.2587385499</v>
      </c>
      <c r="L51" s="35">
        <f t="shared" si="23"/>
        <v>1863254.4994167062</v>
      </c>
      <c r="M51" s="35">
        <f>M49</f>
        <v>11313700.663981887</v>
      </c>
      <c r="N51" s="35">
        <f>N46</f>
        <v>2000762.6500173314</v>
      </c>
      <c r="O51" s="35">
        <f>O46</f>
        <v>1995381.2325378489</v>
      </c>
      <c r="P51" s="35">
        <f>P46</f>
        <v>1989838.3725339863</v>
      </c>
      <c r="Q51" s="35">
        <f>Q46</f>
        <v>1984129.2267300049</v>
      </c>
      <c r="R51" s="35">
        <f>R49</f>
        <v>9614478.1398852468</v>
      </c>
      <c r="S51" s="28">
        <f>S49</f>
        <v>1950046.8845017967</v>
      </c>
      <c r="T51" s="28">
        <f t="shared" ref="T51:V51" si="24">T49</f>
        <v>1943808.3467348502</v>
      </c>
      <c r="U51" s="28">
        <f t="shared" si="24"/>
        <v>1937382.6528348946</v>
      </c>
      <c r="V51" s="28">
        <f t="shared" si="24"/>
        <v>1930764.1881179423</v>
      </c>
      <c r="W51" s="28">
        <f>W49</f>
        <v>89284924.110635892</v>
      </c>
      <c r="X51" s="28">
        <f>X46</f>
        <v>6331279.2144883238</v>
      </c>
      <c r="Y51" s="28">
        <f t="shared" ref="Y51:AA51" si="25">Y46</f>
        <v>6324047.0393935647</v>
      </c>
      <c r="Z51" s="28">
        <f t="shared" si="25"/>
        <v>6316597.8990459573</v>
      </c>
      <c r="AA51" s="28">
        <f t="shared" si="25"/>
        <v>6308925.2844879236</v>
      </c>
      <c r="AB51" s="28">
        <f>AB49</f>
        <v>180391982.49462602</v>
      </c>
    </row>
    <row r="52" spans="2:28" x14ac:dyDescent="0.2">
      <c r="D52" s="59">
        <f>-(SUM(D51:AB51))/C51</f>
        <v>14.497122655751474</v>
      </c>
    </row>
  </sheetData>
  <mergeCells count="4">
    <mergeCell ref="B5:E5"/>
    <mergeCell ref="G5:I5"/>
    <mergeCell ref="M5:O5"/>
    <mergeCell ref="B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Nike Model_Matrix_Real estate P</vt:lpstr>
      <vt:lpstr>Calculation</vt:lpstr>
      <vt:lpstr>BASE MODEL</vt:lpstr>
      <vt:lpstr>Refi </vt:lpstr>
      <vt:lpstr>Refi10</vt:lpstr>
      <vt:lpstr>Refi15</vt:lpstr>
      <vt:lpstr>Refi20</vt:lpstr>
      <vt:lpstr>Refi 20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</dc:creator>
  <cp:lastModifiedBy>Shweta</cp:lastModifiedBy>
  <cp:lastPrinted>2023-10-29T18:30:52Z</cp:lastPrinted>
  <dcterms:created xsi:type="dcterms:W3CDTF">2023-10-16T23:28:03Z</dcterms:created>
  <dcterms:modified xsi:type="dcterms:W3CDTF">2025-01-04T19:54:28Z</dcterms:modified>
</cp:coreProperties>
</file>